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30" windowWidth="16245" windowHeight="4665" tabRatio="919" activeTab="2"/>
  </bookViews>
  <sheets>
    <sheet name="MPG-4 pgs 1-3" sheetId="29" r:id="rId1"/>
    <sheet name="MPG-4 pg 4" sheetId="46" r:id="rId2"/>
    <sheet name="MPG-4 pg 5" sheetId="50" r:id="rId3"/>
    <sheet name="Electric -4" sheetId="49" state="hidden" r:id="rId4"/>
    <sheet name="Electric -x" sheetId="30" state="hidden" r:id="rId5"/>
    <sheet name="Gas -1" sheetId="17" state="hidden" r:id="rId6"/>
    <sheet name="Gas -2" sheetId="37" state="hidden" r:id="rId7"/>
    <sheet name="Gas -3" sheetId="51" state="hidden" r:id="rId8"/>
    <sheet name="Gas -4" sheetId="52" state="hidden" r:id="rId9"/>
    <sheet name="Gas -x" sheetId="26" state="hidden" r:id="rId10"/>
    <sheet name="Water -2" sheetId="47" state="hidden" r:id="rId11"/>
    <sheet name="P-E Ratio (WP)" sheetId="2" r:id="rId12"/>
    <sheet name="MP-CF (WP)" sheetId="3" r:id="rId13"/>
    <sheet name="MP-BV (WP)" sheetId="15" r:id="rId14"/>
    <sheet name="DIV-MP (WP)" sheetId="38" r:id="rId15"/>
    <sheet name="DIV-BV (WP)" sheetId="22" r:id="rId16"/>
    <sheet name="DIV-Earnings (WP)" sheetId="23" r:id="rId17"/>
    <sheet name="CF-Cap Spend (WP)" sheetId="24" r:id="rId18"/>
    <sheet name="CapSpendCashFlow" sheetId="48" r:id="rId19"/>
    <sheet name="2017 Data (WP)" sheetId="10" r:id="rId20"/>
    <sheet name="2016" sheetId="21" r:id="rId21"/>
    <sheet name="MP" sheetId="13" r:id="rId22"/>
    <sheet name="CF" sheetId="11" r:id="rId23"/>
    <sheet name="EPS" sheetId="19" r:id="rId24"/>
    <sheet name="DIV" sheetId="18" r:id="rId25"/>
    <sheet name="CapS" sheetId="20" r:id="rId26"/>
    <sheet name="BV" sheetId="14" r:id="rId27"/>
    <sheet name="Annual Yields (WP)" sheetId="39" r:id="rId28"/>
  </sheets>
  <externalReferences>
    <externalReference r:id="rId29"/>
  </externalReferences>
  <definedNames>
    <definedName name="_xlnm._FilterDatabase" localSheetId="19" hidden="1">'2017 Data (WP)'!$A$8:$AD$73</definedName>
    <definedName name="BookValue">BV!$B$3:$M$86</definedName>
    <definedName name="CapCash">CapSpendCashFlow!$A$1:$J$100</definedName>
    <definedName name="CapCashTic">CapSpendCashFlow!$B$1:$B$100</definedName>
    <definedName name="CapSpending">CapS!$B$3:$M$85</definedName>
    <definedName name="CashFlow">CF!$B$3:$M$86</definedName>
    <definedName name="CF_CAP_WP">'CF-Cap Spend (WP)'!$B$4:$Q$86</definedName>
    <definedName name="DIV_BV_WP">'DIV-BV (WP)'!$B$4:$Q$86</definedName>
    <definedName name="DIV_EARN_WP">'DIV-Earnings (WP)'!$B$4:$Q$89</definedName>
    <definedName name="DIV_MP_WP">'DIV-MP (WP)'!$B$4:$Q$89</definedName>
    <definedName name="Dividends">DIV!$B$3:$M$86</definedName>
    <definedName name="Earnings">EPS!$B$3:$M$86</definedName>
    <definedName name="ElectricU">'MPG-4 pgs 1-3'!$C$2</definedName>
    <definedName name="GasU">'Gas -1'!$C$1</definedName>
    <definedName name="LASTYR">OFFSET('2016'!$A$5,0,0,'2016'!$A$2,MAX('2016'!$A$3:$AI$3))</definedName>
    <definedName name="LUCurYr">'2017 Data (WP)'!$D$9:$U$72</definedName>
    <definedName name="MarketPrice">MP!$B$3:$M$86</definedName>
    <definedName name="MP_BV_WP">'MP-BV (WP)'!$B$4:$U$86</definedName>
    <definedName name="MP_CF_WP">'MP-CF (WP)'!$B$4:$U$86</definedName>
    <definedName name="nameLU">OFFSET(CF!$A$4,0,0,CF!$B$1,1)</definedName>
    <definedName name="PE_WP">'P-E Ratio (WP)'!$B$5:$S$87</definedName>
    <definedName name="_xlnm.Print_Area" localSheetId="19">'2017 Data (WP)'!$C$1:$U$83</definedName>
    <definedName name="_xlnm.Print_Area" localSheetId="17">'CF-Cap Spend (WP)'!$A$1:$Q$79</definedName>
    <definedName name="_xlnm.Print_Area" localSheetId="15">'DIV-BV (WP)'!$A$1:$Q$79</definedName>
    <definedName name="_xlnm.Print_Area" localSheetId="16">'DIV-Earnings (WP)'!$A$1:$Q$79</definedName>
    <definedName name="_xlnm.Print_Area" localSheetId="14">'DIV-MP (WP)'!$A$1:$Q$79</definedName>
    <definedName name="_xlnm.Print_Area" localSheetId="3">'Electric -4'!$C$1:$K$69</definedName>
    <definedName name="_xlnm.Print_Area" localSheetId="4">'Electric -x'!$C$1:$R$191</definedName>
    <definedName name="_xlnm.Print_Area" localSheetId="5">'Gas -1'!$C$1:$R$179</definedName>
    <definedName name="_xlnm.Print_Area" localSheetId="6">'Gas -2'!$C$1:$R$149</definedName>
    <definedName name="_xlnm.Print_Area" localSheetId="7">'Gas -3'!$C$1:$R$70</definedName>
    <definedName name="_xlnm.Print_Area" localSheetId="8">'Gas -4'!$C$1:$K$69</definedName>
    <definedName name="_xlnm.Print_Area" localSheetId="9">'Gas -x'!$C$1:$R$180</definedName>
    <definedName name="_xlnm.Print_Area" localSheetId="13">'MP-BV (WP)'!$A$1:$R$79</definedName>
    <definedName name="_xlnm.Print_Area" localSheetId="12">'MP-CF (WP)'!$A$1:$U$79</definedName>
    <definedName name="_xlnm.Print_Area" localSheetId="1">'MPG-4 pg 4'!$C$2:$R$94</definedName>
    <definedName name="_xlnm.Print_Area" localSheetId="2">'MPG-4 pg 5'!$C$2:$R$71</definedName>
    <definedName name="_xlnm.Print_Area" localSheetId="0">'MPG-4 pgs 1-3'!$C$2:$V$190</definedName>
    <definedName name="_xlnm.Print_Area" localSheetId="11">'P-E Ratio (WP)'!$A$1:$S$80</definedName>
    <definedName name="_xlnm.Print_Area" localSheetId="10">'Water -2'!$C$1:$R$116</definedName>
    <definedName name="_xlnm.Print_Titles" localSheetId="20">'2016'!$4:$4</definedName>
    <definedName name="_xlnm.Print_Titles" localSheetId="19">'2017 Data (WP)'!$5:$7</definedName>
    <definedName name="_xlnm.Print_Titles" localSheetId="26">BV!$A:$B,BV!$1:$3</definedName>
    <definedName name="_xlnm.Print_Titles" localSheetId="25">CapS!$A:$B,CapS!$1:$3</definedName>
    <definedName name="_xlnm.Print_Titles" localSheetId="22">CF!$A:$B,CF!$1:$3</definedName>
    <definedName name="_xlnm.Print_Titles" localSheetId="17">'CF-Cap Spend (WP)'!$B:$C,'CF-Cap Spend (WP)'!$1:$3</definedName>
    <definedName name="_xlnm.Print_Titles" localSheetId="24">DIV!$A:$B,DIV!$1:$3</definedName>
    <definedName name="_xlnm.Print_Titles" localSheetId="15">'DIV-BV (WP)'!$B:$C,'DIV-BV (WP)'!$1:$3</definedName>
    <definedName name="_xlnm.Print_Titles" localSheetId="16">'DIV-Earnings (WP)'!$B:$C,'DIV-Earnings (WP)'!$1:$3</definedName>
    <definedName name="_xlnm.Print_Titles" localSheetId="14">'DIV-MP (WP)'!$B:$C,'DIV-MP (WP)'!$1:$3</definedName>
    <definedName name="_xlnm.Print_Titles" localSheetId="3">'Electric -4'!$1:$6</definedName>
    <definedName name="_xlnm.Print_Titles" localSheetId="4">'Electric -x'!$1:$6</definedName>
    <definedName name="_xlnm.Print_Titles" localSheetId="23">EPS!$A:$B,EPS!$1:$3</definedName>
    <definedName name="_xlnm.Print_Titles" localSheetId="5">'Gas -1'!$1:$6</definedName>
    <definedName name="_xlnm.Print_Titles" localSheetId="6">'Gas -2'!$1:$6</definedName>
    <definedName name="_xlnm.Print_Titles" localSheetId="7">'Gas -3'!$1:$6</definedName>
    <definedName name="_xlnm.Print_Titles" localSheetId="8">'Gas -4'!$1:$6</definedName>
    <definedName name="_xlnm.Print_Titles" localSheetId="9">'Gas -x'!$1:$6</definedName>
    <definedName name="_xlnm.Print_Titles" localSheetId="21">MP!$A:$B,MP!$1:$3</definedName>
    <definedName name="_xlnm.Print_Titles" localSheetId="13">'MP-BV (WP)'!$B:$C,'MP-BV (WP)'!$1:$3</definedName>
    <definedName name="_xlnm.Print_Titles" localSheetId="12">'MP-CF (WP)'!$B:$C,'MP-CF (WP)'!$1:$3</definedName>
    <definedName name="_xlnm.Print_Titles" localSheetId="1">'MPG-4 pg 4'!$2:$7</definedName>
    <definedName name="_xlnm.Print_Titles" localSheetId="2">'MPG-4 pg 5'!$2:$7</definedName>
    <definedName name="_xlnm.Print_Titles" localSheetId="0">'MPG-4 pgs 1-3'!$2:$7</definedName>
    <definedName name="_xlnm.Print_Titles" localSheetId="11">'P-E Ratio (WP)'!$B:$C,'P-E Ratio (WP)'!$2:$4</definedName>
    <definedName name="_xlnm.Print_Titles" localSheetId="10">'Water -2'!$1:$6</definedName>
    <definedName name="_xlnm.Print_Titles">#N/A</definedName>
    <definedName name="tickerLU">OFFSET(CF!$B$4,0,0,CF!$B$1,1)</definedName>
    <definedName name="WaterU">'Water -2'!$C$1</definedName>
  </definedNames>
  <calcPr calcId="125725" iterate="1" iterateCount="300" iterateDelta="1E-4" calcOnSave="0"/>
</workbook>
</file>

<file path=xl/calcChain.xml><?xml version="1.0" encoding="utf-8"?>
<calcChain xmlns="http://schemas.openxmlformats.org/spreadsheetml/2006/main">
  <c r="E68" i="51"/>
  <c r="F66" i="52"/>
  <c r="F65"/>
  <c r="D59"/>
  <c r="E58"/>
  <c r="D58" s="1"/>
  <c r="B58"/>
  <c r="H58" s="1"/>
  <c r="A58"/>
  <c r="E57"/>
  <c r="D57" s="1"/>
  <c r="A57"/>
  <c r="B57" s="1"/>
  <c r="J56"/>
  <c r="H56"/>
  <c r="E56"/>
  <c r="D56" s="1"/>
  <c r="B56"/>
  <c r="G56" s="1"/>
  <c r="A56"/>
  <c r="E55"/>
  <c r="D55"/>
  <c r="A55"/>
  <c r="B55" s="1"/>
  <c r="H54"/>
  <c r="G54"/>
  <c r="B54"/>
  <c r="J54" s="1"/>
  <c r="B53"/>
  <c r="G53" s="1"/>
  <c r="B52"/>
  <c r="G52" s="1"/>
  <c r="B51"/>
  <c r="H51" s="1"/>
  <c r="B50"/>
  <c r="J50" s="1"/>
  <c r="J49"/>
  <c r="H49"/>
  <c r="G49"/>
  <c r="B49"/>
  <c r="B48"/>
  <c r="G48" s="1"/>
  <c r="B47"/>
  <c r="H47" s="1"/>
  <c r="G46"/>
  <c r="B46"/>
  <c r="J46" s="1"/>
  <c r="B45"/>
  <c r="J45" s="1"/>
  <c r="B44"/>
  <c r="G44" s="1"/>
  <c r="B43"/>
  <c r="H43" s="1"/>
  <c r="B42"/>
  <c r="G42" s="1"/>
  <c r="B41"/>
  <c r="G41" s="1"/>
  <c r="B40"/>
  <c r="G40" s="1"/>
  <c r="G39"/>
  <c r="B39"/>
  <c r="H39" s="1"/>
  <c r="B38"/>
  <c r="J38" s="1"/>
  <c r="B37"/>
  <c r="G37" s="1"/>
  <c r="B36"/>
  <c r="G36" s="1"/>
  <c r="G35"/>
  <c r="B35"/>
  <c r="H35" s="1"/>
  <c r="B34"/>
  <c r="J34" s="1"/>
  <c r="B33"/>
  <c r="J33" s="1"/>
  <c r="B32"/>
  <c r="G32" s="1"/>
  <c r="B31"/>
  <c r="H31" s="1"/>
  <c r="B30"/>
  <c r="J30" s="1"/>
  <c r="B29"/>
  <c r="J29" s="1"/>
  <c r="J28"/>
  <c r="B28"/>
  <c r="G28" s="1"/>
  <c r="B27"/>
  <c r="H27" s="1"/>
  <c r="B26"/>
  <c r="G26" s="1"/>
  <c r="B25"/>
  <c r="G25" s="1"/>
  <c r="B24"/>
  <c r="G24" s="1"/>
  <c r="B23"/>
  <c r="H23" s="1"/>
  <c r="B22"/>
  <c r="J22" s="1"/>
  <c r="B21"/>
  <c r="G21" s="1"/>
  <c r="B20"/>
  <c r="G20" s="1"/>
  <c r="B19"/>
  <c r="H19" s="1"/>
  <c r="G18"/>
  <c r="B18"/>
  <c r="J18" s="1"/>
  <c r="B17"/>
  <c r="J17" s="1"/>
  <c r="B16"/>
  <c r="G16" s="1"/>
  <c r="H15"/>
  <c r="B15"/>
  <c r="G15" s="1"/>
  <c r="D14"/>
  <c r="B14"/>
  <c r="J14" s="1"/>
  <c r="W13"/>
  <c r="V13"/>
  <c r="U13"/>
  <c r="T13"/>
  <c r="T12"/>
  <c r="J12"/>
  <c r="H12"/>
  <c r="G12"/>
  <c r="C1"/>
  <c r="E67" i="51"/>
  <c r="C58"/>
  <c r="H57"/>
  <c r="G57"/>
  <c r="D57"/>
  <c r="C57" s="1"/>
  <c r="B57"/>
  <c r="H56"/>
  <c r="G56"/>
  <c r="D56"/>
  <c r="C56" s="1"/>
  <c r="B56"/>
  <c r="H55"/>
  <c r="G55"/>
  <c r="D55"/>
  <c r="C55" s="1"/>
  <c r="B55"/>
  <c r="H54"/>
  <c r="G54"/>
  <c r="D54"/>
  <c r="C54" s="1"/>
  <c r="B54"/>
  <c r="H53"/>
  <c r="G53"/>
  <c r="B53"/>
  <c r="H52"/>
  <c r="G52"/>
  <c r="B52"/>
  <c r="H51"/>
  <c r="G51"/>
  <c r="B51"/>
  <c r="H50"/>
  <c r="G50"/>
  <c r="B50"/>
  <c r="H49"/>
  <c r="G49"/>
  <c r="B49"/>
  <c r="H48"/>
  <c r="G48"/>
  <c r="B48"/>
  <c r="H47"/>
  <c r="G47"/>
  <c r="B47"/>
  <c r="H46"/>
  <c r="G46"/>
  <c r="B46"/>
  <c r="H45"/>
  <c r="G45"/>
  <c r="B45"/>
  <c r="H44"/>
  <c r="G44"/>
  <c r="B44"/>
  <c r="H43"/>
  <c r="G43"/>
  <c r="B43"/>
  <c r="H42"/>
  <c r="G42"/>
  <c r="B42"/>
  <c r="H41"/>
  <c r="G41"/>
  <c r="B41"/>
  <c r="H40"/>
  <c r="G40"/>
  <c r="B40"/>
  <c r="H39"/>
  <c r="G39"/>
  <c r="B39"/>
  <c r="H38"/>
  <c r="G38"/>
  <c r="B38"/>
  <c r="H37"/>
  <c r="G37"/>
  <c r="B37"/>
  <c r="H36"/>
  <c r="G36"/>
  <c r="B36"/>
  <c r="H35"/>
  <c r="G35"/>
  <c r="B35"/>
  <c r="H34"/>
  <c r="G34"/>
  <c r="B34"/>
  <c r="H33"/>
  <c r="G33"/>
  <c r="B33"/>
  <c r="H32"/>
  <c r="G32"/>
  <c r="B32"/>
  <c r="H31"/>
  <c r="G31"/>
  <c r="B31"/>
  <c r="H30"/>
  <c r="G30"/>
  <c r="B30"/>
  <c r="H29"/>
  <c r="G29"/>
  <c r="B29"/>
  <c r="H28"/>
  <c r="G28"/>
  <c r="B28"/>
  <c r="H27"/>
  <c r="G27"/>
  <c r="B27"/>
  <c r="H26"/>
  <c r="G26"/>
  <c r="B26"/>
  <c r="H25"/>
  <c r="G25"/>
  <c r="B25"/>
  <c r="H24"/>
  <c r="G24"/>
  <c r="B24"/>
  <c r="H23"/>
  <c r="G23"/>
  <c r="B23"/>
  <c r="H22"/>
  <c r="G22"/>
  <c r="B22"/>
  <c r="H21"/>
  <c r="G21"/>
  <c r="B21"/>
  <c r="H20"/>
  <c r="G20"/>
  <c r="B20"/>
  <c r="H19"/>
  <c r="G19"/>
  <c r="B19"/>
  <c r="H18"/>
  <c r="G18"/>
  <c r="B18"/>
  <c r="H17"/>
  <c r="G17"/>
  <c r="B17"/>
  <c r="H16"/>
  <c r="G16"/>
  <c r="B16"/>
  <c r="H15"/>
  <c r="G15"/>
  <c r="B15"/>
  <c r="H14"/>
  <c r="G14"/>
  <c r="B14"/>
  <c r="H13"/>
  <c r="G13"/>
  <c r="B13"/>
  <c r="R12"/>
  <c r="Q12"/>
  <c r="P12"/>
  <c r="O12"/>
  <c r="N12"/>
  <c r="M12"/>
  <c r="L12"/>
  <c r="K12"/>
  <c r="J12"/>
  <c r="I12"/>
  <c r="G11"/>
  <c r="H11" s="1"/>
  <c r="I11" s="1"/>
  <c r="J11" s="1"/>
  <c r="K11" s="1"/>
  <c r="L11" s="1"/>
  <c r="M11" s="1"/>
  <c r="N11" s="1"/>
  <c r="O11" s="1"/>
  <c r="P11" s="1"/>
  <c r="Q11" s="1"/>
  <c r="R11" s="1"/>
  <c r="C1"/>
  <c r="G15" i="50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J13"/>
  <c r="K13"/>
  <c r="L13"/>
  <c r="M13"/>
  <c r="N13"/>
  <c r="O13"/>
  <c r="P13"/>
  <c r="Q13"/>
  <c r="R13"/>
  <c r="H14"/>
  <c r="G14"/>
  <c r="B15"/>
  <c r="B16"/>
  <c r="B17"/>
  <c r="B18"/>
  <c r="B19"/>
  <c r="B20"/>
  <c r="B21"/>
  <c r="B22"/>
  <c r="B23"/>
  <c r="B24"/>
  <c r="N24" s="1"/>
  <c r="B25"/>
  <c r="B26"/>
  <c r="B27"/>
  <c r="B28"/>
  <c r="B29"/>
  <c r="B30"/>
  <c r="B31"/>
  <c r="B32"/>
  <c r="N32" s="1"/>
  <c r="B33"/>
  <c r="B34"/>
  <c r="B35"/>
  <c r="B36"/>
  <c r="B37"/>
  <c r="B38"/>
  <c r="B39"/>
  <c r="B40"/>
  <c r="N40" s="1"/>
  <c r="B41"/>
  <c r="B42"/>
  <c r="B43"/>
  <c r="B44"/>
  <c r="B45"/>
  <c r="B46"/>
  <c r="B47"/>
  <c r="B48"/>
  <c r="N48" s="1"/>
  <c r="B49"/>
  <c r="B50"/>
  <c r="B51"/>
  <c r="B52"/>
  <c r="B53"/>
  <c r="B54"/>
  <c r="B55"/>
  <c r="B56"/>
  <c r="N56" s="1"/>
  <c r="B57"/>
  <c r="B58"/>
  <c r="B14"/>
  <c r="Q14" s="1"/>
  <c r="I13"/>
  <c r="E69"/>
  <c r="E68"/>
  <c r="C59"/>
  <c r="D58"/>
  <c r="C58" s="1"/>
  <c r="D57"/>
  <c r="C57" s="1"/>
  <c r="D56"/>
  <c r="C56" s="1"/>
  <c r="D55"/>
  <c r="C55" s="1"/>
  <c r="G12"/>
  <c r="H12" s="1"/>
  <c r="I12" s="1"/>
  <c r="J12" s="1"/>
  <c r="K12" s="1"/>
  <c r="L12" s="1"/>
  <c r="M12" s="1"/>
  <c r="N12" s="1"/>
  <c r="O12" s="1"/>
  <c r="P12" s="1"/>
  <c r="Q12" s="1"/>
  <c r="R12" s="1"/>
  <c r="C2"/>
  <c r="E78" i="24"/>
  <c r="D78"/>
  <c r="A78"/>
  <c r="E77"/>
  <c r="D77"/>
  <c r="A77"/>
  <c r="E76"/>
  <c r="D76"/>
  <c r="A76"/>
  <c r="E75"/>
  <c r="D75"/>
  <c r="A75"/>
  <c r="E74"/>
  <c r="D74"/>
  <c r="A74"/>
  <c r="E73"/>
  <c r="D73"/>
  <c r="A73"/>
  <c r="E72"/>
  <c r="D72"/>
  <c r="A72"/>
  <c r="E71"/>
  <c r="D71"/>
  <c r="A71"/>
  <c r="E70"/>
  <c r="D70"/>
  <c r="A70"/>
  <c r="E69"/>
  <c r="D69"/>
  <c r="A69"/>
  <c r="E68"/>
  <c r="D68"/>
  <c r="A68"/>
  <c r="E67"/>
  <c r="D67"/>
  <c r="A67"/>
  <c r="E66"/>
  <c r="D66"/>
  <c r="A66"/>
  <c r="E65"/>
  <c r="D65"/>
  <c r="A65"/>
  <c r="E64"/>
  <c r="D64"/>
  <c r="A64"/>
  <c r="E63"/>
  <c r="D63"/>
  <c r="A63"/>
  <c r="E62"/>
  <c r="D62"/>
  <c r="A62"/>
  <c r="E61"/>
  <c r="D61"/>
  <c r="A61"/>
  <c r="E60"/>
  <c r="D60"/>
  <c r="A60"/>
  <c r="E59"/>
  <c r="D59"/>
  <c r="A59"/>
  <c r="E58"/>
  <c r="D58"/>
  <c r="A58"/>
  <c r="E57"/>
  <c r="D57"/>
  <c r="A57"/>
  <c r="E56"/>
  <c r="D56"/>
  <c r="A56"/>
  <c r="E55"/>
  <c r="D55"/>
  <c r="A55"/>
  <c r="E54"/>
  <c r="D54"/>
  <c r="A54"/>
  <c r="E53"/>
  <c r="D53"/>
  <c r="A53"/>
  <c r="E52"/>
  <c r="D52"/>
  <c r="A52"/>
  <c r="E51"/>
  <c r="D51"/>
  <c r="A51"/>
  <c r="E50"/>
  <c r="D50"/>
  <c r="A50"/>
  <c r="D49"/>
  <c r="B49"/>
  <c r="A49" s="1"/>
  <c r="E48"/>
  <c r="D48"/>
  <c r="A48"/>
  <c r="E47"/>
  <c r="D47"/>
  <c r="A47"/>
  <c r="E78" i="23"/>
  <c r="D78"/>
  <c r="A78"/>
  <c r="E77"/>
  <c r="D77"/>
  <c r="A77"/>
  <c r="E76"/>
  <c r="D76"/>
  <c r="A76"/>
  <c r="E75"/>
  <c r="D75"/>
  <c r="A75"/>
  <c r="E74"/>
  <c r="D74"/>
  <c r="A74"/>
  <c r="E73"/>
  <c r="D73"/>
  <c r="A73"/>
  <c r="E72"/>
  <c r="D72"/>
  <c r="A72"/>
  <c r="E71"/>
  <c r="D71"/>
  <c r="A71"/>
  <c r="E70"/>
  <c r="D70"/>
  <c r="A70"/>
  <c r="E69"/>
  <c r="D69"/>
  <c r="A69"/>
  <c r="E68"/>
  <c r="D68"/>
  <c r="A68"/>
  <c r="E67"/>
  <c r="D67"/>
  <c r="A67"/>
  <c r="E66"/>
  <c r="D66"/>
  <c r="A66"/>
  <c r="E65"/>
  <c r="D65"/>
  <c r="A65"/>
  <c r="E64"/>
  <c r="D64"/>
  <c r="A64"/>
  <c r="E63"/>
  <c r="D63"/>
  <c r="A63"/>
  <c r="E62"/>
  <c r="D62"/>
  <c r="A62"/>
  <c r="E61"/>
  <c r="D61"/>
  <c r="A61"/>
  <c r="E60"/>
  <c r="D60"/>
  <c r="A60"/>
  <c r="E59"/>
  <c r="D59"/>
  <c r="A59"/>
  <c r="E58"/>
  <c r="D58"/>
  <c r="A58"/>
  <c r="E57"/>
  <c r="D57"/>
  <c r="A57"/>
  <c r="E56"/>
  <c r="D56"/>
  <c r="A56"/>
  <c r="E55"/>
  <c r="D55"/>
  <c r="A55"/>
  <c r="E54"/>
  <c r="D54"/>
  <c r="A54"/>
  <c r="E53"/>
  <c r="D53"/>
  <c r="A53"/>
  <c r="E52"/>
  <c r="D52"/>
  <c r="A52"/>
  <c r="E51"/>
  <c r="D51"/>
  <c r="A51"/>
  <c r="E50"/>
  <c r="D50"/>
  <c r="A50"/>
  <c r="D49"/>
  <c r="B49"/>
  <c r="A49" s="1"/>
  <c r="E48"/>
  <c r="D48"/>
  <c r="A48"/>
  <c r="E47"/>
  <c r="D47"/>
  <c r="A47"/>
  <c r="E78" i="22"/>
  <c r="D78"/>
  <c r="A78"/>
  <c r="E77"/>
  <c r="D77"/>
  <c r="A77"/>
  <c r="E76"/>
  <c r="D76"/>
  <c r="A76"/>
  <c r="E75"/>
  <c r="D75"/>
  <c r="A75"/>
  <c r="E74"/>
  <c r="D74"/>
  <c r="A74"/>
  <c r="E73"/>
  <c r="D73"/>
  <c r="A73"/>
  <c r="E72"/>
  <c r="D72"/>
  <c r="A72"/>
  <c r="E71"/>
  <c r="D71"/>
  <c r="A71"/>
  <c r="E70"/>
  <c r="D70"/>
  <c r="A70"/>
  <c r="E69"/>
  <c r="D69"/>
  <c r="A69"/>
  <c r="E68"/>
  <c r="D68"/>
  <c r="A68"/>
  <c r="E67"/>
  <c r="D67"/>
  <c r="A67"/>
  <c r="E66"/>
  <c r="D66"/>
  <c r="A66"/>
  <c r="E65"/>
  <c r="D65"/>
  <c r="A65"/>
  <c r="E64"/>
  <c r="D64"/>
  <c r="A64"/>
  <c r="E63"/>
  <c r="D63"/>
  <c r="A63"/>
  <c r="E62"/>
  <c r="D62"/>
  <c r="A62"/>
  <c r="E61"/>
  <c r="D61"/>
  <c r="A61"/>
  <c r="E60"/>
  <c r="D60"/>
  <c r="A60"/>
  <c r="E59"/>
  <c r="D59"/>
  <c r="A59"/>
  <c r="E58"/>
  <c r="D58"/>
  <c r="A58"/>
  <c r="E57"/>
  <c r="D57"/>
  <c r="A57"/>
  <c r="E56"/>
  <c r="D56"/>
  <c r="A56"/>
  <c r="E55"/>
  <c r="D55"/>
  <c r="A55"/>
  <c r="E54"/>
  <c r="D54"/>
  <c r="A54"/>
  <c r="E53"/>
  <c r="D53"/>
  <c r="A53"/>
  <c r="E52"/>
  <c r="D52"/>
  <c r="A52"/>
  <c r="E51"/>
  <c r="D51"/>
  <c r="A51"/>
  <c r="E50"/>
  <c r="D50"/>
  <c r="A50"/>
  <c r="D49"/>
  <c r="B49"/>
  <c r="A49" s="1"/>
  <c r="E48"/>
  <c r="D48"/>
  <c r="A48"/>
  <c r="E47"/>
  <c r="D47"/>
  <c r="A47"/>
  <c r="E78" i="38"/>
  <c r="D78"/>
  <c r="A78"/>
  <c r="E77"/>
  <c r="D77"/>
  <c r="A77"/>
  <c r="E76"/>
  <c r="D76"/>
  <c r="A76"/>
  <c r="E75"/>
  <c r="D75"/>
  <c r="A75"/>
  <c r="E74"/>
  <c r="D74"/>
  <c r="A74"/>
  <c r="E73"/>
  <c r="D73"/>
  <c r="A73"/>
  <c r="E72"/>
  <c r="D72"/>
  <c r="A72"/>
  <c r="E71"/>
  <c r="D71"/>
  <c r="A71"/>
  <c r="E70"/>
  <c r="D70"/>
  <c r="A70"/>
  <c r="E69"/>
  <c r="D69"/>
  <c r="A69"/>
  <c r="E68"/>
  <c r="D68"/>
  <c r="A68"/>
  <c r="E67"/>
  <c r="D67"/>
  <c r="A67"/>
  <c r="E66"/>
  <c r="D66"/>
  <c r="A66"/>
  <c r="E65"/>
  <c r="D65"/>
  <c r="A65"/>
  <c r="E64"/>
  <c r="D64"/>
  <c r="A64"/>
  <c r="E63"/>
  <c r="D63"/>
  <c r="A63"/>
  <c r="E62"/>
  <c r="D62"/>
  <c r="A62"/>
  <c r="E61"/>
  <c r="D61"/>
  <c r="A61"/>
  <c r="E60"/>
  <c r="D60"/>
  <c r="A60"/>
  <c r="E59"/>
  <c r="D59"/>
  <c r="A59"/>
  <c r="E58"/>
  <c r="D58"/>
  <c r="A58"/>
  <c r="E57"/>
  <c r="D57"/>
  <c r="A57"/>
  <c r="E56"/>
  <c r="D56"/>
  <c r="A56"/>
  <c r="E55"/>
  <c r="D55"/>
  <c r="A55"/>
  <c r="E54"/>
  <c r="D54"/>
  <c r="A54"/>
  <c r="E53"/>
  <c r="D53"/>
  <c r="A53"/>
  <c r="E52"/>
  <c r="D52"/>
  <c r="A52"/>
  <c r="E51"/>
  <c r="D51"/>
  <c r="A51"/>
  <c r="E50"/>
  <c r="D50"/>
  <c r="A50"/>
  <c r="D49"/>
  <c r="B49"/>
  <c r="A49" s="1"/>
  <c r="E48"/>
  <c r="D48"/>
  <c r="A48"/>
  <c r="E47"/>
  <c r="D47"/>
  <c r="A47"/>
  <c r="E78" i="15"/>
  <c r="D78"/>
  <c r="A78"/>
  <c r="E77"/>
  <c r="D77"/>
  <c r="A77"/>
  <c r="E76"/>
  <c r="D76"/>
  <c r="A76"/>
  <c r="E75"/>
  <c r="D75"/>
  <c r="A75"/>
  <c r="E74"/>
  <c r="D74"/>
  <c r="A74"/>
  <c r="E73"/>
  <c r="D73"/>
  <c r="A73"/>
  <c r="E72"/>
  <c r="D72"/>
  <c r="A72"/>
  <c r="E71"/>
  <c r="D71"/>
  <c r="A71"/>
  <c r="E70"/>
  <c r="D70"/>
  <c r="A70"/>
  <c r="E69"/>
  <c r="D69"/>
  <c r="A69"/>
  <c r="E68"/>
  <c r="D68"/>
  <c r="A68"/>
  <c r="E67"/>
  <c r="D67"/>
  <c r="A67"/>
  <c r="E66"/>
  <c r="D66"/>
  <c r="A66"/>
  <c r="E65"/>
  <c r="D65"/>
  <c r="A65"/>
  <c r="E64"/>
  <c r="D64"/>
  <c r="A64"/>
  <c r="E63"/>
  <c r="D63"/>
  <c r="A63"/>
  <c r="E62"/>
  <c r="D62"/>
  <c r="A62"/>
  <c r="E61"/>
  <c r="D61"/>
  <c r="A61"/>
  <c r="E60"/>
  <c r="D60"/>
  <c r="A60"/>
  <c r="E59"/>
  <c r="D59"/>
  <c r="A59"/>
  <c r="E58"/>
  <c r="D58"/>
  <c r="A58"/>
  <c r="E57"/>
  <c r="D57"/>
  <c r="A57"/>
  <c r="E56"/>
  <c r="D56"/>
  <c r="A56"/>
  <c r="E55"/>
  <c r="D55"/>
  <c r="A55"/>
  <c r="E54"/>
  <c r="D54"/>
  <c r="A54"/>
  <c r="E53"/>
  <c r="D53"/>
  <c r="A53"/>
  <c r="E52"/>
  <c r="D52"/>
  <c r="A52"/>
  <c r="E51"/>
  <c r="D51"/>
  <c r="A51"/>
  <c r="E50"/>
  <c r="D50"/>
  <c r="A50"/>
  <c r="E49"/>
  <c r="D49"/>
  <c r="B49"/>
  <c r="A49"/>
  <c r="E48"/>
  <c r="D48"/>
  <c r="A48"/>
  <c r="E47"/>
  <c r="D47"/>
  <c r="A47"/>
  <c r="E78" i="2"/>
  <c r="A78"/>
  <c r="E77"/>
  <c r="A77"/>
  <c r="E76"/>
  <c r="A76"/>
  <c r="E75"/>
  <c r="A75"/>
  <c r="E74"/>
  <c r="A74"/>
  <c r="E73"/>
  <c r="A73"/>
  <c r="E72"/>
  <c r="A72"/>
  <c r="I71"/>
  <c r="L71" s="1"/>
  <c r="O71" s="1"/>
  <c r="G71"/>
  <c r="J71" s="1"/>
  <c r="M71" s="1"/>
  <c r="F71"/>
  <c r="E71"/>
  <c r="H71" s="1"/>
  <c r="K71" s="1"/>
  <c r="N71" s="1"/>
  <c r="A71"/>
  <c r="G70"/>
  <c r="J70" s="1"/>
  <c r="M70" s="1"/>
  <c r="F70"/>
  <c r="I70" s="1"/>
  <c r="L70" s="1"/>
  <c r="O70" s="1"/>
  <c r="E70"/>
  <c r="H70" s="1"/>
  <c r="K70" s="1"/>
  <c r="N70" s="1"/>
  <c r="A70"/>
  <c r="E69"/>
  <c r="A69"/>
  <c r="E68"/>
  <c r="A68"/>
  <c r="E67"/>
  <c r="A67"/>
  <c r="E66"/>
  <c r="A66"/>
  <c r="E65"/>
  <c r="A65"/>
  <c r="E64"/>
  <c r="A64"/>
  <c r="E63"/>
  <c r="A63"/>
  <c r="H62"/>
  <c r="K62" s="1"/>
  <c r="N62" s="1"/>
  <c r="G62"/>
  <c r="J62" s="1"/>
  <c r="M62" s="1"/>
  <c r="F62"/>
  <c r="I62" s="1"/>
  <c r="L62" s="1"/>
  <c r="O62" s="1"/>
  <c r="E62"/>
  <c r="A62"/>
  <c r="E61"/>
  <c r="A61"/>
  <c r="E60"/>
  <c r="A60"/>
  <c r="E59"/>
  <c r="A59"/>
  <c r="E58"/>
  <c r="A58"/>
  <c r="E57"/>
  <c r="A57"/>
  <c r="E56"/>
  <c r="A56"/>
  <c r="E55"/>
  <c r="A55"/>
  <c r="E54"/>
  <c r="A54"/>
  <c r="G53"/>
  <c r="J53" s="1"/>
  <c r="M53" s="1"/>
  <c r="F53"/>
  <c r="I53" s="1"/>
  <c r="L53" s="1"/>
  <c r="O53" s="1"/>
  <c r="E53"/>
  <c r="H53" s="1"/>
  <c r="K53" s="1"/>
  <c r="N53" s="1"/>
  <c r="A53"/>
  <c r="E52"/>
  <c r="A52"/>
  <c r="E51"/>
  <c r="E50"/>
  <c r="A50"/>
  <c r="B49"/>
  <c r="A49" s="1"/>
  <c r="E48"/>
  <c r="A48"/>
  <c r="E47"/>
  <c r="A47"/>
  <c r="E78" i="3"/>
  <c r="D78"/>
  <c r="A78"/>
  <c r="E77"/>
  <c r="D77"/>
  <c r="A77"/>
  <c r="E76"/>
  <c r="D76"/>
  <c r="A76"/>
  <c r="E75"/>
  <c r="D75"/>
  <c r="A75"/>
  <c r="E74"/>
  <c r="D74"/>
  <c r="A74"/>
  <c r="E73"/>
  <c r="D73"/>
  <c r="A73"/>
  <c r="E72"/>
  <c r="D72"/>
  <c r="A72"/>
  <c r="E71"/>
  <c r="D71"/>
  <c r="A71"/>
  <c r="E70"/>
  <c r="D70"/>
  <c r="A70"/>
  <c r="E69"/>
  <c r="D69"/>
  <c r="A69"/>
  <c r="E68"/>
  <c r="D68"/>
  <c r="A68"/>
  <c r="E67"/>
  <c r="D67"/>
  <c r="A67"/>
  <c r="E66"/>
  <c r="D66"/>
  <c r="A66"/>
  <c r="E65"/>
  <c r="D65"/>
  <c r="A65"/>
  <c r="E64"/>
  <c r="D64"/>
  <c r="A64"/>
  <c r="E63"/>
  <c r="D63"/>
  <c r="A63"/>
  <c r="E62"/>
  <c r="D62"/>
  <c r="A62"/>
  <c r="E61"/>
  <c r="D61"/>
  <c r="A61"/>
  <c r="E60"/>
  <c r="D60"/>
  <c r="A60"/>
  <c r="E59"/>
  <c r="D59"/>
  <c r="A59"/>
  <c r="E58"/>
  <c r="D58"/>
  <c r="A58"/>
  <c r="E57"/>
  <c r="D57"/>
  <c r="A57"/>
  <c r="E56"/>
  <c r="D56"/>
  <c r="A56"/>
  <c r="E55"/>
  <c r="D55"/>
  <c r="A55"/>
  <c r="E54"/>
  <c r="D54"/>
  <c r="A54"/>
  <c r="E53"/>
  <c r="D53"/>
  <c r="A53"/>
  <c r="E52"/>
  <c r="D52"/>
  <c r="A52"/>
  <c r="E51"/>
  <c r="D51"/>
  <c r="A51"/>
  <c r="E50"/>
  <c r="D50"/>
  <c r="A50"/>
  <c r="E49"/>
  <c r="B49"/>
  <c r="A49" s="1"/>
  <c r="E48"/>
  <c r="D48"/>
  <c r="A48"/>
  <c r="E47"/>
  <c r="D47"/>
  <c r="A47"/>
  <c r="E149" i="37"/>
  <c r="E148"/>
  <c r="F65" i="49"/>
  <c r="F66"/>
  <c r="B15"/>
  <c r="J15" s="1"/>
  <c r="B16"/>
  <c r="J16" s="1"/>
  <c r="B17"/>
  <c r="H17" s="1"/>
  <c r="B18"/>
  <c r="H18" s="1"/>
  <c r="B19"/>
  <c r="J19" s="1"/>
  <c r="B20"/>
  <c r="G20" s="1"/>
  <c r="B21"/>
  <c r="J21" s="1"/>
  <c r="B22"/>
  <c r="J22" s="1"/>
  <c r="B23"/>
  <c r="J23" s="1"/>
  <c r="B24"/>
  <c r="J24" s="1"/>
  <c r="B25"/>
  <c r="H25" s="1"/>
  <c r="B26"/>
  <c r="J26" s="1"/>
  <c r="B27"/>
  <c r="J27" s="1"/>
  <c r="B28"/>
  <c r="G28" s="1"/>
  <c r="B29"/>
  <c r="J29" s="1"/>
  <c r="B30"/>
  <c r="J30" s="1"/>
  <c r="B31"/>
  <c r="J31" s="1"/>
  <c r="B32"/>
  <c r="J32" s="1"/>
  <c r="B33"/>
  <c r="H33" s="1"/>
  <c r="B34"/>
  <c r="J34" s="1"/>
  <c r="B35"/>
  <c r="J35" s="1"/>
  <c r="B36"/>
  <c r="G36" s="1"/>
  <c r="B37"/>
  <c r="J37" s="1"/>
  <c r="B38"/>
  <c r="J38" s="1"/>
  <c r="B39"/>
  <c r="J39" s="1"/>
  <c r="B40"/>
  <c r="J40" s="1"/>
  <c r="B41"/>
  <c r="H41" s="1"/>
  <c r="B42"/>
  <c r="J42" s="1"/>
  <c r="B43"/>
  <c r="J43" s="1"/>
  <c r="B44"/>
  <c r="G44" s="1"/>
  <c r="B45"/>
  <c r="J45" s="1"/>
  <c r="B46"/>
  <c r="J46" s="1"/>
  <c r="B47"/>
  <c r="J47" s="1"/>
  <c r="B48"/>
  <c r="J48" s="1"/>
  <c r="B49"/>
  <c r="H49" s="1"/>
  <c r="B50"/>
  <c r="H50" s="1"/>
  <c r="B51"/>
  <c r="J51" s="1"/>
  <c r="B52"/>
  <c r="G52" s="1"/>
  <c r="B53"/>
  <c r="J53" s="1"/>
  <c r="B54"/>
  <c r="J54" s="1"/>
  <c r="B55"/>
  <c r="H55" s="1"/>
  <c r="B56"/>
  <c r="J56" s="1"/>
  <c r="B57"/>
  <c r="H57" s="1"/>
  <c r="B58"/>
  <c r="H58" s="1"/>
  <c r="B14"/>
  <c r="G14" s="1"/>
  <c r="C2" i="48"/>
  <c r="D2"/>
  <c r="E2"/>
  <c r="F2"/>
  <c r="G2"/>
  <c r="H2"/>
  <c r="I2"/>
  <c r="J2"/>
  <c r="B2"/>
  <c r="G12" i="49"/>
  <c r="H12" s="1"/>
  <c r="J12" s="1"/>
  <c r="T12" s="1"/>
  <c r="E55"/>
  <c r="D55" s="1"/>
  <c r="D59"/>
  <c r="A58"/>
  <c r="A57"/>
  <c r="A56"/>
  <c r="A55"/>
  <c r="W13"/>
  <c r="V13"/>
  <c r="U13"/>
  <c r="T13"/>
  <c r="C1"/>
  <c r="C61" i="37"/>
  <c r="C62"/>
  <c r="C64"/>
  <c r="C65"/>
  <c r="C61" i="47"/>
  <c r="C62"/>
  <c r="C64"/>
  <c r="C65"/>
  <c r="C62" i="46"/>
  <c r="C64"/>
  <c r="E94"/>
  <c r="E93"/>
  <c r="E90"/>
  <c r="E89"/>
  <c r="E145" i="37"/>
  <c r="E115" i="47"/>
  <c r="E112"/>
  <c r="N16" i="50" l="1"/>
  <c r="J31" i="52"/>
  <c r="H14"/>
  <c r="H18"/>
  <c r="G31"/>
  <c r="J52"/>
  <c r="G23"/>
  <c r="G17"/>
  <c r="G34"/>
  <c r="H46"/>
  <c r="H50"/>
  <c r="H28"/>
  <c r="H34"/>
  <c r="J44"/>
  <c r="H52"/>
  <c r="H30"/>
  <c r="H33"/>
  <c r="H44"/>
  <c r="G30"/>
  <c r="G33"/>
  <c r="J47"/>
  <c r="G14"/>
  <c r="H17"/>
  <c r="G19"/>
  <c r="J15"/>
  <c r="J26"/>
  <c r="J20"/>
  <c r="J23"/>
  <c r="H26"/>
  <c r="H38"/>
  <c r="H41"/>
  <c r="G47"/>
  <c r="G50"/>
  <c r="J41"/>
  <c r="H20"/>
  <c r="G38"/>
  <c r="G43"/>
  <c r="J42"/>
  <c r="H22"/>
  <c r="H25"/>
  <c r="J36"/>
  <c r="J39"/>
  <c r="H42"/>
  <c r="J25"/>
  <c r="G22"/>
  <c r="G27"/>
  <c r="H36"/>
  <c r="G51"/>
  <c r="J55"/>
  <c r="G55"/>
  <c r="H55"/>
  <c r="G57"/>
  <c r="H57"/>
  <c r="J57"/>
  <c r="J58"/>
  <c r="J37"/>
  <c r="J53"/>
  <c r="G15" i="49"/>
  <c r="D15" i="52"/>
  <c r="J16"/>
  <c r="H21"/>
  <c r="J24"/>
  <c r="H29"/>
  <c r="J32"/>
  <c r="H37"/>
  <c r="J40"/>
  <c r="H45"/>
  <c r="J48"/>
  <c r="H53"/>
  <c r="G58"/>
  <c r="J21"/>
  <c r="H16"/>
  <c r="J19"/>
  <c r="H24"/>
  <c r="J27"/>
  <c r="G29"/>
  <c r="H32"/>
  <c r="J35"/>
  <c r="H40"/>
  <c r="J43"/>
  <c r="G45"/>
  <c r="H48"/>
  <c r="J51"/>
  <c r="N51" i="51"/>
  <c r="O20"/>
  <c r="O28"/>
  <c r="O36"/>
  <c r="O44"/>
  <c r="O52"/>
  <c r="O18"/>
  <c r="O26"/>
  <c r="O34"/>
  <c r="M56"/>
  <c r="G59"/>
  <c r="O13"/>
  <c r="O21"/>
  <c r="O29"/>
  <c r="O37"/>
  <c r="O45"/>
  <c r="O53"/>
  <c r="O17"/>
  <c r="O42"/>
  <c r="O50"/>
  <c r="O55"/>
  <c r="O57"/>
  <c r="O15"/>
  <c r="O23"/>
  <c r="O31"/>
  <c r="O39"/>
  <c r="O47"/>
  <c r="O25"/>
  <c r="O33"/>
  <c r="O41"/>
  <c r="O14"/>
  <c r="O22"/>
  <c r="O30"/>
  <c r="O38"/>
  <c r="O46"/>
  <c r="O54"/>
  <c r="O56"/>
  <c r="O49"/>
  <c r="H59"/>
  <c r="O19"/>
  <c r="O27"/>
  <c r="O35"/>
  <c r="O43"/>
  <c r="O51"/>
  <c r="L57"/>
  <c r="O16"/>
  <c r="O24"/>
  <c r="O32"/>
  <c r="O40"/>
  <c r="O48"/>
  <c r="N14"/>
  <c r="N16"/>
  <c r="N18"/>
  <c r="N20"/>
  <c r="N22"/>
  <c r="N24"/>
  <c r="N33"/>
  <c r="N35"/>
  <c r="N37"/>
  <c r="N39"/>
  <c r="N41"/>
  <c r="N43"/>
  <c r="N45"/>
  <c r="N47"/>
  <c r="N57"/>
  <c r="M13"/>
  <c r="M17"/>
  <c r="M24"/>
  <c r="M28"/>
  <c r="M34"/>
  <c r="M35"/>
  <c r="M36"/>
  <c r="M39"/>
  <c r="M40"/>
  <c r="M41"/>
  <c r="M50"/>
  <c r="M51"/>
  <c r="M52"/>
  <c r="M55"/>
  <c r="L17"/>
  <c r="L19"/>
  <c r="L22"/>
  <c r="L30"/>
  <c r="L37"/>
  <c r="L40"/>
  <c r="L42"/>
  <c r="L46"/>
  <c r="L49"/>
  <c r="L51"/>
  <c r="L53"/>
  <c r="L54"/>
  <c r="L55"/>
  <c r="K13"/>
  <c r="K14"/>
  <c r="K15"/>
  <c r="K17"/>
  <c r="K19"/>
  <c r="K21"/>
  <c r="K23"/>
  <c r="K25"/>
  <c r="K27"/>
  <c r="K29"/>
  <c r="K31"/>
  <c r="K33"/>
  <c r="K35"/>
  <c r="K37"/>
  <c r="K40"/>
  <c r="K41"/>
  <c r="K44"/>
  <c r="K46"/>
  <c r="K48"/>
  <c r="K51"/>
  <c r="J17" i="49"/>
  <c r="J13" i="51"/>
  <c r="R13"/>
  <c r="J14"/>
  <c r="R14"/>
  <c r="J15"/>
  <c r="R15"/>
  <c r="J16"/>
  <c r="R16"/>
  <c r="J17"/>
  <c r="R17"/>
  <c r="J18"/>
  <c r="R18"/>
  <c r="J19"/>
  <c r="R19"/>
  <c r="J20"/>
  <c r="R20"/>
  <c r="J21"/>
  <c r="R21"/>
  <c r="J22"/>
  <c r="R22"/>
  <c r="J23"/>
  <c r="R23"/>
  <c r="J24"/>
  <c r="R24"/>
  <c r="J25"/>
  <c r="R25"/>
  <c r="J26"/>
  <c r="R26"/>
  <c r="J27"/>
  <c r="R27"/>
  <c r="J28"/>
  <c r="R28"/>
  <c r="J29"/>
  <c r="R29"/>
  <c r="J30"/>
  <c r="R30"/>
  <c r="J31"/>
  <c r="R31"/>
  <c r="J32"/>
  <c r="R32"/>
  <c r="J33"/>
  <c r="R33"/>
  <c r="J34"/>
  <c r="R34"/>
  <c r="J35"/>
  <c r="R35"/>
  <c r="J36"/>
  <c r="R36"/>
  <c r="J37"/>
  <c r="R37"/>
  <c r="J38"/>
  <c r="R38"/>
  <c r="J39"/>
  <c r="R39"/>
  <c r="J40"/>
  <c r="R40"/>
  <c r="J41"/>
  <c r="R41"/>
  <c r="J42"/>
  <c r="R42"/>
  <c r="J43"/>
  <c r="R43"/>
  <c r="J44"/>
  <c r="R44"/>
  <c r="J45"/>
  <c r="R45"/>
  <c r="J46"/>
  <c r="R46"/>
  <c r="J47"/>
  <c r="R47"/>
  <c r="J48"/>
  <c r="R48"/>
  <c r="J49"/>
  <c r="R49"/>
  <c r="J50"/>
  <c r="R50"/>
  <c r="J51"/>
  <c r="R51"/>
  <c r="J52"/>
  <c r="R52"/>
  <c r="J53"/>
  <c r="R53"/>
  <c r="J54"/>
  <c r="R54"/>
  <c r="J55"/>
  <c r="R55"/>
  <c r="J56"/>
  <c r="R56"/>
  <c r="J57"/>
  <c r="R57"/>
  <c r="N17"/>
  <c r="N19"/>
  <c r="N21"/>
  <c r="N23"/>
  <c r="N25"/>
  <c r="N27"/>
  <c r="N29"/>
  <c r="N31"/>
  <c r="N49"/>
  <c r="N50"/>
  <c r="N53"/>
  <c r="N54"/>
  <c r="N55"/>
  <c r="N56"/>
  <c r="M21"/>
  <c r="M38"/>
  <c r="M42"/>
  <c r="M43"/>
  <c r="M46"/>
  <c r="M47"/>
  <c r="M48"/>
  <c r="M54"/>
  <c r="L16"/>
  <c r="L18"/>
  <c r="L24"/>
  <c r="L26"/>
  <c r="L28"/>
  <c r="L32"/>
  <c r="L34"/>
  <c r="L36"/>
  <c r="L39"/>
  <c r="L44"/>
  <c r="L48"/>
  <c r="L50"/>
  <c r="L56"/>
  <c r="K16"/>
  <c r="K18"/>
  <c r="K20"/>
  <c r="K22"/>
  <c r="K24"/>
  <c r="K26"/>
  <c r="K28"/>
  <c r="K30"/>
  <c r="K32"/>
  <c r="K34"/>
  <c r="K36"/>
  <c r="K38"/>
  <c r="K39"/>
  <c r="K42"/>
  <c r="K43"/>
  <c r="K45"/>
  <c r="K47"/>
  <c r="K49"/>
  <c r="K50"/>
  <c r="K52"/>
  <c r="K53"/>
  <c r="K54"/>
  <c r="K55"/>
  <c r="K56"/>
  <c r="K57"/>
  <c r="I13"/>
  <c r="Q13"/>
  <c r="I14"/>
  <c r="Q14"/>
  <c r="I15"/>
  <c r="Q15"/>
  <c r="I16"/>
  <c r="Q16"/>
  <c r="I17"/>
  <c r="Q17"/>
  <c r="I18"/>
  <c r="Q18"/>
  <c r="I19"/>
  <c r="Q19"/>
  <c r="I20"/>
  <c r="Q20"/>
  <c r="I21"/>
  <c r="Q21"/>
  <c r="I22"/>
  <c r="Q22"/>
  <c r="I23"/>
  <c r="Q23"/>
  <c r="I24"/>
  <c r="Q24"/>
  <c r="I25"/>
  <c r="Q25"/>
  <c r="I26"/>
  <c r="Q26"/>
  <c r="I27"/>
  <c r="Q27"/>
  <c r="I28"/>
  <c r="Q28"/>
  <c r="I29"/>
  <c r="Q29"/>
  <c r="I30"/>
  <c r="Q30"/>
  <c r="I31"/>
  <c r="Q31"/>
  <c r="I32"/>
  <c r="Q32"/>
  <c r="I33"/>
  <c r="Q33"/>
  <c r="I34"/>
  <c r="Q34"/>
  <c r="I35"/>
  <c r="Q35"/>
  <c r="I36"/>
  <c r="Q36"/>
  <c r="I37"/>
  <c r="Q37"/>
  <c r="I38"/>
  <c r="Q38"/>
  <c r="I39"/>
  <c r="Q39"/>
  <c r="I40"/>
  <c r="Q40"/>
  <c r="I41"/>
  <c r="Q41"/>
  <c r="I42"/>
  <c r="Q42"/>
  <c r="I43"/>
  <c r="Q43"/>
  <c r="I44"/>
  <c r="Q44"/>
  <c r="I45"/>
  <c r="Q45"/>
  <c r="I46"/>
  <c r="Q46"/>
  <c r="I47"/>
  <c r="Q47"/>
  <c r="I48"/>
  <c r="Q48"/>
  <c r="I49"/>
  <c r="Q49"/>
  <c r="I50"/>
  <c r="Q50"/>
  <c r="I51"/>
  <c r="Q51"/>
  <c r="I52"/>
  <c r="Q52"/>
  <c r="I53"/>
  <c r="Q53"/>
  <c r="I54"/>
  <c r="Q54"/>
  <c r="I55"/>
  <c r="Q55"/>
  <c r="I56"/>
  <c r="Q56"/>
  <c r="I57"/>
  <c r="Q57"/>
  <c r="N13"/>
  <c r="N15"/>
  <c r="N26"/>
  <c r="N28"/>
  <c r="N48"/>
  <c r="N52"/>
  <c r="M14"/>
  <c r="M15"/>
  <c r="M16"/>
  <c r="M20"/>
  <c r="M25"/>
  <c r="M29"/>
  <c r="M57"/>
  <c r="L13"/>
  <c r="L15"/>
  <c r="L21"/>
  <c r="L23"/>
  <c r="L27"/>
  <c r="L29"/>
  <c r="L31"/>
  <c r="L33"/>
  <c r="L35"/>
  <c r="L38"/>
  <c r="L43"/>
  <c r="L45"/>
  <c r="L47"/>
  <c r="L5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N30"/>
  <c r="N32"/>
  <c r="N34"/>
  <c r="N36"/>
  <c r="N38"/>
  <c r="N40"/>
  <c r="N42"/>
  <c r="N44"/>
  <c r="N46"/>
  <c r="M18"/>
  <c r="M19"/>
  <c r="M22"/>
  <c r="M23"/>
  <c r="M26"/>
  <c r="M27"/>
  <c r="M30"/>
  <c r="M31"/>
  <c r="M32"/>
  <c r="M33"/>
  <c r="M37"/>
  <c r="M44"/>
  <c r="M45"/>
  <c r="M49"/>
  <c r="M53"/>
  <c r="L14"/>
  <c r="L20"/>
  <c r="L25"/>
  <c r="L41"/>
  <c r="J16" i="50"/>
  <c r="N25"/>
  <c r="N52"/>
  <c r="N44"/>
  <c r="N36"/>
  <c r="N28"/>
  <c r="L53"/>
  <c r="L45"/>
  <c r="L37"/>
  <c r="L29"/>
  <c r="L21"/>
  <c r="K22"/>
  <c r="I39"/>
  <c r="M49"/>
  <c r="M33"/>
  <c r="O32"/>
  <c r="P16"/>
  <c r="J58"/>
  <c r="J50"/>
  <c r="J42"/>
  <c r="J34"/>
  <c r="J26"/>
  <c r="K56"/>
  <c r="M25"/>
  <c r="Q15"/>
  <c r="O56"/>
  <c r="N29"/>
  <c r="K46"/>
  <c r="N49"/>
  <c r="J36"/>
  <c r="N45"/>
  <c r="I17"/>
  <c r="K16"/>
  <c r="N20"/>
  <c r="R32"/>
  <c r="J24"/>
  <c r="R48"/>
  <c r="O16"/>
  <c r="I15"/>
  <c r="O52"/>
  <c r="J40"/>
  <c r="K38"/>
  <c r="R52"/>
  <c r="K40"/>
  <c r="R28"/>
  <c r="L57"/>
  <c r="L49"/>
  <c r="L41"/>
  <c r="L33"/>
  <c r="L25"/>
  <c r="M53"/>
  <c r="O40"/>
  <c r="M29"/>
  <c r="O34"/>
  <c r="P35"/>
  <c r="P56"/>
  <c r="P25"/>
  <c r="R56"/>
  <c r="N53"/>
  <c r="P49"/>
  <c r="I47"/>
  <c r="O42"/>
  <c r="R36"/>
  <c r="J20"/>
  <c r="L17"/>
  <c r="K58"/>
  <c r="J56"/>
  <c r="J52"/>
  <c r="P48"/>
  <c r="M45"/>
  <c r="N41"/>
  <c r="N34"/>
  <c r="K32"/>
  <c r="O28"/>
  <c r="R24"/>
  <c r="N21"/>
  <c r="P17"/>
  <c r="P43"/>
  <c r="O58"/>
  <c r="I23"/>
  <c r="J54"/>
  <c r="J46"/>
  <c r="J38"/>
  <c r="J30"/>
  <c r="J22"/>
  <c r="L31"/>
  <c r="M57"/>
  <c r="P53"/>
  <c r="K50"/>
  <c r="J48"/>
  <c r="J44"/>
  <c r="P40"/>
  <c r="M37"/>
  <c r="N33"/>
  <c r="K30"/>
  <c r="N26"/>
  <c r="K24"/>
  <c r="O20"/>
  <c r="R16"/>
  <c r="N58"/>
  <c r="P41"/>
  <c r="P21"/>
  <c r="P51"/>
  <c r="P19"/>
  <c r="P45"/>
  <c r="K42"/>
  <c r="P32"/>
  <c r="N42"/>
  <c r="P29"/>
  <c r="P55"/>
  <c r="P47"/>
  <c r="P39"/>
  <c r="P31"/>
  <c r="P23"/>
  <c r="P15"/>
  <c r="N57"/>
  <c r="K54"/>
  <c r="N50"/>
  <c r="K48"/>
  <c r="O44"/>
  <c r="R40"/>
  <c r="N37"/>
  <c r="P33"/>
  <c r="I31"/>
  <c r="O26"/>
  <c r="O24"/>
  <c r="R20"/>
  <c r="M17"/>
  <c r="P27"/>
  <c r="O36"/>
  <c r="K26"/>
  <c r="P57"/>
  <c r="I55"/>
  <c r="O50"/>
  <c r="O48"/>
  <c r="R44"/>
  <c r="M41"/>
  <c r="P37"/>
  <c r="K34"/>
  <c r="J32"/>
  <c r="J28"/>
  <c r="P24"/>
  <c r="M21"/>
  <c r="N17"/>
  <c r="J14"/>
  <c r="Q39"/>
  <c r="Q35"/>
  <c r="I35"/>
  <c r="L58"/>
  <c r="R55"/>
  <c r="J55"/>
  <c r="L54"/>
  <c r="P52"/>
  <c r="R51"/>
  <c r="J51"/>
  <c r="L50"/>
  <c r="R47"/>
  <c r="J47"/>
  <c r="L46"/>
  <c r="P44"/>
  <c r="R43"/>
  <c r="J43"/>
  <c r="L42"/>
  <c r="R39"/>
  <c r="J39"/>
  <c r="L38"/>
  <c r="P36"/>
  <c r="R35"/>
  <c r="J35"/>
  <c r="L34"/>
  <c r="R31"/>
  <c r="J31"/>
  <c r="L30"/>
  <c r="P28"/>
  <c r="R27"/>
  <c r="J27"/>
  <c r="L26"/>
  <c r="R23"/>
  <c r="J23"/>
  <c r="L22"/>
  <c r="P20"/>
  <c r="R19"/>
  <c r="J19"/>
  <c r="R15"/>
  <c r="J15"/>
  <c r="M58"/>
  <c r="O57"/>
  <c r="Q56"/>
  <c r="I56"/>
  <c r="K55"/>
  <c r="M54"/>
  <c r="O53"/>
  <c r="Q52"/>
  <c r="I52"/>
  <c r="K51"/>
  <c r="M50"/>
  <c r="O49"/>
  <c r="Q48"/>
  <c r="I48"/>
  <c r="K47"/>
  <c r="M46"/>
  <c r="O45"/>
  <c r="Q44"/>
  <c r="I44"/>
  <c r="K43"/>
  <c r="M42"/>
  <c r="O41"/>
  <c r="Q40"/>
  <c r="I40"/>
  <c r="K39"/>
  <c r="M38"/>
  <c r="O37"/>
  <c r="Q36"/>
  <c r="I36"/>
  <c r="K35"/>
  <c r="M34"/>
  <c r="O33"/>
  <c r="Q32"/>
  <c r="I32"/>
  <c r="K31"/>
  <c r="M30"/>
  <c r="O29"/>
  <c r="Q28"/>
  <c r="I28"/>
  <c r="K27"/>
  <c r="M26"/>
  <c r="O25"/>
  <c r="Q24"/>
  <c r="I24"/>
  <c r="K23"/>
  <c r="M22"/>
  <c r="O21"/>
  <c r="Q20"/>
  <c r="I20"/>
  <c r="K19"/>
  <c r="O17"/>
  <c r="Q16"/>
  <c r="I16"/>
  <c r="K15"/>
  <c r="Q27"/>
  <c r="Q19"/>
  <c r="I19"/>
  <c r="N46"/>
  <c r="L39"/>
  <c r="L35"/>
  <c r="L23"/>
  <c r="N22"/>
  <c r="L19"/>
  <c r="L15"/>
  <c r="O54"/>
  <c r="Q53"/>
  <c r="K52"/>
  <c r="M51"/>
  <c r="Q45"/>
  <c r="Q41"/>
  <c r="I41"/>
  <c r="M39"/>
  <c r="O30"/>
  <c r="Q29"/>
  <c r="I29"/>
  <c r="K28"/>
  <c r="M27"/>
  <c r="Q25"/>
  <c r="M23"/>
  <c r="O22"/>
  <c r="Q21"/>
  <c r="I21"/>
  <c r="K20"/>
  <c r="M19"/>
  <c r="P58"/>
  <c r="R57"/>
  <c r="J57"/>
  <c r="L56"/>
  <c r="N55"/>
  <c r="P54"/>
  <c r="R53"/>
  <c r="J53"/>
  <c r="L52"/>
  <c r="N51"/>
  <c r="P50"/>
  <c r="R49"/>
  <c r="J49"/>
  <c r="L48"/>
  <c r="N47"/>
  <c r="P46"/>
  <c r="R45"/>
  <c r="J45"/>
  <c r="L44"/>
  <c r="N43"/>
  <c r="P42"/>
  <c r="R41"/>
  <c r="J41"/>
  <c r="L40"/>
  <c r="N39"/>
  <c r="P38"/>
  <c r="R37"/>
  <c r="J37"/>
  <c r="L36"/>
  <c r="N35"/>
  <c r="P34"/>
  <c r="R33"/>
  <c r="J33"/>
  <c r="L32"/>
  <c r="N31"/>
  <c r="P30"/>
  <c r="R29"/>
  <c r="J29"/>
  <c r="L28"/>
  <c r="N27"/>
  <c r="P26"/>
  <c r="R25"/>
  <c r="J25"/>
  <c r="L24"/>
  <c r="N23"/>
  <c r="P22"/>
  <c r="R21"/>
  <c r="J21"/>
  <c r="L20"/>
  <c r="N19"/>
  <c r="R17"/>
  <c r="J17"/>
  <c r="L16"/>
  <c r="N15"/>
  <c r="Q47"/>
  <c r="Q43"/>
  <c r="I43"/>
  <c r="Q23"/>
  <c r="N54"/>
  <c r="L51"/>
  <c r="L47"/>
  <c r="L43"/>
  <c r="N30"/>
  <c r="Q57"/>
  <c r="I57"/>
  <c r="M55"/>
  <c r="I53"/>
  <c r="Q49"/>
  <c r="I49"/>
  <c r="M47"/>
  <c r="O46"/>
  <c r="I45"/>
  <c r="K44"/>
  <c r="M43"/>
  <c r="O38"/>
  <c r="Q37"/>
  <c r="I37"/>
  <c r="K36"/>
  <c r="M35"/>
  <c r="Q33"/>
  <c r="I33"/>
  <c r="M31"/>
  <c r="I25"/>
  <c r="Q17"/>
  <c r="M15"/>
  <c r="Q58"/>
  <c r="I58"/>
  <c r="K57"/>
  <c r="M56"/>
  <c r="O55"/>
  <c r="Q54"/>
  <c r="I54"/>
  <c r="K53"/>
  <c r="M52"/>
  <c r="O51"/>
  <c r="Q50"/>
  <c r="I50"/>
  <c r="K49"/>
  <c r="M48"/>
  <c r="O47"/>
  <c r="Q46"/>
  <c r="I46"/>
  <c r="K45"/>
  <c r="M44"/>
  <c r="O43"/>
  <c r="Q42"/>
  <c r="I42"/>
  <c r="K41"/>
  <c r="M40"/>
  <c r="O39"/>
  <c r="Q38"/>
  <c r="I38"/>
  <c r="K37"/>
  <c r="M36"/>
  <c r="O35"/>
  <c r="Q34"/>
  <c r="I34"/>
  <c r="K33"/>
  <c r="M32"/>
  <c r="O31"/>
  <c r="Q30"/>
  <c r="I30"/>
  <c r="K29"/>
  <c r="M28"/>
  <c r="O27"/>
  <c r="Q26"/>
  <c r="I26"/>
  <c r="K25"/>
  <c r="M24"/>
  <c r="O23"/>
  <c r="Q22"/>
  <c r="I22"/>
  <c r="K21"/>
  <c r="M20"/>
  <c r="O19"/>
  <c r="I18"/>
  <c r="K17"/>
  <c r="M16"/>
  <c r="O15"/>
  <c r="Q55"/>
  <c r="Q51"/>
  <c r="I51"/>
  <c r="Q31"/>
  <c r="I27"/>
  <c r="L55"/>
  <c r="N38"/>
  <c r="L27"/>
  <c r="R58"/>
  <c r="R54"/>
  <c r="R50"/>
  <c r="R46"/>
  <c r="R42"/>
  <c r="R38"/>
  <c r="R34"/>
  <c r="R30"/>
  <c r="R26"/>
  <c r="R22"/>
  <c r="M14"/>
  <c r="N14"/>
  <c r="L14"/>
  <c r="O14"/>
  <c r="R14"/>
  <c r="P14"/>
  <c r="K14"/>
  <c r="I14"/>
  <c r="G60"/>
  <c r="H60"/>
  <c r="E49" i="24"/>
  <c r="E49" i="23"/>
  <c r="E49" i="22"/>
  <c r="E49" i="38"/>
  <c r="G51" i="3"/>
  <c r="E49" i="2"/>
  <c r="G62" i="3"/>
  <c r="G70"/>
  <c r="G53"/>
  <c r="G71"/>
  <c r="G68"/>
  <c r="D49"/>
  <c r="G18" i="49"/>
  <c r="H44"/>
  <c r="J44"/>
  <c r="G50"/>
  <c r="H15"/>
  <c r="H52"/>
  <c r="J57"/>
  <c r="J20"/>
  <c r="G58"/>
  <c r="G23"/>
  <c r="J52"/>
  <c r="J36"/>
  <c r="H21"/>
  <c r="G45"/>
  <c r="H37"/>
  <c r="G31"/>
  <c r="H23"/>
  <c r="H45"/>
  <c r="H31"/>
  <c r="G47"/>
  <c r="J25"/>
  <c r="J55"/>
  <c r="J49"/>
  <c r="G42"/>
  <c r="H36"/>
  <c r="J28"/>
  <c r="G21"/>
  <c r="G29"/>
  <c r="G37"/>
  <c r="H29"/>
  <c r="G53"/>
  <c r="G39"/>
  <c r="H53"/>
  <c r="H39"/>
  <c r="G55"/>
  <c r="H47"/>
  <c r="J33"/>
  <c r="G26"/>
  <c r="H20"/>
  <c r="J41"/>
  <c r="G34"/>
  <c r="H28"/>
  <c r="H42"/>
  <c r="H34"/>
  <c r="H26"/>
  <c r="J58"/>
  <c r="G56"/>
  <c r="J50"/>
  <c r="G48"/>
  <c r="G40"/>
  <c r="G32"/>
  <c r="G24"/>
  <c r="J18"/>
  <c r="G16"/>
  <c r="J14"/>
  <c r="H56"/>
  <c r="G51"/>
  <c r="H48"/>
  <c r="G43"/>
  <c r="H40"/>
  <c r="G35"/>
  <c r="H32"/>
  <c r="G27"/>
  <c r="H24"/>
  <c r="G19"/>
  <c r="H16"/>
  <c r="H14"/>
  <c r="G54"/>
  <c r="H51"/>
  <c r="G46"/>
  <c r="H43"/>
  <c r="G38"/>
  <c r="H35"/>
  <c r="G30"/>
  <c r="H27"/>
  <c r="G22"/>
  <c r="H19"/>
  <c r="G57"/>
  <c r="H54"/>
  <c r="G49"/>
  <c r="H46"/>
  <c r="G41"/>
  <c r="H38"/>
  <c r="G33"/>
  <c r="H30"/>
  <c r="G25"/>
  <c r="H22"/>
  <c r="G17"/>
  <c r="E58"/>
  <c r="D58" s="1"/>
  <c r="E57"/>
  <c r="D57" s="1"/>
  <c r="E56"/>
  <c r="D56" s="1"/>
  <c r="E111" i="47"/>
  <c r="R63"/>
  <c r="Q63"/>
  <c r="P63"/>
  <c r="O63"/>
  <c r="N63"/>
  <c r="M63"/>
  <c r="L63"/>
  <c r="K63"/>
  <c r="J63"/>
  <c r="I63"/>
  <c r="H63"/>
  <c r="G63"/>
  <c r="C58"/>
  <c r="H57"/>
  <c r="G57"/>
  <c r="D57"/>
  <c r="C57" s="1"/>
  <c r="B57"/>
  <c r="H56"/>
  <c r="G56"/>
  <c r="D56"/>
  <c r="C56" s="1"/>
  <c r="B56"/>
  <c r="H55"/>
  <c r="G55"/>
  <c r="D55"/>
  <c r="C55" s="1"/>
  <c r="B55"/>
  <c r="H54"/>
  <c r="G54"/>
  <c r="D54"/>
  <c r="C54" s="1"/>
  <c r="B54"/>
  <c r="H53"/>
  <c r="G53"/>
  <c r="D53"/>
  <c r="C53" s="1"/>
  <c r="B53"/>
  <c r="H52"/>
  <c r="G52"/>
  <c r="D52"/>
  <c r="C52" s="1"/>
  <c r="B52"/>
  <c r="H51"/>
  <c r="G51"/>
  <c r="D51"/>
  <c r="C51" s="1"/>
  <c r="B51"/>
  <c r="H50"/>
  <c r="G50"/>
  <c r="D50"/>
  <c r="C50" s="1"/>
  <c r="B50"/>
  <c r="H49"/>
  <c r="G49"/>
  <c r="D49"/>
  <c r="C49" s="1"/>
  <c r="B49"/>
  <c r="H48"/>
  <c r="G48"/>
  <c r="D48"/>
  <c r="C48" s="1"/>
  <c r="B48"/>
  <c r="H47"/>
  <c r="G47"/>
  <c r="D47"/>
  <c r="C47" s="1"/>
  <c r="B47"/>
  <c r="H46"/>
  <c r="G46"/>
  <c r="D46"/>
  <c r="C46" s="1"/>
  <c r="B46"/>
  <c r="H45"/>
  <c r="G45"/>
  <c r="D45"/>
  <c r="C45" s="1"/>
  <c r="B45"/>
  <c r="H44"/>
  <c r="G44"/>
  <c r="D44"/>
  <c r="C44" s="1"/>
  <c r="B44"/>
  <c r="H43"/>
  <c r="G43"/>
  <c r="D43"/>
  <c r="C43" s="1"/>
  <c r="B43"/>
  <c r="H42"/>
  <c r="G42"/>
  <c r="D42"/>
  <c r="C42" s="1"/>
  <c r="B42"/>
  <c r="H41"/>
  <c r="G41"/>
  <c r="D41"/>
  <c r="C41" s="1"/>
  <c r="B41"/>
  <c r="H40"/>
  <c r="G40"/>
  <c r="D40"/>
  <c r="C40" s="1"/>
  <c r="B40"/>
  <c r="H39"/>
  <c r="G39"/>
  <c r="D39"/>
  <c r="C39" s="1"/>
  <c r="B39"/>
  <c r="H38"/>
  <c r="G38"/>
  <c r="D38"/>
  <c r="C38" s="1"/>
  <c r="B38"/>
  <c r="H37"/>
  <c r="G37"/>
  <c r="D37"/>
  <c r="C37" s="1"/>
  <c r="B37"/>
  <c r="H36"/>
  <c r="G36"/>
  <c r="D36"/>
  <c r="C36" s="1"/>
  <c r="B36"/>
  <c r="H35"/>
  <c r="G35"/>
  <c r="D35"/>
  <c r="C35" s="1"/>
  <c r="B35"/>
  <c r="H34"/>
  <c r="G34"/>
  <c r="D34"/>
  <c r="C34" s="1"/>
  <c r="B34"/>
  <c r="H33"/>
  <c r="G33"/>
  <c r="D33"/>
  <c r="C33" s="1"/>
  <c r="B33"/>
  <c r="H32"/>
  <c r="G32"/>
  <c r="D32"/>
  <c r="C32" s="1"/>
  <c r="B32"/>
  <c r="H31"/>
  <c r="G31"/>
  <c r="D31"/>
  <c r="C31" s="1"/>
  <c r="B31"/>
  <c r="H30"/>
  <c r="G30"/>
  <c r="D30"/>
  <c r="C30" s="1"/>
  <c r="B30"/>
  <c r="H29"/>
  <c r="G29"/>
  <c r="D29"/>
  <c r="C29" s="1"/>
  <c r="B29"/>
  <c r="H28"/>
  <c r="G28"/>
  <c r="D28"/>
  <c r="C28" s="1"/>
  <c r="B28"/>
  <c r="H27"/>
  <c r="G27"/>
  <c r="D27"/>
  <c r="C27" s="1"/>
  <c r="B27"/>
  <c r="H26"/>
  <c r="G26"/>
  <c r="D26"/>
  <c r="C26" s="1"/>
  <c r="B26"/>
  <c r="H25"/>
  <c r="G25"/>
  <c r="D25"/>
  <c r="C25" s="1"/>
  <c r="B25"/>
  <c r="H24"/>
  <c r="G24"/>
  <c r="D24"/>
  <c r="C24" s="1"/>
  <c r="B24"/>
  <c r="H23"/>
  <c r="G23"/>
  <c r="B23"/>
  <c r="H22"/>
  <c r="G22"/>
  <c r="B22"/>
  <c r="H21"/>
  <c r="B21"/>
  <c r="H20"/>
  <c r="B20"/>
  <c r="H19"/>
  <c r="B19"/>
  <c r="H18"/>
  <c r="B18"/>
  <c r="H17"/>
  <c r="B17"/>
  <c r="H16"/>
  <c r="B16"/>
  <c r="H15"/>
  <c r="B15"/>
  <c r="H14"/>
  <c r="B14"/>
  <c r="H13"/>
  <c r="B13"/>
  <c r="R12"/>
  <c r="Q12"/>
  <c r="P12"/>
  <c r="O12"/>
  <c r="N12"/>
  <c r="M12"/>
  <c r="L12"/>
  <c r="K12"/>
  <c r="J12"/>
  <c r="I12"/>
  <c r="H12"/>
  <c r="G11"/>
  <c r="H11" s="1"/>
  <c r="I11" s="1"/>
  <c r="J11" s="1"/>
  <c r="K11" s="1"/>
  <c r="L11" s="1"/>
  <c r="M11" s="1"/>
  <c r="N11" s="1"/>
  <c r="O11" s="1"/>
  <c r="P11" s="1"/>
  <c r="Q11" s="1"/>
  <c r="R11" s="1"/>
  <c r="H15" i="46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14"/>
  <c r="C2"/>
  <c r="R63"/>
  <c r="Q63"/>
  <c r="P63"/>
  <c r="O63"/>
  <c r="N63"/>
  <c r="M63"/>
  <c r="L63"/>
  <c r="K63"/>
  <c r="J63"/>
  <c r="I63"/>
  <c r="H63"/>
  <c r="G63"/>
  <c r="C59"/>
  <c r="G58"/>
  <c r="D58"/>
  <c r="C58" s="1"/>
  <c r="B58"/>
  <c r="G57"/>
  <c r="D57"/>
  <c r="C57" s="1"/>
  <c r="B57"/>
  <c r="G56"/>
  <c r="D56"/>
  <c r="C56" s="1"/>
  <c r="B56"/>
  <c r="G55"/>
  <c r="D55"/>
  <c r="C55" s="1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R13"/>
  <c r="Q13"/>
  <c r="P13"/>
  <c r="O13"/>
  <c r="N13"/>
  <c r="M13"/>
  <c r="L13"/>
  <c r="K13"/>
  <c r="J13"/>
  <c r="I13"/>
  <c r="H13"/>
  <c r="G12"/>
  <c r="H12" s="1"/>
  <c r="I12" s="1"/>
  <c r="J12" s="1"/>
  <c r="K12" s="1"/>
  <c r="L12" s="1"/>
  <c r="M12" s="1"/>
  <c r="N12" s="1"/>
  <c r="O12" s="1"/>
  <c r="P12" s="1"/>
  <c r="Q12" s="1"/>
  <c r="R12" s="1"/>
  <c r="G24" i="37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U32" i="10"/>
  <c r="U5"/>
  <c r="W9"/>
  <c r="H14" i="37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13"/>
  <c r="Q7" i="2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6"/>
  <c r="B14" i="37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13"/>
  <c r="H61" i="52" l="1"/>
  <c r="J61"/>
  <c r="G61"/>
  <c r="G60"/>
  <c r="J60"/>
  <c r="H60"/>
  <c r="D16"/>
  <c r="F38" i="51"/>
  <c r="F22"/>
  <c r="O59"/>
  <c r="F55"/>
  <c r="N59"/>
  <c r="F42"/>
  <c r="F30"/>
  <c r="F14"/>
  <c r="R59"/>
  <c r="F43"/>
  <c r="F27"/>
  <c r="P59"/>
  <c r="K59"/>
  <c r="F46"/>
  <c r="F26"/>
  <c r="F51"/>
  <c r="F31"/>
  <c r="F15"/>
  <c r="F56"/>
  <c r="F52"/>
  <c r="F48"/>
  <c r="F44"/>
  <c r="F40"/>
  <c r="F36"/>
  <c r="F32"/>
  <c r="F28"/>
  <c r="F24"/>
  <c r="F20"/>
  <c r="F16"/>
  <c r="Q59"/>
  <c r="F50"/>
  <c r="F34"/>
  <c r="F18"/>
  <c r="J59"/>
  <c r="F39"/>
  <c r="F23"/>
  <c r="L59"/>
  <c r="F13"/>
  <c r="I59"/>
  <c r="M59"/>
  <c r="F54"/>
  <c r="F47"/>
  <c r="F35"/>
  <c r="F19"/>
  <c r="F57"/>
  <c r="F53"/>
  <c r="F49"/>
  <c r="F45"/>
  <c r="F41"/>
  <c r="F37"/>
  <c r="F33"/>
  <c r="F29"/>
  <c r="F25"/>
  <c r="F21"/>
  <c r="F17"/>
  <c r="F22" i="50"/>
  <c r="F35"/>
  <c r="F21"/>
  <c r="F54"/>
  <c r="F58"/>
  <c r="F38"/>
  <c r="F45"/>
  <c r="F56"/>
  <c r="F36"/>
  <c r="F43"/>
  <c r="F28"/>
  <c r="F37"/>
  <c r="F33"/>
  <c r="F17"/>
  <c r="F30"/>
  <c r="F49"/>
  <c r="F41"/>
  <c r="F19"/>
  <c r="F27"/>
  <c r="F40"/>
  <c r="F46"/>
  <c r="F44"/>
  <c r="F47"/>
  <c r="F29"/>
  <c r="F51"/>
  <c r="F25"/>
  <c r="F53"/>
  <c r="F20"/>
  <c r="F52"/>
  <c r="F42"/>
  <c r="F32"/>
  <c r="F31"/>
  <c r="F15"/>
  <c r="F34"/>
  <c r="F55"/>
  <c r="F26"/>
  <c r="F23"/>
  <c r="F24"/>
  <c r="F16"/>
  <c r="F48"/>
  <c r="F50"/>
  <c r="F57"/>
  <c r="F39"/>
  <c r="H60" i="49"/>
  <c r="G60"/>
  <c r="H61"/>
  <c r="G61"/>
  <c r="L56" i="47"/>
  <c r="M34"/>
  <c r="M26"/>
  <c r="M50"/>
  <c r="M42"/>
  <c r="M27"/>
  <c r="M35"/>
  <c r="M43"/>
  <c r="M51"/>
  <c r="P49"/>
  <c r="H60"/>
  <c r="M29"/>
  <c r="M37"/>
  <c r="M45"/>
  <c r="M53"/>
  <c r="M24"/>
  <c r="M32"/>
  <c r="M40"/>
  <c r="M48"/>
  <c r="M56"/>
  <c r="M46"/>
  <c r="M54"/>
  <c r="I54"/>
  <c r="Q51"/>
  <c r="M25"/>
  <c r="M33"/>
  <c r="M41"/>
  <c r="M49"/>
  <c r="M57"/>
  <c r="M38"/>
  <c r="M28"/>
  <c r="M36"/>
  <c r="M44"/>
  <c r="M52"/>
  <c r="M30"/>
  <c r="M31"/>
  <c r="M39"/>
  <c r="M47"/>
  <c r="M55"/>
  <c r="L24"/>
  <c r="L25"/>
  <c r="L35"/>
  <c r="L36"/>
  <c r="L41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J24"/>
  <c r="R24"/>
  <c r="J25"/>
  <c r="R25"/>
  <c r="J26"/>
  <c r="R26"/>
  <c r="J27"/>
  <c r="R27"/>
  <c r="J28"/>
  <c r="R28"/>
  <c r="J29"/>
  <c r="R29"/>
  <c r="J30"/>
  <c r="R30"/>
  <c r="J31"/>
  <c r="R31"/>
  <c r="J32"/>
  <c r="R32"/>
  <c r="J33"/>
  <c r="R33"/>
  <c r="J34"/>
  <c r="R34"/>
  <c r="J35"/>
  <c r="R35"/>
  <c r="J36"/>
  <c r="R36"/>
  <c r="J37"/>
  <c r="R37"/>
  <c r="J38"/>
  <c r="R38"/>
  <c r="J39"/>
  <c r="R39"/>
  <c r="J40"/>
  <c r="R40"/>
  <c r="J41"/>
  <c r="R41"/>
  <c r="J42"/>
  <c r="R42"/>
  <c r="J43"/>
  <c r="R43"/>
  <c r="J44"/>
  <c r="R44"/>
  <c r="J45"/>
  <c r="R45"/>
  <c r="J46"/>
  <c r="R46"/>
  <c r="J47"/>
  <c r="R47"/>
  <c r="J48"/>
  <c r="R48"/>
  <c r="J49"/>
  <c r="R49"/>
  <c r="J50"/>
  <c r="R50"/>
  <c r="J51"/>
  <c r="R51"/>
  <c r="J52"/>
  <c r="R52"/>
  <c r="J53"/>
  <c r="R53"/>
  <c r="J54"/>
  <c r="R54"/>
  <c r="J55"/>
  <c r="R55"/>
  <c r="J56"/>
  <c r="R56"/>
  <c r="J57"/>
  <c r="R57"/>
  <c r="L28"/>
  <c r="L30"/>
  <c r="L39"/>
  <c r="L40"/>
  <c r="L42"/>
  <c r="L46"/>
  <c r="Q24"/>
  <c r="I26"/>
  <c r="Q27"/>
  <c r="I29"/>
  <c r="Q30"/>
  <c r="I32"/>
  <c r="Q33"/>
  <c r="I35"/>
  <c r="Q36"/>
  <c r="I38"/>
  <c r="Q39"/>
  <c r="I41"/>
  <c r="Q42"/>
  <c r="I44"/>
  <c r="I45"/>
  <c r="Q46"/>
  <c r="I48"/>
  <c r="Q49"/>
  <c r="I51"/>
  <c r="Q52"/>
  <c r="Q53"/>
  <c r="I55"/>
  <c r="Q55"/>
  <c r="Q56"/>
  <c r="I57"/>
  <c r="Q57"/>
  <c r="P24"/>
  <c r="P27"/>
  <c r="P30"/>
  <c r="P33"/>
  <c r="P36"/>
  <c r="P39"/>
  <c r="P42"/>
  <c r="P45"/>
  <c r="P47"/>
  <c r="P52"/>
  <c r="P54"/>
  <c r="P56"/>
  <c r="P57"/>
  <c r="F6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H59"/>
  <c r="L26"/>
  <c r="L27"/>
  <c r="L29"/>
  <c r="L31"/>
  <c r="L32"/>
  <c r="L34"/>
  <c r="L50"/>
  <c r="L57"/>
  <c r="I25"/>
  <c r="Q26"/>
  <c r="I28"/>
  <c r="Q29"/>
  <c r="I31"/>
  <c r="Q32"/>
  <c r="I34"/>
  <c r="Q35"/>
  <c r="I37"/>
  <c r="Q38"/>
  <c r="I40"/>
  <c r="Q41"/>
  <c r="I43"/>
  <c r="Q44"/>
  <c r="I46"/>
  <c r="Q47"/>
  <c r="I49"/>
  <c r="Q50"/>
  <c r="I52"/>
  <c r="I53"/>
  <c r="Q54"/>
  <c r="I56"/>
  <c r="P26"/>
  <c r="P29"/>
  <c r="P32"/>
  <c r="P35"/>
  <c r="P38"/>
  <c r="P41"/>
  <c r="P46"/>
  <c r="P48"/>
  <c r="P50"/>
  <c r="P51"/>
  <c r="P53"/>
  <c r="P55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L33"/>
  <c r="L37"/>
  <c r="L38"/>
  <c r="L43"/>
  <c r="L44"/>
  <c r="L45"/>
  <c r="L47"/>
  <c r="L48"/>
  <c r="L49"/>
  <c r="L51"/>
  <c r="L52"/>
  <c r="L53"/>
  <c r="L54"/>
  <c r="L55"/>
  <c r="I24"/>
  <c r="Q25"/>
  <c r="I27"/>
  <c r="Q28"/>
  <c r="I30"/>
  <c r="Q31"/>
  <c r="I33"/>
  <c r="Q34"/>
  <c r="I36"/>
  <c r="Q37"/>
  <c r="I39"/>
  <c r="Q40"/>
  <c r="I42"/>
  <c r="Q43"/>
  <c r="Q45"/>
  <c r="I47"/>
  <c r="Q48"/>
  <c r="I50"/>
  <c r="P25"/>
  <c r="P28"/>
  <c r="P31"/>
  <c r="P34"/>
  <c r="P37"/>
  <c r="P40"/>
  <c r="P43"/>
  <c r="P44"/>
  <c r="O56" i="46"/>
  <c r="Q55"/>
  <c r="I55"/>
  <c r="J56"/>
  <c r="L57"/>
  <c r="N56"/>
  <c r="R56"/>
  <c r="M57"/>
  <c r="J58"/>
  <c r="P55"/>
  <c r="L58"/>
  <c r="N57"/>
  <c r="P56"/>
  <c r="R55"/>
  <c r="J55"/>
  <c r="M58"/>
  <c r="O57"/>
  <c r="Q56"/>
  <c r="I56"/>
  <c r="K55"/>
  <c r="O58"/>
  <c r="I57"/>
  <c r="M55"/>
  <c r="P58"/>
  <c r="R57"/>
  <c r="J57"/>
  <c r="L56"/>
  <c r="N55"/>
  <c r="N58"/>
  <c r="P57"/>
  <c r="L55"/>
  <c r="Q57"/>
  <c r="Q58"/>
  <c r="I58"/>
  <c r="K57"/>
  <c r="M56"/>
  <c r="O55"/>
  <c r="K58"/>
  <c r="K56"/>
  <c r="R58"/>
  <c r="H61"/>
  <c r="H60"/>
  <c r="H65" s="1"/>
  <c r="F63"/>
  <c r="D17" i="52" l="1"/>
  <c r="D18" s="1"/>
  <c r="F61" i="51"/>
  <c r="F59"/>
  <c r="F41" i="47"/>
  <c r="F56"/>
  <c r="F57"/>
  <c r="F32"/>
  <c r="F48"/>
  <c r="F52"/>
  <c r="F42"/>
  <c r="F30"/>
  <c r="F46"/>
  <c r="F34"/>
  <c r="F38"/>
  <c r="F37"/>
  <c r="F51"/>
  <c r="F54"/>
  <c r="F26"/>
  <c r="F47"/>
  <c r="F36"/>
  <c r="F28"/>
  <c r="F44"/>
  <c r="F49"/>
  <c r="F25"/>
  <c r="F53"/>
  <c r="F45"/>
  <c r="F40"/>
  <c r="F35"/>
  <c r="F24"/>
  <c r="F29"/>
  <c r="F55"/>
  <c r="F50"/>
  <c r="F33"/>
  <c r="F39"/>
  <c r="F27"/>
  <c r="F43"/>
  <c r="F31"/>
  <c r="H66"/>
  <c r="F58" i="46"/>
  <c r="F56"/>
  <c r="F57"/>
  <c r="F55"/>
  <c r="G2" i="38"/>
  <c r="H2"/>
  <c r="I2"/>
  <c r="J2"/>
  <c r="K2"/>
  <c r="L2"/>
  <c r="M2"/>
  <c r="N2"/>
  <c r="O2"/>
  <c r="P2"/>
  <c r="Q2"/>
  <c r="A5"/>
  <c r="D5"/>
  <c r="E5"/>
  <c r="A6"/>
  <c r="D6"/>
  <c r="E6"/>
  <c r="A7"/>
  <c r="D7"/>
  <c r="E7"/>
  <c r="A8"/>
  <c r="D8"/>
  <c r="E8"/>
  <c r="A9"/>
  <c r="D9"/>
  <c r="E9"/>
  <c r="A10"/>
  <c r="D10"/>
  <c r="E10"/>
  <c r="A11"/>
  <c r="D11"/>
  <c r="E11"/>
  <c r="A12"/>
  <c r="D12"/>
  <c r="E12"/>
  <c r="A13"/>
  <c r="D13"/>
  <c r="E13"/>
  <c r="A14"/>
  <c r="D14"/>
  <c r="E14"/>
  <c r="A15"/>
  <c r="D15"/>
  <c r="E15"/>
  <c r="A16"/>
  <c r="D16"/>
  <c r="E16"/>
  <c r="A17"/>
  <c r="D17"/>
  <c r="E17"/>
  <c r="A18"/>
  <c r="D18"/>
  <c r="E18"/>
  <c r="A19"/>
  <c r="D19"/>
  <c r="E19"/>
  <c r="A20"/>
  <c r="D20"/>
  <c r="E20"/>
  <c r="A21"/>
  <c r="D21"/>
  <c r="E21"/>
  <c r="A22"/>
  <c r="D22"/>
  <c r="E22"/>
  <c r="A23"/>
  <c r="D23"/>
  <c r="E23"/>
  <c r="A24"/>
  <c r="D24"/>
  <c r="E24"/>
  <c r="A25"/>
  <c r="D25"/>
  <c r="E25"/>
  <c r="A26"/>
  <c r="D26"/>
  <c r="E26"/>
  <c r="A27"/>
  <c r="D27"/>
  <c r="E27"/>
  <c r="A28"/>
  <c r="D28"/>
  <c r="E28"/>
  <c r="A29"/>
  <c r="D29"/>
  <c r="E29"/>
  <c r="A30"/>
  <c r="D30"/>
  <c r="E30"/>
  <c r="A31"/>
  <c r="D31"/>
  <c r="E31"/>
  <c r="A32"/>
  <c r="D32"/>
  <c r="E32"/>
  <c r="A33"/>
  <c r="D33"/>
  <c r="E33"/>
  <c r="A34"/>
  <c r="D34"/>
  <c r="E34"/>
  <c r="A35"/>
  <c r="D35"/>
  <c r="E35"/>
  <c r="A36"/>
  <c r="D36"/>
  <c r="E36"/>
  <c r="A37"/>
  <c r="D37"/>
  <c r="E37"/>
  <c r="A38"/>
  <c r="D38"/>
  <c r="E38"/>
  <c r="A39"/>
  <c r="D39"/>
  <c r="E39"/>
  <c r="A40"/>
  <c r="D40"/>
  <c r="E40"/>
  <c r="A41"/>
  <c r="D41"/>
  <c r="E41"/>
  <c r="A42"/>
  <c r="D42"/>
  <c r="E42"/>
  <c r="A43"/>
  <c r="D43"/>
  <c r="E43"/>
  <c r="A44"/>
  <c r="D44"/>
  <c r="E44"/>
  <c r="A45"/>
  <c r="D45"/>
  <c r="E45"/>
  <c r="A46"/>
  <c r="D46"/>
  <c r="E46"/>
  <c r="C1" i="37"/>
  <c r="G11"/>
  <c r="H11"/>
  <c r="I11" s="1"/>
  <c r="J11" s="1"/>
  <c r="K11" s="1"/>
  <c r="L11" s="1"/>
  <c r="M11" s="1"/>
  <c r="N11" s="1"/>
  <c r="O11" s="1"/>
  <c r="P11" s="1"/>
  <c r="Q11" s="1"/>
  <c r="R11" s="1"/>
  <c r="H12"/>
  <c r="I12"/>
  <c r="J12"/>
  <c r="K12"/>
  <c r="L12"/>
  <c r="M12"/>
  <c r="N12"/>
  <c r="O12"/>
  <c r="P12"/>
  <c r="Q12"/>
  <c r="R12"/>
  <c r="D24"/>
  <c r="C24" s="1"/>
  <c r="D25"/>
  <c r="C25" s="1"/>
  <c r="D26"/>
  <c r="C26" s="1"/>
  <c r="D27"/>
  <c r="C27" s="1"/>
  <c r="D28"/>
  <c r="C28" s="1"/>
  <c r="D29"/>
  <c r="C29" s="1"/>
  <c r="D30"/>
  <c r="C30" s="1"/>
  <c r="D31"/>
  <c r="C31" s="1"/>
  <c r="D32"/>
  <c r="C32" s="1"/>
  <c r="D33"/>
  <c r="C33" s="1"/>
  <c r="D34"/>
  <c r="C34" s="1"/>
  <c r="D35"/>
  <c r="C35" s="1"/>
  <c r="D36"/>
  <c r="C36" s="1"/>
  <c r="D37"/>
  <c r="C37" s="1"/>
  <c r="D38"/>
  <c r="C38" s="1"/>
  <c r="D39"/>
  <c r="C39" s="1"/>
  <c r="D40"/>
  <c r="C40" s="1"/>
  <c r="D41"/>
  <c r="C41" s="1"/>
  <c r="D42"/>
  <c r="C42" s="1"/>
  <c r="D43"/>
  <c r="C43" s="1"/>
  <c r="D44"/>
  <c r="C44" s="1"/>
  <c r="D45"/>
  <c r="C45" s="1"/>
  <c r="D46"/>
  <c r="C46" s="1"/>
  <c r="D47"/>
  <c r="C47" s="1"/>
  <c r="D48"/>
  <c r="C48" s="1"/>
  <c r="D49"/>
  <c r="C49" s="1"/>
  <c r="D50"/>
  <c r="C50" s="1"/>
  <c r="D51"/>
  <c r="C51" s="1"/>
  <c r="D52"/>
  <c r="C52" s="1"/>
  <c r="D53"/>
  <c r="C53" s="1"/>
  <c r="D54"/>
  <c r="C54" s="1"/>
  <c r="D55"/>
  <c r="C55" s="1"/>
  <c r="D56"/>
  <c r="C56" s="1"/>
  <c r="D57"/>
  <c r="C57" s="1"/>
  <c r="C58"/>
  <c r="G63"/>
  <c r="H63"/>
  <c r="I63"/>
  <c r="J63"/>
  <c r="K63"/>
  <c r="L63"/>
  <c r="M63"/>
  <c r="N63"/>
  <c r="O63"/>
  <c r="P63"/>
  <c r="Q63"/>
  <c r="R63"/>
  <c r="E144"/>
  <c r="D19" i="52" l="1"/>
  <c r="D20" s="1"/>
  <c r="H75" i="38"/>
  <c r="H71"/>
  <c r="H67"/>
  <c r="H47"/>
  <c r="H63"/>
  <c r="H59"/>
  <c r="H55"/>
  <c r="I43" i="46" s="1"/>
  <c r="H51" i="38"/>
  <c r="H54"/>
  <c r="H62"/>
  <c r="H70"/>
  <c r="H78"/>
  <c r="H48"/>
  <c r="H57"/>
  <c r="H69"/>
  <c r="H53"/>
  <c r="H49"/>
  <c r="H52"/>
  <c r="H60"/>
  <c r="H68"/>
  <c r="H76"/>
  <c r="H77"/>
  <c r="H50"/>
  <c r="I40" i="46" s="1"/>
  <c r="H58" i="38"/>
  <c r="I46" i="46" s="1"/>
  <c r="H66" i="38"/>
  <c r="H74"/>
  <c r="H73"/>
  <c r="H65"/>
  <c r="H56"/>
  <c r="H64"/>
  <c r="H72"/>
  <c r="H61"/>
  <c r="I49" i="46" s="1"/>
  <c r="I47" i="38"/>
  <c r="I67"/>
  <c r="I55"/>
  <c r="I51"/>
  <c r="I48"/>
  <c r="I71"/>
  <c r="I59"/>
  <c r="J47" i="46" s="1"/>
  <c r="I75" i="38"/>
  <c r="J53" i="46" s="1"/>
  <c r="I63" i="38"/>
  <c r="I78"/>
  <c r="I74"/>
  <c r="I70"/>
  <c r="I66"/>
  <c r="I62"/>
  <c r="I58"/>
  <c r="J46" i="46" s="1"/>
  <c r="I54" i="38"/>
  <c r="J42" i="46" s="1"/>
  <c r="I50" i="38"/>
  <c r="I64"/>
  <c r="I61"/>
  <c r="I77"/>
  <c r="I73"/>
  <c r="I60"/>
  <c r="I72"/>
  <c r="I53"/>
  <c r="I56"/>
  <c r="I65"/>
  <c r="I57"/>
  <c r="I68"/>
  <c r="I76"/>
  <c r="I69"/>
  <c r="I52"/>
  <c r="J41" i="46" s="1"/>
  <c r="I49" i="38"/>
  <c r="J39" i="46" s="1"/>
  <c r="J76" i="38"/>
  <c r="J72"/>
  <c r="J68"/>
  <c r="J48"/>
  <c r="J64"/>
  <c r="J60"/>
  <c r="J56"/>
  <c r="K44" i="46" s="1"/>
  <c r="J52" i="38"/>
  <c r="K41" i="46" s="1"/>
  <c r="J47" i="38"/>
  <c r="J75"/>
  <c r="J71"/>
  <c r="J67"/>
  <c r="J63"/>
  <c r="J59"/>
  <c r="J55"/>
  <c r="K43" i="46" s="1"/>
  <c r="J51" i="38"/>
  <c r="J62"/>
  <c r="J65"/>
  <c r="J54"/>
  <c r="J74"/>
  <c r="J53"/>
  <c r="J61"/>
  <c r="J69"/>
  <c r="J77"/>
  <c r="K54" i="46" s="1"/>
  <c r="J73" i="38"/>
  <c r="J66"/>
  <c r="J49"/>
  <c r="J58"/>
  <c r="J50"/>
  <c r="J57"/>
  <c r="J78"/>
  <c r="J70"/>
  <c r="K48"/>
  <c r="K72"/>
  <c r="K56"/>
  <c r="K52"/>
  <c r="K60"/>
  <c r="K76"/>
  <c r="K68"/>
  <c r="K64"/>
  <c r="K75"/>
  <c r="K71"/>
  <c r="K67"/>
  <c r="K63"/>
  <c r="K59"/>
  <c r="K55"/>
  <c r="K51"/>
  <c r="K47"/>
  <c r="K61"/>
  <c r="K73"/>
  <c r="K54"/>
  <c r="K77"/>
  <c r="K53"/>
  <c r="K57"/>
  <c r="K66"/>
  <c r="K49"/>
  <c r="L39" i="46" s="1"/>
  <c r="K65" i="38"/>
  <c r="K50"/>
  <c r="K78"/>
  <c r="K58"/>
  <c r="K69"/>
  <c r="K70"/>
  <c r="K62"/>
  <c r="K74"/>
  <c r="L52" i="46" s="1"/>
  <c r="L75" i="38"/>
  <c r="L71"/>
  <c r="L67"/>
  <c r="L63"/>
  <c r="L59"/>
  <c r="L55"/>
  <c r="L51"/>
  <c r="L48"/>
  <c r="L47"/>
  <c r="L54"/>
  <c r="L62"/>
  <c r="L70"/>
  <c r="L78"/>
  <c r="L66"/>
  <c r="L69"/>
  <c r="L65"/>
  <c r="M50" i="46" s="1"/>
  <c r="L52" i="38"/>
  <c r="L60"/>
  <c r="L68"/>
  <c r="L76"/>
  <c r="L61"/>
  <c r="L53"/>
  <c r="L77"/>
  <c r="M54" i="46" s="1"/>
  <c r="L50" i="38"/>
  <c r="M40" i="46" s="1"/>
  <c r="L58" i="38"/>
  <c r="L74"/>
  <c r="L73"/>
  <c r="L56"/>
  <c r="L64"/>
  <c r="L72"/>
  <c r="L49"/>
  <c r="M39" i="46" s="1"/>
  <c r="L57" i="38"/>
  <c r="M45" i="46" s="1"/>
  <c r="M71" i="38"/>
  <c r="M50"/>
  <c r="M53"/>
  <c r="M47"/>
  <c r="M59"/>
  <c r="M68"/>
  <c r="M49"/>
  <c r="N39" i="46" s="1"/>
  <c r="M63" i="38"/>
  <c r="M56"/>
  <c r="M55"/>
  <c r="M76"/>
  <c r="M58"/>
  <c r="M70"/>
  <c r="M78"/>
  <c r="M75"/>
  <c r="M64"/>
  <c r="M73"/>
  <c r="M54"/>
  <c r="M52"/>
  <c r="M65"/>
  <c r="M51"/>
  <c r="M72"/>
  <c r="M61"/>
  <c r="M77"/>
  <c r="N54" i="46" s="1"/>
  <c r="M60" i="38"/>
  <c r="M48"/>
  <c r="M62"/>
  <c r="M69"/>
  <c r="M66"/>
  <c r="M74"/>
  <c r="M57"/>
  <c r="N45" i="46" s="1"/>
  <c r="M67" i="38"/>
  <c r="P75"/>
  <c r="P71"/>
  <c r="P67"/>
  <c r="P47"/>
  <c r="P63"/>
  <c r="P59"/>
  <c r="P55"/>
  <c r="Q43" i="46" s="1"/>
  <c r="P51" i="38"/>
  <c r="P53"/>
  <c r="P49"/>
  <c r="P57"/>
  <c r="P73"/>
  <c r="P52"/>
  <c r="P60"/>
  <c r="Q48" i="46" s="1"/>
  <c r="P68" i="38"/>
  <c r="P76"/>
  <c r="P65"/>
  <c r="P50"/>
  <c r="P58"/>
  <c r="P66"/>
  <c r="P74"/>
  <c r="P77"/>
  <c r="P69"/>
  <c r="P56"/>
  <c r="Q44" i="46" s="1"/>
  <c r="P64" i="38"/>
  <c r="P72"/>
  <c r="P48"/>
  <c r="P61"/>
  <c r="P54"/>
  <c r="P62"/>
  <c r="P70"/>
  <c r="P78"/>
  <c r="Q47"/>
  <c r="Q67"/>
  <c r="Q55"/>
  <c r="Q51"/>
  <c r="Q48"/>
  <c r="Q71"/>
  <c r="Q59"/>
  <c r="R47" i="46" s="1"/>
  <c r="Q75" i="38"/>
  <c r="R53" i="46" s="1"/>
  <c r="Q63" i="38"/>
  <c r="Q78"/>
  <c r="Q74"/>
  <c r="Q70"/>
  <c r="Q66"/>
  <c r="Q62"/>
  <c r="Q58"/>
  <c r="R46" i="46" s="1"/>
  <c r="Q54" i="38"/>
  <c r="R42" i="46" s="1"/>
  <c r="Q50" i="38"/>
  <c r="Q73"/>
  <c r="Q57"/>
  <c r="Q76"/>
  <c r="Q60"/>
  <c r="Q72"/>
  <c r="Q53"/>
  <c r="Q69"/>
  <c r="Q56"/>
  <c r="Q65"/>
  <c r="Q77"/>
  <c r="Q52"/>
  <c r="Q64"/>
  <c r="Q49"/>
  <c r="Q61"/>
  <c r="R49" i="46" s="1"/>
  <c r="Q68" i="38"/>
  <c r="N74"/>
  <c r="N70"/>
  <c r="N66"/>
  <c r="N62"/>
  <c r="N58"/>
  <c r="N54"/>
  <c r="N50"/>
  <c r="O40" i="46" s="1"/>
  <c r="N75" i="38"/>
  <c r="O53" i="46" s="1"/>
  <c r="N71" i="38"/>
  <c r="N67"/>
  <c r="N63"/>
  <c r="N59"/>
  <c r="N55"/>
  <c r="N51"/>
  <c r="N78"/>
  <c r="N48"/>
  <c r="N52"/>
  <c r="N65"/>
  <c r="N72"/>
  <c r="N53"/>
  <c r="N61"/>
  <c r="N69"/>
  <c r="N77"/>
  <c r="N47"/>
  <c r="N76"/>
  <c r="N49"/>
  <c r="N73"/>
  <c r="N64"/>
  <c r="N56"/>
  <c r="N57"/>
  <c r="N68"/>
  <c r="N60"/>
  <c r="O48" i="46" s="1"/>
  <c r="O48" i="38"/>
  <c r="O50"/>
  <c r="O47"/>
  <c r="O75"/>
  <c r="O67"/>
  <c r="O78"/>
  <c r="O70"/>
  <c r="O58"/>
  <c r="O71"/>
  <c r="O63"/>
  <c r="O59"/>
  <c r="O55"/>
  <c r="O51"/>
  <c r="O74"/>
  <c r="O66"/>
  <c r="O62"/>
  <c r="O54"/>
  <c r="O57"/>
  <c r="O61"/>
  <c r="O77"/>
  <c r="O60"/>
  <c r="O64"/>
  <c r="O65"/>
  <c r="O72"/>
  <c r="O53"/>
  <c r="O52"/>
  <c r="O73"/>
  <c r="O76"/>
  <c r="O49"/>
  <c r="O56"/>
  <c r="O69"/>
  <c r="O68"/>
  <c r="G71"/>
  <c r="G70"/>
  <c r="G51"/>
  <c r="G62"/>
  <c r="G68"/>
  <c r="G53"/>
  <c r="J23" i="47"/>
  <c r="I40" i="38"/>
  <c r="I32"/>
  <c r="I8"/>
  <c r="N57" i="37"/>
  <c r="N51"/>
  <c r="N47"/>
  <c r="N45"/>
  <c r="N29"/>
  <c r="N32"/>
  <c r="N26"/>
  <c r="O56"/>
  <c r="M48"/>
  <c r="O28"/>
  <c r="H31" i="38"/>
  <c r="M43" i="37"/>
  <c r="I9" i="38"/>
  <c r="M55" i="37"/>
  <c r="M49"/>
  <c r="L52"/>
  <c r="M31"/>
  <c r="L5" i="38"/>
  <c r="K48" i="37"/>
  <c r="M32"/>
  <c r="N44"/>
  <c r="N34"/>
  <c r="O47"/>
  <c r="Q25" i="38"/>
  <c r="M30" i="37"/>
  <c r="K47"/>
  <c r="N46"/>
  <c r="N42"/>
  <c r="K36"/>
  <c r="N48"/>
  <c r="N28"/>
  <c r="N27"/>
  <c r="P29"/>
  <c r="M57"/>
  <c r="M29"/>
  <c r="Q57"/>
  <c r="K34" i="38"/>
  <c r="J37"/>
  <c r="O29" i="37"/>
  <c r="O57"/>
  <c r="M56"/>
  <c r="M46"/>
  <c r="O37"/>
  <c r="N56"/>
  <c r="O39"/>
  <c r="O31"/>
  <c r="N55"/>
  <c r="O54"/>
  <c r="K45"/>
  <c r="O40"/>
  <c r="O38"/>
  <c r="O27"/>
  <c r="O24"/>
  <c r="O32"/>
  <c r="O35"/>
  <c r="O46"/>
  <c r="O55"/>
  <c r="M45"/>
  <c r="L34" i="38"/>
  <c r="O48" i="37"/>
  <c r="M47"/>
  <c r="K46"/>
  <c r="O34"/>
  <c r="K33"/>
  <c r="N31"/>
  <c r="Q45" i="38"/>
  <c r="H29"/>
  <c r="J21"/>
  <c r="K16"/>
  <c r="M54" i="37"/>
  <c r="N35" i="38"/>
  <c r="N14"/>
  <c r="N54" i="37"/>
  <c r="O45"/>
  <c r="M44"/>
  <c r="O30"/>
  <c r="M24"/>
  <c r="N46" i="38"/>
  <c r="L17"/>
  <c r="P53" i="37"/>
  <c r="O42"/>
  <c r="N30"/>
  <c r="O44"/>
  <c r="K25"/>
  <c r="Q41" i="38"/>
  <c r="Q33"/>
  <c r="H7"/>
  <c r="K41" i="37"/>
  <c r="K28"/>
  <c r="K24"/>
  <c r="O51"/>
  <c r="K50"/>
  <c r="I28" i="38"/>
  <c r="I20"/>
  <c r="Q17"/>
  <c r="M44"/>
  <c r="K18"/>
  <c r="H16"/>
  <c r="N23" i="47"/>
  <c r="M12" i="38"/>
  <c r="M7"/>
  <c r="Q5"/>
  <c r="N12"/>
  <c r="N53" i="37"/>
  <c r="K40"/>
  <c r="K39"/>
  <c r="K38"/>
  <c r="K37"/>
  <c r="O26"/>
  <c r="R23" i="47"/>
  <c r="P31" i="38"/>
  <c r="P24"/>
  <c r="O24"/>
  <c r="M16"/>
  <c r="M23" i="47"/>
  <c r="P35" i="37"/>
  <c r="O53"/>
  <c r="M39"/>
  <c r="M36"/>
  <c r="P27"/>
  <c r="N22" i="47"/>
  <c r="O40" i="38"/>
  <c r="N38"/>
  <c r="M36"/>
  <c r="M24"/>
  <c r="N15"/>
  <c r="P36"/>
  <c r="L37"/>
  <c r="Q37"/>
  <c r="M31"/>
  <c r="N43" i="37"/>
  <c r="M40"/>
  <c r="M37"/>
  <c r="O43"/>
  <c r="N40"/>
  <c r="N39"/>
  <c r="N38"/>
  <c r="N37"/>
  <c r="N36"/>
  <c r="K32"/>
  <c r="K31"/>
  <c r="K30"/>
  <c r="K29"/>
  <c r="L45" i="38"/>
  <c r="P40"/>
  <c r="N22"/>
  <c r="I37"/>
  <c r="M38" i="37"/>
  <c r="K54"/>
  <c r="O52"/>
  <c r="K44"/>
  <c r="O36"/>
  <c r="N35"/>
  <c r="M28"/>
  <c r="P25"/>
  <c r="L30" i="38"/>
  <c r="P8"/>
  <c r="P33" i="37"/>
  <c r="P42"/>
  <c r="I25" i="38"/>
  <c r="H24"/>
  <c r="K44"/>
  <c r="N36"/>
  <c r="I33"/>
  <c r="N30"/>
  <c r="K24"/>
  <c r="N10"/>
  <c r="P54" i="37"/>
  <c r="P28"/>
  <c r="K51"/>
  <c r="M50"/>
  <c r="N49"/>
  <c r="P46"/>
  <c r="K42"/>
  <c r="M41"/>
  <c r="P38"/>
  <c r="K34"/>
  <c r="M33"/>
  <c r="P30"/>
  <c r="K26"/>
  <c r="M25"/>
  <c r="N24"/>
  <c r="I23" i="47"/>
  <c r="L46" i="38"/>
  <c r="H45"/>
  <c r="I41"/>
  <c r="H40"/>
  <c r="K32"/>
  <c r="Q29"/>
  <c r="J28"/>
  <c r="N23"/>
  <c r="L21"/>
  <c r="K20"/>
  <c r="L18"/>
  <c r="L14"/>
  <c r="H13"/>
  <c r="L9"/>
  <c r="H8"/>
  <c r="H5"/>
  <c r="P41" i="37"/>
  <c r="P51"/>
  <c r="P34"/>
  <c r="J44" i="38"/>
  <c r="K12"/>
  <c r="P57" i="37"/>
  <c r="P56"/>
  <c r="P55"/>
  <c r="L22" i="47"/>
  <c r="H35" i="38"/>
  <c r="N24"/>
  <c r="I21"/>
  <c r="K53" i="37"/>
  <c r="M52"/>
  <c r="M51"/>
  <c r="N50"/>
  <c r="O49"/>
  <c r="P47"/>
  <c r="K43"/>
  <c r="M42"/>
  <c r="N41"/>
  <c r="P39"/>
  <c r="K35"/>
  <c r="M34"/>
  <c r="N33"/>
  <c r="P31"/>
  <c r="K27"/>
  <c r="M26"/>
  <c r="N25"/>
  <c r="L41" i="38"/>
  <c r="K40"/>
  <c r="N32"/>
  <c r="K28"/>
  <c r="L26"/>
  <c r="Q21"/>
  <c r="N20"/>
  <c r="I17"/>
  <c r="I16"/>
  <c r="M9"/>
  <c r="K8"/>
  <c r="P50" i="37"/>
  <c r="P52"/>
  <c r="N39" i="38"/>
  <c r="P43" i="37"/>
  <c r="L25" i="38"/>
  <c r="N16"/>
  <c r="P44" i="37"/>
  <c r="O23" i="47"/>
  <c r="N44" i="38"/>
  <c r="M32"/>
  <c r="I29"/>
  <c r="M53" i="37"/>
  <c r="N52"/>
  <c r="O50"/>
  <c r="P49"/>
  <c r="P48"/>
  <c r="O41"/>
  <c r="P40"/>
  <c r="M35"/>
  <c r="O33"/>
  <c r="P32"/>
  <c r="M27"/>
  <c r="O25"/>
  <c r="P24"/>
  <c r="L23" i="47"/>
  <c r="I45" i="38"/>
  <c r="I44"/>
  <c r="N40"/>
  <c r="I36"/>
  <c r="N34"/>
  <c r="N28"/>
  <c r="H25"/>
  <c r="I24"/>
  <c r="P20"/>
  <c r="P19"/>
  <c r="I12"/>
  <c r="Q9"/>
  <c r="N8"/>
  <c r="I5"/>
  <c r="P26" i="37"/>
  <c r="H59"/>
  <c r="H66" s="1"/>
  <c r="K36" i="38"/>
  <c r="N19"/>
  <c r="J12"/>
  <c r="H15"/>
  <c r="P36" i="37"/>
  <c r="H41" i="38"/>
  <c r="L33"/>
  <c r="N18"/>
  <c r="M15"/>
  <c r="P45" i="37"/>
  <c r="P37"/>
  <c r="N43" i="38"/>
  <c r="M40"/>
  <c r="H32"/>
  <c r="N31"/>
  <c r="L29"/>
  <c r="M28"/>
  <c r="M20"/>
  <c r="P15"/>
  <c r="M8"/>
  <c r="L6"/>
  <c r="J9"/>
  <c r="L27"/>
  <c r="K27"/>
  <c r="I27"/>
  <c r="J27"/>
  <c r="Q27"/>
  <c r="O27"/>
  <c r="L11"/>
  <c r="K11"/>
  <c r="J11"/>
  <c r="I11"/>
  <c r="Q11"/>
  <c r="O11"/>
  <c r="P23" i="47"/>
  <c r="O14" i="38"/>
  <c r="O22"/>
  <c r="O30"/>
  <c r="O38"/>
  <c r="O42"/>
  <c r="O46"/>
  <c r="O18"/>
  <c r="O6"/>
  <c r="O10"/>
  <c r="O26"/>
  <c r="O34"/>
  <c r="G42"/>
  <c r="G18"/>
  <c r="I46"/>
  <c r="Q46"/>
  <c r="M46"/>
  <c r="I30"/>
  <c r="Q30"/>
  <c r="M30"/>
  <c r="I14"/>
  <c r="Q14"/>
  <c r="M14"/>
  <c r="L7"/>
  <c r="K7"/>
  <c r="J7"/>
  <c r="I7"/>
  <c r="Q7"/>
  <c r="O7"/>
  <c r="P6"/>
  <c r="P10"/>
  <c r="P14"/>
  <c r="P18"/>
  <c r="P22"/>
  <c r="P26"/>
  <c r="P30"/>
  <c r="P34"/>
  <c r="P38"/>
  <c r="P42"/>
  <c r="P46"/>
  <c r="H6"/>
  <c r="H10"/>
  <c r="H14"/>
  <c r="H18"/>
  <c r="H22"/>
  <c r="H26"/>
  <c r="H30"/>
  <c r="H34"/>
  <c r="H38"/>
  <c r="H42"/>
  <c r="H46"/>
  <c r="J22" i="47"/>
  <c r="R22"/>
  <c r="O22"/>
  <c r="I22"/>
  <c r="Q22"/>
  <c r="P22"/>
  <c r="M22"/>
  <c r="L39" i="38"/>
  <c r="I39"/>
  <c r="K39"/>
  <c r="Q39"/>
  <c r="J39"/>
  <c r="O39"/>
  <c r="L23"/>
  <c r="Q23"/>
  <c r="K23"/>
  <c r="J23"/>
  <c r="I23"/>
  <c r="O23"/>
  <c r="L53" i="37"/>
  <c r="L48"/>
  <c r="L44"/>
  <c r="L40"/>
  <c r="L36"/>
  <c r="L32"/>
  <c r="L28"/>
  <c r="L24"/>
  <c r="P35" i="38"/>
  <c r="J32"/>
  <c r="J16"/>
  <c r="K46"/>
  <c r="H44"/>
  <c r="H43"/>
  <c r="O36"/>
  <c r="J33"/>
  <c r="K30"/>
  <c r="H28"/>
  <c r="H27"/>
  <c r="O20"/>
  <c r="J17"/>
  <c r="K14"/>
  <c r="H12"/>
  <c r="H11"/>
  <c r="H9"/>
  <c r="I42"/>
  <c r="Q42"/>
  <c r="M42"/>
  <c r="Q26" i="37"/>
  <c r="Q29"/>
  <c r="Q30"/>
  <c r="Q33"/>
  <c r="Q36"/>
  <c r="Q39"/>
  <c r="Q42"/>
  <c r="Q45"/>
  <c r="Q48"/>
  <c r="Q51"/>
  <c r="Q53"/>
  <c r="Q56"/>
  <c r="Q24"/>
  <c r="Q27"/>
  <c r="Q34"/>
  <c r="Q37"/>
  <c r="Q40"/>
  <c r="Q43"/>
  <c r="Q46"/>
  <c r="Q49"/>
  <c r="Q52"/>
  <c r="Q55"/>
  <c r="Q25"/>
  <c r="Q28"/>
  <c r="Q31"/>
  <c r="Q32"/>
  <c r="Q35"/>
  <c r="Q38"/>
  <c r="Q41"/>
  <c r="Q44"/>
  <c r="Q47"/>
  <c r="Q50"/>
  <c r="Q54"/>
  <c r="I25"/>
  <c r="I28"/>
  <c r="I32"/>
  <c r="I35"/>
  <c r="I38"/>
  <c r="I41"/>
  <c r="I44"/>
  <c r="I47"/>
  <c r="I50"/>
  <c r="I55"/>
  <c r="I26"/>
  <c r="I29"/>
  <c r="I31"/>
  <c r="I33"/>
  <c r="I36"/>
  <c r="I39"/>
  <c r="I42"/>
  <c r="I45"/>
  <c r="I48"/>
  <c r="I51"/>
  <c r="I54"/>
  <c r="I57"/>
  <c r="I24"/>
  <c r="I27"/>
  <c r="I30"/>
  <c r="I34"/>
  <c r="I37"/>
  <c r="I40"/>
  <c r="I43"/>
  <c r="I46"/>
  <c r="I49"/>
  <c r="I52"/>
  <c r="I53"/>
  <c r="I56"/>
  <c r="I38" i="38"/>
  <c r="Q38"/>
  <c r="M38"/>
  <c r="I22"/>
  <c r="Q22"/>
  <c r="M22"/>
  <c r="L45" i="37"/>
  <c r="L41"/>
  <c r="L37"/>
  <c r="L33"/>
  <c r="G40" i="38"/>
  <c r="H60" i="37"/>
  <c r="K22" i="47"/>
  <c r="O16" i="38"/>
  <c r="J8"/>
  <c r="L55" i="37"/>
  <c r="L46"/>
  <c r="L42"/>
  <c r="L38"/>
  <c r="L34"/>
  <c r="L30"/>
  <c r="L26"/>
  <c r="Q23" i="47"/>
  <c r="P43" i="38"/>
  <c r="L42"/>
  <c r="J40"/>
  <c r="M39"/>
  <c r="H37"/>
  <c r="G36"/>
  <c r="P32"/>
  <c r="P27"/>
  <c r="J24"/>
  <c r="M23"/>
  <c r="H21"/>
  <c r="G20"/>
  <c r="P16"/>
  <c r="P11"/>
  <c r="L10"/>
  <c r="N7"/>
  <c r="K6"/>
  <c r="I26"/>
  <c r="Q26"/>
  <c r="M26"/>
  <c r="J6"/>
  <c r="J10"/>
  <c r="J14"/>
  <c r="J18"/>
  <c r="J22"/>
  <c r="J26"/>
  <c r="J30"/>
  <c r="J34"/>
  <c r="J38"/>
  <c r="J42"/>
  <c r="J46"/>
  <c r="L19"/>
  <c r="K19"/>
  <c r="Q19"/>
  <c r="J19"/>
  <c r="I19"/>
  <c r="O19"/>
  <c r="L31"/>
  <c r="Q31"/>
  <c r="K31"/>
  <c r="I31"/>
  <c r="J31"/>
  <c r="O31"/>
  <c r="L15"/>
  <c r="I15"/>
  <c r="Q15"/>
  <c r="K15"/>
  <c r="J15"/>
  <c r="O15"/>
  <c r="L49" i="37"/>
  <c r="L29"/>
  <c r="M11" i="38"/>
  <c r="F63" i="37"/>
  <c r="L50"/>
  <c r="J45" i="38"/>
  <c r="H39"/>
  <c r="J29"/>
  <c r="N27"/>
  <c r="H23"/>
  <c r="N11"/>
  <c r="K10"/>
  <c r="L56" i="37"/>
  <c r="L51"/>
  <c r="O44" i="38"/>
  <c r="N42"/>
  <c r="J41"/>
  <c r="K38"/>
  <c r="H36"/>
  <c r="O28"/>
  <c r="N26"/>
  <c r="J25"/>
  <c r="K22"/>
  <c r="H20"/>
  <c r="H19"/>
  <c r="O12"/>
  <c r="P7"/>
  <c r="M6"/>
  <c r="L43"/>
  <c r="I43"/>
  <c r="K43"/>
  <c r="J43"/>
  <c r="Q43"/>
  <c r="O43"/>
  <c r="I10"/>
  <c r="Q10"/>
  <c r="L35"/>
  <c r="K35"/>
  <c r="I35"/>
  <c r="J35"/>
  <c r="Q35"/>
  <c r="O35"/>
  <c r="I6"/>
  <c r="Q6"/>
  <c r="I34"/>
  <c r="Q34"/>
  <c r="M34"/>
  <c r="I18"/>
  <c r="Q18"/>
  <c r="M18"/>
  <c r="L54" i="37"/>
  <c r="L25"/>
  <c r="M43" i="38"/>
  <c r="M27"/>
  <c r="K42"/>
  <c r="O32"/>
  <c r="K26"/>
  <c r="L57" i="37"/>
  <c r="L47"/>
  <c r="L43"/>
  <c r="L39"/>
  <c r="L35"/>
  <c r="L31"/>
  <c r="L27"/>
  <c r="P44" i="38"/>
  <c r="P39"/>
  <c r="L38"/>
  <c r="J36"/>
  <c r="M35"/>
  <c r="H33"/>
  <c r="P28"/>
  <c r="P23"/>
  <c r="L22"/>
  <c r="J20"/>
  <c r="M19"/>
  <c r="H17"/>
  <c r="P12"/>
  <c r="O8"/>
  <c r="N6"/>
  <c r="J5"/>
  <c r="K23" i="47"/>
  <c r="K45" i="38"/>
  <c r="Q44"/>
  <c r="K41"/>
  <c r="Q40"/>
  <c r="K37"/>
  <c r="Q36"/>
  <c r="K33"/>
  <c r="Q32"/>
  <c r="K29"/>
  <c r="Q28"/>
  <c r="K25"/>
  <c r="Q24"/>
  <c r="K21"/>
  <c r="Q20"/>
  <c r="K17"/>
  <c r="Q16"/>
  <c r="Q12"/>
  <c r="M10"/>
  <c r="K9"/>
  <c r="Q8"/>
  <c r="K5"/>
  <c r="M41"/>
  <c r="M33"/>
  <c r="R57" i="37"/>
  <c r="J57"/>
  <c r="R56"/>
  <c r="J56"/>
  <c r="R55"/>
  <c r="J55"/>
  <c r="R54"/>
  <c r="J54"/>
  <c r="R53"/>
  <c r="J53"/>
  <c r="R52"/>
  <c r="J52"/>
  <c r="R51"/>
  <c r="J51"/>
  <c r="R50"/>
  <c r="J50"/>
  <c r="R49"/>
  <c r="J49"/>
  <c r="R48"/>
  <c r="J48"/>
  <c r="R47"/>
  <c r="J47"/>
  <c r="R46"/>
  <c r="J46"/>
  <c r="R45"/>
  <c r="J45"/>
  <c r="R44"/>
  <c r="J44"/>
  <c r="R43"/>
  <c r="J43"/>
  <c r="R42"/>
  <c r="J42"/>
  <c r="R41"/>
  <c r="J41"/>
  <c r="R40"/>
  <c r="J40"/>
  <c r="R39"/>
  <c r="J39"/>
  <c r="R38"/>
  <c r="J38"/>
  <c r="R37"/>
  <c r="J37"/>
  <c r="R36"/>
  <c r="J36"/>
  <c r="R35"/>
  <c r="J35"/>
  <c r="R34"/>
  <c r="J34"/>
  <c r="R33"/>
  <c r="J33"/>
  <c r="R32"/>
  <c r="J32"/>
  <c r="R31"/>
  <c r="J31"/>
  <c r="R30"/>
  <c r="J30"/>
  <c r="R29"/>
  <c r="J29"/>
  <c r="R28"/>
  <c r="J28"/>
  <c r="R27"/>
  <c r="J27"/>
  <c r="R26"/>
  <c r="J26"/>
  <c r="R25"/>
  <c r="J25"/>
  <c r="R24"/>
  <c r="J24"/>
  <c r="N45" i="38"/>
  <c r="L44"/>
  <c r="N41"/>
  <c r="L40"/>
  <c r="N37"/>
  <c r="L36"/>
  <c r="N33"/>
  <c r="L32"/>
  <c r="N29"/>
  <c r="L28"/>
  <c r="N25"/>
  <c r="L24"/>
  <c r="N21"/>
  <c r="L20"/>
  <c r="N17"/>
  <c r="L16"/>
  <c r="L12"/>
  <c r="N9"/>
  <c r="L8"/>
  <c r="N5"/>
  <c r="M25"/>
  <c r="M17"/>
  <c r="M5"/>
  <c r="K56" i="37"/>
  <c r="K55"/>
  <c r="K52"/>
  <c r="K49"/>
  <c r="O45" i="38"/>
  <c r="O41"/>
  <c r="G41"/>
  <c r="O37"/>
  <c r="O33"/>
  <c r="O29"/>
  <c r="O25"/>
  <c r="O21"/>
  <c r="O17"/>
  <c r="O9"/>
  <c r="O5"/>
  <c r="M45"/>
  <c r="M37"/>
  <c r="M29"/>
  <c r="M21"/>
  <c r="K57" i="37"/>
  <c r="P45" i="38"/>
  <c r="P41"/>
  <c r="P37"/>
  <c r="P33"/>
  <c r="P29"/>
  <c r="P25"/>
  <c r="P21"/>
  <c r="P17"/>
  <c r="P9"/>
  <c r="P5"/>
  <c r="S134" i="29"/>
  <c r="S72"/>
  <c r="T72"/>
  <c r="U72"/>
  <c r="V72"/>
  <c r="S13"/>
  <c r="T13"/>
  <c r="U13"/>
  <c r="V13"/>
  <c r="I13"/>
  <c r="E187"/>
  <c r="E186"/>
  <c r="E190"/>
  <c r="E128"/>
  <c r="E125"/>
  <c r="E124"/>
  <c r="E66"/>
  <c r="E65"/>
  <c r="E191" i="30"/>
  <c r="E188"/>
  <c r="E187"/>
  <c r="E67"/>
  <c r="E129"/>
  <c r="E126"/>
  <c r="E125"/>
  <c r="E65"/>
  <c r="E64"/>
  <c r="E178" i="17"/>
  <c r="E177"/>
  <c r="E175"/>
  <c r="E174"/>
  <c r="E179" i="26"/>
  <c r="E178"/>
  <c r="E177"/>
  <c r="E175"/>
  <c r="E174"/>
  <c r="C1" i="30"/>
  <c r="C1" i="26"/>
  <c r="C181" i="30"/>
  <c r="A180"/>
  <c r="H180" s="1"/>
  <c r="G179"/>
  <c r="B179"/>
  <c r="A179"/>
  <c r="H179" s="1"/>
  <c r="B178"/>
  <c r="A178"/>
  <c r="G178" s="1"/>
  <c r="A177"/>
  <c r="G177" s="1"/>
  <c r="B176"/>
  <c r="A176"/>
  <c r="H175"/>
  <c r="A175"/>
  <c r="B175" s="1"/>
  <c r="A174"/>
  <c r="A173"/>
  <c r="B173" s="1"/>
  <c r="B172"/>
  <c r="A172"/>
  <c r="H172" s="1"/>
  <c r="B171"/>
  <c r="A171"/>
  <c r="A170"/>
  <c r="A169"/>
  <c r="A168"/>
  <c r="B168" s="1"/>
  <c r="B167"/>
  <c r="A167"/>
  <c r="A166"/>
  <c r="A165"/>
  <c r="B165" s="1"/>
  <c r="B164"/>
  <c r="A164"/>
  <c r="H164" s="1"/>
  <c r="H163"/>
  <c r="A163"/>
  <c r="B163" s="1"/>
  <c r="A162"/>
  <c r="A161"/>
  <c r="A160"/>
  <c r="A159"/>
  <c r="B159" s="1"/>
  <c r="A158"/>
  <c r="A157"/>
  <c r="A156"/>
  <c r="H156" s="1"/>
  <c r="A155"/>
  <c r="A154"/>
  <c r="A153"/>
  <c r="A152"/>
  <c r="B152" s="1"/>
  <c r="B151"/>
  <c r="A151"/>
  <c r="H151" s="1"/>
  <c r="A150"/>
  <c r="A149"/>
  <c r="B148"/>
  <c r="A148"/>
  <c r="H148" s="1"/>
  <c r="A147"/>
  <c r="B146"/>
  <c r="A146"/>
  <c r="A145"/>
  <c r="B144"/>
  <c r="A144"/>
  <c r="A143"/>
  <c r="H143" s="1"/>
  <c r="A142"/>
  <c r="A141"/>
  <c r="B141" s="1"/>
  <c r="A140"/>
  <c r="H140" s="1"/>
  <c r="B139"/>
  <c r="A139"/>
  <c r="H139" s="1"/>
  <c r="B138"/>
  <c r="A138"/>
  <c r="A137"/>
  <c r="A136"/>
  <c r="H136" s="1"/>
  <c r="V135"/>
  <c r="U135"/>
  <c r="T135"/>
  <c r="S135"/>
  <c r="R135"/>
  <c r="Q135"/>
  <c r="P135"/>
  <c r="O135"/>
  <c r="N135"/>
  <c r="M135"/>
  <c r="L135"/>
  <c r="K135"/>
  <c r="J135"/>
  <c r="I135"/>
  <c r="H135"/>
  <c r="H134"/>
  <c r="I134" s="1"/>
  <c r="J134" s="1"/>
  <c r="K134" s="1"/>
  <c r="L134" s="1"/>
  <c r="M134" s="1"/>
  <c r="N134" s="1"/>
  <c r="O134" s="1"/>
  <c r="P134" s="1"/>
  <c r="Q134" s="1"/>
  <c r="R134" s="1"/>
  <c r="S134" s="1"/>
  <c r="G134"/>
  <c r="C119"/>
  <c r="B118"/>
  <c r="A118"/>
  <c r="G118" s="1"/>
  <c r="A117"/>
  <c r="A116"/>
  <c r="H116" s="1"/>
  <c r="G115"/>
  <c r="B115"/>
  <c r="A115"/>
  <c r="H115" s="1"/>
  <c r="A114"/>
  <c r="A113"/>
  <c r="A112"/>
  <c r="H112" s="1"/>
  <c r="A111"/>
  <c r="B110"/>
  <c r="A110"/>
  <c r="A109"/>
  <c r="B109" s="1"/>
  <c r="A108"/>
  <c r="A107"/>
  <c r="B107" s="1"/>
  <c r="A106"/>
  <c r="A105"/>
  <c r="A104"/>
  <c r="H104" s="1"/>
  <c r="A103"/>
  <c r="B103" s="1"/>
  <c r="B102"/>
  <c r="A102"/>
  <c r="A101"/>
  <c r="B101" s="1"/>
  <c r="A100"/>
  <c r="B100" s="1"/>
  <c r="A99"/>
  <c r="B99" s="1"/>
  <c r="A98"/>
  <c r="A97"/>
  <c r="A96"/>
  <c r="H96" s="1"/>
  <c r="A95"/>
  <c r="B95" s="1"/>
  <c r="B94"/>
  <c r="A94"/>
  <c r="A93"/>
  <c r="B93" s="1"/>
  <c r="A92"/>
  <c r="A91"/>
  <c r="H91" s="1"/>
  <c r="A90"/>
  <c r="A89"/>
  <c r="A88"/>
  <c r="H88" s="1"/>
  <c r="A87"/>
  <c r="A86"/>
  <c r="A85"/>
  <c r="B85" s="1"/>
  <c r="A84"/>
  <c r="B84" s="1"/>
  <c r="B83"/>
  <c r="A83"/>
  <c r="A82"/>
  <c r="H82" s="1"/>
  <c r="A81"/>
  <c r="B81" s="1"/>
  <c r="A80"/>
  <c r="H80" s="1"/>
  <c r="B79"/>
  <c r="A79"/>
  <c r="H78"/>
  <c r="B78"/>
  <c r="A78"/>
  <c r="A77"/>
  <c r="B76"/>
  <c r="A76"/>
  <c r="H76" s="1"/>
  <c r="A75"/>
  <c r="A74"/>
  <c r="V73"/>
  <c r="U73"/>
  <c r="T73"/>
  <c r="S73"/>
  <c r="R73"/>
  <c r="Q73"/>
  <c r="P73"/>
  <c r="O73"/>
  <c r="N73"/>
  <c r="M73"/>
  <c r="L73"/>
  <c r="K73"/>
  <c r="J73"/>
  <c r="I73"/>
  <c r="H73"/>
  <c r="P72"/>
  <c r="Q72" s="1"/>
  <c r="R72" s="1"/>
  <c r="S72" s="1"/>
  <c r="T72" s="1"/>
  <c r="U72" s="1"/>
  <c r="V72" s="1"/>
  <c r="H72"/>
  <c r="I72" s="1"/>
  <c r="J72" s="1"/>
  <c r="K72" s="1"/>
  <c r="L72" s="1"/>
  <c r="M72" s="1"/>
  <c r="N72" s="1"/>
  <c r="O72" s="1"/>
  <c r="G72"/>
  <c r="C58"/>
  <c r="H57"/>
  <c r="G57"/>
  <c r="D57"/>
  <c r="B57"/>
  <c r="H56"/>
  <c r="G56"/>
  <c r="D56"/>
  <c r="B56"/>
  <c r="H55"/>
  <c r="G55"/>
  <c r="D55"/>
  <c r="B55"/>
  <c r="H54"/>
  <c r="G54"/>
  <c r="D54"/>
  <c r="B54"/>
  <c r="H53"/>
  <c r="B53"/>
  <c r="H52"/>
  <c r="B52"/>
  <c r="H51"/>
  <c r="B51"/>
  <c r="H50"/>
  <c r="B50"/>
  <c r="H49"/>
  <c r="B49"/>
  <c r="H48"/>
  <c r="B48"/>
  <c r="H47"/>
  <c r="B47"/>
  <c r="H46"/>
  <c r="B46"/>
  <c r="H45"/>
  <c r="B45"/>
  <c r="H44"/>
  <c r="B44"/>
  <c r="H43"/>
  <c r="B43"/>
  <c r="H42"/>
  <c r="B42"/>
  <c r="H41"/>
  <c r="B41"/>
  <c r="H40"/>
  <c r="B40"/>
  <c r="H39"/>
  <c r="B39"/>
  <c r="H38"/>
  <c r="B38"/>
  <c r="H37"/>
  <c r="B37"/>
  <c r="H36"/>
  <c r="B36"/>
  <c r="H35"/>
  <c r="B35"/>
  <c r="H34"/>
  <c r="B34"/>
  <c r="H33"/>
  <c r="B33"/>
  <c r="H32"/>
  <c r="B32"/>
  <c r="H31"/>
  <c r="B31"/>
  <c r="H30"/>
  <c r="B30"/>
  <c r="H29"/>
  <c r="B29"/>
  <c r="H28"/>
  <c r="B28"/>
  <c r="H27"/>
  <c r="B27"/>
  <c r="H26"/>
  <c r="B26"/>
  <c r="H25"/>
  <c r="B25"/>
  <c r="H24"/>
  <c r="B24"/>
  <c r="H23"/>
  <c r="B23"/>
  <c r="H22"/>
  <c r="B22"/>
  <c r="H21"/>
  <c r="B21"/>
  <c r="H20"/>
  <c r="B20"/>
  <c r="H19"/>
  <c r="B19"/>
  <c r="H18"/>
  <c r="B18"/>
  <c r="H17"/>
  <c r="B17"/>
  <c r="H16"/>
  <c r="B16"/>
  <c r="H15"/>
  <c r="B15"/>
  <c r="H14"/>
  <c r="B14"/>
  <c r="H13"/>
  <c r="B13"/>
  <c r="V12"/>
  <c r="U12"/>
  <c r="T12"/>
  <c r="S12"/>
  <c r="R12"/>
  <c r="Q12"/>
  <c r="P12"/>
  <c r="O12"/>
  <c r="N12"/>
  <c r="M12"/>
  <c r="L12"/>
  <c r="K12"/>
  <c r="J12"/>
  <c r="I12"/>
  <c r="H12"/>
  <c r="I1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H11"/>
  <c r="G11"/>
  <c r="C180" i="29"/>
  <c r="A179"/>
  <c r="H179" s="1"/>
  <c r="A178"/>
  <c r="H178" s="1"/>
  <c r="A177"/>
  <c r="A176"/>
  <c r="H176" s="1"/>
  <c r="H175"/>
  <c r="A175"/>
  <c r="B175" s="1"/>
  <c r="A174"/>
  <c r="B174" s="1"/>
  <c r="A173"/>
  <c r="B173" s="1"/>
  <c r="A172"/>
  <c r="B172" s="1"/>
  <c r="A171"/>
  <c r="A170"/>
  <c r="H170" s="1"/>
  <c r="A169"/>
  <c r="A168"/>
  <c r="H168" s="1"/>
  <c r="A167"/>
  <c r="B166"/>
  <c r="A166"/>
  <c r="A165"/>
  <c r="B165" s="1"/>
  <c r="A164"/>
  <c r="B164" s="1"/>
  <c r="A163"/>
  <c r="H163" s="1"/>
  <c r="B162"/>
  <c r="A162"/>
  <c r="H162" s="1"/>
  <c r="A161"/>
  <c r="B160"/>
  <c r="A160"/>
  <c r="H160" s="1"/>
  <c r="A159"/>
  <c r="B159" s="1"/>
  <c r="A158"/>
  <c r="B158" s="1"/>
  <c r="A157"/>
  <c r="B157" s="1"/>
  <c r="A156"/>
  <c r="B156" s="1"/>
  <c r="H155"/>
  <c r="A155"/>
  <c r="A154"/>
  <c r="H154" s="1"/>
  <c r="A153"/>
  <c r="A152"/>
  <c r="H152" s="1"/>
  <c r="A151"/>
  <c r="A150"/>
  <c r="B150" s="1"/>
  <c r="A149"/>
  <c r="B149" s="1"/>
  <c r="A148"/>
  <c r="B148" s="1"/>
  <c r="A147"/>
  <c r="A146"/>
  <c r="H146" s="1"/>
  <c r="A145"/>
  <c r="A144"/>
  <c r="H144" s="1"/>
  <c r="B143"/>
  <c r="A143"/>
  <c r="H143" s="1"/>
  <c r="A142"/>
  <c r="A141"/>
  <c r="B141" s="1"/>
  <c r="A140"/>
  <c r="A139"/>
  <c r="H139" s="1"/>
  <c r="A138"/>
  <c r="A137"/>
  <c r="A136"/>
  <c r="A135"/>
  <c r="B135" s="1"/>
  <c r="R134"/>
  <c r="Q134"/>
  <c r="P134"/>
  <c r="O134"/>
  <c r="N134"/>
  <c r="M134"/>
  <c r="L134"/>
  <c r="K134"/>
  <c r="J134"/>
  <c r="I134"/>
  <c r="H134"/>
  <c r="G133"/>
  <c r="H133" s="1"/>
  <c r="I133" s="1"/>
  <c r="J133" s="1"/>
  <c r="K133" s="1"/>
  <c r="L133" s="1"/>
  <c r="M133" s="1"/>
  <c r="N133" s="1"/>
  <c r="O133" s="1"/>
  <c r="P133" s="1"/>
  <c r="Q133" s="1"/>
  <c r="R133" s="1"/>
  <c r="S133" s="1"/>
  <c r="C118"/>
  <c r="A117"/>
  <c r="H117" s="1"/>
  <c r="G116"/>
  <c r="A116"/>
  <c r="B116" s="1"/>
  <c r="A115"/>
  <c r="G115" s="1"/>
  <c r="A114"/>
  <c r="G114" s="1"/>
  <c r="B113"/>
  <c r="A113"/>
  <c r="A112"/>
  <c r="A111"/>
  <c r="B111" s="1"/>
  <c r="A110"/>
  <c r="H110" s="1"/>
  <c r="A109"/>
  <c r="B108"/>
  <c r="A108"/>
  <c r="H108" s="1"/>
  <c r="A107"/>
  <c r="A106"/>
  <c r="A105"/>
  <c r="B104"/>
  <c r="A104"/>
  <c r="H104" s="1"/>
  <c r="A103"/>
  <c r="B103" s="1"/>
  <c r="A102"/>
  <c r="H102" s="1"/>
  <c r="B101"/>
  <c r="A101"/>
  <c r="H101" s="1"/>
  <c r="A100"/>
  <c r="B100" s="1"/>
  <c r="H99"/>
  <c r="A99"/>
  <c r="A98"/>
  <c r="H98" s="1"/>
  <c r="A97"/>
  <c r="A96"/>
  <c r="A95"/>
  <c r="B95" s="1"/>
  <c r="A94"/>
  <c r="H94" s="1"/>
  <c r="A93"/>
  <c r="H93" s="1"/>
  <c r="A92"/>
  <c r="B92" s="1"/>
  <c r="A91"/>
  <c r="H90"/>
  <c r="A90"/>
  <c r="A89"/>
  <c r="A88"/>
  <c r="B87"/>
  <c r="A87"/>
  <c r="H87" s="1"/>
  <c r="H86"/>
  <c r="B86"/>
  <c r="A86"/>
  <c r="B85"/>
  <c r="A85"/>
  <c r="A84"/>
  <c r="H83"/>
  <c r="A83"/>
  <c r="B83" s="1"/>
  <c r="H82"/>
  <c r="B82"/>
  <c r="A82"/>
  <c r="A81"/>
  <c r="A80"/>
  <c r="A79"/>
  <c r="B79" s="1"/>
  <c r="A78"/>
  <c r="A77"/>
  <c r="H76"/>
  <c r="A76"/>
  <c r="B76" s="1"/>
  <c r="A75"/>
  <c r="B75" s="1"/>
  <c r="A74"/>
  <c r="A73"/>
  <c r="R72"/>
  <c r="Q72"/>
  <c r="P72"/>
  <c r="O72"/>
  <c r="N72"/>
  <c r="M72"/>
  <c r="L72"/>
  <c r="K72"/>
  <c r="J72"/>
  <c r="I72"/>
  <c r="H72"/>
  <c r="G71"/>
  <c r="H71" s="1"/>
  <c r="I71" s="1"/>
  <c r="J71" s="1"/>
  <c r="K71" s="1"/>
  <c r="L71" s="1"/>
  <c r="M71" s="1"/>
  <c r="N71" s="1"/>
  <c r="O71" s="1"/>
  <c r="P71" s="1"/>
  <c r="Q71" s="1"/>
  <c r="R71" s="1"/>
  <c r="S71" s="1"/>
  <c r="T71" s="1"/>
  <c r="U71" s="1"/>
  <c r="V71" s="1"/>
  <c r="C59"/>
  <c r="H58"/>
  <c r="G58"/>
  <c r="D58"/>
  <c r="C58" s="1"/>
  <c r="B58"/>
  <c r="H57"/>
  <c r="G57"/>
  <c r="D57"/>
  <c r="D116" s="1"/>
  <c r="C116" s="1"/>
  <c r="B57"/>
  <c r="H56"/>
  <c r="G56"/>
  <c r="D56"/>
  <c r="C56" s="1"/>
  <c r="B56"/>
  <c r="H55"/>
  <c r="G55"/>
  <c r="D55"/>
  <c r="D176" s="1"/>
  <c r="C176" s="1"/>
  <c r="B55"/>
  <c r="H54"/>
  <c r="G54"/>
  <c r="B54"/>
  <c r="H53"/>
  <c r="G53"/>
  <c r="B53"/>
  <c r="H52"/>
  <c r="G52"/>
  <c r="B52"/>
  <c r="H51"/>
  <c r="G51"/>
  <c r="B51"/>
  <c r="H50"/>
  <c r="G50"/>
  <c r="B50"/>
  <c r="H49"/>
  <c r="G49"/>
  <c r="B49"/>
  <c r="H48"/>
  <c r="G48"/>
  <c r="B48"/>
  <c r="H47"/>
  <c r="G47"/>
  <c r="B47"/>
  <c r="H46"/>
  <c r="G46"/>
  <c r="B46"/>
  <c r="H45"/>
  <c r="G45"/>
  <c r="B45"/>
  <c r="H44"/>
  <c r="G44"/>
  <c r="B44"/>
  <c r="H43"/>
  <c r="G43"/>
  <c r="B43"/>
  <c r="H42"/>
  <c r="G42"/>
  <c r="B42"/>
  <c r="H41"/>
  <c r="G41"/>
  <c r="B41"/>
  <c r="H40"/>
  <c r="G40"/>
  <c r="B40"/>
  <c r="H39"/>
  <c r="G39"/>
  <c r="B39"/>
  <c r="H38"/>
  <c r="G38"/>
  <c r="B38"/>
  <c r="H37"/>
  <c r="G37"/>
  <c r="B37"/>
  <c r="H36"/>
  <c r="G36"/>
  <c r="B36"/>
  <c r="H35"/>
  <c r="G35"/>
  <c r="B35"/>
  <c r="H34"/>
  <c r="G34"/>
  <c r="B34"/>
  <c r="H33"/>
  <c r="G33"/>
  <c r="B33"/>
  <c r="H32"/>
  <c r="G32"/>
  <c r="B32"/>
  <c r="H31"/>
  <c r="G31"/>
  <c r="B31"/>
  <c r="H30"/>
  <c r="G30"/>
  <c r="B30"/>
  <c r="H29"/>
  <c r="G29"/>
  <c r="B29"/>
  <c r="H28"/>
  <c r="G28"/>
  <c r="B28"/>
  <c r="H27"/>
  <c r="G27"/>
  <c r="B27"/>
  <c r="H26"/>
  <c r="G26"/>
  <c r="B26"/>
  <c r="H25"/>
  <c r="G25"/>
  <c r="B25"/>
  <c r="H24"/>
  <c r="G24"/>
  <c r="B24"/>
  <c r="H23"/>
  <c r="G23"/>
  <c r="B23"/>
  <c r="H22"/>
  <c r="G22"/>
  <c r="B22"/>
  <c r="H21"/>
  <c r="G21"/>
  <c r="B21"/>
  <c r="H20"/>
  <c r="G20"/>
  <c r="B20"/>
  <c r="H19"/>
  <c r="G19"/>
  <c r="B19"/>
  <c r="H18"/>
  <c r="G18"/>
  <c r="B18"/>
  <c r="H17"/>
  <c r="G17"/>
  <c r="B17"/>
  <c r="H16"/>
  <c r="G16"/>
  <c r="B16"/>
  <c r="H15"/>
  <c r="G15"/>
  <c r="B15"/>
  <c r="H14"/>
  <c r="G14"/>
  <c r="B14"/>
  <c r="R13"/>
  <c r="Q13"/>
  <c r="P13"/>
  <c r="O13"/>
  <c r="N13"/>
  <c r="M13"/>
  <c r="L13"/>
  <c r="K13"/>
  <c r="J13"/>
  <c r="H13"/>
  <c r="G12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D22" i="52" l="1"/>
  <c r="D21"/>
  <c r="O54" i="46"/>
  <c r="P50"/>
  <c r="P46"/>
  <c r="L21"/>
  <c r="R37"/>
  <c r="Q37"/>
  <c r="P38"/>
  <c r="N27"/>
  <c r="J21"/>
  <c r="Q53"/>
  <c r="N44"/>
  <c r="L50"/>
  <c r="Q14"/>
  <c r="P16"/>
  <c r="N24"/>
  <c r="O22"/>
  <c r="O34"/>
  <c r="R30"/>
  <c r="N33"/>
  <c r="N37"/>
  <c r="J32"/>
  <c r="K33"/>
  <c r="P37"/>
  <c r="L35"/>
  <c r="I23"/>
  <c r="M20"/>
  <c r="K38"/>
  <c r="K19"/>
  <c r="N23"/>
  <c r="R35"/>
  <c r="K31"/>
  <c r="K30"/>
  <c r="P36"/>
  <c r="I32"/>
  <c r="Q38"/>
  <c r="Q19"/>
  <c r="R38"/>
  <c r="K26"/>
  <c r="R16"/>
  <c r="M24"/>
  <c r="M16"/>
  <c r="R28"/>
  <c r="O17"/>
  <c r="J24"/>
  <c r="N29"/>
  <c r="L32"/>
  <c r="P41"/>
  <c r="P45"/>
  <c r="P40"/>
  <c r="O39"/>
  <c r="O50"/>
  <c r="R50"/>
  <c r="R51"/>
  <c r="Q40"/>
  <c r="Q39"/>
  <c r="N42"/>
  <c r="N43"/>
  <c r="N40"/>
  <c r="M52"/>
  <c r="M48"/>
  <c r="M42"/>
  <c r="L40"/>
  <c r="L51"/>
  <c r="K50"/>
  <c r="K53"/>
  <c r="J50"/>
  <c r="I52"/>
  <c r="I41"/>
  <c r="Q34"/>
  <c r="P14"/>
  <c r="N21"/>
  <c r="L28"/>
  <c r="I31"/>
  <c r="N26"/>
  <c r="R32"/>
  <c r="R33"/>
  <c r="J17"/>
  <c r="J20"/>
  <c r="I22"/>
  <c r="N35"/>
  <c r="I16"/>
  <c r="M23"/>
  <c r="I35"/>
  <c r="I15"/>
  <c r="N38"/>
  <c r="P15"/>
  <c r="R26"/>
  <c r="Q20"/>
  <c r="I20"/>
  <c r="O32"/>
  <c r="N16"/>
  <c r="K27"/>
  <c r="O35"/>
  <c r="J27"/>
  <c r="O38"/>
  <c r="K34"/>
  <c r="J30"/>
  <c r="P51"/>
  <c r="P49"/>
  <c r="P47"/>
  <c r="O51"/>
  <c r="R54"/>
  <c r="R45"/>
  <c r="R52"/>
  <c r="R43"/>
  <c r="Q46"/>
  <c r="Q45"/>
  <c r="N41"/>
  <c r="M51"/>
  <c r="L42"/>
  <c r="L44"/>
  <c r="K39"/>
  <c r="K42"/>
  <c r="J45"/>
  <c r="J49"/>
  <c r="J52"/>
  <c r="J43"/>
  <c r="I51"/>
  <c r="I48"/>
  <c r="P21"/>
  <c r="L31"/>
  <c r="J33"/>
  <c r="O26"/>
  <c r="K17"/>
  <c r="N19"/>
  <c r="J26"/>
  <c r="R34"/>
  <c r="K22"/>
  <c r="O52"/>
  <c r="L53"/>
  <c r="J40"/>
  <c r="I42"/>
  <c r="O21"/>
  <c r="R27"/>
  <c r="Q27"/>
  <c r="N32"/>
  <c r="P17"/>
  <c r="J14"/>
  <c r="O30"/>
  <c r="O23"/>
  <c r="J34"/>
  <c r="R14"/>
  <c r="M21"/>
  <c r="P54"/>
  <c r="P53"/>
  <c r="O47"/>
  <c r="Q49"/>
  <c r="N46"/>
  <c r="L46"/>
  <c r="L41"/>
  <c r="J54"/>
  <c r="N34"/>
  <c r="L24"/>
  <c r="Q23"/>
  <c r="M37"/>
  <c r="R29"/>
  <c r="K25"/>
  <c r="I34"/>
  <c r="I38"/>
  <c r="M22"/>
  <c r="M38"/>
  <c r="R21"/>
  <c r="O19"/>
  <c r="R24"/>
  <c r="O49"/>
  <c r="Q41"/>
  <c r="N47"/>
  <c r="L48"/>
  <c r="Q24"/>
  <c r="N28"/>
  <c r="P28"/>
  <c r="O28"/>
  <c r="L25"/>
  <c r="R15"/>
  <c r="J37"/>
  <c r="K24"/>
  <c r="K20"/>
  <c r="L29"/>
  <c r="R25"/>
  <c r="L38"/>
  <c r="K23"/>
  <c r="J36"/>
  <c r="P32"/>
  <c r="K16"/>
  <c r="I30"/>
  <c r="M25"/>
  <c r="I33"/>
  <c r="O20"/>
  <c r="P44"/>
  <c r="P52"/>
  <c r="O45"/>
  <c r="O42"/>
  <c r="R39"/>
  <c r="Q54"/>
  <c r="Q47"/>
  <c r="N52"/>
  <c r="M43"/>
  <c r="L45"/>
  <c r="L43"/>
  <c r="K45"/>
  <c r="K49"/>
  <c r="K47"/>
  <c r="K48"/>
  <c r="J48"/>
  <c r="I54"/>
  <c r="I45"/>
  <c r="I47"/>
  <c r="Q16"/>
  <c r="O14"/>
  <c r="P29"/>
  <c r="L15"/>
  <c r="J38"/>
  <c r="N20"/>
  <c r="I18"/>
  <c r="J16"/>
  <c r="P42"/>
  <c r="O41"/>
  <c r="R40"/>
  <c r="Q50"/>
  <c r="N51"/>
  <c r="M41"/>
  <c r="L49"/>
  <c r="K51"/>
  <c r="J44"/>
  <c r="I39"/>
  <c r="P34"/>
  <c r="O31"/>
  <c r="P33"/>
  <c r="N15"/>
  <c r="L17"/>
  <c r="M29"/>
  <c r="I17"/>
  <c r="P26"/>
  <c r="O27"/>
  <c r="I14"/>
  <c r="R31"/>
  <c r="Q51"/>
  <c r="N50"/>
  <c r="L54"/>
  <c r="K46"/>
  <c r="Q28"/>
  <c r="L16"/>
  <c r="K14"/>
  <c r="P30"/>
  <c r="O25"/>
  <c r="L20"/>
  <c r="J25"/>
  <c r="M36"/>
  <c r="Q25"/>
  <c r="P25"/>
  <c r="M15"/>
  <c r="L27"/>
  <c r="P39"/>
  <c r="O43"/>
  <c r="R48"/>
  <c r="Q42"/>
  <c r="M49"/>
  <c r="K40"/>
  <c r="J51"/>
  <c r="I44"/>
  <c r="Q22"/>
  <c r="N22"/>
  <c r="P24"/>
  <c r="O16"/>
  <c r="M27"/>
  <c r="L14"/>
  <c r="L22"/>
  <c r="L34"/>
  <c r="Q36"/>
  <c r="M33"/>
  <c r="L37"/>
  <c r="I36"/>
  <c r="P20"/>
  <c r="J29"/>
  <c r="K32"/>
  <c r="N25"/>
  <c r="M17"/>
  <c r="Q30"/>
  <c r="K21"/>
  <c r="J23"/>
  <c r="L36"/>
  <c r="Q32"/>
  <c r="J19"/>
  <c r="P35"/>
  <c r="M26"/>
  <c r="O29"/>
  <c r="M31"/>
  <c r="N30"/>
  <c r="R22"/>
  <c r="J31"/>
  <c r="M14"/>
  <c r="I29"/>
  <c r="N49"/>
  <c r="N53"/>
  <c r="N31"/>
  <c r="I21"/>
  <c r="J35"/>
  <c r="Q33"/>
  <c r="K36"/>
  <c r="Q17"/>
  <c r="L30"/>
  <c r="R44"/>
  <c r="N48"/>
  <c r="M46"/>
  <c r="M53"/>
  <c r="I53"/>
  <c r="Q31"/>
  <c r="N14"/>
  <c r="N17"/>
  <c r="O15"/>
  <c r="R17"/>
  <c r="P27"/>
  <c r="R20"/>
  <c r="N36"/>
  <c r="I27"/>
  <c r="R23"/>
  <c r="P19"/>
  <c r="O37"/>
  <c r="O33"/>
  <c r="P43"/>
  <c r="R41"/>
  <c r="M44"/>
  <c r="K52"/>
  <c r="I50"/>
  <c r="P31"/>
  <c r="M30"/>
  <c r="J15"/>
  <c r="I26"/>
  <c r="L23"/>
  <c r="I19"/>
  <c r="I24"/>
  <c r="Q29"/>
  <c r="P48"/>
  <c r="O44"/>
  <c r="O46"/>
  <c r="Q52"/>
  <c r="M47"/>
  <c r="L47"/>
  <c r="Q21"/>
  <c r="P22"/>
  <c r="O24"/>
  <c r="M35"/>
  <c r="L33"/>
  <c r="K37"/>
  <c r="K28"/>
  <c r="K29"/>
  <c r="K35"/>
  <c r="K15"/>
  <c r="Q26"/>
  <c r="L19"/>
  <c r="I37"/>
  <c r="P23"/>
  <c r="R36"/>
  <c r="I25"/>
  <c r="Q35"/>
  <c r="Q15"/>
  <c r="R19"/>
  <c r="L26"/>
  <c r="M28"/>
  <c r="J28"/>
  <c r="O36"/>
  <c r="J22"/>
  <c r="M19"/>
  <c r="M34"/>
  <c r="I28"/>
  <c r="M32"/>
  <c r="K14" i="47"/>
  <c r="M13"/>
  <c r="L14"/>
  <c r="Q18"/>
  <c r="I14"/>
  <c r="P18"/>
  <c r="O20"/>
  <c r="Q14"/>
  <c r="N14"/>
  <c r="K19"/>
  <c r="J18"/>
  <c r="O19"/>
  <c r="J15"/>
  <c r="I16"/>
  <c r="I17"/>
  <c r="I21"/>
  <c r="J16"/>
  <c r="I13"/>
  <c r="P14"/>
  <c r="I19"/>
  <c r="L13"/>
  <c r="M17"/>
  <c r="L16"/>
  <c r="R20"/>
  <c r="M21"/>
  <c r="N16"/>
  <c r="Q21"/>
  <c r="K18"/>
  <c r="M16"/>
  <c r="N15"/>
  <c r="R13"/>
  <c r="K21"/>
  <c r="J19"/>
  <c r="P17"/>
  <c r="Q20"/>
  <c r="N13"/>
  <c r="I20"/>
  <c r="J21"/>
  <c r="O16"/>
  <c r="K15"/>
  <c r="J20"/>
  <c r="I18"/>
  <c r="R18"/>
  <c r="O17"/>
  <c r="O21"/>
  <c r="N21"/>
  <c r="R21"/>
  <c r="P21"/>
  <c r="L21"/>
  <c r="N20"/>
  <c r="M20"/>
  <c r="P20"/>
  <c r="L20"/>
  <c r="K20"/>
  <c r="Q16"/>
  <c r="M15"/>
  <c r="L19"/>
  <c r="O15"/>
  <c r="N17"/>
  <c r="P19"/>
  <c r="R19"/>
  <c r="Q19"/>
  <c r="M19"/>
  <c r="N19"/>
  <c r="N18"/>
  <c r="L18"/>
  <c r="M18"/>
  <c r="L17"/>
  <c r="O18"/>
  <c r="R16"/>
  <c r="K17"/>
  <c r="Q17"/>
  <c r="J17"/>
  <c r="R17"/>
  <c r="K16"/>
  <c r="I15"/>
  <c r="O13"/>
  <c r="P16"/>
  <c r="P15"/>
  <c r="R15"/>
  <c r="Q15"/>
  <c r="L15"/>
  <c r="M14"/>
  <c r="R14"/>
  <c r="J14"/>
  <c r="O14"/>
  <c r="P13"/>
  <c r="Q13"/>
  <c r="J13"/>
  <c r="K13"/>
  <c r="F23"/>
  <c r="F22"/>
  <c r="I20" i="37"/>
  <c r="J19"/>
  <c r="K19"/>
  <c r="L19"/>
  <c r="N13"/>
  <c r="L18"/>
  <c r="R15"/>
  <c r="Q18"/>
  <c r="J22"/>
  <c r="R19"/>
  <c r="I18"/>
  <c r="Q13"/>
  <c r="I17"/>
  <c r="K16"/>
  <c r="R14"/>
  <c r="K18"/>
  <c r="R18"/>
  <c r="R22"/>
  <c r="O20"/>
  <c r="O19"/>
  <c r="Q14"/>
  <c r="L22"/>
  <c r="I15"/>
  <c r="M21"/>
  <c r="O13"/>
  <c r="R13"/>
  <c r="I21"/>
  <c r="P14"/>
  <c r="I19"/>
  <c r="M15"/>
  <c r="N22"/>
  <c r="I14"/>
  <c r="N20"/>
  <c r="N18"/>
  <c r="J23"/>
  <c r="P13"/>
  <c r="K15"/>
  <c r="R16"/>
  <c r="J20"/>
  <c r="N21"/>
  <c r="P18"/>
  <c r="R20"/>
  <c r="I16"/>
  <c r="R23"/>
  <c r="O15"/>
  <c r="N17"/>
  <c r="L17"/>
  <c r="R21"/>
  <c r="K14"/>
  <c r="Q23"/>
  <c r="K17"/>
  <c r="O22"/>
  <c r="P19"/>
  <c r="L23"/>
  <c r="M20"/>
  <c r="N15"/>
  <c r="M16"/>
  <c r="K21"/>
  <c r="J21"/>
  <c r="M17"/>
  <c r="P17"/>
  <c r="N14"/>
  <c r="K22"/>
  <c r="Q20"/>
  <c r="N16"/>
  <c r="J18"/>
  <c r="O21"/>
  <c r="M18"/>
  <c r="P15"/>
  <c r="O17"/>
  <c r="L16"/>
  <c r="L14"/>
  <c r="J15"/>
  <c r="Q17"/>
  <c r="M13"/>
  <c r="L21"/>
  <c r="P20"/>
  <c r="P16"/>
  <c r="J14"/>
  <c r="I22"/>
  <c r="L20"/>
  <c r="O14"/>
  <c r="J13"/>
  <c r="O18"/>
  <c r="Q19"/>
  <c r="M19"/>
  <c r="K23"/>
  <c r="P21"/>
  <c r="P23"/>
  <c r="Q16"/>
  <c r="L13"/>
  <c r="J16"/>
  <c r="I13"/>
  <c r="P22"/>
  <c r="O16"/>
  <c r="M14"/>
  <c r="M22"/>
  <c r="I23"/>
  <c r="Q15"/>
  <c r="L15"/>
  <c r="Q21"/>
  <c r="Q22"/>
  <c r="K20"/>
  <c r="K13"/>
  <c r="O23"/>
  <c r="J17"/>
  <c r="N19"/>
  <c r="R17"/>
  <c r="M23"/>
  <c r="N23"/>
  <c r="F54"/>
  <c r="F47"/>
  <c r="F26"/>
  <c r="F33"/>
  <c r="F29"/>
  <c r="F31"/>
  <c r="F25"/>
  <c r="F37"/>
  <c r="F57"/>
  <c r="F46"/>
  <c r="F42"/>
  <c r="F30"/>
  <c r="F36"/>
  <c r="F55"/>
  <c r="F28"/>
  <c r="F34"/>
  <c r="F39"/>
  <c r="F49"/>
  <c r="F50"/>
  <c r="F40"/>
  <c r="F45"/>
  <c r="F38"/>
  <c r="F27"/>
  <c r="F35"/>
  <c r="F43"/>
  <c r="F41"/>
  <c r="F56"/>
  <c r="F32"/>
  <c r="F53"/>
  <c r="F51"/>
  <c r="F44"/>
  <c r="F24"/>
  <c r="F52"/>
  <c r="F48"/>
  <c r="V85" i="29"/>
  <c r="V104"/>
  <c r="V108"/>
  <c r="V95"/>
  <c r="V79"/>
  <c r="V75"/>
  <c r="V103"/>
  <c r="U21"/>
  <c r="V101"/>
  <c r="V111"/>
  <c r="U116"/>
  <c r="S135"/>
  <c r="T76"/>
  <c r="S157"/>
  <c r="S162"/>
  <c r="S158"/>
  <c r="S149"/>
  <c r="S156"/>
  <c r="S100"/>
  <c r="S141"/>
  <c r="S148"/>
  <c r="S173"/>
  <c r="S172"/>
  <c r="S159"/>
  <c r="S165"/>
  <c r="U76"/>
  <c r="S164"/>
  <c r="S166"/>
  <c r="S143"/>
  <c r="V87"/>
  <c r="V116"/>
  <c r="S116"/>
  <c r="S174"/>
  <c r="S150"/>
  <c r="S160"/>
  <c r="V83"/>
  <c r="S108"/>
  <c r="V100"/>
  <c r="V92"/>
  <c r="U108"/>
  <c r="S175"/>
  <c r="V76"/>
  <c r="V82"/>
  <c r="V86"/>
  <c r="V113"/>
  <c r="S76"/>
  <c r="U92"/>
  <c r="U15"/>
  <c r="U23"/>
  <c r="S113"/>
  <c r="S111"/>
  <c r="S103"/>
  <c r="S101"/>
  <c r="S95"/>
  <c r="S87"/>
  <c r="S85"/>
  <c r="S83"/>
  <c r="S79"/>
  <c r="S75"/>
  <c r="S104"/>
  <c r="S92"/>
  <c r="S86"/>
  <c r="S82"/>
  <c r="T108"/>
  <c r="T100"/>
  <c r="T82"/>
  <c r="U104"/>
  <c r="U100"/>
  <c r="U86"/>
  <c r="U82"/>
  <c r="T113"/>
  <c r="T111"/>
  <c r="T103"/>
  <c r="T101"/>
  <c r="T95"/>
  <c r="T87"/>
  <c r="T85"/>
  <c r="T83"/>
  <c r="T79"/>
  <c r="T75"/>
  <c r="U17"/>
  <c r="U25"/>
  <c r="U31"/>
  <c r="U35"/>
  <c r="U39"/>
  <c r="U43"/>
  <c r="U47"/>
  <c r="U49"/>
  <c r="U53"/>
  <c r="U55"/>
  <c r="U57"/>
  <c r="U113"/>
  <c r="U111"/>
  <c r="U103"/>
  <c r="U101"/>
  <c r="U95"/>
  <c r="U87"/>
  <c r="U85"/>
  <c r="U83"/>
  <c r="U79"/>
  <c r="U75"/>
  <c r="T116"/>
  <c r="T104"/>
  <c r="T92"/>
  <c r="T86"/>
  <c r="U27"/>
  <c r="U29"/>
  <c r="U33"/>
  <c r="U37"/>
  <c r="U41"/>
  <c r="U45"/>
  <c r="U51"/>
  <c r="S15"/>
  <c r="S19"/>
  <c r="V26"/>
  <c r="V30"/>
  <c r="V36"/>
  <c r="V28"/>
  <c r="V32"/>
  <c r="V34"/>
  <c r="V18"/>
  <c r="T55"/>
  <c r="V49"/>
  <c r="S45"/>
  <c r="T39"/>
  <c r="T33"/>
  <c r="T25"/>
  <c r="V55"/>
  <c r="S51"/>
  <c r="T45"/>
  <c r="V39"/>
  <c r="S35"/>
  <c r="S27"/>
  <c r="V20"/>
  <c r="S57"/>
  <c r="T51"/>
  <c r="V45"/>
  <c r="S41"/>
  <c r="T35"/>
  <c r="T27"/>
  <c r="T57"/>
  <c r="V51"/>
  <c r="S47"/>
  <c r="T41"/>
  <c r="V35"/>
  <c r="S29"/>
  <c r="V17"/>
  <c r="V14"/>
  <c r="V22"/>
  <c r="V57"/>
  <c r="S53"/>
  <c r="T47"/>
  <c r="V41"/>
  <c r="S37"/>
  <c r="T29"/>
  <c r="T15"/>
  <c r="T53"/>
  <c r="V47"/>
  <c r="S43"/>
  <c r="T37"/>
  <c r="S31"/>
  <c r="T17"/>
  <c r="V16"/>
  <c r="V24"/>
  <c r="V53"/>
  <c r="S49"/>
  <c r="T43"/>
  <c r="V37"/>
  <c r="T31"/>
  <c r="T21"/>
  <c r="V38"/>
  <c r="V40"/>
  <c r="V42"/>
  <c r="V44"/>
  <c r="V46"/>
  <c r="V48"/>
  <c r="V50"/>
  <c r="V52"/>
  <c r="V54"/>
  <c r="V56"/>
  <c r="V58"/>
  <c r="S55"/>
  <c r="T49"/>
  <c r="V43"/>
  <c r="S39"/>
  <c r="S33"/>
  <c r="T23"/>
  <c r="S25"/>
  <c r="S17"/>
  <c r="T19"/>
  <c r="U19"/>
  <c r="V33"/>
  <c r="V31"/>
  <c r="V29"/>
  <c r="V27"/>
  <c r="V25"/>
  <c r="V23"/>
  <c r="V21"/>
  <c r="V19"/>
  <c r="V15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T58"/>
  <c r="T56"/>
  <c r="T54"/>
  <c r="T52"/>
  <c r="T50"/>
  <c r="T48"/>
  <c r="T46"/>
  <c r="T44"/>
  <c r="T42"/>
  <c r="T40"/>
  <c r="T38"/>
  <c r="T36"/>
  <c r="T34"/>
  <c r="T32"/>
  <c r="T30"/>
  <c r="T28"/>
  <c r="T26"/>
  <c r="T24"/>
  <c r="T22"/>
  <c r="T20"/>
  <c r="T18"/>
  <c r="T16"/>
  <c r="T14"/>
  <c r="S23"/>
  <c r="S21"/>
  <c r="U58"/>
  <c r="U56"/>
  <c r="U54"/>
  <c r="U52"/>
  <c r="U50"/>
  <c r="U48"/>
  <c r="U46"/>
  <c r="U44"/>
  <c r="U42"/>
  <c r="U40"/>
  <c r="U38"/>
  <c r="U36"/>
  <c r="U34"/>
  <c r="U32"/>
  <c r="U30"/>
  <c r="U28"/>
  <c r="U26"/>
  <c r="U24"/>
  <c r="U22"/>
  <c r="U20"/>
  <c r="U18"/>
  <c r="U16"/>
  <c r="U14"/>
  <c r="L34"/>
  <c r="R14"/>
  <c r="H79"/>
  <c r="H171"/>
  <c r="H116"/>
  <c r="B171"/>
  <c r="L171" s="1"/>
  <c r="B115"/>
  <c r="B168"/>
  <c r="B80"/>
  <c r="B88"/>
  <c r="D114"/>
  <c r="C114" s="1"/>
  <c r="B179"/>
  <c r="G180" i="30"/>
  <c r="H115" i="29"/>
  <c r="G179"/>
  <c r="N108"/>
  <c r="O75"/>
  <c r="B99"/>
  <c r="H135"/>
  <c r="B142"/>
  <c r="B163"/>
  <c r="H172"/>
  <c r="N57" i="30"/>
  <c r="B75"/>
  <c r="B111"/>
  <c r="T111" s="1"/>
  <c r="B136"/>
  <c r="B156"/>
  <c r="H162"/>
  <c r="H100" i="29"/>
  <c r="H174"/>
  <c r="L14"/>
  <c r="B96"/>
  <c r="B112"/>
  <c r="H150"/>
  <c r="B87" i="30"/>
  <c r="V87" s="1"/>
  <c r="O173" i="29"/>
  <c r="O158"/>
  <c r="M115" i="30"/>
  <c r="U115"/>
  <c r="H154"/>
  <c r="B97" i="29"/>
  <c r="H142"/>
  <c r="B147"/>
  <c r="H159"/>
  <c r="H79" i="30"/>
  <c r="B88"/>
  <c r="U88" s="1"/>
  <c r="B154"/>
  <c r="L36" i="29"/>
  <c r="P15"/>
  <c r="P23"/>
  <c r="B155"/>
  <c r="H158"/>
  <c r="O165"/>
  <c r="H86" i="30"/>
  <c r="B96"/>
  <c r="V96" s="1"/>
  <c r="B143"/>
  <c r="B147"/>
  <c r="H155"/>
  <c r="H159"/>
  <c r="L58" i="29"/>
  <c r="O18"/>
  <c r="L25"/>
  <c r="L33"/>
  <c r="O41"/>
  <c r="O43"/>
  <c r="L45"/>
  <c r="O47"/>
  <c r="L51"/>
  <c r="L55"/>
  <c r="H88"/>
  <c r="B154"/>
  <c r="I173"/>
  <c r="B86" i="30"/>
  <c r="H138"/>
  <c r="B155"/>
  <c r="L35" i="29"/>
  <c r="J173"/>
  <c r="R157"/>
  <c r="P29"/>
  <c r="N58"/>
  <c r="P19"/>
  <c r="L46"/>
  <c r="Q108"/>
  <c r="M83"/>
  <c r="P16"/>
  <c r="P24"/>
  <c r="P108"/>
  <c r="R103"/>
  <c r="L28"/>
  <c r="P30"/>
  <c r="L32"/>
  <c r="M82"/>
  <c r="P21"/>
  <c r="O37"/>
  <c r="O39"/>
  <c r="L54"/>
  <c r="R143"/>
  <c r="P115" i="30"/>
  <c r="K85" i="29"/>
  <c r="L47"/>
  <c r="P20"/>
  <c r="P27"/>
  <c r="L43"/>
  <c r="O57"/>
  <c r="P165"/>
  <c r="R156"/>
  <c r="K56"/>
  <c r="P17"/>
  <c r="P25"/>
  <c r="L38"/>
  <c r="L39"/>
  <c r="O53"/>
  <c r="O55"/>
  <c r="O149"/>
  <c r="L162"/>
  <c r="I56" i="30"/>
  <c r="T115"/>
  <c r="N178"/>
  <c r="P113" i="29"/>
  <c r="O44"/>
  <c r="O22"/>
  <c r="L49"/>
  <c r="O51"/>
  <c r="M141"/>
  <c r="L115" i="30"/>
  <c r="O52" i="29"/>
  <c r="O56"/>
  <c r="L31"/>
  <c r="L40"/>
  <c r="N42"/>
  <c r="L44"/>
  <c r="L48"/>
  <c r="N50"/>
  <c r="L52"/>
  <c r="L56"/>
  <c r="R82"/>
  <c r="I165"/>
  <c r="I164"/>
  <c r="R175"/>
  <c r="O48"/>
  <c r="L26"/>
  <c r="O49"/>
  <c r="O14"/>
  <c r="L37"/>
  <c r="L41"/>
  <c r="L53"/>
  <c r="L179" i="30"/>
  <c r="L16" i="29"/>
  <c r="L18"/>
  <c r="L20"/>
  <c r="L22"/>
  <c r="L24"/>
  <c r="P28"/>
  <c r="O38"/>
  <c r="O42"/>
  <c r="O46"/>
  <c r="O50"/>
  <c r="O54"/>
  <c r="O58"/>
  <c r="R86"/>
  <c r="M104"/>
  <c r="I108"/>
  <c r="P149"/>
  <c r="O166"/>
  <c r="I174"/>
  <c r="Q118" i="30"/>
  <c r="O17" i="29"/>
  <c r="O21"/>
  <c r="O45"/>
  <c r="Q56" i="30"/>
  <c r="L29" i="29"/>
  <c r="L57"/>
  <c r="J160"/>
  <c r="H60"/>
  <c r="L27"/>
  <c r="P31"/>
  <c r="L42"/>
  <c r="L50"/>
  <c r="O83"/>
  <c r="L135"/>
  <c r="O40"/>
  <c r="Q116"/>
  <c r="M118" i="30"/>
  <c r="N26" i="29"/>
  <c r="L30"/>
  <c r="N34"/>
  <c r="P82"/>
  <c r="Q100"/>
  <c r="I148"/>
  <c r="I157"/>
  <c r="J165"/>
  <c r="M56" i="30"/>
  <c r="O55"/>
  <c r="O57"/>
  <c r="Q178"/>
  <c r="P150" i="29"/>
  <c r="I150"/>
  <c r="O150"/>
  <c r="I92"/>
  <c r="P92"/>
  <c r="K92"/>
  <c r="M92"/>
  <c r="U107" i="30"/>
  <c r="T107"/>
  <c r="U93"/>
  <c r="V93"/>
  <c r="U99"/>
  <c r="T99"/>
  <c r="U109"/>
  <c r="P76" i="29"/>
  <c r="N76"/>
  <c r="T95" i="30"/>
  <c r="Q87" i="29"/>
  <c r="M179" i="30"/>
  <c r="I79" i="29"/>
  <c r="N85"/>
  <c r="P86"/>
  <c r="I87"/>
  <c r="H91"/>
  <c r="P101"/>
  <c r="N103"/>
  <c r="H138"/>
  <c r="I149"/>
  <c r="H167"/>
  <c r="D177"/>
  <c r="C177" s="1"/>
  <c r="U94" i="30"/>
  <c r="U102"/>
  <c r="H167"/>
  <c r="H176"/>
  <c r="I178"/>
  <c r="L17" i="29"/>
  <c r="L21"/>
  <c r="H80"/>
  <c r="I82"/>
  <c r="P83"/>
  <c r="M85"/>
  <c r="M86"/>
  <c r="H97"/>
  <c r="B138"/>
  <c r="H156"/>
  <c r="B167"/>
  <c r="B170"/>
  <c r="Q172"/>
  <c r="O56" i="30"/>
  <c r="B91"/>
  <c r="S91" s="1"/>
  <c r="T94"/>
  <c r="U110"/>
  <c r="B140"/>
  <c r="H146"/>
  <c r="B162"/>
  <c r="H178"/>
  <c r="I86" i="29"/>
  <c r="O19"/>
  <c r="P103"/>
  <c r="R160"/>
  <c r="Q148"/>
  <c r="P174"/>
  <c r="P118" i="30"/>
  <c r="H61" i="29"/>
  <c r="N15"/>
  <c r="N23"/>
  <c r="P32"/>
  <c r="P33"/>
  <c r="P35"/>
  <c r="P36"/>
  <c r="P37"/>
  <c r="P38"/>
  <c r="P39"/>
  <c r="P40"/>
  <c r="P41"/>
  <c r="P43"/>
  <c r="P44"/>
  <c r="P45"/>
  <c r="P46"/>
  <c r="P47"/>
  <c r="P48"/>
  <c r="P49"/>
  <c r="P51"/>
  <c r="P52"/>
  <c r="P53"/>
  <c r="P54"/>
  <c r="P55"/>
  <c r="P56"/>
  <c r="P57"/>
  <c r="M75"/>
  <c r="B77"/>
  <c r="Q79"/>
  <c r="B98"/>
  <c r="M103"/>
  <c r="P104"/>
  <c r="H107"/>
  <c r="M108"/>
  <c r="J113"/>
  <c r="D115"/>
  <c r="C115" s="1"/>
  <c r="B139"/>
  <c r="O141"/>
  <c r="H147"/>
  <c r="O148"/>
  <c r="B152"/>
  <c r="O157"/>
  <c r="M160"/>
  <c r="I166"/>
  <c r="O174"/>
  <c r="B176"/>
  <c r="L118" i="30"/>
  <c r="T118"/>
  <c r="H95"/>
  <c r="H103"/>
  <c r="H107"/>
  <c r="N118"/>
  <c r="H147"/>
  <c r="B180"/>
  <c r="L180" s="1"/>
  <c r="Q86" i="29"/>
  <c r="Q111"/>
  <c r="N21"/>
  <c r="N14"/>
  <c r="N22"/>
  <c r="U118" i="30"/>
  <c r="O15" i="29"/>
  <c r="C55"/>
  <c r="H92"/>
  <c r="Q104"/>
  <c r="H99" i="30"/>
  <c r="Q179"/>
  <c r="N19" i="29"/>
  <c r="O24"/>
  <c r="O26"/>
  <c r="O28"/>
  <c r="O30"/>
  <c r="O31"/>
  <c r="O33"/>
  <c r="O34"/>
  <c r="O35"/>
  <c r="O36"/>
  <c r="H74"/>
  <c r="H75"/>
  <c r="K79"/>
  <c r="H84"/>
  <c r="J103"/>
  <c r="K108"/>
  <c r="O111"/>
  <c r="H113"/>
  <c r="P116"/>
  <c r="G117"/>
  <c r="I141"/>
  <c r="J157"/>
  <c r="L160"/>
  <c r="P162"/>
  <c r="O164"/>
  <c r="H166"/>
  <c r="G178"/>
  <c r="H75" i="30"/>
  <c r="H83"/>
  <c r="H87"/>
  <c r="H102"/>
  <c r="H111"/>
  <c r="Q115"/>
  <c r="G116"/>
  <c r="H144"/>
  <c r="H160"/>
  <c r="H170"/>
  <c r="H171"/>
  <c r="Q54"/>
  <c r="N17" i="29"/>
  <c r="N18"/>
  <c r="K166"/>
  <c r="N55" i="30"/>
  <c r="R178"/>
  <c r="O23" i="29"/>
  <c r="C57"/>
  <c r="P157"/>
  <c r="G60"/>
  <c r="L15"/>
  <c r="O16"/>
  <c r="L19"/>
  <c r="O20"/>
  <c r="L23"/>
  <c r="O25"/>
  <c r="O27"/>
  <c r="O29"/>
  <c r="O32"/>
  <c r="P14"/>
  <c r="N16"/>
  <c r="P18"/>
  <c r="N20"/>
  <c r="P22"/>
  <c r="N24"/>
  <c r="N25"/>
  <c r="N27"/>
  <c r="N28"/>
  <c r="N29"/>
  <c r="N30"/>
  <c r="N31"/>
  <c r="N32"/>
  <c r="N33"/>
  <c r="N35"/>
  <c r="N36"/>
  <c r="N37"/>
  <c r="N38"/>
  <c r="N39"/>
  <c r="N40"/>
  <c r="N41"/>
  <c r="N43"/>
  <c r="N44"/>
  <c r="N45"/>
  <c r="N46"/>
  <c r="N47"/>
  <c r="N48"/>
  <c r="N49"/>
  <c r="N51"/>
  <c r="N52"/>
  <c r="N53"/>
  <c r="N54"/>
  <c r="N55"/>
  <c r="N56"/>
  <c r="N57"/>
  <c r="B74"/>
  <c r="Q82"/>
  <c r="I100"/>
  <c r="B102"/>
  <c r="I103"/>
  <c r="B117"/>
  <c r="B144"/>
  <c r="H148"/>
  <c r="I160"/>
  <c r="O162"/>
  <c r="H164"/>
  <c r="I172"/>
  <c r="D178"/>
  <c r="C178" s="1"/>
  <c r="B80" i="30"/>
  <c r="H94"/>
  <c r="B104"/>
  <c r="H110"/>
  <c r="B112"/>
  <c r="B116"/>
  <c r="R116" s="1"/>
  <c r="H118"/>
  <c r="H152"/>
  <c r="B160"/>
  <c r="B170"/>
  <c r="P178"/>
  <c r="P179"/>
  <c r="K95" i="29"/>
  <c r="P95"/>
  <c r="L95"/>
  <c r="Q95"/>
  <c r="R95"/>
  <c r="I95"/>
  <c r="J95"/>
  <c r="M95"/>
  <c r="N95"/>
  <c r="H136"/>
  <c r="B136"/>
  <c r="S136" s="1"/>
  <c r="Q159"/>
  <c r="I159"/>
  <c r="M159"/>
  <c r="N159"/>
  <c r="O159"/>
  <c r="J159"/>
  <c r="R159"/>
  <c r="K159"/>
  <c r="L159"/>
  <c r="H114" i="30"/>
  <c r="B114"/>
  <c r="B90" i="29"/>
  <c r="L76"/>
  <c r="L79"/>
  <c r="N150"/>
  <c r="P26"/>
  <c r="P34"/>
  <c r="P42"/>
  <c r="P50"/>
  <c r="P58"/>
  <c r="G61"/>
  <c r="N82"/>
  <c r="L87"/>
  <c r="N113"/>
  <c r="B93"/>
  <c r="B151"/>
  <c r="S151" s="1"/>
  <c r="H151"/>
  <c r="L57" i="30"/>
  <c r="L56"/>
  <c r="L55"/>
  <c r="L54"/>
  <c r="T85"/>
  <c r="S85"/>
  <c r="V85"/>
  <c r="U85"/>
  <c r="O108" i="29"/>
  <c r="O92"/>
  <c r="O113"/>
  <c r="O103"/>
  <c r="O116"/>
  <c r="O100"/>
  <c r="B73"/>
  <c r="H73"/>
  <c r="Q75"/>
  <c r="I75"/>
  <c r="R75"/>
  <c r="J75"/>
  <c r="L75"/>
  <c r="K75"/>
  <c r="N75"/>
  <c r="O85"/>
  <c r="P85"/>
  <c r="Q85"/>
  <c r="I85"/>
  <c r="R85"/>
  <c r="J85"/>
  <c r="L85"/>
  <c r="N86"/>
  <c r="O95"/>
  <c r="P159"/>
  <c r="N100"/>
  <c r="H78"/>
  <c r="B78"/>
  <c r="M79"/>
  <c r="N79"/>
  <c r="P79"/>
  <c r="O79"/>
  <c r="R79"/>
  <c r="J79"/>
  <c r="B106"/>
  <c r="H106"/>
  <c r="H153"/>
  <c r="B153"/>
  <c r="S153" s="1"/>
  <c r="O76"/>
  <c r="B84"/>
  <c r="N92"/>
  <c r="B109"/>
  <c r="H109"/>
  <c r="N148"/>
  <c r="N164"/>
  <c r="B81"/>
  <c r="H81"/>
  <c r="Q83"/>
  <c r="I83"/>
  <c r="R83"/>
  <c r="J83"/>
  <c r="L83"/>
  <c r="K83"/>
  <c r="N83"/>
  <c r="H89"/>
  <c r="B89"/>
  <c r="L156"/>
  <c r="J156"/>
  <c r="K156"/>
  <c r="M156"/>
  <c r="P156"/>
  <c r="I156"/>
  <c r="N156"/>
  <c r="O156"/>
  <c r="Q156"/>
  <c r="P75"/>
  <c r="M174"/>
  <c r="M173"/>
  <c r="M166"/>
  <c r="M165"/>
  <c r="M158"/>
  <c r="M157"/>
  <c r="M150"/>
  <c r="M149"/>
  <c r="P135"/>
  <c r="Q135"/>
  <c r="I135"/>
  <c r="R135"/>
  <c r="J135"/>
  <c r="M135"/>
  <c r="Q143"/>
  <c r="I143"/>
  <c r="M143"/>
  <c r="N143"/>
  <c r="O143"/>
  <c r="J143"/>
  <c r="Q175"/>
  <c r="I175"/>
  <c r="M175"/>
  <c r="N175"/>
  <c r="O175"/>
  <c r="J175"/>
  <c r="D179"/>
  <c r="C179" s="1"/>
  <c r="D117"/>
  <c r="C117" s="1"/>
  <c r="R92"/>
  <c r="J92"/>
  <c r="R108"/>
  <c r="J108"/>
  <c r="H145"/>
  <c r="B145"/>
  <c r="S145" s="1"/>
  <c r="L148"/>
  <c r="J148"/>
  <c r="K148"/>
  <c r="M148"/>
  <c r="P148"/>
  <c r="G177"/>
  <c r="H177"/>
  <c r="B177"/>
  <c r="S177" s="1"/>
  <c r="K87"/>
  <c r="O101"/>
  <c r="N111"/>
  <c r="O135"/>
  <c r="N149"/>
  <c r="K158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76"/>
  <c r="O82"/>
  <c r="O86"/>
  <c r="J87"/>
  <c r="R87"/>
  <c r="L92"/>
  <c r="P100"/>
  <c r="N101"/>
  <c r="H103"/>
  <c r="Q103"/>
  <c r="O104"/>
  <c r="B105"/>
  <c r="L108"/>
  <c r="M111"/>
  <c r="R113"/>
  <c r="H114"/>
  <c r="N135"/>
  <c r="B146"/>
  <c r="S146" s="1"/>
  <c r="R148"/>
  <c r="R149"/>
  <c r="I158"/>
  <c r="N174"/>
  <c r="B178"/>
  <c r="S178" s="1"/>
  <c r="R116"/>
  <c r="J116"/>
  <c r="M116"/>
  <c r="H169"/>
  <c r="B169"/>
  <c r="S169" s="1"/>
  <c r="D116" i="30"/>
  <c r="C116" s="1"/>
  <c r="C55"/>
  <c r="D178"/>
  <c r="C178" s="1"/>
  <c r="B105"/>
  <c r="H105"/>
  <c r="P160" i="29"/>
  <c r="N160"/>
  <c r="O160"/>
  <c r="Q160"/>
  <c r="K160"/>
  <c r="B89" i="30"/>
  <c r="H89"/>
  <c r="H166"/>
  <c r="B166"/>
  <c r="L101" i="29"/>
  <c r="L111"/>
  <c r="K14"/>
  <c r="K15"/>
  <c r="K19"/>
  <c r="K22"/>
  <c r="K25"/>
  <c r="K28"/>
  <c r="K31"/>
  <c r="K34"/>
  <c r="K37"/>
  <c r="K40"/>
  <c r="K43"/>
  <c r="K46"/>
  <c r="K49"/>
  <c r="K52"/>
  <c r="K55"/>
  <c r="K58"/>
  <c r="H96"/>
  <c r="K101"/>
  <c r="L104"/>
  <c r="J111"/>
  <c r="H112"/>
  <c r="N116"/>
  <c r="K135"/>
  <c r="N166"/>
  <c r="R172"/>
  <c r="R173"/>
  <c r="J14"/>
  <c r="J15"/>
  <c r="R15"/>
  <c r="J16"/>
  <c r="R16"/>
  <c r="J17"/>
  <c r="R17"/>
  <c r="J18"/>
  <c r="R18"/>
  <c r="J19"/>
  <c r="R19"/>
  <c r="J20"/>
  <c r="R20"/>
  <c r="J21"/>
  <c r="R21"/>
  <c r="J22"/>
  <c r="R22"/>
  <c r="J23"/>
  <c r="R23"/>
  <c r="J24"/>
  <c r="R24"/>
  <c r="J25"/>
  <c r="R25"/>
  <c r="J26"/>
  <c r="R26"/>
  <c r="J27"/>
  <c r="R27"/>
  <c r="J28"/>
  <c r="R28"/>
  <c r="J29"/>
  <c r="R29"/>
  <c r="J30"/>
  <c r="R30"/>
  <c r="J31"/>
  <c r="R31"/>
  <c r="J32"/>
  <c r="R32"/>
  <c r="J33"/>
  <c r="R33"/>
  <c r="J34"/>
  <c r="R34"/>
  <c r="J35"/>
  <c r="R35"/>
  <c r="J36"/>
  <c r="R36"/>
  <c r="J37"/>
  <c r="R37"/>
  <c r="J38"/>
  <c r="R38"/>
  <c r="J39"/>
  <c r="R39"/>
  <c r="J40"/>
  <c r="R40"/>
  <c r="J41"/>
  <c r="R41"/>
  <c r="J42"/>
  <c r="R42"/>
  <c r="J43"/>
  <c r="R43"/>
  <c r="J44"/>
  <c r="R44"/>
  <c r="J45"/>
  <c r="R45"/>
  <c r="J46"/>
  <c r="R46"/>
  <c r="J47"/>
  <c r="R47"/>
  <c r="J48"/>
  <c r="R48"/>
  <c r="J49"/>
  <c r="R49"/>
  <c r="J50"/>
  <c r="R50"/>
  <c r="J51"/>
  <c r="R51"/>
  <c r="J52"/>
  <c r="R52"/>
  <c r="J53"/>
  <c r="R53"/>
  <c r="J54"/>
  <c r="R54"/>
  <c r="J55"/>
  <c r="R55"/>
  <c r="J56"/>
  <c r="R56"/>
  <c r="J57"/>
  <c r="R57"/>
  <c r="J58"/>
  <c r="R58"/>
  <c r="J76"/>
  <c r="R76"/>
  <c r="L82"/>
  <c r="L86"/>
  <c r="O87"/>
  <c r="B91"/>
  <c r="Q92"/>
  <c r="B94"/>
  <c r="M100"/>
  <c r="J101"/>
  <c r="K104"/>
  <c r="H105"/>
  <c r="B107"/>
  <c r="B110"/>
  <c r="I111"/>
  <c r="R111"/>
  <c r="B114"/>
  <c r="L116"/>
  <c r="P141"/>
  <c r="L143"/>
  <c r="J149"/>
  <c r="N165"/>
  <c r="P166"/>
  <c r="P173"/>
  <c r="K174"/>
  <c r="L175"/>
  <c r="M101"/>
  <c r="N104"/>
  <c r="B140"/>
  <c r="S140" s="1"/>
  <c r="H140"/>
  <c r="L172"/>
  <c r="J172"/>
  <c r="K172"/>
  <c r="M172"/>
  <c r="P172"/>
  <c r="R100"/>
  <c r="J100"/>
  <c r="Q113"/>
  <c r="I113"/>
  <c r="L113"/>
  <c r="H161"/>
  <c r="B161"/>
  <c r="S161" s="1"/>
  <c r="N162"/>
  <c r="Q162"/>
  <c r="R162"/>
  <c r="I162"/>
  <c r="J162"/>
  <c r="M162"/>
  <c r="L164"/>
  <c r="J164"/>
  <c r="K164"/>
  <c r="M164"/>
  <c r="P164"/>
  <c r="N56" i="30"/>
  <c r="N54"/>
  <c r="C56"/>
  <c r="D179"/>
  <c r="C179" s="1"/>
  <c r="H85"/>
  <c r="T101"/>
  <c r="U101"/>
  <c r="V101"/>
  <c r="S101"/>
  <c r="N173" i="29"/>
  <c r="K18"/>
  <c r="K23"/>
  <c r="K24"/>
  <c r="K29"/>
  <c r="K32"/>
  <c r="K33"/>
  <c r="K38"/>
  <c r="K41"/>
  <c r="K44"/>
  <c r="K45"/>
  <c r="K50"/>
  <c r="K51"/>
  <c r="K53"/>
  <c r="K54"/>
  <c r="K57"/>
  <c r="K76"/>
  <c r="P87"/>
  <c r="R141"/>
  <c r="P143"/>
  <c r="P175"/>
  <c r="I14"/>
  <c r="Q14"/>
  <c r="I15"/>
  <c r="Q15"/>
  <c r="I16"/>
  <c r="Q16"/>
  <c r="I17"/>
  <c r="Q17"/>
  <c r="I18"/>
  <c r="Q18"/>
  <c r="I19"/>
  <c r="Q19"/>
  <c r="I20"/>
  <c r="Q20"/>
  <c r="I21"/>
  <c r="Q21"/>
  <c r="I22"/>
  <c r="Q22"/>
  <c r="I23"/>
  <c r="Q23"/>
  <c r="I24"/>
  <c r="Q24"/>
  <c r="I25"/>
  <c r="Q25"/>
  <c r="I26"/>
  <c r="Q26"/>
  <c r="I27"/>
  <c r="Q27"/>
  <c r="I28"/>
  <c r="Q28"/>
  <c r="I29"/>
  <c r="Q29"/>
  <c r="I30"/>
  <c r="Q30"/>
  <c r="I31"/>
  <c r="Q31"/>
  <c r="I32"/>
  <c r="Q32"/>
  <c r="I33"/>
  <c r="Q33"/>
  <c r="I34"/>
  <c r="Q34"/>
  <c r="I35"/>
  <c r="Q35"/>
  <c r="I36"/>
  <c r="Q36"/>
  <c r="I37"/>
  <c r="Q37"/>
  <c r="I38"/>
  <c r="Q38"/>
  <c r="I39"/>
  <c r="Q39"/>
  <c r="I40"/>
  <c r="Q40"/>
  <c r="I41"/>
  <c r="Q41"/>
  <c r="I42"/>
  <c r="Q42"/>
  <c r="I43"/>
  <c r="Q43"/>
  <c r="I44"/>
  <c r="Q44"/>
  <c r="I45"/>
  <c r="Q45"/>
  <c r="I46"/>
  <c r="Q46"/>
  <c r="I47"/>
  <c r="Q47"/>
  <c r="I48"/>
  <c r="Q48"/>
  <c r="I49"/>
  <c r="Q49"/>
  <c r="I50"/>
  <c r="Q50"/>
  <c r="I51"/>
  <c r="Q51"/>
  <c r="I52"/>
  <c r="Q52"/>
  <c r="I53"/>
  <c r="Q53"/>
  <c r="I54"/>
  <c r="Q54"/>
  <c r="I55"/>
  <c r="Q55"/>
  <c r="I56"/>
  <c r="Q56"/>
  <c r="I57"/>
  <c r="Q57"/>
  <c r="I58"/>
  <c r="Q58"/>
  <c r="I76"/>
  <c r="Q76"/>
  <c r="H77"/>
  <c r="K82"/>
  <c r="H85"/>
  <c r="K86"/>
  <c r="N87"/>
  <c r="H95"/>
  <c r="L100"/>
  <c r="I101"/>
  <c r="R101"/>
  <c r="J104"/>
  <c r="H111"/>
  <c r="M113"/>
  <c r="K116"/>
  <c r="K143"/>
  <c r="N158"/>
  <c r="R164"/>
  <c r="R165"/>
  <c r="O172"/>
  <c r="K175"/>
  <c r="K111"/>
  <c r="H60" i="30"/>
  <c r="H59"/>
  <c r="C54"/>
  <c r="D177"/>
  <c r="C177" s="1"/>
  <c r="D115"/>
  <c r="C115" s="1"/>
  <c r="K103" i="29"/>
  <c r="H137"/>
  <c r="B137"/>
  <c r="S137" s="1"/>
  <c r="C57" i="30"/>
  <c r="D180"/>
  <c r="C180" s="1"/>
  <c r="D118"/>
  <c r="C118" s="1"/>
  <c r="O115"/>
  <c r="B74"/>
  <c r="H74"/>
  <c r="B161"/>
  <c r="H161"/>
  <c r="K150" i="29"/>
  <c r="K162"/>
  <c r="K16"/>
  <c r="K17"/>
  <c r="K20"/>
  <c r="K21"/>
  <c r="K26"/>
  <c r="K27"/>
  <c r="K30"/>
  <c r="K35"/>
  <c r="K36"/>
  <c r="K39"/>
  <c r="K42"/>
  <c r="K47"/>
  <c r="K48"/>
  <c r="J82"/>
  <c r="J86"/>
  <c r="M87"/>
  <c r="K100"/>
  <c r="Q101"/>
  <c r="L103"/>
  <c r="I104"/>
  <c r="R104"/>
  <c r="P111"/>
  <c r="K113"/>
  <c r="I116"/>
  <c r="J141"/>
  <c r="N157"/>
  <c r="P158"/>
  <c r="Q164"/>
  <c r="N172"/>
  <c r="O54" i="30"/>
  <c r="D117"/>
  <c r="C117" s="1"/>
  <c r="V110"/>
  <c r="V94"/>
  <c r="V102"/>
  <c r="B92"/>
  <c r="H92"/>
  <c r="U95"/>
  <c r="V95"/>
  <c r="S95"/>
  <c r="H101"/>
  <c r="U103"/>
  <c r="V103"/>
  <c r="S103"/>
  <c r="T103"/>
  <c r="H168"/>
  <c r="H141" i="29"/>
  <c r="Q141"/>
  <c r="H149"/>
  <c r="Q149"/>
  <c r="Q150"/>
  <c r="H157"/>
  <c r="Q157"/>
  <c r="Q158"/>
  <c r="H165"/>
  <c r="Q165"/>
  <c r="Q166"/>
  <c r="H173"/>
  <c r="Q173"/>
  <c r="Q174"/>
  <c r="K55" i="30"/>
  <c r="K57"/>
  <c r="V109"/>
  <c r="J56"/>
  <c r="J54"/>
  <c r="R57"/>
  <c r="R55"/>
  <c r="R56"/>
  <c r="R54"/>
  <c r="G117"/>
  <c r="H117"/>
  <c r="B117"/>
  <c r="B169"/>
  <c r="H169"/>
  <c r="H174"/>
  <c r="B174"/>
  <c r="N141" i="29"/>
  <c r="G176"/>
  <c r="I54" i="30"/>
  <c r="J55"/>
  <c r="J57"/>
  <c r="H100"/>
  <c r="Q57"/>
  <c r="Q55"/>
  <c r="T84"/>
  <c r="U84"/>
  <c r="S84"/>
  <c r="V84"/>
  <c r="B97"/>
  <c r="H97"/>
  <c r="B108"/>
  <c r="H108"/>
  <c r="L178"/>
  <c r="B137"/>
  <c r="H137"/>
  <c r="B145"/>
  <c r="H145"/>
  <c r="H157"/>
  <c r="B157"/>
  <c r="I55"/>
  <c r="I57"/>
  <c r="V118"/>
  <c r="R150" i="29"/>
  <c r="J150"/>
  <c r="R158"/>
  <c r="J158"/>
  <c r="R166"/>
  <c r="J166"/>
  <c r="R174"/>
  <c r="J174"/>
  <c r="H84" i="30"/>
  <c r="T100"/>
  <c r="U100"/>
  <c r="V100"/>
  <c r="S100"/>
  <c r="H149"/>
  <c r="B149"/>
  <c r="K141" i="29"/>
  <c r="L141"/>
  <c r="K149"/>
  <c r="L149"/>
  <c r="L150"/>
  <c r="K157"/>
  <c r="L157"/>
  <c r="L158"/>
  <c r="K165"/>
  <c r="L165"/>
  <c r="L166"/>
  <c r="K173"/>
  <c r="L173"/>
  <c r="L174"/>
  <c r="H81" i="30"/>
  <c r="H98"/>
  <c r="B98"/>
  <c r="H150"/>
  <c r="B150"/>
  <c r="H173"/>
  <c r="M55"/>
  <c r="M57"/>
  <c r="I118"/>
  <c r="O179"/>
  <c r="T93"/>
  <c r="T109"/>
  <c r="H142"/>
  <c r="B142"/>
  <c r="H165"/>
  <c r="B177"/>
  <c r="H177"/>
  <c r="K54"/>
  <c r="K56"/>
  <c r="S93"/>
  <c r="S109"/>
  <c r="H93"/>
  <c r="H109"/>
  <c r="B113"/>
  <c r="H113"/>
  <c r="H141"/>
  <c r="B153"/>
  <c r="H153"/>
  <c r="M54"/>
  <c r="R118"/>
  <c r="M178"/>
  <c r="B77"/>
  <c r="H77"/>
  <c r="B82"/>
  <c r="H90"/>
  <c r="B90"/>
  <c r="H106"/>
  <c r="B106"/>
  <c r="H158"/>
  <c r="B158"/>
  <c r="P54"/>
  <c r="P55"/>
  <c r="P56"/>
  <c r="P57"/>
  <c r="V99"/>
  <c r="V107"/>
  <c r="N115"/>
  <c r="V115"/>
  <c r="O118"/>
  <c r="O178"/>
  <c r="N179"/>
  <c r="S99"/>
  <c r="T102"/>
  <c r="S107"/>
  <c r="T110"/>
  <c r="K115"/>
  <c r="S115"/>
  <c r="K179"/>
  <c r="S94"/>
  <c r="S102"/>
  <c r="S110"/>
  <c r="J115"/>
  <c r="R115"/>
  <c r="K118"/>
  <c r="S118"/>
  <c r="K178"/>
  <c r="J179"/>
  <c r="R179"/>
  <c r="I115"/>
  <c r="J118"/>
  <c r="J178"/>
  <c r="I179"/>
  <c r="H14" i="26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13"/>
  <c r="H14" i="17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13"/>
  <c r="A2" i="21"/>
  <c r="P6"/>
  <c r="O6"/>
  <c r="N6"/>
  <c r="M6"/>
  <c r="L6"/>
  <c r="D23" i="52" l="1"/>
  <c r="I60" i="50"/>
  <c r="F14" i="29"/>
  <c r="I59" i="47"/>
  <c r="I66" s="1"/>
  <c r="N60"/>
  <c r="M60"/>
  <c r="L60"/>
  <c r="L59"/>
  <c r="L66" s="1"/>
  <c r="N59"/>
  <c r="N66" s="1"/>
  <c r="Q60"/>
  <c r="O60"/>
  <c r="P59"/>
  <c r="P66" s="1"/>
  <c r="I60"/>
  <c r="J59"/>
  <c r="J66" s="1"/>
  <c r="K60"/>
  <c r="R59"/>
  <c r="R66" s="1"/>
  <c r="Q59"/>
  <c r="Q66" s="1"/>
  <c r="J60"/>
  <c r="R60"/>
  <c r="M59"/>
  <c r="M66" s="1"/>
  <c r="O59"/>
  <c r="O66" s="1"/>
  <c r="K59"/>
  <c r="K66" s="1"/>
  <c r="P60"/>
  <c r="I59" i="37"/>
  <c r="I66" s="1"/>
  <c r="J59"/>
  <c r="J66" s="1"/>
  <c r="K59"/>
  <c r="K66" s="1"/>
  <c r="R59"/>
  <c r="R66" s="1"/>
  <c r="I60"/>
  <c r="K60"/>
  <c r="M60"/>
  <c r="L60"/>
  <c r="M59"/>
  <c r="M66" s="1"/>
  <c r="Q60"/>
  <c r="Q59"/>
  <c r="Q66" s="1"/>
  <c r="P59"/>
  <c r="P66" s="1"/>
  <c r="O59"/>
  <c r="O66" s="1"/>
  <c r="N59"/>
  <c r="N66" s="1"/>
  <c r="P60"/>
  <c r="I61" i="46"/>
  <c r="I60"/>
  <c r="J60" i="37"/>
  <c r="O60"/>
  <c r="R60"/>
  <c r="L59"/>
  <c r="L66" s="1"/>
  <c r="N60"/>
  <c r="F46" i="29"/>
  <c r="F22"/>
  <c r="F116"/>
  <c r="F51"/>
  <c r="F54"/>
  <c r="F20"/>
  <c r="F42"/>
  <c r="F34"/>
  <c r="F30"/>
  <c r="F58"/>
  <c r="F50"/>
  <c r="F38"/>
  <c r="F18"/>
  <c r="F36"/>
  <c r="F35"/>
  <c r="F44"/>
  <c r="F43"/>
  <c r="F27"/>
  <c r="F28"/>
  <c r="F19"/>
  <c r="F57"/>
  <c r="F53"/>
  <c r="F49"/>
  <c r="F45"/>
  <c r="F41"/>
  <c r="F37"/>
  <c r="F33"/>
  <c r="F29"/>
  <c r="F25"/>
  <c r="F21"/>
  <c r="F17"/>
  <c r="F52"/>
  <c r="F26"/>
  <c r="F39"/>
  <c r="F23"/>
  <c r="F55"/>
  <c r="F31"/>
  <c r="F15"/>
  <c r="F56"/>
  <c r="F48"/>
  <c r="F40"/>
  <c r="F32"/>
  <c r="F24"/>
  <c r="F16"/>
  <c r="F47"/>
  <c r="R144"/>
  <c r="S144"/>
  <c r="L179"/>
  <c r="S179"/>
  <c r="I163"/>
  <c r="S163"/>
  <c r="K167"/>
  <c r="S167"/>
  <c r="K147"/>
  <c r="S147"/>
  <c r="L170"/>
  <c r="S170"/>
  <c r="K171"/>
  <c r="S171"/>
  <c r="R176"/>
  <c r="S176"/>
  <c r="O155"/>
  <c r="S155"/>
  <c r="N152"/>
  <c r="S152"/>
  <c r="M139"/>
  <c r="S139"/>
  <c r="R138"/>
  <c r="S138"/>
  <c r="Q154"/>
  <c r="S154"/>
  <c r="I142"/>
  <c r="S142"/>
  <c r="P168"/>
  <c r="S168"/>
  <c r="S114"/>
  <c r="T114"/>
  <c r="V114"/>
  <c r="U114"/>
  <c r="L74"/>
  <c r="U74"/>
  <c r="S74"/>
  <c r="V74"/>
  <c r="T74"/>
  <c r="P98"/>
  <c r="U98"/>
  <c r="T98"/>
  <c r="S98"/>
  <c r="V98"/>
  <c r="L99"/>
  <c r="V99"/>
  <c r="U99"/>
  <c r="T99"/>
  <c r="S99"/>
  <c r="V115"/>
  <c r="U115"/>
  <c r="T115"/>
  <c r="S115"/>
  <c r="V105"/>
  <c r="U105"/>
  <c r="T105"/>
  <c r="S105"/>
  <c r="V81"/>
  <c r="U81"/>
  <c r="T81"/>
  <c r="S81"/>
  <c r="V93"/>
  <c r="U93"/>
  <c r="T93"/>
  <c r="S93"/>
  <c r="R77"/>
  <c r="V77"/>
  <c r="U77"/>
  <c r="T77"/>
  <c r="S77"/>
  <c r="Q96"/>
  <c r="V96"/>
  <c r="U96"/>
  <c r="T96"/>
  <c r="S96"/>
  <c r="S106"/>
  <c r="V106"/>
  <c r="U106"/>
  <c r="T106"/>
  <c r="J80"/>
  <c r="T80"/>
  <c r="U80"/>
  <c r="S80"/>
  <c r="V80"/>
  <c r="V107"/>
  <c r="U107"/>
  <c r="T107"/>
  <c r="S107"/>
  <c r="V91"/>
  <c r="U91"/>
  <c r="T91"/>
  <c r="S91"/>
  <c r="V89"/>
  <c r="U89"/>
  <c r="T89"/>
  <c r="S89"/>
  <c r="V109"/>
  <c r="U109"/>
  <c r="T109"/>
  <c r="S109"/>
  <c r="S78"/>
  <c r="T78"/>
  <c r="V78"/>
  <c r="U78"/>
  <c r="V73"/>
  <c r="U73"/>
  <c r="T73"/>
  <c r="S73"/>
  <c r="V97"/>
  <c r="U97"/>
  <c r="T97"/>
  <c r="S97"/>
  <c r="P88"/>
  <c r="S88"/>
  <c r="T88"/>
  <c r="V88"/>
  <c r="U88"/>
  <c r="V84"/>
  <c r="U84"/>
  <c r="T84"/>
  <c r="S84"/>
  <c r="U90"/>
  <c r="V90"/>
  <c r="T90"/>
  <c r="S90"/>
  <c r="T110"/>
  <c r="S110"/>
  <c r="U110"/>
  <c r="V110"/>
  <c r="L117"/>
  <c r="V117"/>
  <c r="U117"/>
  <c r="T117"/>
  <c r="S117"/>
  <c r="Q112"/>
  <c r="U112"/>
  <c r="S112"/>
  <c r="V112"/>
  <c r="T112"/>
  <c r="S94"/>
  <c r="U94"/>
  <c r="T94"/>
  <c r="V94"/>
  <c r="R102"/>
  <c r="V102"/>
  <c r="U102"/>
  <c r="T102"/>
  <c r="S102"/>
  <c r="N168"/>
  <c r="V60"/>
  <c r="V61"/>
  <c r="T61"/>
  <c r="T60"/>
  <c r="U61"/>
  <c r="U60"/>
  <c r="S60"/>
  <c r="S61"/>
  <c r="O168"/>
  <c r="J168"/>
  <c r="Q168"/>
  <c r="L168"/>
  <c r="I168"/>
  <c r="R168"/>
  <c r="M168"/>
  <c r="K168"/>
  <c r="I179"/>
  <c r="L115"/>
  <c r="J179"/>
  <c r="K88"/>
  <c r="J115"/>
  <c r="M171"/>
  <c r="I115"/>
  <c r="M88"/>
  <c r="Q179"/>
  <c r="Q115"/>
  <c r="P115"/>
  <c r="M115"/>
  <c r="O115"/>
  <c r="N88"/>
  <c r="N115"/>
  <c r="R115"/>
  <c r="K115"/>
  <c r="L80"/>
  <c r="R171"/>
  <c r="O179"/>
  <c r="Q88"/>
  <c r="P171"/>
  <c r="I88"/>
  <c r="P179"/>
  <c r="O171"/>
  <c r="N179"/>
  <c r="M80"/>
  <c r="K80"/>
  <c r="R88"/>
  <c r="Q171"/>
  <c r="K179"/>
  <c r="N80"/>
  <c r="O80"/>
  <c r="Q80"/>
  <c r="P80"/>
  <c r="J88"/>
  <c r="L88"/>
  <c r="I171"/>
  <c r="I80"/>
  <c r="R80"/>
  <c r="N171"/>
  <c r="J171"/>
  <c r="M179"/>
  <c r="O88"/>
  <c r="R179"/>
  <c r="I99"/>
  <c r="Q99"/>
  <c r="N99"/>
  <c r="N142"/>
  <c r="K154"/>
  <c r="N77"/>
  <c r="R142"/>
  <c r="P142"/>
  <c r="J142"/>
  <c r="L96"/>
  <c r="J96"/>
  <c r="N96"/>
  <c r="T87" i="30"/>
  <c r="M142" i="29"/>
  <c r="M96"/>
  <c r="O142"/>
  <c r="K96"/>
  <c r="O96"/>
  <c r="L142"/>
  <c r="Q142"/>
  <c r="K142"/>
  <c r="P112"/>
  <c r="R96"/>
  <c r="P96"/>
  <c r="I96"/>
  <c r="M154"/>
  <c r="S87" i="30"/>
  <c r="N163" i="29"/>
  <c r="J163"/>
  <c r="Q163"/>
  <c r="K163"/>
  <c r="P147"/>
  <c r="O163"/>
  <c r="J180" i="30"/>
  <c r="M163" i="29"/>
  <c r="O147"/>
  <c r="P163"/>
  <c r="M147"/>
  <c r="S96" i="30"/>
  <c r="U87"/>
  <c r="R163" i="29"/>
  <c r="N147"/>
  <c r="L163"/>
  <c r="U111" i="30"/>
  <c r="K152" i="29"/>
  <c r="R112"/>
  <c r="U96" i="30"/>
  <c r="R99" i="29"/>
  <c r="S111" i="30"/>
  <c r="T96"/>
  <c r="L147" i="29"/>
  <c r="J112"/>
  <c r="N112"/>
  <c r="I167"/>
  <c r="P97"/>
  <c r="I147"/>
  <c r="K112"/>
  <c r="I112"/>
  <c r="M99"/>
  <c r="R147"/>
  <c r="M112"/>
  <c r="L167"/>
  <c r="O99"/>
  <c r="J147"/>
  <c r="O112"/>
  <c r="Q147"/>
  <c r="L112"/>
  <c r="J99"/>
  <c r="V111" i="30"/>
  <c r="P99" i="29"/>
  <c r="K99"/>
  <c r="K97"/>
  <c r="I97"/>
  <c r="N139"/>
  <c r="O97"/>
  <c r="N155"/>
  <c r="M180" i="30"/>
  <c r="V86"/>
  <c r="J97" i="29"/>
  <c r="R154"/>
  <c r="T88" i="30"/>
  <c r="N102" i="29"/>
  <c r="J138"/>
  <c r="I154"/>
  <c r="S88" i="30"/>
  <c r="T86"/>
  <c r="N97" i="29"/>
  <c r="L155"/>
  <c r="S86" i="30"/>
  <c r="M97" i="29"/>
  <c r="O74"/>
  <c r="J154"/>
  <c r="P155"/>
  <c r="M155"/>
  <c r="Q155"/>
  <c r="L97"/>
  <c r="O167"/>
  <c r="L154"/>
  <c r="J155"/>
  <c r="I155"/>
  <c r="R97"/>
  <c r="V88" i="30"/>
  <c r="L102" i="29"/>
  <c r="O154"/>
  <c r="N154"/>
  <c r="K155"/>
  <c r="U86" i="30"/>
  <c r="R155" i="29"/>
  <c r="Q97"/>
  <c r="P154"/>
  <c r="Q139"/>
  <c r="K170"/>
  <c r="J77"/>
  <c r="Q77"/>
  <c r="N170"/>
  <c r="J117"/>
  <c r="L116" i="30"/>
  <c r="U116"/>
  <c r="P170" i="29"/>
  <c r="Q170"/>
  <c r="N116" i="30"/>
  <c r="M170" i="29"/>
  <c r="P176"/>
  <c r="P144"/>
  <c r="V116" i="30"/>
  <c r="K176" i="29"/>
  <c r="O144"/>
  <c r="L61"/>
  <c r="F179" i="30"/>
  <c r="U104"/>
  <c r="K117" i="29"/>
  <c r="Q117"/>
  <c r="P116" i="30"/>
  <c r="O139" i="29"/>
  <c r="P139"/>
  <c r="M117"/>
  <c r="J98"/>
  <c r="M138"/>
  <c r="L98"/>
  <c r="O117"/>
  <c r="P138"/>
  <c r="N117"/>
  <c r="L77"/>
  <c r="V112" i="30"/>
  <c r="I98" i="29"/>
  <c r="P117"/>
  <c r="N138"/>
  <c r="K138"/>
  <c r="O98"/>
  <c r="O77"/>
  <c r="L60"/>
  <c r="N60"/>
  <c r="Q98"/>
  <c r="K98"/>
  <c r="I139"/>
  <c r="N98"/>
  <c r="O61"/>
  <c r="I144"/>
  <c r="R98"/>
  <c r="L139"/>
  <c r="L176"/>
  <c r="O138"/>
  <c r="P77"/>
  <c r="M98"/>
  <c r="I77"/>
  <c r="V104" i="30"/>
  <c r="K116"/>
  <c r="J116"/>
  <c r="S116"/>
  <c r="T91"/>
  <c r="U91"/>
  <c r="K74" i="29"/>
  <c r="M167"/>
  <c r="O60"/>
  <c r="H182" i="30"/>
  <c r="M116"/>
  <c r="O170" i="29"/>
  <c r="J144"/>
  <c r="H182"/>
  <c r="L144"/>
  <c r="N167"/>
  <c r="M152"/>
  <c r="N144"/>
  <c r="S112" i="30"/>
  <c r="T112"/>
  <c r="R74" i="29"/>
  <c r="M74"/>
  <c r="I74"/>
  <c r="N74"/>
  <c r="P74"/>
  <c r="Q74"/>
  <c r="F118" i="30"/>
  <c r="P61" i="29"/>
  <c r="P180" i="30"/>
  <c r="J74" i="29"/>
  <c r="P152"/>
  <c r="Q102"/>
  <c r="Q180" i="30"/>
  <c r="Q116"/>
  <c r="I176" i="29"/>
  <c r="J176"/>
  <c r="R170"/>
  <c r="M144"/>
  <c r="N176"/>
  <c r="K144"/>
  <c r="P102"/>
  <c r="M102"/>
  <c r="J102"/>
  <c r="K180" i="30"/>
  <c r="N180"/>
  <c r="O180"/>
  <c r="I152" i="29"/>
  <c r="R152"/>
  <c r="L152"/>
  <c r="T104" i="30"/>
  <c r="S104"/>
  <c r="I138" i="29"/>
  <c r="Q138"/>
  <c r="L138"/>
  <c r="Q144"/>
  <c r="F115" i="30"/>
  <c r="V91"/>
  <c r="I180"/>
  <c r="H183"/>
  <c r="U112"/>
  <c r="F56"/>
  <c r="I116"/>
  <c r="O152" i="29"/>
  <c r="M176"/>
  <c r="I170"/>
  <c r="J152"/>
  <c r="O176"/>
  <c r="N61"/>
  <c r="I117"/>
  <c r="R117"/>
  <c r="R139"/>
  <c r="J139"/>
  <c r="K139"/>
  <c r="K77"/>
  <c r="M77"/>
  <c r="I102"/>
  <c r="J167"/>
  <c r="R180" i="30"/>
  <c r="F57"/>
  <c r="O116"/>
  <c r="T116"/>
  <c r="Q152" i="29"/>
  <c r="P167"/>
  <c r="O102"/>
  <c r="J170"/>
  <c r="R167"/>
  <c r="Q167"/>
  <c r="K102"/>
  <c r="Q176"/>
  <c r="P60"/>
  <c r="S113" i="30"/>
  <c r="T113"/>
  <c r="U113"/>
  <c r="V113"/>
  <c r="Q60" i="29"/>
  <c r="Q61"/>
  <c r="P110"/>
  <c r="J110"/>
  <c r="K110"/>
  <c r="L110"/>
  <c r="M110"/>
  <c r="N110"/>
  <c r="O110"/>
  <c r="Q110"/>
  <c r="I110"/>
  <c r="R110"/>
  <c r="R60"/>
  <c r="R61"/>
  <c r="K61"/>
  <c r="K60"/>
  <c r="L84"/>
  <c r="M84"/>
  <c r="N84"/>
  <c r="O84"/>
  <c r="Q84"/>
  <c r="I84"/>
  <c r="J84"/>
  <c r="R84"/>
  <c r="K84"/>
  <c r="P84"/>
  <c r="Q151"/>
  <c r="I151"/>
  <c r="M151"/>
  <c r="N151"/>
  <c r="O151"/>
  <c r="J151"/>
  <c r="L151"/>
  <c r="K151"/>
  <c r="P151"/>
  <c r="R151"/>
  <c r="V90" i="30"/>
  <c r="S90"/>
  <c r="T90"/>
  <c r="U90"/>
  <c r="M61" i="29"/>
  <c r="M60"/>
  <c r="F178" i="30"/>
  <c r="F54"/>
  <c r="H181" i="29"/>
  <c r="O107"/>
  <c r="J107"/>
  <c r="K107"/>
  <c r="L107"/>
  <c r="M107"/>
  <c r="N107"/>
  <c r="P107"/>
  <c r="Q107"/>
  <c r="I107"/>
  <c r="R107"/>
  <c r="S89" i="30"/>
  <c r="T89"/>
  <c r="U89"/>
  <c r="V89"/>
  <c r="O117"/>
  <c r="P117"/>
  <c r="Q117"/>
  <c r="I117"/>
  <c r="T117"/>
  <c r="L117"/>
  <c r="J117"/>
  <c r="K117"/>
  <c r="M117"/>
  <c r="S117"/>
  <c r="V117"/>
  <c r="N117"/>
  <c r="R117"/>
  <c r="U117"/>
  <c r="T92"/>
  <c r="U92"/>
  <c r="V92"/>
  <c r="S92"/>
  <c r="N137" i="29"/>
  <c r="O137"/>
  <c r="P137"/>
  <c r="K137"/>
  <c r="R137"/>
  <c r="J137"/>
  <c r="I137"/>
  <c r="L137"/>
  <c r="M137"/>
  <c r="Q137"/>
  <c r="O177"/>
  <c r="P177"/>
  <c r="Q177"/>
  <c r="R177"/>
  <c r="I177"/>
  <c r="L177"/>
  <c r="J177"/>
  <c r="K177"/>
  <c r="N177"/>
  <c r="M177"/>
  <c r="O153"/>
  <c r="P153"/>
  <c r="Q153"/>
  <c r="R153"/>
  <c r="I153"/>
  <c r="L153"/>
  <c r="M153"/>
  <c r="K153"/>
  <c r="J153"/>
  <c r="N153"/>
  <c r="L90"/>
  <c r="M90"/>
  <c r="N90"/>
  <c r="O90"/>
  <c r="P90"/>
  <c r="R90"/>
  <c r="I90"/>
  <c r="J90"/>
  <c r="K90"/>
  <c r="Q90"/>
  <c r="V106" i="30"/>
  <c r="S106"/>
  <c r="T106"/>
  <c r="U106"/>
  <c r="L114" i="29"/>
  <c r="O114"/>
  <c r="K114"/>
  <c r="M114"/>
  <c r="N114"/>
  <c r="P114"/>
  <c r="Q114"/>
  <c r="R114"/>
  <c r="I114"/>
  <c r="J114"/>
  <c r="S105" i="30"/>
  <c r="T105"/>
  <c r="U105"/>
  <c r="V105"/>
  <c r="H119" i="29"/>
  <c r="H120"/>
  <c r="O161"/>
  <c r="P161"/>
  <c r="Q161"/>
  <c r="R161"/>
  <c r="I161"/>
  <c r="L161"/>
  <c r="J161"/>
  <c r="K161"/>
  <c r="M161"/>
  <c r="N161"/>
  <c r="P94"/>
  <c r="J94"/>
  <c r="K94"/>
  <c r="L94"/>
  <c r="M94"/>
  <c r="O94"/>
  <c r="Q94"/>
  <c r="I94"/>
  <c r="N94"/>
  <c r="R94"/>
  <c r="O145"/>
  <c r="P145"/>
  <c r="Q145"/>
  <c r="R145"/>
  <c r="I145"/>
  <c r="L145"/>
  <c r="J145"/>
  <c r="K145"/>
  <c r="N145"/>
  <c r="M145"/>
  <c r="J60"/>
  <c r="J61"/>
  <c r="V98" i="30"/>
  <c r="S98"/>
  <c r="U98"/>
  <c r="T98"/>
  <c r="K73" i="29"/>
  <c r="L73"/>
  <c r="M73"/>
  <c r="N73"/>
  <c r="P73"/>
  <c r="R73"/>
  <c r="I73"/>
  <c r="Q73"/>
  <c r="J73"/>
  <c r="O73"/>
  <c r="S97" i="30"/>
  <c r="T97"/>
  <c r="U97"/>
  <c r="V97"/>
  <c r="Q89" i="29"/>
  <c r="I89"/>
  <c r="O89"/>
  <c r="P89"/>
  <c r="R89"/>
  <c r="J89"/>
  <c r="L89"/>
  <c r="M89"/>
  <c r="N89"/>
  <c r="K89"/>
  <c r="H120" i="30"/>
  <c r="H121"/>
  <c r="O169" i="29"/>
  <c r="P169"/>
  <c r="Q169"/>
  <c r="R169"/>
  <c r="I169"/>
  <c r="L169"/>
  <c r="M169"/>
  <c r="N169"/>
  <c r="J169"/>
  <c r="K169"/>
  <c r="N178"/>
  <c r="Q178"/>
  <c r="R178"/>
  <c r="I178"/>
  <c r="J178"/>
  <c r="M178"/>
  <c r="K178"/>
  <c r="L178"/>
  <c r="P178"/>
  <c r="O178"/>
  <c r="N146"/>
  <c r="Q146"/>
  <c r="R146"/>
  <c r="I146"/>
  <c r="J146"/>
  <c r="M146"/>
  <c r="K146"/>
  <c r="L146"/>
  <c r="O146"/>
  <c r="P146"/>
  <c r="K81"/>
  <c r="L81"/>
  <c r="M81"/>
  <c r="N81"/>
  <c r="P81"/>
  <c r="J81"/>
  <c r="O81"/>
  <c r="I81"/>
  <c r="Q81"/>
  <c r="R81"/>
  <c r="M109"/>
  <c r="L109"/>
  <c r="N109"/>
  <c r="O109"/>
  <c r="P109"/>
  <c r="Q109"/>
  <c r="R109"/>
  <c r="I109"/>
  <c r="J109"/>
  <c r="K109"/>
  <c r="L106"/>
  <c r="M106"/>
  <c r="N106"/>
  <c r="O106"/>
  <c r="P106"/>
  <c r="Q106"/>
  <c r="R106"/>
  <c r="I106"/>
  <c r="J106"/>
  <c r="K106"/>
  <c r="I60"/>
  <c r="I61"/>
  <c r="O91"/>
  <c r="J91"/>
  <c r="K91"/>
  <c r="L91"/>
  <c r="M91"/>
  <c r="P91"/>
  <c r="Q91"/>
  <c r="R91"/>
  <c r="I91"/>
  <c r="N91"/>
  <c r="O136"/>
  <c r="P136"/>
  <c r="Q136"/>
  <c r="I136"/>
  <c r="L136"/>
  <c r="K136"/>
  <c r="J136"/>
  <c r="M136"/>
  <c r="N136"/>
  <c r="R136"/>
  <c r="Q105"/>
  <c r="I105"/>
  <c r="O105"/>
  <c r="P105"/>
  <c r="J105"/>
  <c r="R105"/>
  <c r="K105"/>
  <c r="L105"/>
  <c r="M105"/>
  <c r="N105"/>
  <c r="K177" i="30"/>
  <c r="L177"/>
  <c r="M177"/>
  <c r="P177"/>
  <c r="O177"/>
  <c r="Q177"/>
  <c r="R177"/>
  <c r="I177"/>
  <c r="N177"/>
  <c r="J177"/>
  <c r="T108"/>
  <c r="U108"/>
  <c r="V108"/>
  <c r="S108"/>
  <c r="M93" i="29"/>
  <c r="L93"/>
  <c r="N93"/>
  <c r="O93"/>
  <c r="P93"/>
  <c r="R93"/>
  <c r="I93"/>
  <c r="J93"/>
  <c r="K93"/>
  <c r="Q93"/>
  <c r="V114" i="30"/>
  <c r="S114"/>
  <c r="U114"/>
  <c r="T114"/>
  <c r="F55"/>
  <c r="E48" i="10"/>
  <c r="L73" i="21"/>
  <c r="M73"/>
  <c r="N73"/>
  <c r="O73"/>
  <c r="P73"/>
  <c r="R48" i="10"/>
  <c r="W48"/>
  <c r="T48"/>
  <c r="S48"/>
  <c r="I48"/>
  <c r="C5" i="19"/>
  <c r="B48" i="10"/>
  <c r="A48" s="1"/>
  <c r="D32" i="52" l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60" s="1"/>
  <c r="D61" s="1"/>
  <c r="D27"/>
  <c r="D28" s="1"/>
  <c r="D29" s="1"/>
  <c r="D30" s="1"/>
  <c r="D24"/>
  <c r="D25" s="1"/>
  <c r="D26" s="1"/>
  <c r="D31"/>
  <c r="F61" i="29"/>
  <c r="F60"/>
  <c r="P48" i="10"/>
  <c r="U48"/>
  <c r="G18" i="37" s="1"/>
  <c r="F18" s="1"/>
  <c r="D18"/>
  <c r="I65" i="46"/>
  <c r="F177" i="29"/>
  <c r="F179"/>
  <c r="F176"/>
  <c r="F178"/>
  <c r="F115"/>
  <c r="F114"/>
  <c r="F117"/>
  <c r="S181"/>
  <c r="S182"/>
  <c r="V120"/>
  <c r="V119"/>
  <c r="S119"/>
  <c r="S120"/>
  <c r="U120"/>
  <c r="U119"/>
  <c r="T120"/>
  <c r="T119"/>
  <c r="F116" i="30"/>
  <c r="F177"/>
  <c r="F180"/>
  <c r="F117"/>
  <c r="Q48" i="10"/>
  <c r="I52"/>
  <c r="U52" s="1"/>
  <c r="G43" i="46" s="1"/>
  <c r="F43" s="1"/>
  <c r="W10" i="10" l="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N79" l="1"/>
  <c r="H76"/>
  <c r="K77"/>
  <c r="N78"/>
  <c r="G77"/>
  <c r="J77"/>
  <c r="M78"/>
  <c r="G76"/>
  <c r="H77"/>
  <c r="K78"/>
  <c r="H78"/>
  <c r="L76"/>
  <c r="J78"/>
  <c r="M79"/>
  <c r="J79"/>
  <c r="L78"/>
  <c r="G78"/>
  <c r="M76"/>
  <c r="F76"/>
  <c r="G79"/>
  <c r="K76"/>
  <c r="N77"/>
  <c r="L79"/>
  <c r="L77"/>
  <c r="N76"/>
  <c r="H79"/>
  <c r="J76"/>
  <c r="M77"/>
  <c r="K79"/>
  <c r="F79"/>
  <c r="F78"/>
  <c r="F77"/>
  <c r="D78"/>
  <c r="D79"/>
  <c r="D77"/>
  <c r="D76"/>
  <c r="B32"/>
  <c r="A32" s="1"/>
  <c r="B33"/>
  <c r="A33" s="1"/>
  <c r="B34"/>
  <c r="A34" s="1"/>
  <c r="B35"/>
  <c r="A35" s="1"/>
  <c r="B36"/>
  <c r="A36" s="1"/>
  <c r="B37"/>
  <c r="A37" s="1"/>
  <c r="B38"/>
  <c r="A38" s="1"/>
  <c r="B39"/>
  <c r="A39" s="1"/>
  <c r="B40"/>
  <c r="A40" s="1"/>
  <c r="B41"/>
  <c r="A41" s="1"/>
  <c r="B42"/>
  <c r="A42" s="1"/>
  <c r="B43"/>
  <c r="A43" s="1"/>
  <c r="B44"/>
  <c r="A44" s="1"/>
  <c r="B45"/>
  <c r="A45" s="1"/>
  <c r="B46"/>
  <c r="A46" s="1"/>
  <c r="B47"/>
  <c r="A47" s="1"/>
  <c r="B49"/>
  <c r="A49" s="1"/>
  <c r="B50"/>
  <c r="A50" s="1"/>
  <c r="B51"/>
  <c r="A51" s="1"/>
  <c r="B52"/>
  <c r="A52" s="1"/>
  <c r="B53"/>
  <c r="A53" s="1"/>
  <c r="B54"/>
  <c r="A54" s="1"/>
  <c r="B55"/>
  <c r="A55" s="1"/>
  <c r="B56"/>
  <c r="A56" s="1"/>
  <c r="B57"/>
  <c r="A57" s="1"/>
  <c r="B58"/>
  <c r="A58" s="1"/>
  <c r="B59"/>
  <c r="A59" s="1"/>
  <c r="B60"/>
  <c r="A60" s="1"/>
  <c r="B61"/>
  <c r="A61" s="1"/>
  <c r="B62"/>
  <c r="A62" s="1"/>
  <c r="B63"/>
  <c r="A63" s="1"/>
  <c r="B64"/>
  <c r="A64" s="1"/>
  <c r="B65"/>
  <c r="A65" s="1"/>
  <c r="B66"/>
  <c r="A66" s="1"/>
  <c r="B67"/>
  <c r="A67" s="1"/>
  <c r="B68"/>
  <c r="A68" s="1"/>
  <c r="B69"/>
  <c r="A69" s="1"/>
  <c r="B70"/>
  <c r="A70" s="1"/>
  <c r="B71"/>
  <c r="A71" s="1"/>
  <c r="B72"/>
  <c r="A72" s="1"/>
  <c r="B10"/>
  <c r="A10" s="1"/>
  <c r="B11"/>
  <c r="A11" s="1"/>
  <c r="B12"/>
  <c r="A12" s="1"/>
  <c r="B13"/>
  <c r="A13" s="1"/>
  <c r="B14"/>
  <c r="A14" s="1"/>
  <c r="B15"/>
  <c r="A15" s="1"/>
  <c r="B16"/>
  <c r="A16" s="1"/>
  <c r="B17"/>
  <c r="A17" s="1"/>
  <c r="B18"/>
  <c r="A18" s="1"/>
  <c r="B19"/>
  <c r="A19" s="1"/>
  <c r="B20"/>
  <c r="A20" s="1"/>
  <c r="B21"/>
  <c r="A21" s="1"/>
  <c r="B22"/>
  <c r="A22" s="1"/>
  <c r="B23"/>
  <c r="A23" s="1"/>
  <c r="B24"/>
  <c r="A24" s="1"/>
  <c r="B25"/>
  <c r="A25" s="1"/>
  <c r="B26"/>
  <c r="A26" s="1"/>
  <c r="B27"/>
  <c r="A27" s="1"/>
  <c r="B28"/>
  <c r="A28" s="1"/>
  <c r="B29"/>
  <c r="A29" s="1"/>
  <c r="B30"/>
  <c r="A30" s="1"/>
  <c r="B31"/>
  <c r="A31" s="1"/>
  <c r="B9"/>
  <c r="I77" l="1"/>
  <c r="L83"/>
  <c r="I78"/>
  <c r="H83"/>
  <c r="G83"/>
  <c r="I79"/>
  <c r="I76"/>
  <c r="N81"/>
  <c r="K80"/>
  <c r="J83"/>
  <c r="K83"/>
  <c r="H81"/>
  <c r="L81"/>
  <c r="M81"/>
  <c r="J80"/>
  <c r="N83"/>
  <c r="M83"/>
  <c r="L80"/>
  <c r="H80"/>
  <c r="M80"/>
  <c r="G80"/>
  <c r="K81"/>
  <c r="N80"/>
  <c r="J81"/>
  <c r="G81"/>
  <c r="A9"/>
  <c r="D80"/>
  <c r="F81"/>
  <c r="F83"/>
  <c r="D83"/>
  <c r="F80"/>
  <c r="D81"/>
  <c r="I81" l="1"/>
  <c r="I83"/>
  <c r="G82"/>
  <c r="J82"/>
  <c r="K82"/>
  <c r="N82"/>
  <c r="L82"/>
  <c r="H82"/>
  <c r="M82"/>
  <c r="I80"/>
  <c r="F82"/>
  <c r="D82"/>
  <c r="I82" l="1"/>
  <c r="I122" i="26" l="1"/>
  <c r="J122"/>
  <c r="K122"/>
  <c r="L122"/>
  <c r="M122"/>
  <c r="N122"/>
  <c r="O122"/>
  <c r="P122"/>
  <c r="Q122"/>
  <c r="R122"/>
  <c r="S122"/>
  <c r="T122"/>
  <c r="U122"/>
  <c r="V122"/>
  <c r="H122"/>
  <c r="I67"/>
  <c r="J67"/>
  <c r="K67"/>
  <c r="L67"/>
  <c r="M67"/>
  <c r="N67"/>
  <c r="O67"/>
  <c r="P67"/>
  <c r="Q67"/>
  <c r="R67"/>
  <c r="H67"/>
  <c r="I12"/>
  <c r="J12"/>
  <c r="K12"/>
  <c r="L12"/>
  <c r="M12"/>
  <c r="N12"/>
  <c r="O12"/>
  <c r="P12"/>
  <c r="Q12"/>
  <c r="R12"/>
  <c r="S12"/>
  <c r="T12"/>
  <c r="U12"/>
  <c r="V12"/>
  <c r="H12"/>
  <c r="B14"/>
  <c r="B15"/>
  <c r="B16"/>
  <c r="B17"/>
  <c r="B13"/>
  <c r="C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H123" s="1"/>
  <c r="I121"/>
  <c r="J121" s="1"/>
  <c r="K121" s="1"/>
  <c r="L121" s="1"/>
  <c r="M121" s="1"/>
  <c r="N121" s="1"/>
  <c r="O121" s="1"/>
  <c r="P121" s="1"/>
  <c r="Q121" s="1"/>
  <c r="R121" s="1"/>
  <c r="S121" s="1"/>
  <c r="H121"/>
  <c r="G121"/>
  <c r="C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H90" s="1"/>
  <c r="A89"/>
  <c r="A88"/>
  <c r="A87"/>
  <c r="A86"/>
  <c r="A85"/>
  <c r="A84"/>
  <c r="A83"/>
  <c r="A82"/>
  <c r="H82" s="1"/>
  <c r="A81"/>
  <c r="H81" s="1"/>
  <c r="A80"/>
  <c r="A79"/>
  <c r="A78"/>
  <c r="A77"/>
  <c r="A76"/>
  <c r="H76" s="1"/>
  <c r="A75"/>
  <c r="A74"/>
  <c r="A73"/>
  <c r="A72"/>
  <c r="A71"/>
  <c r="A70"/>
  <c r="A69"/>
  <c r="A68"/>
  <c r="H68" s="1"/>
  <c r="V67"/>
  <c r="U67"/>
  <c r="T67"/>
  <c r="S67"/>
  <c r="G66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C58"/>
  <c r="H1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G11"/>
  <c r="I122" i="17"/>
  <c r="H122"/>
  <c r="I67"/>
  <c r="H67"/>
  <c r="E5" i="2"/>
  <c r="H12" i="17"/>
  <c r="G13"/>
  <c r="B81" i="26" l="1"/>
  <c r="T81" s="1"/>
  <c r="B84"/>
  <c r="Q84" s="1"/>
  <c r="H84"/>
  <c r="B153"/>
  <c r="P153" s="1"/>
  <c r="H153"/>
  <c r="B83"/>
  <c r="N83" s="1"/>
  <c r="H83"/>
  <c r="B107"/>
  <c r="J107" s="1"/>
  <c r="H107"/>
  <c r="B144"/>
  <c r="K144" s="1"/>
  <c r="H144"/>
  <c r="B71"/>
  <c r="H71"/>
  <c r="B79"/>
  <c r="U79" s="1"/>
  <c r="H79"/>
  <c r="B87"/>
  <c r="I87" s="1"/>
  <c r="H87"/>
  <c r="B95"/>
  <c r="N95" s="1"/>
  <c r="H95"/>
  <c r="B103"/>
  <c r="V103" s="1"/>
  <c r="H103"/>
  <c r="B111"/>
  <c r="S111" s="1"/>
  <c r="H111"/>
  <c r="B124"/>
  <c r="H124"/>
  <c r="B132"/>
  <c r="H132"/>
  <c r="B140"/>
  <c r="M140" s="1"/>
  <c r="H140"/>
  <c r="B148"/>
  <c r="L148" s="1"/>
  <c r="H148"/>
  <c r="B156"/>
  <c r="M156" s="1"/>
  <c r="H156"/>
  <c r="B164"/>
  <c r="R164" s="1"/>
  <c r="H164"/>
  <c r="B70"/>
  <c r="H70"/>
  <c r="B78"/>
  <c r="V78" s="1"/>
  <c r="H78"/>
  <c r="B86"/>
  <c r="S86" s="1"/>
  <c r="H86"/>
  <c r="B94"/>
  <c r="J94" s="1"/>
  <c r="H94"/>
  <c r="B102"/>
  <c r="M102" s="1"/>
  <c r="H102"/>
  <c r="B110"/>
  <c r="K110" s="1"/>
  <c r="H110"/>
  <c r="B131"/>
  <c r="H131"/>
  <c r="B139"/>
  <c r="Q139" s="1"/>
  <c r="H139"/>
  <c r="B147"/>
  <c r="L147" s="1"/>
  <c r="H147"/>
  <c r="B155"/>
  <c r="P155" s="1"/>
  <c r="H155"/>
  <c r="B163"/>
  <c r="J163" s="1"/>
  <c r="H163"/>
  <c r="B69"/>
  <c r="H69"/>
  <c r="B77"/>
  <c r="H77"/>
  <c r="B85"/>
  <c r="N85" s="1"/>
  <c r="H85"/>
  <c r="B93"/>
  <c r="Q93" s="1"/>
  <c r="H93"/>
  <c r="B101"/>
  <c r="O101" s="1"/>
  <c r="H101"/>
  <c r="B109"/>
  <c r="Q109" s="1"/>
  <c r="H109"/>
  <c r="B130"/>
  <c r="H130"/>
  <c r="B138"/>
  <c r="I138" s="1"/>
  <c r="H138"/>
  <c r="B146"/>
  <c r="P146" s="1"/>
  <c r="H146"/>
  <c r="B154"/>
  <c r="O154" s="1"/>
  <c r="H154"/>
  <c r="B162"/>
  <c r="M162" s="1"/>
  <c r="H162"/>
  <c r="B76"/>
  <c r="B100"/>
  <c r="L100" s="1"/>
  <c r="H100"/>
  <c r="B108"/>
  <c r="J108" s="1"/>
  <c r="H108"/>
  <c r="B137"/>
  <c r="Q137" s="1"/>
  <c r="H137"/>
  <c r="B98"/>
  <c r="L98" s="1"/>
  <c r="H98"/>
  <c r="B106"/>
  <c r="J106" s="1"/>
  <c r="H106"/>
  <c r="B127"/>
  <c r="H127"/>
  <c r="B135"/>
  <c r="I135" s="1"/>
  <c r="H135"/>
  <c r="B143"/>
  <c r="J143" s="1"/>
  <c r="H143"/>
  <c r="B151"/>
  <c r="O151" s="1"/>
  <c r="H151"/>
  <c r="B159"/>
  <c r="J159" s="1"/>
  <c r="H159"/>
  <c r="B167"/>
  <c r="P167" s="1"/>
  <c r="H167"/>
  <c r="B82"/>
  <c r="R82" s="1"/>
  <c r="B92"/>
  <c r="K92" s="1"/>
  <c r="H92"/>
  <c r="B129"/>
  <c r="H129"/>
  <c r="B145"/>
  <c r="J145" s="1"/>
  <c r="H145"/>
  <c r="B161"/>
  <c r="R161" s="1"/>
  <c r="H161"/>
  <c r="B75"/>
  <c r="H75"/>
  <c r="B99"/>
  <c r="R99" s="1"/>
  <c r="H99"/>
  <c r="B136"/>
  <c r="P136" s="1"/>
  <c r="H136"/>
  <c r="B160"/>
  <c r="P160" s="1"/>
  <c r="H160"/>
  <c r="B89"/>
  <c r="O89" s="1"/>
  <c r="H89"/>
  <c r="B97"/>
  <c r="K97" s="1"/>
  <c r="H97"/>
  <c r="B105"/>
  <c r="N105" s="1"/>
  <c r="H105"/>
  <c r="B126"/>
  <c r="H126"/>
  <c r="B134"/>
  <c r="J134" s="1"/>
  <c r="H134"/>
  <c r="B142"/>
  <c r="O142" s="1"/>
  <c r="H142"/>
  <c r="B150"/>
  <c r="O150" s="1"/>
  <c r="H150"/>
  <c r="B158"/>
  <c r="I158" s="1"/>
  <c r="H158"/>
  <c r="B166"/>
  <c r="O166" s="1"/>
  <c r="H166"/>
  <c r="B90"/>
  <c r="U90" s="1"/>
  <c r="B91"/>
  <c r="L91" s="1"/>
  <c r="H91"/>
  <c r="B128"/>
  <c r="H128"/>
  <c r="B152"/>
  <c r="L152" s="1"/>
  <c r="H152"/>
  <c r="B74"/>
  <c r="H74"/>
  <c r="B73"/>
  <c r="H73"/>
  <c r="B72"/>
  <c r="H72"/>
  <c r="B80"/>
  <c r="J80" s="1"/>
  <c r="H80"/>
  <c r="B88"/>
  <c r="J88" s="1"/>
  <c r="H88"/>
  <c r="B96"/>
  <c r="I96" s="1"/>
  <c r="H96"/>
  <c r="B104"/>
  <c r="N104" s="1"/>
  <c r="H104"/>
  <c r="B112"/>
  <c r="R112" s="1"/>
  <c r="H112"/>
  <c r="B125"/>
  <c r="H125"/>
  <c r="B133"/>
  <c r="H133"/>
  <c r="B141"/>
  <c r="I141" s="1"/>
  <c r="H141"/>
  <c r="B149"/>
  <c r="Q149" s="1"/>
  <c r="H149"/>
  <c r="B157"/>
  <c r="L157" s="1"/>
  <c r="H157"/>
  <c r="B165"/>
  <c r="N165" s="1"/>
  <c r="H165"/>
  <c r="B68"/>
  <c r="B123"/>
  <c r="O156" l="1"/>
  <c r="S107"/>
  <c r="Q156"/>
  <c r="R87"/>
  <c r="J156"/>
  <c r="T107"/>
  <c r="O107"/>
  <c r="K87"/>
  <c r="J86"/>
  <c r="Q87"/>
  <c r="R107"/>
  <c r="K138"/>
  <c r="M89"/>
  <c r="U107"/>
  <c r="O86"/>
  <c r="Q134"/>
  <c r="J166"/>
  <c r="P89"/>
  <c r="V89"/>
  <c r="R86"/>
  <c r="N107"/>
  <c r="M134"/>
  <c r="R89"/>
  <c r="J87"/>
  <c r="L163"/>
  <c r="V92"/>
  <c r="N166"/>
  <c r="J89"/>
  <c r="M107"/>
  <c r="O138"/>
  <c r="V107"/>
  <c r="P87"/>
  <c r="P107"/>
  <c r="Q107"/>
  <c r="P166"/>
  <c r="O163"/>
  <c r="M138"/>
  <c r="U89"/>
  <c r="K107"/>
  <c r="P93"/>
  <c r="M166"/>
  <c r="L156"/>
  <c r="N86"/>
  <c r="U92"/>
  <c r="T92"/>
  <c r="V87"/>
  <c r="K93"/>
  <c r="L107"/>
  <c r="M93"/>
  <c r="J93"/>
  <c r="L89"/>
  <c r="K89"/>
  <c r="I107"/>
  <c r="I163"/>
  <c r="K156"/>
  <c r="R138"/>
  <c r="R156"/>
  <c r="I156"/>
  <c r="S92"/>
  <c r="I86"/>
  <c r="R93"/>
  <c r="O93"/>
  <c r="Q163"/>
  <c r="K163"/>
  <c r="T89"/>
  <c r="N93"/>
  <c r="M92"/>
  <c r="P86"/>
  <c r="J138"/>
  <c r="S89"/>
  <c r="T86"/>
  <c r="O92"/>
  <c r="Q92"/>
  <c r="I89"/>
  <c r="N89"/>
  <c r="I93"/>
  <c r="L86"/>
  <c r="J92"/>
  <c r="L138"/>
  <c r="P163"/>
  <c r="N134"/>
  <c r="N163"/>
  <c r="L134"/>
  <c r="T87"/>
  <c r="U86"/>
  <c r="N92"/>
  <c r="Q86"/>
  <c r="M87"/>
  <c r="N87"/>
  <c r="M163"/>
  <c r="R166"/>
  <c r="U87"/>
  <c r="K86"/>
  <c r="M86"/>
  <c r="V86"/>
  <c r="L93"/>
  <c r="P92"/>
  <c r="N156"/>
  <c r="Q138"/>
  <c r="P138"/>
  <c r="P156"/>
  <c r="S87"/>
  <c r="R92"/>
  <c r="I92"/>
  <c r="O87"/>
  <c r="L87"/>
  <c r="L92"/>
  <c r="R163"/>
  <c r="N138"/>
  <c r="Q166"/>
  <c r="I134"/>
  <c r="K82"/>
  <c r="K98"/>
  <c r="M143"/>
  <c r="P82"/>
  <c r="I98"/>
  <c r="L143"/>
  <c r="O143"/>
  <c r="N143"/>
  <c r="N98"/>
  <c r="P143"/>
  <c r="U82"/>
  <c r="L166"/>
  <c r="O85"/>
  <c r="O148"/>
  <c r="Q98"/>
  <c r="O98"/>
  <c r="V98"/>
  <c r="T98"/>
  <c r="M82"/>
  <c r="Q89"/>
  <c r="P134"/>
  <c r="O134"/>
  <c r="R134"/>
  <c r="K166"/>
  <c r="I166"/>
  <c r="Q83"/>
  <c r="V79"/>
  <c r="R85"/>
  <c r="K83"/>
  <c r="I112"/>
  <c r="R83"/>
  <c r="K134"/>
  <c r="V80"/>
  <c r="P149"/>
  <c r="K143"/>
  <c r="Q143"/>
  <c r="Q111"/>
  <c r="O79"/>
  <c r="M111"/>
  <c r="S110"/>
  <c r="L83"/>
  <c r="N79"/>
  <c r="I111"/>
  <c r="J155"/>
  <c r="V112"/>
  <c r="J110"/>
  <c r="K79"/>
  <c r="O83"/>
  <c r="K155"/>
  <c r="T112"/>
  <c r="N80"/>
  <c r="K80"/>
  <c r="J149"/>
  <c r="U112"/>
  <c r="M80"/>
  <c r="K112"/>
  <c r="M149"/>
  <c r="P112"/>
  <c r="N112"/>
  <c r="Q79"/>
  <c r="K111"/>
  <c r="I155"/>
  <c r="U98"/>
  <c r="T78"/>
  <c r="U80"/>
  <c r="T80"/>
  <c r="U110"/>
  <c r="M98"/>
  <c r="O111"/>
  <c r="L79"/>
  <c r="J82"/>
  <c r="J98"/>
  <c r="N148"/>
  <c r="O162"/>
  <c r="M152"/>
  <c r="P152"/>
  <c r="N152"/>
  <c r="R143"/>
  <c r="S98"/>
  <c r="S79"/>
  <c r="S80"/>
  <c r="P98"/>
  <c r="K85"/>
  <c r="Q112"/>
  <c r="O80"/>
  <c r="J112"/>
  <c r="I83"/>
  <c r="I82"/>
  <c r="M110"/>
  <c r="R149"/>
  <c r="I148"/>
  <c r="S78"/>
  <c r="O82"/>
  <c r="N82"/>
  <c r="L111"/>
  <c r="L82"/>
  <c r="N162"/>
  <c r="M148"/>
  <c r="I143"/>
  <c r="Q82"/>
  <c r="I85"/>
  <c r="M83"/>
  <c r="R111"/>
  <c r="J111"/>
  <c r="V82"/>
  <c r="S82"/>
  <c r="V111"/>
  <c r="S112"/>
  <c r="T82"/>
  <c r="I110"/>
  <c r="L112"/>
  <c r="I80"/>
  <c r="R98"/>
  <c r="O112"/>
  <c r="R79"/>
  <c r="N111"/>
  <c r="I79"/>
  <c r="R152"/>
  <c r="Q148"/>
  <c r="N110"/>
  <c r="I160"/>
  <c r="O161"/>
  <c r="P162"/>
  <c r="L108"/>
  <c r="O96"/>
  <c r="Q91"/>
  <c r="O149"/>
  <c r="K152"/>
  <c r="O91"/>
  <c r="J91"/>
  <c r="R80"/>
  <c r="J152"/>
  <c r="O152"/>
  <c r="N159"/>
  <c r="Q158"/>
  <c r="R160"/>
  <c r="P158"/>
  <c r="I149"/>
  <c r="I162"/>
  <c r="R137"/>
  <c r="L165"/>
  <c r="N167"/>
  <c r="K96"/>
  <c r="O108"/>
  <c r="M159"/>
  <c r="Q161"/>
  <c r="U91"/>
  <c r="U108"/>
  <c r="L96"/>
  <c r="M108"/>
  <c r="N160"/>
  <c r="O159"/>
  <c r="S91"/>
  <c r="V108"/>
  <c r="T108"/>
  <c r="J96"/>
  <c r="K165"/>
  <c r="K159"/>
  <c r="Q108"/>
  <c r="Q159"/>
  <c r="N108"/>
  <c r="P96"/>
  <c r="N96"/>
  <c r="I91"/>
  <c r="R91"/>
  <c r="R108"/>
  <c r="M96"/>
  <c r="N91"/>
  <c r="S108"/>
  <c r="M165"/>
  <c r="J165"/>
  <c r="L149"/>
  <c r="O165"/>
  <c r="N149"/>
  <c r="M112"/>
  <c r="L80"/>
  <c r="Q80"/>
  <c r="P80"/>
  <c r="P161"/>
  <c r="M160"/>
  <c r="I152"/>
  <c r="R162"/>
  <c r="L167"/>
  <c r="Q165"/>
  <c r="J97"/>
  <c r="O103"/>
  <c r="K149"/>
  <c r="Q160"/>
  <c r="I165"/>
  <c r="R136"/>
  <c r="K150"/>
  <c r="I153"/>
  <c r="R154"/>
  <c r="Q105"/>
  <c r="K154"/>
  <c r="O136"/>
  <c r="K88"/>
  <c r="Q136"/>
  <c r="P106"/>
  <c r="Q103"/>
  <c r="O145"/>
  <c r="O90"/>
  <c r="J109"/>
  <c r="N136"/>
  <c r="N158"/>
  <c r="K145"/>
  <c r="Q100"/>
  <c r="Q102"/>
  <c r="L154"/>
  <c r="L135"/>
  <c r="P154"/>
  <c r="J154"/>
  <c r="R153"/>
  <c r="M106"/>
  <c r="K100"/>
  <c r="O109"/>
  <c r="Q153"/>
  <c r="P140"/>
  <c r="P135"/>
  <c r="T103"/>
  <c r="S103"/>
  <c r="O102"/>
  <c r="N109"/>
  <c r="L109"/>
  <c r="J103"/>
  <c r="K105"/>
  <c r="Q150"/>
  <c r="M136"/>
  <c r="P147"/>
  <c r="O147"/>
  <c r="M150"/>
  <c r="L145"/>
  <c r="R150"/>
  <c r="L103"/>
  <c r="J136"/>
  <c r="J153"/>
  <c r="V105"/>
  <c r="U105"/>
  <c r="N106"/>
  <c r="N81"/>
  <c r="I109"/>
  <c r="R147"/>
  <c r="Q147"/>
  <c r="R157"/>
  <c r="R146"/>
  <c r="L136"/>
  <c r="O157"/>
  <c r="J157"/>
  <c r="P151"/>
  <c r="S100"/>
  <c r="V106"/>
  <c r="V81"/>
  <c r="R100"/>
  <c r="J81"/>
  <c r="O81"/>
  <c r="I105"/>
  <c r="Q88"/>
  <c r="R101"/>
  <c r="R109"/>
  <c r="R106"/>
  <c r="P109"/>
  <c r="L106"/>
  <c r="K81"/>
  <c r="I103"/>
  <c r="P145"/>
  <c r="N144"/>
  <c r="I147"/>
  <c r="O153"/>
  <c r="J140"/>
  <c r="I136"/>
  <c r="M145"/>
  <c r="M153"/>
  <c r="Q151"/>
  <c r="J150"/>
  <c r="I151"/>
  <c r="I145"/>
  <c r="K153"/>
  <c r="N151"/>
  <c r="I106"/>
  <c r="I150"/>
  <c r="U106"/>
  <c r="R81"/>
  <c r="T100"/>
  <c r="I88"/>
  <c r="U102"/>
  <c r="L105"/>
  <c r="Q81"/>
  <c r="R102"/>
  <c r="P105"/>
  <c r="Q106"/>
  <c r="R103"/>
  <c r="N153"/>
  <c r="L140"/>
  <c r="Q145"/>
  <c r="P90"/>
  <c r="P81"/>
  <c r="P101"/>
  <c r="I81"/>
  <c r="J102"/>
  <c r="O105"/>
  <c r="P104"/>
  <c r="N102"/>
  <c r="N154"/>
  <c r="P142"/>
  <c r="M151"/>
  <c r="Q146"/>
  <c r="N150"/>
  <c r="M147"/>
  <c r="Q140"/>
  <c r="R145"/>
  <c r="J147"/>
  <c r="L150"/>
  <c r="K136"/>
  <c r="N103"/>
  <c r="S106"/>
  <c r="U100"/>
  <c r="M88"/>
  <c r="O106"/>
  <c r="R88"/>
  <c r="P157"/>
  <c r="J151"/>
  <c r="V90"/>
  <c r="U81"/>
  <c r="R105"/>
  <c r="L81"/>
  <c r="M81"/>
  <c r="M105"/>
  <c r="S81"/>
  <c r="V102"/>
  <c r="V100"/>
  <c r="M103"/>
  <c r="V94"/>
  <c r="S105"/>
  <c r="T106"/>
  <c r="U95"/>
  <c r="T105"/>
  <c r="K109"/>
  <c r="I84"/>
  <c r="P103"/>
  <c r="L88"/>
  <c r="P100"/>
  <c r="M109"/>
  <c r="O100"/>
  <c r="P102"/>
  <c r="K106"/>
  <c r="K103"/>
  <c r="N88"/>
  <c r="L139"/>
  <c r="N140"/>
  <c r="P150"/>
  <c r="K157"/>
  <c r="R141"/>
  <c r="L151"/>
  <c r="K140"/>
  <c r="I157"/>
  <c r="R140"/>
  <c r="M157"/>
  <c r="K137"/>
  <c r="K147"/>
  <c r="L153"/>
  <c r="I140"/>
  <c r="P164"/>
  <c r="N135"/>
  <c r="M154"/>
  <c r="I100"/>
  <c r="M100"/>
  <c r="U103"/>
  <c r="J100"/>
  <c r="Q154"/>
  <c r="N145"/>
  <c r="I154"/>
  <c r="K151"/>
  <c r="N147"/>
  <c r="R151"/>
  <c r="O140"/>
  <c r="O88"/>
  <c r="S102"/>
  <c r="J105"/>
  <c r="I102"/>
  <c r="L95"/>
  <c r="T102"/>
  <c r="K102"/>
  <c r="K99"/>
  <c r="N100"/>
  <c r="P88"/>
  <c r="L102"/>
  <c r="O158"/>
  <c r="N157"/>
  <c r="K158"/>
  <c r="L161"/>
  <c r="R158"/>
  <c r="S97"/>
  <c r="S84"/>
  <c r="S90"/>
  <c r="S95"/>
  <c r="L101"/>
  <c r="L97"/>
  <c r="O94"/>
  <c r="J101"/>
  <c r="K95"/>
  <c r="Q90"/>
  <c r="M99"/>
  <c r="J95"/>
  <c r="M135"/>
  <c r="K141"/>
  <c r="M167"/>
  <c r="J141"/>
  <c r="M139"/>
  <c r="O139"/>
  <c r="J146"/>
  <c r="I146"/>
  <c r="J135"/>
  <c r="I167"/>
  <c r="O141"/>
  <c r="I137"/>
  <c r="K142"/>
  <c r="O104"/>
  <c r="V110"/>
  <c r="T84"/>
  <c r="T91"/>
  <c r="U96"/>
  <c r="V95"/>
  <c r="V91"/>
  <c r="S94"/>
  <c r="V97"/>
  <c r="R84"/>
  <c r="P97"/>
  <c r="P95"/>
  <c r="N101"/>
  <c r="I108"/>
  <c r="P110"/>
  <c r="M85"/>
  <c r="K91"/>
  <c r="Q97"/>
  <c r="L104"/>
  <c r="R110"/>
  <c r="M90"/>
  <c r="Q85"/>
  <c r="Q101"/>
  <c r="M91"/>
  <c r="K84"/>
  <c r="L110"/>
  <c r="Q99"/>
  <c r="R96"/>
  <c r="Q142"/>
  <c r="J164"/>
  <c r="J160"/>
  <c r="J148"/>
  <c r="M141"/>
  <c r="K146"/>
  <c r="Q152"/>
  <c r="L159"/>
  <c r="R165"/>
  <c r="K148"/>
  <c r="Q157"/>
  <c r="L164"/>
  <c r="M142"/>
  <c r="M144"/>
  <c r="J161"/>
  <c r="Q167"/>
  <c r="L160"/>
  <c r="Q164"/>
  <c r="I90"/>
  <c r="K160"/>
  <c r="O97"/>
  <c r="K94"/>
  <c r="P99"/>
  <c r="I101"/>
  <c r="L90"/>
  <c r="R139"/>
  <c r="L146"/>
  <c r="P139"/>
  <c r="O144"/>
  <c r="K101"/>
  <c r="Q104"/>
  <c r="L84"/>
  <c r="P137"/>
  <c r="I139"/>
  <c r="P165"/>
  <c r="R135"/>
  <c r="K139"/>
  <c r="I142"/>
  <c r="T111"/>
  <c r="T97"/>
  <c r="T96"/>
  <c r="T90"/>
  <c r="U78"/>
  <c r="U84"/>
  <c r="N84"/>
  <c r="L99"/>
  <c r="P94"/>
  <c r="O95"/>
  <c r="P108"/>
  <c r="P85"/>
  <c r="J85"/>
  <c r="P91"/>
  <c r="N97"/>
  <c r="I104"/>
  <c r="O110"/>
  <c r="R90"/>
  <c r="J99"/>
  <c r="R104"/>
  <c r="M79"/>
  <c r="J84"/>
  <c r="J104"/>
  <c r="R155"/>
  <c r="M155"/>
  <c r="R144"/>
  <c r="Q162"/>
  <c r="L155"/>
  <c r="N137"/>
  <c r="I144"/>
  <c r="O160"/>
  <c r="O146"/>
  <c r="N142"/>
  <c r="O155"/>
  <c r="J162"/>
  <c r="N155"/>
  <c r="L137"/>
  <c r="R159"/>
  <c r="R167"/>
  <c r="I159"/>
  <c r="J137"/>
  <c r="P159"/>
  <c r="Q135"/>
  <c r="P148"/>
  <c r="J139"/>
  <c r="O167"/>
  <c r="I161"/>
  <c r="N94"/>
  <c r="M146"/>
  <c r="T94"/>
  <c r="I94"/>
  <c r="P84"/>
  <c r="N90"/>
  <c r="I97"/>
  <c r="M94"/>
  <c r="P144"/>
  <c r="N139"/>
  <c r="L142"/>
  <c r="O164"/>
  <c r="Q94"/>
  <c r="M95"/>
  <c r="N164"/>
  <c r="Q144"/>
  <c r="M164"/>
  <c r="K164"/>
  <c r="L141"/>
  <c r="U111"/>
  <c r="T79"/>
  <c r="T110"/>
  <c r="V96"/>
  <c r="U94"/>
  <c r="Q95"/>
  <c r="L85"/>
  <c r="Q110"/>
  <c r="P79"/>
  <c r="P111"/>
  <c r="R94"/>
  <c r="M101"/>
  <c r="O84"/>
  <c r="M84"/>
  <c r="K90"/>
  <c r="Q96"/>
  <c r="J90"/>
  <c r="L94"/>
  <c r="K108"/>
  <c r="R95"/>
  <c r="I99"/>
  <c r="I95"/>
  <c r="J79"/>
  <c r="N99"/>
  <c r="R148"/>
  <c r="N146"/>
  <c r="O137"/>
  <c r="J144"/>
  <c r="K162"/>
  <c r="M158"/>
  <c r="K135"/>
  <c r="Q141"/>
  <c r="M161"/>
  <c r="K167"/>
  <c r="O135"/>
  <c r="L158"/>
  <c r="J158"/>
  <c r="J167"/>
  <c r="K161"/>
  <c r="I164"/>
  <c r="R142"/>
  <c r="P141"/>
  <c r="M137"/>
  <c r="J142"/>
  <c r="T95"/>
  <c r="S96"/>
  <c r="V84"/>
  <c r="U97"/>
  <c r="R97"/>
  <c r="M104"/>
  <c r="K104"/>
  <c r="P83"/>
  <c r="M97"/>
  <c r="O99"/>
  <c r="J83"/>
  <c r="Q155"/>
  <c r="L162"/>
  <c r="N141"/>
  <c r="N161"/>
  <c r="L144"/>
  <c r="T88"/>
  <c r="U88"/>
  <c r="S88"/>
  <c r="V88"/>
  <c r="V85"/>
  <c r="S85"/>
  <c r="U85"/>
  <c r="T85"/>
  <c r="U99"/>
  <c r="T99"/>
  <c r="V99"/>
  <c r="S99"/>
  <c r="T104"/>
  <c r="U104"/>
  <c r="S104"/>
  <c r="V104"/>
  <c r="V93"/>
  <c r="S93"/>
  <c r="T93"/>
  <c r="U93"/>
  <c r="V109"/>
  <c r="S109"/>
  <c r="T109"/>
  <c r="U109"/>
  <c r="U83"/>
  <c r="T83"/>
  <c r="V83"/>
  <c r="S83"/>
  <c r="V101"/>
  <c r="S101"/>
  <c r="T101"/>
  <c r="U101"/>
  <c r="A6" i="24" l="1"/>
  <c r="A7"/>
  <c r="A8"/>
  <c r="A9"/>
  <c r="A10"/>
  <c r="A11"/>
  <c r="A12"/>
  <c r="A13"/>
  <c r="A14"/>
  <c r="A15"/>
  <c r="A16"/>
  <c r="A17"/>
  <c r="A19"/>
  <c r="A21"/>
  <c r="A22"/>
  <c r="A23"/>
  <c r="A24"/>
  <c r="A25"/>
  <c r="A26"/>
  <c r="A27"/>
  <c r="A28"/>
  <c r="A29"/>
  <c r="A31"/>
  <c r="A32"/>
  <c r="A33"/>
  <c r="A34"/>
  <c r="A35"/>
  <c r="A37"/>
  <c r="A38"/>
  <c r="A39"/>
  <c r="A43"/>
  <c r="A44"/>
  <c r="A45"/>
  <c r="A46"/>
  <c r="A5"/>
  <c r="A5" i="23"/>
  <c r="A6"/>
  <c r="A7"/>
  <c r="A8"/>
  <c r="A9"/>
  <c r="A10"/>
  <c r="A11"/>
  <c r="A12"/>
  <c r="A13"/>
  <c r="A14"/>
  <c r="A15"/>
  <c r="A16"/>
  <c r="A17"/>
  <c r="A19"/>
  <c r="A21"/>
  <c r="A22"/>
  <c r="A23"/>
  <c r="A24"/>
  <c r="A25"/>
  <c r="A26"/>
  <c r="A27"/>
  <c r="A28"/>
  <c r="A29"/>
  <c r="A31"/>
  <c r="A32"/>
  <c r="A33"/>
  <c r="A34"/>
  <c r="A35"/>
  <c r="A37"/>
  <c r="A38"/>
  <c r="A39"/>
  <c r="A43"/>
  <c r="A44"/>
  <c r="A45"/>
  <c r="A46"/>
  <c r="A6" i="22"/>
  <c r="A7"/>
  <c r="A8"/>
  <c r="A9"/>
  <c r="A10"/>
  <c r="A11"/>
  <c r="A12"/>
  <c r="A13"/>
  <c r="A14"/>
  <c r="A15"/>
  <c r="A16"/>
  <c r="A17"/>
  <c r="A19"/>
  <c r="A21"/>
  <c r="A22"/>
  <c r="A23"/>
  <c r="A24"/>
  <c r="A25"/>
  <c r="A26"/>
  <c r="A27"/>
  <c r="A28"/>
  <c r="A29"/>
  <c r="A31"/>
  <c r="A32"/>
  <c r="A33"/>
  <c r="A34"/>
  <c r="A35"/>
  <c r="A37"/>
  <c r="A38"/>
  <c r="A39"/>
  <c r="A43"/>
  <c r="A44"/>
  <c r="A45"/>
  <c r="A46"/>
  <c r="A5"/>
  <c r="A6" i="15"/>
  <c r="A7"/>
  <c r="A8"/>
  <c r="A9"/>
  <c r="A10"/>
  <c r="A11"/>
  <c r="A12"/>
  <c r="A13"/>
  <c r="A14"/>
  <c r="A15"/>
  <c r="A16"/>
  <c r="A17"/>
  <c r="A19"/>
  <c r="A21"/>
  <c r="A22"/>
  <c r="A23"/>
  <c r="A24"/>
  <c r="A25"/>
  <c r="A26"/>
  <c r="A27"/>
  <c r="A28"/>
  <c r="A29"/>
  <c r="A31"/>
  <c r="A32"/>
  <c r="A33"/>
  <c r="A34"/>
  <c r="A35"/>
  <c r="A37"/>
  <c r="A38"/>
  <c r="A39"/>
  <c r="A43"/>
  <c r="A44"/>
  <c r="A45"/>
  <c r="A46"/>
  <c r="A5"/>
  <c r="A6" i="3"/>
  <c r="A7"/>
  <c r="A8"/>
  <c r="A9"/>
  <c r="A10"/>
  <c r="A11"/>
  <c r="A12"/>
  <c r="A13"/>
  <c r="A14"/>
  <c r="A15"/>
  <c r="A16"/>
  <c r="A17"/>
  <c r="A19"/>
  <c r="A21"/>
  <c r="A22"/>
  <c r="A23"/>
  <c r="A24"/>
  <c r="A25"/>
  <c r="A26"/>
  <c r="A27"/>
  <c r="A28"/>
  <c r="A29"/>
  <c r="A31"/>
  <c r="A32"/>
  <c r="A33"/>
  <c r="A34"/>
  <c r="A35"/>
  <c r="A37"/>
  <c r="A38"/>
  <c r="A39"/>
  <c r="A43"/>
  <c r="A44"/>
  <c r="A45"/>
  <c r="A46"/>
  <c r="A5"/>
  <c r="A6" i="2"/>
  <c r="A7"/>
  <c r="A8"/>
  <c r="A9"/>
  <c r="A10"/>
  <c r="A11"/>
  <c r="A12"/>
  <c r="A13"/>
  <c r="A14"/>
  <c r="A15"/>
  <c r="A16"/>
  <c r="A17"/>
  <c r="A19"/>
  <c r="A21"/>
  <c r="A22"/>
  <c r="A23"/>
  <c r="A24"/>
  <c r="A25"/>
  <c r="A26"/>
  <c r="A27"/>
  <c r="A28"/>
  <c r="A29"/>
  <c r="A31"/>
  <c r="A32"/>
  <c r="A33"/>
  <c r="A34"/>
  <c r="A35"/>
  <c r="A37"/>
  <c r="A38"/>
  <c r="A39"/>
  <c r="A43"/>
  <c r="A44"/>
  <c r="A45"/>
  <c r="A46"/>
  <c r="A5"/>
  <c r="L7" i="21"/>
  <c r="M7"/>
  <c r="N7"/>
  <c r="O7"/>
  <c r="P7"/>
  <c r="L8"/>
  <c r="M8"/>
  <c r="N8"/>
  <c r="O8"/>
  <c r="P8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28"/>
  <c r="M28"/>
  <c r="N28"/>
  <c r="O28"/>
  <c r="P28"/>
  <c r="L29"/>
  <c r="M29"/>
  <c r="N29"/>
  <c r="O29"/>
  <c r="P29"/>
  <c r="L30"/>
  <c r="M30"/>
  <c r="N30"/>
  <c r="O30"/>
  <c r="P30"/>
  <c r="L31"/>
  <c r="M31"/>
  <c r="N31"/>
  <c r="O31"/>
  <c r="P31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R10" i="10"/>
  <c r="G14" i="30" s="1"/>
  <c r="S10" i="10"/>
  <c r="G75" i="30" s="1"/>
  <c r="T10" i="10"/>
  <c r="G137" i="30" s="1"/>
  <c r="R11" i="10"/>
  <c r="S11"/>
  <c r="T11"/>
  <c r="R12"/>
  <c r="S12"/>
  <c r="T12"/>
  <c r="R13"/>
  <c r="G15" i="30" s="1"/>
  <c r="S13" i="10"/>
  <c r="G76" i="30" s="1"/>
  <c r="T13" i="10"/>
  <c r="G138" i="30" s="1"/>
  <c r="R14" i="10"/>
  <c r="G16" i="30" s="1"/>
  <c r="S14" i="10"/>
  <c r="G77" i="30" s="1"/>
  <c r="T14" i="10"/>
  <c r="G139" i="30" s="1"/>
  <c r="R15" i="10"/>
  <c r="S15"/>
  <c r="T15"/>
  <c r="R16"/>
  <c r="S16"/>
  <c r="T16"/>
  <c r="R17"/>
  <c r="G17" i="30" s="1"/>
  <c r="S17" i="10"/>
  <c r="G78" i="30" s="1"/>
  <c r="T17" i="10"/>
  <c r="G140" i="30" s="1"/>
  <c r="R18" i="10"/>
  <c r="G18" i="30" s="1"/>
  <c r="S18" i="10"/>
  <c r="G79" i="30" s="1"/>
  <c r="T18" i="10"/>
  <c r="G141" i="30" s="1"/>
  <c r="R19" i="10"/>
  <c r="G19" i="30" s="1"/>
  <c r="S19" i="10"/>
  <c r="G80" i="30" s="1"/>
  <c r="T19" i="10"/>
  <c r="G142" i="30" s="1"/>
  <c r="R20" i="10"/>
  <c r="S20"/>
  <c r="T20"/>
  <c r="R21"/>
  <c r="G20" i="30" s="1"/>
  <c r="S21" i="10"/>
  <c r="G81" i="30" s="1"/>
  <c r="T21" i="10"/>
  <c r="G143" i="30" s="1"/>
  <c r="R22" i="10"/>
  <c r="G14" i="26" s="1"/>
  <c r="S22" i="10"/>
  <c r="G69" i="26" s="1"/>
  <c r="T22" i="10"/>
  <c r="G124" i="26" s="1"/>
  <c r="R23" i="10"/>
  <c r="G21" i="30" s="1"/>
  <c r="S23" i="10"/>
  <c r="G82" i="30" s="1"/>
  <c r="T23" i="10"/>
  <c r="G144" i="30" s="1"/>
  <c r="R24" i="10"/>
  <c r="S24"/>
  <c r="T24"/>
  <c r="R25"/>
  <c r="G22" i="30" s="1"/>
  <c r="S25" i="10"/>
  <c r="G83" i="30" s="1"/>
  <c r="T25" i="10"/>
  <c r="G145" i="30" s="1"/>
  <c r="R26" i="10"/>
  <c r="S26"/>
  <c r="T26"/>
  <c r="R27"/>
  <c r="G23" i="30" s="1"/>
  <c r="S27" i="10"/>
  <c r="G84" i="30" s="1"/>
  <c r="T27" i="10"/>
  <c r="G146" i="30" s="1"/>
  <c r="R28" i="10"/>
  <c r="G24" i="30" s="1"/>
  <c r="S28" i="10"/>
  <c r="G85" i="30" s="1"/>
  <c r="T28" i="10"/>
  <c r="G147" i="30" s="1"/>
  <c r="R29" i="10"/>
  <c r="G25" i="30" s="1"/>
  <c r="S29" i="10"/>
  <c r="G86" i="30" s="1"/>
  <c r="T29" i="10"/>
  <c r="G148" i="30" s="1"/>
  <c r="R30" i="10"/>
  <c r="G26" i="30" s="1"/>
  <c r="S30" i="10"/>
  <c r="G87" i="30" s="1"/>
  <c r="T30" i="10"/>
  <c r="G149" i="30" s="1"/>
  <c r="R31" i="10"/>
  <c r="G27" i="30" s="1"/>
  <c r="S31" i="10"/>
  <c r="G88" i="30" s="1"/>
  <c r="T31" i="10"/>
  <c r="G150" i="30" s="1"/>
  <c r="P32" i="10"/>
  <c r="Q32"/>
  <c r="R32"/>
  <c r="S32"/>
  <c r="T32"/>
  <c r="R33"/>
  <c r="G28" i="30" s="1"/>
  <c r="S33" i="10"/>
  <c r="G89" i="30" s="1"/>
  <c r="T33" i="10"/>
  <c r="G151" i="30" s="1"/>
  <c r="R34" i="10"/>
  <c r="G29" i="30" s="1"/>
  <c r="S34" i="10"/>
  <c r="G90" i="30" s="1"/>
  <c r="T34" i="10"/>
  <c r="G152" i="30" s="1"/>
  <c r="R35" i="10"/>
  <c r="G30" i="30" s="1"/>
  <c r="S35" i="10"/>
  <c r="G91" i="30" s="1"/>
  <c r="T35" i="10"/>
  <c r="G153" i="30" s="1"/>
  <c r="R36" i="10"/>
  <c r="G31" i="30" s="1"/>
  <c r="S36" i="10"/>
  <c r="G92" i="30" s="1"/>
  <c r="T36" i="10"/>
  <c r="G154" i="30" s="1"/>
  <c r="R37" i="10"/>
  <c r="G32" i="30" s="1"/>
  <c r="S37" i="10"/>
  <c r="G93" i="30" s="1"/>
  <c r="T37" i="10"/>
  <c r="G155" i="30" s="1"/>
  <c r="R38" i="10"/>
  <c r="G33" i="30" s="1"/>
  <c r="S38" i="10"/>
  <c r="G94" i="30" s="1"/>
  <c r="T38" i="10"/>
  <c r="G156" i="30" s="1"/>
  <c r="R39" i="10"/>
  <c r="G34" i="30" s="1"/>
  <c r="S39" i="10"/>
  <c r="G95" i="30" s="1"/>
  <c r="T39" i="10"/>
  <c r="G157" i="30" s="1"/>
  <c r="R40" i="10"/>
  <c r="G35" i="30" s="1"/>
  <c r="S40" i="10"/>
  <c r="G96" i="30" s="1"/>
  <c r="T40" i="10"/>
  <c r="G158" i="30" s="1"/>
  <c r="R41" i="10"/>
  <c r="G36" i="30" s="1"/>
  <c r="S41" i="10"/>
  <c r="G97" i="30" s="1"/>
  <c r="T41" i="10"/>
  <c r="G159" i="30" s="1"/>
  <c r="R42" i="10"/>
  <c r="S42"/>
  <c r="T42"/>
  <c r="R43"/>
  <c r="G15" i="26" s="1"/>
  <c r="S43" i="10"/>
  <c r="G70" i="26" s="1"/>
  <c r="T43" i="10"/>
  <c r="G125" i="26" s="1"/>
  <c r="R44" i="10"/>
  <c r="G37" i="30" s="1"/>
  <c r="S44" i="10"/>
  <c r="G98" i="30" s="1"/>
  <c r="T44" i="10"/>
  <c r="G160" i="30" s="1"/>
  <c r="R45" i="10"/>
  <c r="G16" i="26" s="1"/>
  <c r="S45" i="10"/>
  <c r="G71" i="26" s="1"/>
  <c r="T45" i="10"/>
  <c r="G126" i="26" s="1"/>
  <c r="R46" i="10"/>
  <c r="G17" i="26" s="1"/>
  <c r="S46" i="10"/>
  <c r="G72" i="26" s="1"/>
  <c r="T46" i="10"/>
  <c r="G127" i="26" s="1"/>
  <c r="R47" i="10"/>
  <c r="G38" i="30" s="1"/>
  <c r="S47" i="10"/>
  <c r="G99" i="30" s="1"/>
  <c r="T47" i="10"/>
  <c r="G161" i="30" s="1"/>
  <c r="R49" i="10"/>
  <c r="G39" i="30" s="1"/>
  <c r="S49" i="10"/>
  <c r="G100" i="30" s="1"/>
  <c r="T49" i="10"/>
  <c r="G162" i="30" s="1"/>
  <c r="R50" i="10"/>
  <c r="G40" i="30" s="1"/>
  <c r="S50" i="10"/>
  <c r="G101" i="30" s="1"/>
  <c r="T50" i="10"/>
  <c r="G163" i="30" s="1"/>
  <c r="R51" i="10"/>
  <c r="G41" i="30" s="1"/>
  <c r="S51" i="10"/>
  <c r="G102" i="30" s="1"/>
  <c r="T51" i="10"/>
  <c r="G164" i="30" s="1"/>
  <c r="P52" i="10"/>
  <c r="G102" i="29" s="1"/>
  <c r="F102" s="1"/>
  <c r="Q52" i="10"/>
  <c r="G164" i="29" s="1"/>
  <c r="F164" s="1"/>
  <c r="R52" i="10"/>
  <c r="G42" i="30" s="1"/>
  <c r="S52" i="10"/>
  <c r="G103" i="30" s="1"/>
  <c r="T52" i="10"/>
  <c r="G165" i="30" s="1"/>
  <c r="R53" i="10"/>
  <c r="G43" i="30" s="1"/>
  <c r="S53" i="10"/>
  <c r="G104" i="30" s="1"/>
  <c r="T53" i="10"/>
  <c r="G166" i="30" s="1"/>
  <c r="R54" i="10"/>
  <c r="G44" i="30" s="1"/>
  <c r="S54" i="10"/>
  <c r="G105" i="30" s="1"/>
  <c r="T54" i="10"/>
  <c r="G167" i="30" s="1"/>
  <c r="R55" i="10"/>
  <c r="G45" i="30" s="1"/>
  <c r="S55" i="10"/>
  <c r="G106" i="30" s="1"/>
  <c r="T55" i="10"/>
  <c r="G168" i="30" s="1"/>
  <c r="R56" i="10"/>
  <c r="G46" i="30" s="1"/>
  <c r="S56" i="10"/>
  <c r="G107" i="30" s="1"/>
  <c r="T56" i="10"/>
  <c r="G169" i="30" s="1"/>
  <c r="R57" i="10"/>
  <c r="G47" i="30" s="1"/>
  <c r="S57" i="10"/>
  <c r="G108" i="30" s="1"/>
  <c r="T57" i="10"/>
  <c r="G170" i="30" s="1"/>
  <c r="R58" i="10"/>
  <c r="G48" i="30" s="1"/>
  <c r="S58" i="10"/>
  <c r="G109" i="30" s="1"/>
  <c r="T58" i="10"/>
  <c r="G171" i="30" s="1"/>
  <c r="R59" i="10"/>
  <c r="S59"/>
  <c r="T59"/>
  <c r="R60"/>
  <c r="S60"/>
  <c r="T60"/>
  <c r="R61"/>
  <c r="G49" i="30" s="1"/>
  <c r="S61" i="10"/>
  <c r="G110" i="30" s="1"/>
  <c r="T61" i="10"/>
  <c r="G172" i="30" s="1"/>
  <c r="R62" i="10"/>
  <c r="S62"/>
  <c r="T62"/>
  <c r="R63"/>
  <c r="S63"/>
  <c r="T63"/>
  <c r="R64"/>
  <c r="S64"/>
  <c r="T64"/>
  <c r="R65"/>
  <c r="G50" i="30" s="1"/>
  <c r="S65" i="10"/>
  <c r="G111" i="30" s="1"/>
  <c r="T65" i="10"/>
  <c r="G173" i="30" s="1"/>
  <c r="R66" i="10"/>
  <c r="G51" i="30" s="1"/>
  <c r="S66" i="10"/>
  <c r="G112" i="30" s="1"/>
  <c r="T66" i="10"/>
  <c r="G174" i="30" s="1"/>
  <c r="R67" i="10"/>
  <c r="G52" i="30" s="1"/>
  <c r="S67" i="10"/>
  <c r="G113" i="30" s="1"/>
  <c r="T67" i="10"/>
  <c r="G175" i="30" s="1"/>
  <c r="R68" i="10"/>
  <c r="S68"/>
  <c r="T68"/>
  <c r="R69"/>
  <c r="G53" i="30" s="1"/>
  <c r="S69" i="10"/>
  <c r="G114" i="30" s="1"/>
  <c r="T69" i="10"/>
  <c r="G176" i="30" s="1"/>
  <c r="R70" i="10"/>
  <c r="S70"/>
  <c r="T70"/>
  <c r="R71"/>
  <c r="S71"/>
  <c r="T71"/>
  <c r="R72"/>
  <c r="S72"/>
  <c r="T72"/>
  <c r="T9"/>
  <c r="G136" i="30" s="1"/>
  <c r="S9" i="10"/>
  <c r="G74" i="30" s="1"/>
  <c r="R9" i="10"/>
  <c r="G13" i="30" s="1"/>
  <c r="T5" i="10"/>
  <c r="R5"/>
  <c r="S5"/>
  <c r="Q5"/>
  <c r="C2" i="13"/>
  <c r="C2" i="11"/>
  <c r="C2" i="19"/>
  <c r="C2" i="18"/>
  <c r="C2" i="20"/>
  <c r="C2" i="14"/>
  <c r="C5" i="2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4"/>
  <c r="C5" i="18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4"/>
  <c r="C6" i="19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4"/>
  <c r="E15" i="18"/>
  <c r="I43" i="10"/>
  <c r="U43" s="1"/>
  <c r="G15" i="37" s="1"/>
  <c r="F15" s="1"/>
  <c r="G60" i="38" l="1"/>
  <c r="G52"/>
  <c r="G74"/>
  <c r="G64"/>
  <c r="I13"/>
  <c r="J18" i="46" s="1"/>
  <c r="J61" s="1"/>
  <c r="J18" i="50"/>
  <c r="G75" i="38"/>
  <c r="G65"/>
  <c r="G47"/>
  <c r="G76"/>
  <c r="G66"/>
  <c r="G48"/>
  <c r="G25"/>
  <c r="T83" i="10"/>
  <c r="S83"/>
  <c r="R83"/>
  <c r="G120" i="30"/>
  <c r="G121"/>
  <c r="G182"/>
  <c r="G183"/>
  <c r="G60"/>
  <c r="G59"/>
  <c r="F15" i="18"/>
  <c r="S78" i="10"/>
  <c r="S76"/>
  <c r="S77"/>
  <c r="S80"/>
  <c r="S82"/>
  <c r="T78"/>
  <c r="R76"/>
  <c r="R77"/>
  <c r="R80"/>
  <c r="R82"/>
  <c r="T79"/>
  <c r="G13" i="26"/>
  <c r="R81" i="10"/>
  <c r="T76"/>
  <c r="T77"/>
  <c r="T80"/>
  <c r="T82"/>
  <c r="R79"/>
  <c r="G68" i="26"/>
  <c r="S81" i="10"/>
  <c r="R78"/>
  <c r="S79"/>
  <c r="G123" i="26"/>
  <c r="T81" i="10"/>
  <c r="P43"/>
  <c r="Q43"/>
  <c r="I21"/>
  <c r="U21" s="1"/>
  <c r="G21" i="46" s="1"/>
  <c r="F21" s="1"/>
  <c r="N5" i="10"/>
  <c r="M5"/>
  <c r="L5"/>
  <c r="J5"/>
  <c r="K5"/>
  <c r="G2" i="24"/>
  <c r="I2"/>
  <c r="J2"/>
  <c r="K2"/>
  <c r="L2"/>
  <c r="M2"/>
  <c r="N2"/>
  <c r="O2"/>
  <c r="P2"/>
  <c r="Q2"/>
  <c r="H2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E5"/>
  <c r="D5"/>
  <c r="E6" i="2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5"/>
  <c r="H2"/>
  <c r="I2"/>
  <c r="J2"/>
  <c r="K2"/>
  <c r="L2"/>
  <c r="M2"/>
  <c r="N2"/>
  <c r="O2"/>
  <c r="P2"/>
  <c r="Q2"/>
  <c r="G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5"/>
  <c r="D6" i="2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5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P5" i="10"/>
  <c r="G5"/>
  <c r="C13" i="14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5"/>
  <c r="C6"/>
  <c r="C7"/>
  <c r="C8"/>
  <c r="C9"/>
  <c r="C10"/>
  <c r="C11"/>
  <c r="C12"/>
  <c r="C4"/>
  <c r="C4" i="13"/>
  <c r="C6"/>
  <c r="G6" i="38" s="1"/>
  <c r="F14" i="50" s="1"/>
  <c r="C7" i="13"/>
  <c r="G10" i="38" s="1"/>
  <c r="C8" i="13"/>
  <c r="G7" i="38" s="1"/>
  <c r="C9" i="13"/>
  <c r="G8" i="38" s="1"/>
  <c r="C10" i="13"/>
  <c r="G9" i="38" s="1"/>
  <c r="C11" i="13"/>
  <c r="C12"/>
  <c r="G11" i="38" s="1"/>
  <c r="C13" i="13"/>
  <c r="C14"/>
  <c r="G12" i="38" s="1"/>
  <c r="C15" i="13"/>
  <c r="G13" i="38" s="1"/>
  <c r="C16" i="13"/>
  <c r="G14" i="38" s="1"/>
  <c r="C17" i="13"/>
  <c r="G15" i="38" s="1"/>
  <c r="C18" i="13"/>
  <c r="G16" i="38" s="1"/>
  <c r="C19" i="13"/>
  <c r="G17" i="38" s="1"/>
  <c r="C20" i="13"/>
  <c r="G19" i="38" s="1"/>
  <c r="C21" i="13"/>
  <c r="G21" i="38" s="1"/>
  <c r="C22" i="13"/>
  <c r="G22" i="38" s="1"/>
  <c r="C23" i="13"/>
  <c r="G23" i="38" s="1"/>
  <c r="C24" i="13"/>
  <c r="G24" i="38" s="1"/>
  <c r="C25" i="13"/>
  <c r="C26"/>
  <c r="C27"/>
  <c r="G26" i="38" s="1"/>
  <c r="C28" i="13"/>
  <c r="G27" i="38" s="1"/>
  <c r="C29" i="13"/>
  <c r="G28" i="38" s="1"/>
  <c r="C30" i="13"/>
  <c r="G29" i="38" s="1"/>
  <c r="C31" i="13"/>
  <c r="G30" i="38" s="1"/>
  <c r="C32" i="13"/>
  <c r="G31" i="38" s="1"/>
  <c r="C33" i="13"/>
  <c r="G32" i="38" s="1"/>
  <c r="C34" i="13"/>
  <c r="G33" i="38" s="1"/>
  <c r="C35" i="13"/>
  <c r="G34" i="38" s="1"/>
  <c r="C36" i="13"/>
  <c r="G35" i="38" s="1"/>
  <c r="C37" i="13"/>
  <c r="C38"/>
  <c r="G37" i="38" s="1"/>
  <c r="C39" i="13"/>
  <c r="G38" i="38" s="1"/>
  <c r="C40" i="13"/>
  <c r="G39" i="38" s="1"/>
  <c r="C41" i="13"/>
  <c r="G43" i="38" s="1"/>
  <c r="C42" i="13"/>
  <c r="G44" i="38" s="1"/>
  <c r="C43" i="13"/>
  <c r="G45" i="38" s="1"/>
  <c r="C44" i="13"/>
  <c r="G46" i="38" s="1"/>
  <c r="C45" i="13"/>
  <c r="C46"/>
  <c r="C47"/>
  <c r="G49" i="3" s="1"/>
  <c r="C48" i="13"/>
  <c r="G50" i="3" s="1"/>
  <c r="C50" i="13"/>
  <c r="C51"/>
  <c r="C52"/>
  <c r="C53"/>
  <c r="G56" i="38" s="1"/>
  <c r="C54" i="13"/>
  <c r="G57" i="38" s="1"/>
  <c r="C55" i="13"/>
  <c r="G58" i="38" s="1"/>
  <c r="C56" i="13"/>
  <c r="G59" i="3" s="1"/>
  <c r="C57" i="13"/>
  <c r="C58"/>
  <c r="C59"/>
  <c r="G61" i="38" s="1"/>
  <c r="C60" i="13"/>
  <c r="C61"/>
  <c r="C62"/>
  <c r="C63"/>
  <c r="C64"/>
  <c r="G67" i="3" s="1"/>
  <c r="C65" i="13"/>
  <c r="C66"/>
  <c r="C67"/>
  <c r="C68"/>
  <c r="C69"/>
  <c r="C70"/>
  <c r="C71"/>
  <c r="C72"/>
  <c r="G77" i="3" s="1"/>
  <c r="C73" i="13"/>
  <c r="G78" i="3" s="1"/>
  <c r="C5" i="13"/>
  <c r="G5" i="38" s="1"/>
  <c r="C13" i="1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5"/>
  <c r="C6"/>
  <c r="C7"/>
  <c r="C8"/>
  <c r="C9"/>
  <c r="C10"/>
  <c r="C11"/>
  <c r="C12"/>
  <c r="C4"/>
  <c r="F20" i="2"/>
  <c r="I20" s="1"/>
  <c r="L20" s="1"/>
  <c r="O20" s="1"/>
  <c r="F18"/>
  <c r="I18" s="1"/>
  <c r="L18" s="1"/>
  <c r="O18" s="1"/>
  <c r="F36"/>
  <c r="I36" s="1"/>
  <c r="L36" s="1"/>
  <c r="O36" s="1"/>
  <c r="F42"/>
  <c r="I42" s="1"/>
  <c r="L42" s="1"/>
  <c r="O42" s="1"/>
  <c r="F41"/>
  <c r="I41" s="1"/>
  <c r="L41" s="1"/>
  <c r="O41" s="1"/>
  <c r="F40"/>
  <c r="I40" s="1"/>
  <c r="L40" s="1"/>
  <c r="O40" s="1"/>
  <c r="E6"/>
  <c r="E7"/>
  <c r="E8"/>
  <c r="E9"/>
  <c r="E10"/>
  <c r="E11"/>
  <c r="E12"/>
  <c r="E13"/>
  <c r="E14"/>
  <c r="E15"/>
  <c r="E16"/>
  <c r="E17"/>
  <c r="E18"/>
  <c r="H18" s="1"/>
  <c r="K18" s="1"/>
  <c r="N18" s="1"/>
  <c r="E19"/>
  <c r="E20"/>
  <c r="H20" s="1"/>
  <c r="K20" s="1"/>
  <c r="N20" s="1"/>
  <c r="E21"/>
  <c r="E22"/>
  <c r="E23"/>
  <c r="E24"/>
  <c r="E25"/>
  <c r="E26"/>
  <c r="E27"/>
  <c r="E28"/>
  <c r="E29"/>
  <c r="E30"/>
  <c r="E31"/>
  <c r="E32"/>
  <c r="E33"/>
  <c r="E34"/>
  <c r="E35"/>
  <c r="E36"/>
  <c r="H36" s="1"/>
  <c r="K36" s="1"/>
  <c r="N36" s="1"/>
  <c r="E37"/>
  <c r="E38"/>
  <c r="E39"/>
  <c r="E40"/>
  <c r="H40" s="1"/>
  <c r="K40" s="1"/>
  <c r="N40" s="1"/>
  <c r="E41"/>
  <c r="H41" s="1"/>
  <c r="K41" s="1"/>
  <c r="N41" s="1"/>
  <c r="E42"/>
  <c r="H42" s="1"/>
  <c r="K42" s="1"/>
  <c r="N42" s="1"/>
  <c r="E43"/>
  <c r="E44"/>
  <c r="E45"/>
  <c r="E46"/>
  <c r="G50" i="38" l="1"/>
  <c r="G69" i="3"/>
  <c r="G60"/>
  <c r="G52"/>
  <c r="G69" i="38"/>
  <c r="G59"/>
  <c r="G54" i="3"/>
  <c r="G63"/>
  <c r="G74"/>
  <c r="G64"/>
  <c r="G56"/>
  <c r="G78" i="38"/>
  <c r="G49"/>
  <c r="G67"/>
  <c r="J13"/>
  <c r="K18" i="46" s="1"/>
  <c r="K60" s="1"/>
  <c r="K65" s="1"/>
  <c r="K18" i="50"/>
  <c r="G72" i="3"/>
  <c r="G55"/>
  <c r="G77" i="38"/>
  <c r="G75" i="3"/>
  <c r="G65"/>
  <c r="G57"/>
  <c r="G47"/>
  <c r="G72" i="38"/>
  <c r="G54"/>
  <c r="G61" i="3"/>
  <c r="G73"/>
  <c r="G76"/>
  <c r="G66"/>
  <c r="G58"/>
  <c r="G48"/>
  <c r="G55" i="38"/>
  <c r="G73"/>
  <c r="G63"/>
  <c r="J60" i="50"/>
  <c r="J60" i="46"/>
  <c r="J65" s="1"/>
  <c r="N78" i="24"/>
  <c r="N58"/>
  <c r="N74"/>
  <c r="N70"/>
  <c r="N54"/>
  <c r="N50"/>
  <c r="N71"/>
  <c r="N67"/>
  <c r="N63"/>
  <c r="N59"/>
  <c r="N55"/>
  <c r="N51"/>
  <c r="N66"/>
  <c r="N62"/>
  <c r="N48"/>
  <c r="N76"/>
  <c r="N77"/>
  <c r="N75"/>
  <c r="N49"/>
  <c r="N73"/>
  <c r="N64"/>
  <c r="N68"/>
  <c r="N53"/>
  <c r="N61"/>
  <c r="N69"/>
  <c r="N65"/>
  <c r="N56"/>
  <c r="N60"/>
  <c r="N52"/>
  <c r="N72"/>
  <c r="N47"/>
  <c r="N57"/>
  <c r="O48"/>
  <c r="O55"/>
  <c r="O62"/>
  <c r="O50"/>
  <c r="O67"/>
  <c r="O63"/>
  <c r="O51"/>
  <c r="O78"/>
  <c r="O74"/>
  <c r="O66"/>
  <c r="O54"/>
  <c r="O47"/>
  <c r="O75"/>
  <c r="O71"/>
  <c r="O59"/>
  <c r="O70"/>
  <c r="O58"/>
  <c r="O57"/>
  <c r="O73"/>
  <c r="O69"/>
  <c r="O72"/>
  <c r="O56"/>
  <c r="O60"/>
  <c r="O65"/>
  <c r="O68"/>
  <c r="O53"/>
  <c r="O77"/>
  <c r="O61"/>
  <c r="O49"/>
  <c r="O52"/>
  <c r="O64"/>
  <c r="O76"/>
  <c r="P71"/>
  <c r="P59"/>
  <c r="P75"/>
  <c r="P63"/>
  <c r="P55"/>
  <c r="P47"/>
  <c r="P67"/>
  <c r="P51"/>
  <c r="P53"/>
  <c r="P49"/>
  <c r="P73"/>
  <c r="P50"/>
  <c r="P58"/>
  <c r="P66"/>
  <c r="P74"/>
  <c r="P56"/>
  <c r="P64"/>
  <c r="P72"/>
  <c r="P77"/>
  <c r="P69"/>
  <c r="P65"/>
  <c r="P78"/>
  <c r="P76"/>
  <c r="P48"/>
  <c r="P61"/>
  <c r="P57"/>
  <c r="P54"/>
  <c r="P62"/>
  <c r="P70"/>
  <c r="P52"/>
  <c r="P60"/>
  <c r="P68"/>
  <c r="I67"/>
  <c r="I63"/>
  <c r="I51"/>
  <c r="I47"/>
  <c r="I75"/>
  <c r="I55"/>
  <c r="I48"/>
  <c r="I76"/>
  <c r="I71"/>
  <c r="I59"/>
  <c r="I62"/>
  <c r="I58"/>
  <c r="I54"/>
  <c r="I50"/>
  <c r="I57"/>
  <c r="I73"/>
  <c r="I66"/>
  <c r="I69"/>
  <c r="I53"/>
  <c r="I78"/>
  <c r="I49"/>
  <c r="I60"/>
  <c r="I64"/>
  <c r="I61"/>
  <c r="I70"/>
  <c r="I65"/>
  <c r="I77"/>
  <c r="I74"/>
  <c r="I72"/>
  <c r="I52"/>
  <c r="I68"/>
  <c r="I56"/>
  <c r="K68"/>
  <c r="K64"/>
  <c r="K52"/>
  <c r="K48"/>
  <c r="K76"/>
  <c r="K56"/>
  <c r="K72"/>
  <c r="K60"/>
  <c r="K75"/>
  <c r="K71"/>
  <c r="K67"/>
  <c r="K63"/>
  <c r="K59"/>
  <c r="K55"/>
  <c r="K51"/>
  <c r="K47"/>
  <c r="K50"/>
  <c r="K61"/>
  <c r="K65"/>
  <c r="K62"/>
  <c r="K73"/>
  <c r="K74"/>
  <c r="K77"/>
  <c r="K54"/>
  <c r="K57"/>
  <c r="K66"/>
  <c r="K78"/>
  <c r="K69"/>
  <c r="K49"/>
  <c r="K53"/>
  <c r="K58"/>
  <c r="K70"/>
  <c r="Q47"/>
  <c r="Q67"/>
  <c r="Q63"/>
  <c r="Q51"/>
  <c r="Q75"/>
  <c r="Q55"/>
  <c r="Q48"/>
  <c r="Q76"/>
  <c r="Q71"/>
  <c r="Q59"/>
  <c r="Q62"/>
  <c r="Q58"/>
  <c r="Q54"/>
  <c r="Q50"/>
  <c r="Q66"/>
  <c r="Q69"/>
  <c r="Q53"/>
  <c r="Q78"/>
  <c r="Q49"/>
  <c r="Q56"/>
  <c r="Q77"/>
  <c r="Q60"/>
  <c r="Q64"/>
  <c r="Q61"/>
  <c r="Q70"/>
  <c r="Q73"/>
  <c r="Q65"/>
  <c r="Q74"/>
  <c r="Q72"/>
  <c r="Q68"/>
  <c r="Q57"/>
  <c r="Q52"/>
  <c r="H71"/>
  <c r="H59"/>
  <c r="H55"/>
  <c r="H75"/>
  <c r="H63"/>
  <c r="H47"/>
  <c r="H67"/>
  <c r="H51"/>
  <c r="H54"/>
  <c r="H62"/>
  <c r="H70"/>
  <c r="H52"/>
  <c r="H60"/>
  <c r="H68"/>
  <c r="H53"/>
  <c r="H69"/>
  <c r="H49"/>
  <c r="H58"/>
  <c r="H74"/>
  <c r="H64"/>
  <c r="H77"/>
  <c r="H48"/>
  <c r="H73"/>
  <c r="H50"/>
  <c r="H66"/>
  <c r="H56"/>
  <c r="H72"/>
  <c r="H65"/>
  <c r="H61"/>
  <c r="H78"/>
  <c r="H76"/>
  <c r="H57"/>
  <c r="L71"/>
  <c r="L67"/>
  <c r="L63"/>
  <c r="L59"/>
  <c r="L55"/>
  <c r="L51"/>
  <c r="L48"/>
  <c r="L47"/>
  <c r="L57"/>
  <c r="L53"/>
  <c r="L78"/>
  <c r="L54"/>
  <c r="L76"/>
  <c r="L50"/>
  <c r="L58"/>
  <c r="L66"/>
  <c r="L74"/>
  <c r="L77"/>
  <c r="L70"/>
  <c r="L52"/>
  <c r="L60"/>
  <c r="L68"/>
  <c r="L69"/>
  <c r="L75"/>
  <c r="L49"/>
  <c r="L62"/>
  <c r="L56"/>
  <c r="L64"/>
  <c r="L72"/>
  <c r="L65"/>
  <c r="L73"/>
  <c r="L61"/>
  <c r="G48"/>
  <c r="G75"/>
  <c r="G67"/>
  <c r="G55"/>
  <c r="G78"/>
  <c r="G66"/>
  <c r="G62"/>
  <c r="G74"/>
  <c r="G54"/>
  <c r="G47"/>
  <c r="G71"/>
  <c r="G63"/>
  <c r="G59"/>
  <c r="G51"/>
  <c r="G70"/>
  <c r="G58"/>
  <c r="G50"/>
  <c r="G64"/>
  <c r="G76"/>
  <c r="G57"/>
  <c r="G73"/>
  <c r="G77"/>
  <c r="G56"/>
  <c r="G65"/>
  <c r="G68"/>
  <c r="G53"/>
  <c r="G61"/>
  <c r="G69"/>
  <c r="G72"/>
  <c r="G49"/>
  <c r="G52"/>
  <c r="G60"/>
  <c r="J72"/>
  <c r="J60"/>
  <c r="J76"/>
  <c r="J64"/>
  <c r="J56"/>
  <c r="J47"/>
  <c r="J48"/>
  <c r="J68"/>
  <c r="J52"/>
  <c r="J71"/>
  <c r="J67"/>
  <c r="J63"/>
  <c r="J59"/>
  <c r="J55"/>
  <c r="J51"/>
  <c r="J78"/>
  <c r="J70"/>
  <c r="J75"/>
  <c r="J49"/>
  <c r="J57"/>
  <c r="J65"/>
  <c r="J73"/>
  <c r="J62"/>
  <c r="J54"/>
  <c r="J74"/>
  <c r="J58"/>
  <c r="J53"/>
  <c r="J61"/>
  <c r="J69"/>
  <c r="J50"/>
  <c r="J66"/>
  <c r="J77"/>
  <c r="M47"/>
  <c r="M71"/>
  <c r="M70"/>
  <c r="M50"/>
  <c r="M66"/>
  <c r="M58"/>
  <c r="M54"/>
  <c r="M63"/>
  <c r="M77"/>
  <c r="M75"/>
  <c r="M65"/>
  <c r="M67"/>
  <c r="M74"/>
  <c r="M62"/>
  <c r="M59"/>
  <c r="M52"/>
  <c r="M76"/>
  <c r="M55"/>
  <c r="M56"/>
  <c r="M72"/>
  <c r="M73"/>
  <c r="M53"/>
  <c r="M69"/>
  <c r="M78"/>
  <c r="M49"/>
  <c r="M64"/>
  <c r="M61"/>
  <c r="M57"/>
  <c r="M51"/>
  <c r="M60"/>
  <c r="M68"/>
  <c r="M48"/>
  <c r="N78" i="23"/>
  <c r="N70"/>
  <c r="N58"/>
  <c r="N74"/>
  <c r="N62"/>
  <c r="N75"/>
  <c r="N71"/>
  <c r="N67"/>
  <c r="N63"/>
  <c r="N59"/>
  <c r="N55"/>
  <c r="N51"/>
  <c r="N66"/>
  <c r="N54"/>
  <c r="N50"/>
  <c r="N48"/>
  <c r="N56"/>
  <c r="N76"/>
  <c r="N69"/>
  <c r="N53"/>
  <c r="N68"/>
  <c r="N49"/>
  <c r="N57"/>
  <c r="N65"/>
  <c r="N61"/>
  <c r="N60"/>
  <c r="N77"/>
  <c r="N47"/>
  <c r="N52"/>
  <c r="N72"/>
  <c r="N64"/>
  <c r="N73"/>
  <c r="O48"/>
  <c r="O55"/>
  <c r="O74"/>
  <c r="O70"/>
  <c r="O58"/>
  <c r="O75"/>
  <c r="O63"/>
  <c r="O51"/>
  <c r="O62"/>
  <c r="O50"/>
  <c r="O47"/>
  <c r="O71"/>
  <c r="O67"/>
  <c r="O59"/>
  <c r="O78"/>
  <c r="O66"/>
  <c r="O54"/>
  <c r="O57"/>
  <c r="O68"/>
  <c r="O72"/>
  <c r="O73"/>
  <c r="O52"/>
  <c r="O64"/>
  <c r="O61"/>
  <c r="O65"/>
  <c r="O60"/>
  <c r="O53"/>
  <c r="O76"/>
  <c r="O49"/>
  <c r="O69"/>
  <c r="O77"/>
  <c r="O56"/>
  <c r="Q75"/>
  <c r="Q71"/>
  <c r="Q59"/>
  <c r="Q47"/>
  <c r="Q63"/>
  <c r="Q51"/>
  <c r="Q48"/>
  <c r="Q67"/>
  <c r="Q55"/>
  <c r="Q70"/>
  <c r="Q66"/>
  <c r="Q62"/>
  <c r="Q58"/>
  <c r="Q54"/>
  <c r="Q50"/>
  <c r="Q64"/>
  <c r="Q61"/>
  <c r="Q56"/>
  <c r="Q60"/>
  <c r="Q73"/>
  <c r="Q76"/>
  <c r="Q74"/>
  <c r="Q68"/>
  <c r="Q53"/>
  <c r="Q65"/>
  <c r="Q77"/>
  <c r="Q52"/>
  <c r="Q78"/>
  <c r="Q57"/>
  <c r="Q72"/>
  <c r="Q69"/>
  <c r="Q49"/>
  <c r="K48"/>
  <c r="K72"/>
  <c r="K60"/>
  <c r="K76"/>
  <c r="K64"/>
  <c r="K52"/>
  <c r="K68"/>
  <c r="K56"/>
  <c r="K75"/>
  <c r="K71"/>
  <c r="K67"/>
  <c r="K63"/>
  <c r="K59"/>
  <c r="K55"/>
  <c r="K51"/>
  <c r="K74"/>
  <c r="K61"/>
  <c r="K47"/>
  <c r="K77"/>
  <c r="K49"/>
  <c r="K69"/>
  <c r="K54"/>
  <c r="K53"/>
  <c r="K70"/>
  <c r="K66"/>
  <c r="K78"/>
  <c r="K58"/>
  <c r="K73"/>
  <c r="K50"/>
  <c r="K65"/>
  <c r="K62"/>
  <c r="K57"/>
  <c r="I71"/>
  <c r="I59"/>
  <c r="I47"/>
  <c r="I75"/>
  <c r="I63"/>
  <c r="I51"/>
  <c r="I48"/>
  <c r="I67"/>
  <c r="I55"/>
  <c r="I70"/>
  <c r="I66"/>
  <c r="I62"/>
  <c r="I58"/>
  <c r="I54"/>
  <c r="I50"/>
  <c r="I49"/>
  <c r="I74"/>
  <c r="I68"/>
  <c r="I53"/>
  <c r="I76"/>
  <c r="I64"/>
  <c r="I61"/>
  <c r="I56"/>
  <c r="I65"/>
  <c r="I60"/>
  <c r="I73"/>
  <c r="I77"/>
  <c r="I52"/>
  <c r="I78"/>
  <c r="I57"/>
  <c r="I72"/>
  <c r="I69"/>
  <c r="G48"/>
  <c r="G59"/>
  <c r="G55"/>
  <c r="G78"/>
  <c r="G70"/>
  <c r="G58"/>
  <c r="G75"/>
  <c r="G63"/>
  <c r="G74"/>
  <c r="G62"/>
  <c r="G50"/>
  <c r="G47"/>
  <c r="G71"/>
  <c r="G67"/>
  <c r="G51"/>
  <c r="G66"/>
  <c r="G54"/>
  <c r="G69"/>
  <c r="G77"/>
  <c r="G56"/>
  <c r="G53"/>
  <c r="G72"/>
  <c r="G57"/>
  <c r="G68"/>
  <c r="G60"/>
  <c r="G73"/>
  <c r="G52"/>
  <c r="G65"/>
  <c r="G61"/>
  <c r="G64"/>
  <c r="G76"/>
  <c r="G49"/>
  <c r="J72"/>
  <c r="J60"/>
  <c r="J76"/>
  <c r="J64"/>
  <c r="J48"/>
  <c r="J68"/>
  <c r="J56"/>
  <c r="J52"/>
  <c r="J47"/>
  <c r="J63"/>
  <c r="J59"/>
  <c r="J55"/>
  <c r="J51"/>
  <c r="J62"/>
  <c r="J74"/>
  <c r="J57"/>
  <c r="J78"/>
  <c r="J66"/>
  <c r="J71"/>
  <c r="J50"/>
  <c r="J65"/>
  <c r="J54"/>
  <c r="J58"/>
  <c r="J49"/>
  <c r="J73"/>
  <c r="J75"/>
  <c r="J67"/>
  <c r="J70"/>
  <c r="J53"/>
  <c r="J61"/>
  <c r="J69"/>
  <c r="J77"/>
  <c r="L71"/>
  <c r="L67"/>
  <c r="L63"/>
  <c r="L59"/>
  <c r="L55"/>
  <c r="L51"/>
  <c r="L48"/>
  <c r="L47"/>
  <c r="L72"/>
  <c r="L65"/>
  <c r="L75"/>
  <c r="L57"/>
  <c r="L76"/>
  <c r="L69"/>
  <c r="L53"/>
  <c r="L56"/>
  <c r="L64"/>
  <c r="L50"/>
  <c r="L58"/>
  <c r="L66"/>
  <c r="L74"/>
  <c r="L49"/>
  <c r="L68"/>
  <c r="L52"/>
  <c r="L60"/>
  <c r="L73"/>
  <c r="L54"/>
  <c r="L62"/>
  <c r="L70"/>
  <c r="L78"/>
  <c r="L61"/>
  <c r="L77"/>
  <c r="P47"/>
  <c r="P71"/>
  <c r="P59"/>
  <c r="P75"/>
  <c r="P63"/>
  <c r="P67"/>
  <c r="P55"/>
  <c r="P51"/>
  <c r="P78"/>
  <c r="P52"/>
  <c r="P60"/>
  <c r="P68"/>
  <c r="P76"/>
  <c r="P69"/>
  <c r="P54"/>
  <c r="P49"/>
  <c r="P56"/>
  <c r="P53"/>
  <c r="P65"/>
  <c r="P61"/>
  <c r="P72"/>
  <c r="P74"/>
  <c r="P77"/>
  <c r="P70"/>
  <c r="P48"/>
  <c r="P62"/>
  <c r="P64"/>
  <c r="P73"/>
  <c r="P57"/>
  <c r="P50"/>
  <c r="P58"/>
  <c r="P66"/>
  <c r="H59"/>
  <c r="H75"/>
  <c r="H71"/>
  <c r="H63"/>
  <c r="H51"/>
  <c r="H47"/>
  <c r="H67"/>
  <c r="H55"/>
  <c r="H50"/>
  <c r="H58"/>
  <c r="H66"/>
  <c r="H57"/>
  <c r="H54"/>
  <c r="H64"/>
  <c r="H78"/>
  <c r="H52"/>
  <c r="H60"/>
  <c r="H68"/>
  <c r="H76"/>
  <c r="H48"/>
  <c r="H53"/>
  <c r="H62"/>
  <c r="H56"/>
  <c r="H49"/>
  <c r="H70"/>
  <c r="H77"/>
  <c r="H73"/>
  <c r="H72"/>
  <c r="H69"/>
  <c r="H74"/>
  <c r="H65"/>
  <c r="H61"/>
  <c r="M70"/>
  <c r="M57"/>
  <c r="M77"/>
  <c r="M64"/>
  <c r="M65"/>
  <c r="M73"/>
  <c r="M68"/>
  <c r="M76"/>
  <c r="M49"/>
  <c r="M66"/>
  <c r="M71"/>
  <c r="M52"/>
  <c r="M53"/>
  <c r="M59"/>
  <c r="M56"/>
  <c r="M62"/>
  <c r="M54"/>
  <c r="M48"/>
  <c r="M78"/>
  <c r="M47"/>
  <c r="M67"/>
  <c r="M51"/>
  <c r="M63"/>
  <c r="M72"/>
  <c r="M50"/>
  <c r="M74"/>
  <c r="M69"/>
  <c r="M58"/>
  <c r="M55"/>
  <c r="M60"/>
  <c r="M75"/>
  <c r="M61"/>
  <c r="G5"/>
  <c r="G5" i="24"/>
  <c r="B21" i="26"/>
  <c r="B29"/>
  <c r="B37"/>
  <c r="B45"/>
  <c r="B53"/>
  <c r="B41"/>
  <c r="B40"/>
  <c r="B31"/>
  <c r="B55"/>
  <c r="B30"/>
  <c r="B54"/>
  <c r="B20"/>
  <c r="B28"/>
  <c r="B36"/>
  <c r="B44"/>
  <c r="B52"/>
  <c r="B33"/>
  <c r="B57"/>
  <c r="B39"/>
  <c r="B38"/>
  <c r="B19"/>
  <c r="B27"/>
  <c r="B35"/>
  <c r="B43"/>
  <c r="B51"/>
  <c r="B25"/>
  <c r="B49"/>
  <c r="B24"/>
  <c r="B48"/>
  <c r="B46"/>
  <c r="B18"/>
  <c r="B26"/>
  <c r="B34"/>
  <c r="B42"/>
  <c r="B50"/>
  <c r="B32"/>
  <c r="B56"/>
  <c r="B23"/>
  <c r="B47"/>
  <c r="B22"/>
  <c r="G15" i="18"/>
  <c r="P21" i="10"/>
  <c r="G80" i="29" s="1"/>
  <c r="F80" s="1"/>
  <c r="Q21" i="10"/>
  <c r="G142" i="29" s="1"/>
  <c r="F142" s="1"/>
  <c r="G44" i="24"/>
  <c r="G40"/>
  <c r="G36"/>
  <c r="G32"/>
  <c r="G28"/>
  <c r="G24"/>
  <c r="G20"/>
  <c r="G16"/>
  <c r="G12"/>
  <c r="G8"/>
  <c r="G38"/>
  <c r="P43" i="23"/>
  <c r="P11"/>
  <c r="H37"/>
  <c r="N26" i="24"/>
  <c r="Q45"/>
  <c r="Q41"/>
  <c r="I37"/>
  <c r="I29"/>
  <c r="I21"/>
  <c r="I17"/>
  <c r="Q9"/>
  <c r="O5" i="23"/>
  <c r="G43" i="24"/>
  <c r="G39"/>
  <c r="G35"/>
  <c r="G31"/>
  <c r="G27"/>
  <c r="G23"/>
  <c r="G19"/>
  <c r="G15"/>
  <c r="G11"/>
  <c r="G7"/>
  <c r="M36"/>
  <c r="L31"/>
  <c r="O5"/>
  <c r="M31"/>
  <c r="N39"/>
  <c r="N15"/>
  <c r="N42"/>
  <c r="N10"/>
  <c r="N45"/>
  <c r="O41"/>
  <c r="N37"/>
  <c r="O33"/>
  <c r="N29"/>
  <c r="O25"/>
  <c r="N21"/>
  <c r="O17"/>
  <c r="N13"/>
  <c r="O9"/>
  <c r="L43"/>
  <c r="L35"/>
  <c r="L27"/>
  <c r="L19"/>
  <c r="L11"/>
  <c r="I5"/>
  <c r="L7"/>
  <c r="M39"/>
  <c r="M23"/>
  <c r="N31"/>
  <c r="N34"/>
  <c r="P33"/>
  <c r="P25"/>
  <c r="P13"/>
  <c r="H5"/>
  <c r="J9"/>
  <c r="M43"/>
  <c r="M35"/>
  <c r="M27"/>
  <c r="M19"/>
  <c r="M11"/>
  <c r="P5"/>
  <c r="L15"/>
  <c r="M7"/>
  <c r="N7"/>
  <c r="N18"/>
  <c r="H21" i="23"/>
  <c r="M46" i="24"/>
  <c r="G42"/>
  <c r="M38"/>
  <c r="G34"/>
  <c r="M30"/>
  <c r="G26"/>
  <c r="M22"/>
  <c r="G18"/>
  <c r="M14"/>
  <c r="G10"/>
  <c r="M6"/>
  <c r="K33"/>
  <c r="N43"/>
  <c r="N35"/>
  <c r="N27"/>
  <c r="N19"/>
  <c r="N11"/>
  <c r="Q5"/>
  <c r="L39"/>
  <c r="L23"/>
  <c r="M15"/>
  <c r="N23"/>
  <c r="N46"/>
  <c r="N38"/>
  <c r="N30"/>
  <c r="N22"/>
  <c r="N14"/>
  <c r="N6"/>
  <c r="P45"/>
  <c r="J44"/>
  <c r="H33"/>
  <c r="J32"/>
  <c r="H25"/>
  <c r="P21"/>
  <c r="J20"/>
  <c r="J16"/>
  <c r="G46"/>
  <c r="O46"/>
  <c r="K44"/>
  <c r="O38"/>
  <c r="I33"/>
  <c r="O26"/>
  <c r="K24"/>
  <c r="O18"/>
  <c r="I13"/>
  <c r="H42"/>
  <c r="J41"/>
  <c r="P38"/>
  <c r="J37"/>
  <c r="P34"/>
  <c r="J33"/>
  <c r="P30"/>
  <c r="J29"/>
  <c r="P26"/>
  <c r="J25"/>
  <c r="P22"/>
  <c r="H14"/>
  <c r="L12"/>
  <c r="H10"/>
  <c r="H6"/>
  <c r="K39" i="23"/>
  <c r="J12"/>
  <c r="I46" i="24"/>
  <c r="Q42"/>
  <c r="O39"/>
  <c r="I38"/>
  <c r="Q34"/>
  <c r="O31"/>
  <c r="M28"/>
  <c r="K25"/>
  <c r="K21"/>
  <c r="I18"/>
  <c r="I14"/>
  <c r="K5"/>
  <c r="H40" i="23"/>
  <c r="H32"/>
  <c r="H24"/>
  <c r="H16"/>
  <c r="H8"/>
  <c r="M11"/>
  <c r="P37"/>
  <c r="P21"/>
  <c r="G6" i="24"/>
  <c r="J46"/>
  <c r="L45"/>
  <c r="N44"/>
  <c r="P43"/>
  <c r="H43"/>
  <c r="J42"/>
  <c r="L41"/>
  <c r="N40"/>
  <c r="P39"/>
  <c r="H39"/>
  <c r="J38"/>
  <c r="L37"/>
  <c r="N36"/>
  <c r="P35"/>
  <c r="H35"/>
  <c r="J34"/>
  <c r="L33"/>
  <c r="N32"/>
  <c r="P31"/>
  <c r="H31"/>
  <c r="J30"/>
  <c r="L29"/>
  <c r="N28"/>
  <c r="P27"/>
  <c r="H27"/>
  <c r="J26"/>
  <c r="L25"/>
  <c r="N24"/>
  <c r="P23"/>
  <c r="H23"/>
  <c r="J22"/>
  <c r="L21"/>
  <c r="N20"/>
  <c r="P19"/>
  <c r="H19"/>
  <c r="J18"/>
  <c r="L17"/>
  <c r="N16"/>
  <c r="P15"/>
  <c r="H15"/>
  <c r="J14"/>
  <c r="L13"/>
  <c r="N12"/>
  <c r="P11"/>
  <c r="H11"/>
  <c r="J10"/>
  <c r="L9"/>
  <c r="N8"/>
  <c r="P7"/>
  <c r="H7"/>
  <c r="J6"/>
  <c r="L5"/>
  <c r="H41"/>
  <c r="P37"/>
  <c r="J36"/>
  <c r="J28"/>
  <c r="I45"/>
  <c r="I41"/>
  <c r="Q37"/>
  <c r="Q33"/>
  <c r="Q29"/>
  <c r="Q25"/>
  <c r="Q21"/>
  <c r="I9"/>
  <c r="K8"/>
  <c r="O6"/>
  <c r="P46"/>
  <c r="H38"/>
  <c r="L36"/>
  <c r="H34"/>
  <c r="L32"/>
  <c r="H30"/>
  <c r="L28"/>
  <c r="H26"/>
  <c r="L24"/>
  <c r="H22"/>
  <c r="P18"/>
  <c r="K31" i="23"/>
  <c r="K7"/>
  <c r="L11"/>
  <c r="J28"/>
  <c r="M44" i="24"/>
  <c r="M40"/>
  <c r="K37"/>
  <c r="I34"/>
  <c r="I30"/>
  <c r="Q26"/>
  <c r="O23"/>
  <c r="M20"/>
  <c r="K17"/>
  <c r="M16"/>
  <c r="K13"/>
  <c r="M12"/>
  <c r="O11"/>
  <c r="Q10"/>
  <c r="I10"/>
  <c r="K9"/>
  <c r="M8"/>
  <c r="I6"/>
  <c r="G41" i="23"/>
  <c r="G33"/>
  <c r="G25"/>
  <c r="G17"/>
  <c r="G9"/>
  <c r="G46"/>
  <c r="G38"/>
  <c r="G14" i="24"/>
  <c r="K46"/>
  <c r="M45"/>
  <c r="O44"/>
  <c r="Q43"/>
  <c r="I43"/>
  <c r="K42"/>
  <c r="M41"/>
  <c r="O40"/>
  <c r="Q39"/>
  <c r="I39"/>
  <c r="K38"/>
  <c r="M37"/>
  <c r="O36"/>
  <c r="Q35"/>
  <c r="I35"/>
  <c r="K34"/>
  <c r="M33"/>
  <c r="O32"/>
  <c r="Q31"/>
  <c r="I31"/>
  <c r="K30"/>
  <c r="M29"/>
  <c r="O28"/>
  <c r="Q27"/>
  <c r="I27"/>
  <c r="K26"/>
  <c r="M25"/>
  <c r="O24"/>
  <c r="Q23"/>
  <c r="I23"/>
  <c r="K22"/>
  <c r="M21"/>
  <c r="O20"/>
  <c r="Q19"/>
  <c r="I19"/>
  <c r="K18"/>
  <c r="M17"/>
  <c r="O16"/>
  <c r="Q15"/>
  <c r="I15"/>
  <c r="K14"/>
  <c r="M13"/>
  <c r="O12"/>
  <c r="Q11"/>
  <c r="I11"/>
  <c r="K10"/>
  <c r="M9"/>
  <c r="O8"/>
  <c r="Q7"/>
  <c r="I7"/>
  <c r="K6"/>
  <c r="M5"/>
  <c r="H45"/>
  <c r="P41"/>
  <c r="H37"/>
  <c r="P29"/>
  <c r="H21"/>
  <c r="P17"/>
  <c r="H13"/>
  <c r="J12"/>
  <c r="P9"/>
  <c r="O30"/>
  <c r="K28"/>
  <c r="I25"/>
  <c r="Q17"/>
  <c r="Q13"/>
  <c r="K12"/>
  <c r="O10"/>
  <c r="J45"/>
  <c r="L44"/>
  <c r="L40"/>
  <c r="J21"/>
  <c r="L20"/>
  <c r="H18"/>
  <c r="J17"/>
  <c r="L16"/>
  <c r="P14"/>
  <c r="J13"/>
  <c r="P10"/>
  <c r="L8"/>
  <c r="J5"/>
  <c r="K23" i="23"/>
  <c r="Q46" i="24"/>
  <c r="O43"/>
  <c r="K41"/>
  <c r="Q38"/>
  <c r="O35"/>
  <c r="M32"/>
  <c r="K29"/>
  <c r="M24"/>
  <c r="I22"/>
  <c r="Q18"/>
  <c r="Q14"/>
  <c r="O7"/>
  <c r="G33"/>
  <c r="G22"/>
  <c r="L46"/>
  <c r="P44"/>
  <c r="H44"/>
  <c r="J43"/>
  <c r="L42"/>
  <c r="N41"/>
  <c r="P40"/>
  <c r="H40"/>
  <c r="J39"/>
  <c r="L38"/>
  <c r="P36"/>
  <c r="H36"/>
  <c r="J35"/>
  <c r="L34"/>
  <c r="N33"/>
  <c r="P32"/>
  <c r="H32"/>
  <c r="J31"/>
  <c r="L30"/>
  <c r="P28"/>
  <c r="H28"/>
  <c r="J27"/>
  <c r="L26"/>
  <c r="N25"/>
  <c r="P24"/>
  <c r="H24"/>
  <c r="J23"/>
  <c r="L22"/>
  <c r="P20"/>
  <c r="H20"/>
  <c r="J19"/>
  <c r="L18"/>
  <c r="N17"/>
  <c r="P16"/>
  <c r="H16"/>
  <c r="J15"/>
  <c r="L14"/>
  <c r="P12"/>
  <c r="H12"/>
  <c r="J11"/>
  <c r="L10"/>
  <c r="N9"/>
  <c r="P8"/>
  <c r="H8"/>
  <c r="J7"/>
  <c r="L6"/>
  <c r="N5"/>
  <c r="J40"/>
  <c r="H29"/>
  <c r="J24"/>
  <c r="H17"/>
  <c r="H9"/>
  <c r="J8"/>
  <c r="O42"/>
  <c r="K40"/>
  <c r="K36"/>
  <c r="O34"/>
  <c r="K32"/>
  <c r="O22"/>
  <c r="K20"/>
  <c r="K16"/>
  <c r="O14"/>
  <c r="H46"/>
  <c r="P42"/>
  <c r="P6"/>
  <c r="K15" i="23"/>
  <c r="J44"/>
  <c r="K45" i="24"/>
  <c r="I42"/>
  <c r="Q30"/>
  <c r="O27"/>
  <c r="I26"/>
  <c r="Q22"/>
  <c r="O19"/>
  <c r="O15"/>
  <c r="Q6"/>
  <c r="H43" i="23"/>
  <c r="P35"/>
  <c r="H27"/>
  <c r="P19"/>
  <c r="H11"/>
  <c r="G45" i="24"/>
  <c r="G37"/>
  <c r="G29"/>
  <c r="G21"/>
  <c r="G13"/>
  <c r="H19" i="23"/>
  <c r="G30" i="24"/>
  <c r="O45"/>
  <c r="Q44"/>
  <c r="I44"/>
  <c r="K43"/>
  <c r="M42"/>
  <c r="Q40"/>
  <c r="I40"/>
  <c r="K39"/>
  <c r="O37"/>
  <c r="Q36"/>
  <c r="I36"/>
  <c r="K35"/>
  <c r="M34"/>
  <c r="Q32"/>
  <c r="I32"/>
  <c r="K31"/>
  <c r="O29"/>
  <c r="Q28"/>
  <c r="I28"/>
  <c r="K27"/>
  <c r="M26"/>
  <c r="Q24"/>
  <c r="I24"/>
  <c r="K23"/>
  <c r="O21"/>
  <c r="Q20"/>
  <c r="I20"/>
  <c r="K19"/>
  <c r="M18"/>
  <c r="Q16"/>
  <c r="I16"/>
  <c r="K15"/>
  <c r="O13"/>
  <c r="Q12"/>
  <c r="I12"/>
  <c r="K11"/>
  <c r="M10"/>
  <c r="Q8"/>
  <c r="I8"/>
  <c r="K7"/>
  <c r="G9"/>
  <c r="J16" i="23"/>
  <c r="G17" i="24"/>
  <c r="P27" i="23"/>
  <c r="G41" i="24"/>
  <c r="G25"/>
  <c r="K45" i="23"/>
  <c r="K29"/>
  <c r="J32"/>
  <c r="H35"/>
  <c r="G23"/>
  <c r="L43"/>
  <c r="L27"/>
  <c r="K37"/>
  <c r="H5"/>
  <c r="M34"/>
  <c r="M10"/>
  <c r="L5"/>
  <c r="P23"/>
  <c r="H7"/>
  <c r="L7"/>
  <c r="H45"/>
  <c r="J40"/>
  <c r="L35"/>
  <c r="H29"/>
  <c r="J24"/>
  <c r="L19"/>
  <c r="H13"/>
  <c r="J8"/>
  <c r="K21"/>
  <c r="N16"/>
  <c r="M18"/>
  <c r="P31"/>
  <c r="L23"/>
  <c r="G44"/>
  <c r="G36"/>
  <c r="G28"/>
  <c r="G20"/>
  <c r="G12"/>
  <c r="Q6"/>
  <c r="K40"/>
  <c r="M35"/>
  <c r="K24"/>
  <c r="M19"/>
  <c r="K8"/>
  <c r="M43"/>
  <c r="M27"/>
  <c r="K16"/>
  <c r="M16"/>
  <c r="M26"/>
  <c r="O7"/>
  <c r="G45"/>
  <c r="G37"/>
  <c r="G29"/>
  <c r="G21"/>
  <c r="G13"/>
  <c r="G6"/>
  <c r="J14"/>
  <c r="P45"/>
  <c r="M40"/>
  <c r="P29"/>
  <c r="M24"/>
  <c r="M8"/>
  <c r="K32"/>
  <c r="M32"/>
  <c r="P5"/>
  <c r="M42"/>
  <c r="H39"/>
  <c r="H15"/>
  <c r="L39"/>
  <c r="M46"/>
  <c r="M38"/>
  <c r="M30"/>
  <c r="M22"/>
  <c r="M14"/>
  <c r="M6"/>
  <c r="G15"/>
  <c r="J36"/>
  <c r="L31"/>
  <c r="J20"/>
  <c r="L15"/>
  <c r="N26"/>
  <c r="H25"/>
  <c r="H17"/>
  <c r="G39"/>
  <c r="G18"/>
  <c r="O46"/>
  <c r="Q45"/>
  <c r="I45"/>
  <c r="K44"/>
  <c r="O42"/>
  <c r="Q41"/>
  <c r="I41"/>
  <c r="M39"/>
  <c r="O38"/>
  <c r="Q37"/>
  <c r="I37"/>
  <c r="K36"/>
  <c r="O34"/>
  <c r="Q33"/>
  <c r="I33"/>
  <c r="M31"/>
  <c r="O30"/>
  <c r="Q29"/>
  <c r="I29"/>
  <c r="K28"/>
  <c r="O26"/>
  <c r="Q25"/>
  <c r="I25"/>
  <c r="M23"/>
  <c r="O22"/>
  <c r="Q21"/>
  <c r="I21"/>
  <c r="K20"/>
  <c r="O18"/>
  <c r="Q17"/>
  <c r="I17"/>
  <c r="M15"/>
  <c r="O14"/>
  <c r="I13"/>
  <c r="K12"/>
  <c r="O10"/>
  <c r="Q9"/>
  <c r="I9"/>
  <c r="M7"/>
  <c r="O6"/>
  <c r="Q5"/>
  <c r="I5"/>
  <c r="G43"/>
  <c r="G35"/>
  <c r="G27"/>
  <c r="G19"/>
  <c r="G11"/>
  <c r="G42"/>
  <c r="G22"/>
  <c r="P46"/>
  <c r="H46"/>
  <c r="J45"/>
  <c r="L44"/>
  <c r="N43"/>
  <c r="P42"/>
  <c r="H42"/>
  <c r="J41"/>
  <c r="L40"/>
  <c r="N39"/>
  <c r="P38"/>
  <c r="H38"/>
  <c r="J37"/>
  <c r="L36"/>
  <c r="N35"/>
  <c r="P34"/>
  <c r="H34"/>
  <c r="J33"/>
  <c r="L32"/>
  <c r="N31"/>
  <c r="P30"/>
  <c r="H30"/>
  <c r="J29"/>
  <c r="L28"/>
  <c r="N27"/>
  <c r="P26"/>
  <c r="H26"/>
  <c r="J25"/>
  <c r="L24"/>
  <c r="N23"/>
  <c r="P22"/>
  <c r="H22"/>
  <c r="J21"/>
  <c r="L20"/>
  <c r="N19"/>
  <c r="P18"/>
  <c r="H18"/>
  <c r="J17"/>
  <c r="L16"/>
  <c r="N15"/>
  <c r="P14"/>
  <c r="H14"/>
  <c r="J13"/>
  <c r="L12"/>
  <c r="N11"/>
  <c r="P10"/>
  <c r="H10"/>
  <c r="J9"/>
  <c r="L8"/>
  <c r="N7"/>
  <c r="P6"/>
  <c r="H6"/>
  <c r="J5"/>
  <c r="P41"/>
  <c r="N38"/>
  <c r="N6"/>
  <c r="I46"/>
  <c r="M44"/>
  <c r="O43"/>
  <c r="Q42"/>
  <c r="I42"/>
  <c r="K41"/>
  <c r="O39"/>
  <c r="O35"/>
  <c r="Q34"/>
  <c r="I34"/>
  <c r="K33"/>
  <c r="O31"/>
  <c r="Q30"/>
  <c r="I30"/>
  <c r="O27"/>
  <c r="O19"/>
  <c r="Q18"/>
  <c r="I18"/>
  <c r="K17"/>
  <c r="O15"/>
  <c r="I14"/>
  <c r="O11"/>
  <c r="I10"/>
  <c r="K5"/>
  <c r="N40"/>
  <c r="L33"/>
  <c r="H31"/>
  <c r="L25"/>
  <c r="H23"/>
  <c r="P15"/>
  <c r="L9"/>
  <c r="P7"/>
  <c r="G30"/>
  <c r="G7"/>
  <c r="K46"/>
  <c r="M45"/>
  <c r="O44"/>
  <c r="Q43"/>
  <c r="I43"/>
  <c r="K42"/>
  <c r="M41"/>
  <c r="O40"/>
  <c r="Q39"/>
  <c r="I39"/>
  <c r="K38"/>
  <c r="M37"/>
  <c r="O36"/>
  <c r="Q35"/>
  <c r="I35"/>
  <c r="K34"/>
  <c r="M33"/>
  <c r="O32"/>
  <c r="Q31"/>
  <c r="I31"/>
  <c r="K30"/>
  <c r="M29"/>
  <c r="O28"/>
  <c r="Q27"/>
  <c r="I27"/>
  <c r="K26"/>
  <c r="M25"/>
  <c r="O24"/>
  <c r="Q23"/>
  <c r="I23"/>
  <c r="K22"/>
  <c r="M21"/>
  <c r="O20"/>
  <c r="Q19"/>
  <c r="I19"/>
  <c r="K18"/>
  <c r="M17"/>
  <c r="O16"/>
  <c r="Q15"/>
  <c r="I15"/>
  <c r="K14"/>
  <c r="O12"/>
  <c r="Q11"/>
  <c r="I11"/>
  <c r="K10"/>
  <c r="M9"/>
  <c r="O8"/>
  <c r="Q7"/>
  <c r="I7"/>
  <c r="K6"/>
  <c r="M5"/>
  <c r="N34"/>
  <c r="N22"/>
  <c r="N18"/>
  <c r="N14"/>
  <c r="P9"/>
  <c r="Q46"/>
  <c r="Q38"/>
  <c r="I38"/>
  <c r="M36"/>
  <c r="M28"/>
  <c r="Q26"/>
  <c r="I26"/>
  <c r="K25"/>
  <c r="O23"/>
  <c r="Q22"/>
  <c r="I22"/>
  <c r="M20"/>
  <c r="Q14"/>
  <c r="I6"/>
  <c r="G26"/>
  <c r="L41"/>
  <c r="P39"/>
  <c r="J38"/>
  <c r="L37"/>
  <c r="N36"/>
  <c r="J34"/>
  <c r="N32"/>
  <c r="J26"/>
  <c r="J22"/>
  <c r="L21"/>
  <c r="N20"/>
  <c r="L17"/>
  <c r="J10"/>
  <c r="N8"/>
  <c r="J6"/>
  <c r="G31"/>
  <c r="G10"/>
  <c r="L46"/>
  <c r="N45"/>
  <c r="P44"/>
  <c r="H44"/>
  <c r="J43"/>
  <c r="L42"/>
  <c r="N41"/>
  <c r="P40"/>
  <c r="J39"/>
  <c r="L38"/>
  <c r="N37"/>
  <c r="P36"/>
  <c r="H36"/>
  <c r="J35"/>
  <c r="L34"/>
  <c r="N33"/>
  <c r="P32"/>
  <c r="J31"/>
  <c r="L30"/>
  <c r="N29"/>
  <c r="P28"/>
  <c r="H28"/>
  <c r="J27"/>
  <c r="L26"/>
  <c r="N25"/>
  <c r="P24"/>
  <c r="J23"/>
  <c r="L22"/>
  <c r="N21"/>
  <c r="P20"/>
  <c r="H20"/>
  <c r="J19"/>
  <c r="L18"/>
  <c r="N17"/>
  <c r="P16"/>
  <c r="J15"/>
  <c r="L14"/>
  <c r="P12"/>
  <c r="H12"/>
  <c r="J11"/>
  <c r="L10"/>
  <c r="N9"/>
  <c r="P8"/>
  <c r="J7"/>
  <c r="L6"/>
  <c r="N5"/>
  <c r="N46"/>
  <c r="N42"/>
  <c r="H41"/>
  <c r="P33"/>
  <c r="H33"/>
  <c r="N30"/>
  <c r="P25"/>
  <c r="P17"/>
  <c r="N10"/>
  <c r="H9"/>
  <c r="M12"/>
  <c r="Q10"/>
  <c r="K9"/>
  <c r="J46"/>
  <c r="L45"/>
  <c r="N44"/>
  <c r="J42"/>
  <c r="J30"/>
  <c r="L29"/>
  <c r="N28"/>
  <c r="N24"/>
  <c r="J18"/>
  <c r="N12"/>
  <c r="G40"/>
  <c r="G32"/>
  <c r="G24"/>
  <c r="G16"/>
  <c r="G8"/>
  <c r="G34"/>
  <c r="G14"/>
  <c r="L82" i="30"/>
  <c r="O45" i="23"/>
  <c r="Q44"/>
  <c r="I44"/>
  <c r="K43"/>
  <c r="O41"/>
  <c r="Q40"/>
  <c r="I40"/>
  <c r="O37"/>
  <c r="Q36"/>
  <c r="I36"/>
  <c r="K35"/>
  <c r="O33"/>
  <c r="Q32"/>
  <c r="I32"/>
  <c r="O29"/>
  <c r="Q28"/>
  <c r="I28"/>
  <c r="K27"/>
  <c r="O25"/>
  <c r="Q24"/>
  <c r="I24"/>
  <c r="O21"/>
  <c r="Q20"/>
  <c r="I20"/>
  <c r="K19"/>
  <c r="O17"/>
  <c r="Q16"/>
  <c r="I16"/>
  <c r="Q12"/>
  <c r="I12"/>
  <c r="K11"/>
  <c r="O9"/>
  <c r="Q8"/>
  <c r="I8"/>
  <c r="S12" i="17"/>
  <c r="B69"/>
  <c r="B14"/>
  <c r="B15"/>
  <c r="B16"/>
  <c r="B17"/>
  <c r="B13"/>
  <c r="C168"/>
  <c r="A167"/>
  <c r="H167" s="1"/>
  <c r="A166"/>
  <c r="H166" s="1"/>
  <c r="A165"/>
  <c r="H165" s="1"/>
  <c r="A164"/>
  <c r="H164" s="1"/>
  <c r="A163"/>
  <c r="H163" s="1"/>
  <c r="A162"/>
  <c r="H162" s="1"/>
  <c r="A161"/>
  <c r="H161" s="1"/>
  <c r="A160"/>
  <c r="H160" s="1"/>
  <c r="A159"/>
  <c r="H159" s="1"/>
  <c r="A158"/>
  <c r="H158" s="1"/>
  <c r="A157"/>
  <c r="H157" s="1"/>
  <c r="A156"/>
  <c r="H156" s="1"/>
  <c r="A155"/>
  <c r="H155" s="1"/>
  <c r="A154"/>
  <c r="H154" s="1"/>
  <c r="A153"/>
  <c r="H153" s="1"/>
  <c r="A152"/>
  <c r="H152" s="1"/>
  <c r="A151"/>
  <c r="H151" s="1"/>
  <c r="A150"/>
  <c r="H150" s="1"/>
  <c r="A149"/>
  <c r="H149" s="1"/>
  <c r="A148"/>
  <c r="H148" s="1"/>
  <c r="A147"/>
  <c r="H147" s="1"/>
  <c r="A146"/>
  <c r="H146" s="1"/>
  <c r="A145"/>
  <c r="H145" s="1"/>
  <c r="A144"/>
  <c r="H144" s="1"/>
  <c r="A143"/>
  <c r="H143" s="1"/>
  <c r="A142"/>
  <c r="H142" s="1"/>
  <c r="A141"/>
  <c r="H141" s="1"/>
  <c r="A140"/>
  <c r="H140" s="1"/>
  <c r="A139"/>
  <c r="H139" s="1"/>
  <c r="A138"/>
  <c r="H138" s="1"/>
  <c r="A137"/>
  <c r="H137" s="1"/>
  <c r="A136"/>
  <c r="H136" s="1"/>
  <c r="A135"/>
  <c r="H135" s="1"/>
  <c r="A134"/>
  <c r="H134" s="1"/>
  <c r="A133"/>
  <c r="H133" s="1"/>
  <c r="A132"/>
  <c r="H132" s="1"/>
  <c r="A131"/>
  <c r="H131" s="1"/>
  <c r="A130"/>
  <c r="H130" s="1"/>
  <c r="A129"/>
  <c r="H129" s="1"/>
  <c r="A128"/>
  <c r="H128" s="1"/>
  <c r="A127"/>
  <c r="H127" s="1"/>
  <c r="A126"/>
  <c r="A125"/>
  <c r="A124"/>
  <c r="H124" s="1"/>
  <c r="B123"/>
  <c r="A123"/>
  <c r="H123" s="1"/>
  <c r="S122"/>
  <c r="R122"/>
  <c r="Q122"/>
  <c r="P122"/>
  <c r="O122"/>
  <c r="N122"/>
  <c r="M122"/>
  <c r="L122"/>
  <c r="K122"/>
  <c r="J122"/>
  <c r="G121"/>
  <c r="C113"/>
  <c r="A112"/>
  <c r="H112" s="1"/>
  <c r="A111"/>
  <c r="H111" s="1"/>
  <c r="A110"/>
  <c r="H110" s="1"/>
  <c r="A109"/>
  <c r="H109" s="1"/>
  <c r="A108"/>
  <c r="H108" s="1"/>
  <c r="A107"/>
  <c r="H107" s="1"/>
  <c r="A106"/>
  <c r="H106" s="1"/>
  <c r="A105"/>
  <c r="H105" s="1"/>
  <c r="A104"/>
  <c r="H104" s="1"/>
  <c r="A103"/>
  <c r="H103" s="1"/>
  <c r="A102"/>
  <c r="H102" s="1"/>
  <c r="A101"/>
  <c r="H101" s="1"/>
  <c r="A100"/>
  <c r="H100" s="1"/>
  <c r="A99"/>
  <c r="H99" s="1"/>
  <c r="A98"/>
  <c r="H98" s="1"/>
  <c r="A97"/>
  <c r="H97" s="1"/>
  <c r="A96"/>
  <c r="H96" s="1"/>
  <c r="A95"/>
  <c r="H95" s="1"/>
  <c r="A94"/>
  <c r="H94" s="1"/>
  <c r="A93"/>
  <c r="H93" s="1"/>
  <c r="A92"/>
  <c r="H92" s="1"/>
  <c r="A91"/>
  <c r="H91" s="1"/>
  <c r="A90"/>
  <c r="H90" s="1"/>
  <c r="A89"/>
  <c r="H89" s="1"/>
  <c r="A88"/>
  <c r="H88" s="1"/>
  <c r="A87"/>
  <c r="H87" s="1"/>
  <c r="A86"/>
  <c r="H86" s="1"/>
  <c r="A85"/>
  <c r="H85" s="1"/>
  <c r="A84"/>
  <c r="H84" s="1"/>
  <c r="A83"/>
  <c r="H83" s="1"/>
  <c r="A82"/>
  <c r="H82" s="1"/>
  <c r="A81"/>
  <c r="H81" s="1"/>
  <c r="A80"/>
  <c r="H80" s="1"/>
  <c r="A79"/>
  <c r="H79" s="1"/>
  <c r="A78"/>
  <c r="H78" s="1"/>
  <c r="A77"/>
  <c r="H77" s="1"/>
  <c r="A76"/>
  <c r="H76" s="1"/>
  <c r="A75"/>
  <c r="H75" s="1"/>
  <c r="A74"/>
  <c r="H74" s="1"/>
  <c r="A73"/>
  <c r="H73" s="1"/>
  <c r="A72"/>
  <c r="A71"/>
  <c r="A70"/>
  <c r="A69"/>
  <c r="H69" s="1"/>
  <c r="A68"/>
  <c r="V67"/>
  <c r="U67"/>
  <c r="T67"/>
  <c r="S67"/>
  <c r="R67"/>
  <c r="Q67"/>
  <c r="P67"/>
  <c r="O67"/>
  <c r="N67"/>
  <c r="M67"/>
  <c r="L67"/>
  <c r="K67"/>
  <c r="J67"/>
  <c r="G66"/>
  <c r="C58"/>
  <c r="G17"/>
  <c r="G16"/>
  <c r="G15"/>
  <c r="G14"/>
  <c r="V12"/>
  <c r="U12"/>
  <c r="T12"/>
  <c r="R12"/>
  <c r="Q12"/>
  <c r="P12"/>
  <c r="O12"/>
  <c r="N12"/>
  <c r="M12"/>
  <c r="L12"/>
  <c r="K12"/>
  <c r="J12"/>
  <c r="I12"/>
  <c r="G11"/>
  <c r="E44" i="10"/>
  <c r="E41"/>
  <c r="E40"/>
  <c r="E39"/>
  <c r="E38"/>
  <c r="E37"/>
  <c r="E36"/>
  <c r="E35"/>
  <c r="E34"/>
  <c r="E33"/>
  <c r="E31"/>
  <c r="E30"/>
  <c r="E29"/>
  <c r="E28"/>
  <c r="E27"/>
  <c r="E25"/>
  <c r="E23"/>
  <c r="E21"/>
  <c r="E19"/>
  <c r="E18"/>
  <c r="E17"/>
  <c r="E14"/>
  <c r="E13"/>
  <c r="E10"/>
  <c r="E9"/>
  <c r="K13" i="38" l="1"/>
  <c r="L18" i="46" s="1"/>
  <c r="L61" s="1"/>
  <c r="L18" i="50"/>
  <c r="D34"/>
  <c r="D33" i="51"/>
  <c r="D16" i="50"/>
  <c r="D24"/>
  <c r="D32"/>
  <c r="D31" i="51"/>
  <c r="D18" i="50"/>
  <c r="D25"/>
  <c r="D24" i="51"/>
  <c r="D14" i="50"/>
  <c r="C14" s="1"/>
  <c r="D30"/>
  <c r="D29" i="51"/>
  <c r="D29" i="50"/>
  <c r="D28" i="51"/>
  <c r="D37" i="50"/>
  <c r="D36" i="51"/>
  <c r="D26" i="50"/>
  <c r="D25" i="51"/>
  <c r="D33" i="50"/>
  <c r="D32" i="51"/>
  <c r="D15" i="50"/>
  <c r="D31"/>
  <c r="D30" i="51"/>
  <c r="D22" i="50"/>
  <c r="D21"/>
  <c r="D20"/>
  <c r="D28"/>
  <c r="D27" i="51"/>
  <c r="D36" i="50"/>
  <c r="D35" i="51"/>
  <c r="D17" i="50"/>
  <c r="D23"/>
  <c r="D38"/>
  <c r="D37" i="51"/>
  <c r="D19" i="50"/>
  <c r="D18" i="51"/>
  <c r="D27" i="50"/>
  <c r="D26" i="51"/>
  <c r="D35" i="50"/>
  <c r="D34" i="51"/>
  <c r="K61" i="46"/>
  <c r="K60" i="50"/>
  <c r="Q144" i="30"/>
  <c r="I146"/>
  <c r="Q145"/>
  <c r="D26" i="46"/>
  <c r="M94" i="30"/>
  <c r="R99"/>
  <c r="R111"/>
  <c r="N92"/>
  <c r="N174"/>
  <c r="M170"/>
  <c r="K151"/>
  <c r="I170"/>
  <c r="I171"/>
  <c r="L157"/>
  <c r="K164"/>
  <c r="K173"/>
  <c r="O160"/>
  <c r="O147"/>
  <c r="D33" i="46"/>
  <c r="R87" i="30"/>
  <c r="P94"/>
  <c r="R104"/>
  <c r="P110"/>
  <c r="L113"/>
  <c r="K112"/>
  <c r="R106"/>
  <c r="Q91"/>
  <c r="K86"/>
  <c r="M92"/>
  <c r="Q104"/>
  <c r="O114"/>
  <c r="K106"/>
  <c r="J85"/>
  <c r="J99"/>
  <c r="R112"/>
  <c r="Q105"/>
  <c r="N88"/>
  <c r="R93"/>
  <c r="J103"/>
  <c r="N109"/>
  <c r="L112"/>
  <c r="M91"/>
  <c r="L91"/>
  <c r="P97"/>
  <c r="L105"/>
  <c r="I105"/>
  <c r="Q79"/>
  <c r="O86"/>
  <c r="I92"/>
  <c r="Q98"/>
  <c r="O107"/>
  <c r="J91"/>
  <c r="J105"/>
  <c r="J110"/>
  <c r="J111"/>
  <c r="N102"/>
  <c r="N93"/>
  <c r="M107"/>
  <c r="J152"/>
  <c r="R166"/>
  <c r="Q168"/>
  <c r="P141"/>
  <c r="I163"/>
  <c r="K169"/>
  <c r="O173"/>
  <c r="R157"/>
  <c r="Q167"/>
  <c r="J151"/>
  <c r="N156"/>
  <c r="R159"/>
  <c r="J162"/>
  <c r="N167"/>
  <c r="I154"/>
  <c r="R150"/>
  <c r="J172"/>
  <c r="K163"/>
  <c r="K141"/>
  <c r="I148"/>
  <c r="M153"/>
  <c r="Q158"/>
  <c r="K160"/>
  <c r="Q169"/>
  <c r="J160"/>
  <c r="L173"/>
  <c r="Q154"/>
  <c r="P147"/>
  <c r="L170"/>
  <c r="O157"/>
  <c r="N169"/>
  <c r="P153"/>
  <c r="P172"/>
  <c r="O174"/>
  <c r="J176"/>
  <c r="Q113"/>
  <c r="D32" i="46"/>
  <c r="J87" i="30"/>
  <c r="J104"/>
  <c r="P111"/>
  <c r="M111"/>
  <c r="I91"/>
  <c r="I110"/>
  <c r="M85"/>
  <c r="O91"/>
  <c r="K103"/>
  <c r="K92"/>
  <c r="O104"/>
  <c r="L111"/>
  <c r="O92"/>
  <c r="P87"/>
  <c r="J93"/>
  <c r="L102"/>
  <c r="P108"/>
  <c r="N111"/>
  <c r="I89"/>
  <c r="Q103"/>
  <c r="P89"/>
  <c r="P103"/>
  <c r="L110"/>
  <c r="I79"/>
  <c r="Q85"/>
  <c r="K91"/>
  <c r="O96"/>
  <c r="I98"/>
  <c r="M101"/>
  <c r="Q106"/>
  <c r="K110"/>
  <c r="N89"/>
  <c r="N96"/>
  <c r="N103"/>
  <c r="Q111"/>
  <c r="N98"/>
  <c r="Q88"/>
  <c r="I109"/>
  <c r="M97"/>
  <c r="K90"/>
  <c r="L151"/>
  <c r="L158"/>
  <c r="J166"/>
  <c r="I107"/>
  <c r="P148"/>
  <c r="L171"/>
  <c r="K108"/>
  <c r="M166"/>
  <c r="Q149"/>
  <c r="K159"/>
  <c r="K162"/>
  <c r="M168"/>
  <c r="O172"/>
  <c r="P155"/>
  <c r="K166"/>
  <c r="I176"/>
  <c r="J159"/>
  <c r="P166"/>
  <c r="R175"/>
  <c r="L156"/>
  <c r="L89"/>
  <c r="M152"/>
  <c r="J171"/>
  <c r="K147"/>
  <c r="O152"/>
  <c r="I158"/>
  <c r="O163"/>
  <c r="I169"/>
  <c r="M172"/>
  <c r="K153"/>
  <c r="K171"/>
  <c r="P164"/>
  <c r="I100"/>
  <c r="M165"/>
  <c r="O169"/>
  <c r="N162"/>
  <c r="Q153"/>
  <c r="M169"/>
  <c r="O150"/>
  <c r="O171"/>
  <c r="J156"/>
  <c r="J173"/>
  <c r="Q97"/>
  <c r="K93"/>
  <c r="O105"/>
  <c r="O108"/>
  <c r="P113"/>
  <c r="I111"/>
  <c r="R103"/>
  <c r="J92"/>
  <c r="R105"/>
  <c r="N86"/>
  <c r="Q86"/>
  <c r="R152"/>
  <c r="I113"/>
  <c r="M157"/>
  <c r="R162"/>
  <c r="I141"/>
  <c r="O165"/>
  <c r="O175"/>
  <c r="O156"/>
  <c r="O106"/>
  <c r="K96"/>
  <c r="R86"/>
  <c r="J79"/>
  <c r="I85"/>
  <c r="I106"/>
  <c r="K114"/>
  <c r="P79"/>
  <c r="P95"/>
  <c r="O102"/>
  <c r="P156"/>
  <c r="J147"/>
  <c r="Q164"/>
  <c r="N152"/>
  <c r="N150"/>
  <c r="K157"/>
  <c r="P158"/>
  <c r="L163"/>
  <c r="O162"/>
  <c r="M151"/>
  <c r="D14" i="49"/>
  <c r="D38" i="46"/>
  <c r="L93" i="30"/>
  <c r="P109"/>
  <c r="O99"/>
  <c r="K85"/>
  <c r="L79"/>
  <c r="N91"/>
  <c r="P101"/>
  <c r="N110"/>
  <c r="R88"/>
  <c r="M100"/>
  <c r="P171"/>
  <c r="K148"/>
  <c r="L150"/>
  <c r="N166"/>
  <c r="K167"/>
  <c r="N171"/>
  <c r="M149"/>
  <c r="Q159"/>
  <c r="I153"/>
  <c r="N141"/>
  <c r="N160"/>
  <c r="N165"/>
  <c r="D29" i="46"/>
  <c r="P91" i="30"/>
  <c r="L97"/>
  <c r="J101"/>
  <c r="R108"/>
  <c r="O87"/>
  <c r="O94"/>
  <c r="Q101"/>
  <c r="I108"/>
  <c r="M112"/>
  <c r="J95"/>
  <c r="O79"/>
  <c r="L85"/>
  <c r="P90"/>
  <c r="J96"/>
  <c r="R100"/>
  <c r="L106"/>
  <c r="N114"/>
  <c r="O101"/>
  <c r="P86"/>
  <c r="P96"/>
  <c r="N101"/>
  <c r="K94"/>
  <c r="O97"/>
  <c r="I99"/>
  <c r="M104"/>
  <c r="O113"/>
  <c r="J88"/>
  <c r="J94"/>
  <c r="J109"/>
  <c r="J114"/>
  <c r="O85"/>
  <c r="M96"/>
  <c r="L90"/>
  <c r="N99"/>
  <c r="Q89"/>
  <c r="N113"/>
  <c r="L114"/>
  <c r="J149"/>
  <c r="R163"/>
  <c r="R170"/>
  <c r="Q93"/>
  <c r="P162"/>
  <c r="I160"/>
  <c r="L152"/>
  <c r="M147"/>
  <c r="O153"/>
  <c r="I166"/>
  <c r="I164"/>
  <c r="I156"/>
  <c r="R148"/>
  <c r="L154"/>
  <c r="L164"/>
  <c r="P170"/>
  <c r="N173"/>
  <c r="R147"/>
  <c r="L167"/>
  <c r="K87"/>
  <c r="I147"/>
  <c r="K149"/>
  <c r="I172"/>
  <c r="I159"/>
  <c r="O166"/>
  <c r="Q175"/>
  <c r="R154"/>
  <c r="R168"/>
  <c r="L96"/>
  <c r="Q147"/>
  <c r="P160"/>
  <c r="K152"/>
  <c r="O155"/>
  <c r="N148"/>
  <c r="N158"/>
  <c r="M155"/>
  <c r="N151"/>
  <c r="R171"/>
  <c r="R85"/>
  <c r="J113"/>
  <c r="Q92"/>
  <c r="M108"/>
  <c r="R91"/>
  <c r="R110"/>
  <c r="I103"/>
  <c r="I88"/>
  <c r="L88"/>
  <c r="M174"/>
  <c r="L166"/>
  <c r="N176"/>
  <c r="K154"/>
  <c r="O170"/>
  <c r="L176"/>
  <c r="J153"/>
  <c r="K170"/>
  <c r="D31" i="46"/>
  <c r="L86" i="30"/>
  <c r="M98"/>
  <c r="O109"/>
  <c r="K99"/>
  <c r="R98"/>
  <c r="L92"/>
  <c r="R107"/>
  <c r="R102"/>
  <c r="O95"/>
  <c r="Q95"/>
  <c r="P102"/>
  <c r="N95"/>
  <c r="K79"/>
  <c r="L165"/>
  <c r="Q100"/>
  <c r="J168"/>
  <c r="K176"/>
  <c r="I149"/>
  <c r="L103"/>
  <c r="Q173"/>
  <c r="R155"/>
  <c r="R165"/>
  <c r="J175"/>
  <c r="J167"/>
  <c r="K168"/>
  <c r="M176"/>
  <c r="J141"/>
  <c r="L172"/>
  <c r="I168"/>
  <c r="P174"/>
  <c r="N164"/>
  <c r="M162"/>
  <c r="O168"/>
  <c r="D30" i="46"/>
  <c r="R101" i="30"/>
  <c r="M95"/>
  <c r="Q108"/>
  <c r="R96"/>
  <c r="I95"/>
  <c r="Q99"/>
  <c r="R109"/>
  <c r="R114"/>
  <c r="N112"/>
  <c r="L94"/>
  <c r="R149"/>
  <c r="P176"/>
  <c r="M163"/>
  <c r="P154"/>
  <c r="M154"/>
  <c r="Q166"/>
  <c r="J155"/>
  <c r="J165"/>
  <c r="L174"/>
  <c r="I151"/>
  <c r="I162"/>
  <c r="K150"/>
  <c r="M159"/>
  <c r="L161"/>
  <c r="D37" i="46"/>
  <c r="D28"/>
  <c r="D36"/>
  <c r="R90" i="30"/>
  <c r="L100"/>
  <c r="J108"/>
  <c r="P114"/>
  <c r="M105"/>
  <c r="O98"/>
  <c r="O88"/>
  <c r="I101"/>
  <c r="K107"/>
  <c r="O111"/>
  <c r="Q96"/>
  <c r="R89"/>
  <c r="L95"/>
  <c r="J100"/>
  <c r="N105"/>
  <c r="P93"/>
  <c r="N108"/>
  <c r="O103"/>
  <c r="Q112"/>
  <c r="L87"/>
  <c r="L101"/>
  <c r="L108"/>
  <c r="M89"/>
  <c r="N79"/>
  <c r="Q109"/>
  <c r="N85"/>
  <c r="N107"/>
  <c r="L104"/>
  <c r="I93"/>
  <c r="L109"/>
  <c r="L148"/>
  <c r="L155"/>
  <c r="L159"/>
  <c r="J163"/>
  <c r="J170"/>
  <c r="I86"/>
  <c r="J174"/>
  <c r="Q176"/>
  <c r="Q152"/>
  <c r="K165"/>
  <c r="R160"/>
  <c r="R174"/>
  <c r="Q141"/>
  <c r="Q150"/>
  <c r="L141"/>
  <c r="J148"/>
  <c r="N153"/>
  <c r="R158"/>
  <c r="L160"/>
  <c r="R169"/>
  <c r="J164"/>
  <c r="Q160"/>
  <c r="R176"/>
  <c r="Q171"/>
  <c r="M150"/>
  <c r="Q155"/>
  <c r="Q165"/>
  <c r="I175"/>
  <c r="Q94"/>
  <c r="P151"/>
  <c r="P165"/>
  <c r="I173"/>
  <c r="O148"/>
  <c r="N157"/>
  <c r="M148"/>
  <c r="O176"/>
  <c r="R167"/>
  <c r="I104"/>
  <c r="K100"/>
  <c r="D34" i="46"/>
  <c r="P88" i="30"/>
  <c r="P105"/>
  <c r="I87"/>
  <c r="J97"/>
  <c r="J106"/>
  <c r="M87"/>
  <c r="I102"/>
  <c r="K111"/>
  <c r="M113"/>
  <c r="N168"/>
  <c r="Q163"/>
  <c r="R141"/>
  <c r="R151"/>
  <c r="L168"/>
  <c r="R153"/>
  <c r="Q148"/>
  <c r="M173"/>
  <c r="K156"/>
  <c r="O154"/>
  <c r="M175"/>
  <c r="D25" i="46"/>
  <c r="Q90" i="30"/>
  <c r="M102"/>
  <c r="O90"/>
  <c r="K102"/>
  <c r="M90"/>
  <c r="O100"/>
  <c r="P98"/>
  <c r="K101"/>
  <c r="I96"/>
  <c r="K104"/>
  <c r="M86"/>
  <c r="P150"/>
  <c r="M141"/>
  <c r="K155"/>
  <c r="O167"/>
  <c r="P169"/>
  <c r="K172"/>
  <c r="J154"/>
  <c r="Q156"/>
  <c r="Q151"/>
  <c r="Q162"/>
  <c r="M158"/>
  <c r="N159"/>
  <c r="P167"/>
  <c r="J150"/>
  <c r="M88"/>
  <c r="M110"/>
  <c r="K89"/>
  <c r="K113"/>
  <c r="R95"/>
  <c r="J86"/>
  <c r="L98"/>
  <c r="J107"/>
  <c r="J102"/>
  <c r="O89"/>
  <c r="K105"/>
  <c r="R94"/>
  <c r="Q114"/>
  <c r="I97"/>
  <c r="R164"/>
  <c r="I174"/>
  <c r="I150"/>
  <c r="L149"/>
  <c r="P149"/>
  <c r="N170"/>
  <c r="M156"/>
  <c r="M167"/>
  <c r="J157"/>
  <c r="O141"/>
  <c r="O159"/>
  <c r="N155"/>
  <c r="R172"/>
  <c r="D19" i="46"/>
  <c r="D27"/>
  <c r="D35"/>
  <c r="J90" i="30"/>
  <c r="L107"/>
  <c r="K98"/>
  <c r="M114"/>
  <c r="M79"/>
  <c r="Q87"/>
  <c r="K97"/>
  <c r="M99"/>
  <c r="M106"/>
  <c r="O110"/>
  <c r="K95"/>
  <c r="M109"/>
  <c r="R79"/>
  <c r="N87"/>
  <c r="P100"/>
  <c r="O112"/>
  <c r="J89"/>
  <c r="N94"/>
  <c r="R97"/>
  <c r="L99"/>
  <c r="P104"/>
  <c r="R113"/>
  <c r="R92"/>
  <c r="J98"/>
  <c r="P107"/>
  <c r="J112"/>
  <c r="Q110"/>
  <c r="K88"/>
  <c r="O93"/>
  <c r="Q102"/>
  <c r="K109"/>
  <c r="I112"/>
  <c r="P85"/>
  <c r="P92"/>
  <c r="P99"/>
  <c r="P106"/>
  <c r="P112"/>
  <c r="N90"/>
  <c r="N104"/>
  <c r="N97"/>
  <c r="N100"/>
  <c r="M103"/>
  <c r="M93"/>
  <c r="I114"/>
  <c r="N106"/>
  <c r="Q107"/>
  <c r="N147"/>
  <c r="N154"/>
  <c r="L162"/>
  <c r="L169"/>
  <c r="L175"/>
  <c r="I152"/>
  <c r="K158"/>
  <c r="M160"/>
  <c r="M164"/>
  <c r="Q170"/>
  <c r="K175"/>
  <c r="P159"/>
  <c r="P168"/>
  <c r="Q172"/>
  <c r="L147"/>
  <c r="P152"/>
  <c r="J158"/>
  <c r="P163"/>
  <c r="J169"/>
  <c r="N172"/>
  <c r="P175"/>
  <c r="I157"/>
  <c r="Q174"/>
  <c r="R156"/>
  <c r="R173"/>
  <c r="I167"/>
  <c r="O149"/>
  <c r="I155"/>
  <c r="I165"/>
  <c r="M171"/>
  <c r="K174"/>
  <c r="I90"/>
  <c r="N149"/>
  <c r="N163"/>
  <c r="Q157"/>
  <c r="P157"/>
  <c r="O164"/>
  <c r="L153"/>
  <c r="N175"/>
  <c r="O151"/>
  <c r="P173"/>
  <c r="O158"/>
  <c r="I94"/>
  <c r="K13" i="23"/>
  <c r="D29" i="29"/>
  <c r="D28" i="30"/>
  <c r="D36" i="29"/>
  <c r="D35" i="30"/>
  <c r="D25" i="29"/>
  <c r="D24" i="30"/>
  <c r="D30"/>
  <c r="D31" i="29"/>
  <c r="D30"/>
  <c r="D29" i="30"/>
  <c r="D38" i="29"/>
  <c r="D37" i="30"/>
  <c r="D26"/>
  <c r="D27" i="29"/>
  <c r="D26"/>
  <c r="D25" i="30"/>
  <c r="D34" i="29"/>
  <c r="D33" i="30"/>
  <c r="D19" i="29"/>
  <c r="D18" i="30"/>
  <c r="D32"/>
  <c r="D33" i="29"/>
  <c r="D32"/>
  <c r="D31" i="30"/>
  <c r="D36"/>
  <c r="D37" i="29"/>
  <c r="D28"/>
  <c r="D27" i="30"/>
  <c r="D35" i="29"/>
  <c r="D34" i="30"/>
  <c r="B71" i="17"/>
  <c r="H71"/>
  <c r="B70"/>
  <c r="H70"/>
  <c r="B68"/>
  <c r="H68"/>
  <c r="B127"/>
  <c r="B126"/>
  <c r="H126"/>
  <c r="B72"/>
  <c r="H72"/>
  <c r="B125"/>
  <c r="H125"/>
  <c r="I84" i="30"/>
  <c r="K81"/>
  <c r="P145"/>
  <c r="I143"/>
  <c r="N83"/>
  <c r="L144"/>
  <c r="N143"/>
  <c r="K144"/>
  <c r="I82"/>
  <c r="Q146"/>
  <c r="P81"/>
  <c r="K146"/>
  <c r="I145"/>
  <c r="P83"/>
  <c r="M145"/>
  <c r="P143"/>
  <c r="O84"/>
  <c r="Q81"/>
  <c r="P144"/>
  <c r="J145"/>
  <c r="N144"/>
  <c r="O145"/>
  <c r="L83"/>
  <c r="J144"/>
  <c r="O81"/>
  <c r="M82"/>
  <c r="M143"/>
  <c r="J143"/>
  <c r="P146"/>
  <c r="K143"/>
  <c r="O144"/>
  <c r="R144"/>
  <c r="O83"/>
  <c r="Q84"/>
  <c r="J82"/>
  <c r="N145"/>
  <c r="R143"/>
  <c r="I83"/>
  <c r="P82"/>
  <c r="N81"/>
  <c r="M81"/>
  <c r="J81"/>
  <c r="L143"/>
  <c r="I144"/>
  <c r="Q82"/>
  <c r="K145"/>
  <c r="M83"/>
  <c r="L81"/>
  <c r="Q143"/>
  <c r="R145"/>
  <c r="O82"/>
  <c r="R81"/>
  <c r="O143"/>
  <c r="M84"/>
  <c r="R83"/>
  <c r="Q83"/>
  <c r="I81"/>
  <c r="M144"/>
  <c r="L145"/>
  <c r="K83"/>
  <c r="J83"/>
  <c r="N82"/>
  <c r="R146"/>
  <c r="N146"/>
  <c r="L146"/>
  <c r="L72" i="26"/>
  <c r="N71"/>
  <c r="N77" i="30"/>
  <c r="Q125" i="26"/>
  <c r="Q138" i="30"/>
  <c r="J71" i="26"/>
  <c r="J77" i="30"/>
  <c r="O69" i="26"/>
  <c r="O75" i="30"/>
  <c r="K70" i="26"/>
  <c r="K76" i="30"/>
  <c r="M73" i="26"/>
  <c r="M80" i="30"/>
  <c r="N69" i="26"/>
  <c r="N75" i="30"/>
  <c r="Q71" i="26"/>
  <c r="Q77" i="30"/>
  <c r="P125" i="26"/>
  <c r="P138" i="30"/>
  <c r="O127" i="26"/>
  <c r="O140" i="30"/>
  <c r="Q128" i="26"/>
  <c r="Q142" i="30"/>
  <c r="I125" i="26"/>
  <c r="I138" i="30"/>
  <c r="N123" i="26"/>
  <c r="N136" i="30"/>
  <c r="O123" i="26"/>
  <c r="O136" i="30"/>
  <c r="I124" i="26"/>
  <c r="I137" i="30"/>
  <c r="O128" i="26"/>
  <c r="O142" i="30"/>
  <c r="O70" i="26"/>
  <c r="O76" i="30"/>
  <c r="M68" i="26"/>
  <c r="M74" i="30"/>
  <c r="R70" i="26"/>
  <c r="R76" i="30"/>
  <c r="Q72" i="26"/>
  <c r="M71"/>
  <c r="M77" i="30"/>
  <c r="R123" i="26"/>
  <c r="R136" i="30"/>
  <c r="Q123" i="26"/>
  <c r="Q136" i="30"/>
  <c r="I128" i="26"/>
  <c r="I142" i="30"/>
  <c r="R126" i="26"/>
  <c r="R139" i="30"/>
  <c r="O133" i="26"/>
  <c r="O146" i="30"/>
  <c r="K127" i="26"/>
  <c r="K140" i="30"/>
  <c r="J127" i="26"/>
  <c r="J140" i="30"/>
  <c r="L69" i="26"/>
  <c r="L75" i="30"/>
  <c r="P70" i="26"/>
  <c r="P76" i="30"/>
  <c r="J128" i="26"/>
  <c r="J142" i="30"/>
  <c r="R127" i="26"/>
  <c r="R140" i="30"/>
  <c r="Q124" i="26"/>
  <c r="Q137" i="30"/>
  <c r="M125" i="26"/>
  <c r="M138" i="30"/>
  <c r="K75" i="26"/>
  <c r="K82" i="30"/>
  <c r="N70" i="26"/>
  <c r="N76" i="30"/>
  <c r="P73" i="26"/>
  <c r="P80" i="30"/>
  <c r="J70" i="26"/>
  <c r="J76" i="30"/>
  <c r="P124" i="26"/>
  <c r="P137" i="30"/>
  <c r="J126" i="26"/>
  <c r="J139" i="30"/>
  <c r="M127" i="26"/>
  <c r="M140" i="30"/>
  <c r="R68" i="26"/>
  <c r="R74" i="30"/>
  <c r="M72" i="26"/>
  <c r="N78"/>
  <c r="N84" i="30"/>
  <c r="N73" i="26"/>
  <c r="N80" i="30"/>
  <c r="N126" i="26"/>
  <c r="N139" i="30"/>
  <c r="J68" i="26"/>
  <c r="J74" i="30"/>
  <c r="P72" i="26"/>
  <c r="R78"/>
  <c r="R84" i="30"/>
  <c r="I71" i="26"/>
  <c r="I77" i="30"/>
  <c r="L70" i="26"/>
  <c r="L76" i="30"/>
  <c r="Q69" i="26"/>
  <c r="Q75" i="30"/>
  <c r="L125" i="26"/>
  <c r="L138" i="30"/>
  <c r="R124" i="26"/>
  <c r="R137" i="30"/>
  <c r="N125" i="26"/>
  <c r="N138" i="30"/>
  <c r="P126" i="26"/>
  <c r="P139" i="30"/>
  <c r="Q126" i="26"/>
  <c r="Q139" i="30"/>
  <c r="K68" i="26"/>
  <c r="K74" i="30"/>
  <c r="M133" i="26"/>
  <c r="M146" i="30"/>
  <c r="L128" i="26"/>
  <c r="L142" i="30"/>
  <c r="O124" i="26"/>
  <c r="O137" i="30"/>
  <c r="O126" i="26"/>
  <c r="O139" i="30"/>
  <c r="M124" i="26"/>
  <c r="M137" i="30"/>
  <c r="R73" i="26"/>
  <c r="R80" i="30"/>
  <c r="K71" i="26"/>
  <c r="K77" i="30"/>
  <c r="L126" i="26"/>
  <c r="L139" i="30"/>
  <c r="I69" i="26"/>
  <c r="I75" i="30"/>
  <c r="N127" i="26"/>
  <c r="N140" i="30"/>
  <c r="R69" i="26"/>
  <c r="R75" i="30"/>
  <c r="L68" i="26"/>
  <c r="L74" i="30"/>
  <c r="J123" i="26"/>
  <c r="J136" i="30"/>
  <c r="K124" i="26"/>
  <c r="K137" i="30"/>
  <c r="P127" i="26"/>
  <c r="P140" i="30"/>
  <c r="I73" i="26"/>
  <c r="I80" i="30"/>
  <c r="P69" i="26"/>
  <c r="P75" i="30"/>
  <c r="K72" i="26"/>
  <c r="K78" i="30"/>
  <c r="L78" i="26"/>
  <c r="L84" i="30"/>
  <c r="L124" i="26"/>
  <c r="L137" i="30"/>
  <c r="J133" i="26"/>
  <c r="J146" i="30"/>
  <c r="K125" i="26"/>
  <c r="K138" i="30"/>
  <c r="N124" i="26"/>
  <c r="N137" i="30"/>
  <c r="O125" i="26"/>
  <c r="O138" i="30"/>
  <c r="J78" i="26"/>
  <c r="J84" i="30"/>
  <c r="O68" i="26"/>
  <c r="O74" i="30"/>
  <c r="M70" i="26"/>
  <c r="M76" i="30"/>
  <c r="Q68" i="26"/>
  <c r="Q74" i="30"/>
  <c r="O72" i="26"/>
  <c r="Q73"/>
  <c r="Q80" i="30"/>
  <c r="N72" i="26"/>
  <c r="O71"/>
  <c r="O77" i="30"/>
  <c r="R72" i="26"/>
  <c r="Q70"/>
  <c r="Q76" i="30"/>
  <c r="L71" i="26"/>
  <c r="L77" i="30"/>
  <c r="K128" i="26"/>
  <c r="K142" i="30"/>
  <c r="L123" i="26"/>
  <c r="L136" i="30"/>
  <c r="P123" i="26"/>
  <c r="P136" i="30"/>
  <c r="J124" i="26"/>
  <c r="J137" i="30"/>
  <c r="P128" i="26"/>
  <c r="P142" i="30"/>
  <c r="I126" i="26"/>
  <c r="I139" i="30"/>
  <c r="L127" i="26"/>
  <c r="L140" i="30"/>
  <c r="R125" i="26"/>
  <c r="R138" i="30"/>
  <c r="N68" i="26"/>
  <c r="N74" i="30"/>
  <c r="K69" i="26"/>
  <c r="K75" i="30"/>
  <c r="R71" i="26"/>
  <c r="R77" i="30"/>
  <c r="M69" i="26"/>
  <c r="M75" i="30"/>
  <c r="K123" i="26"/>
  <c r="K136" i="30"/>
  <c r="M126" i="26"/>
  <c r="M139" i="30"/>
  <c r="J73" i="26"/>
  <c r="J80" i="30"/>
  <c r="O73" i="26"/>
  <c r="O80" i="30"/>
  <c r="I72" i="26"/>
  <c r="I78" i="30"/>
  <c r="P68" i="26"/>
  <c r="P74" i="30"/>
  <c r="I70" i="26"/>
  <c r="I76" i="30"/>
  <c r="I123" i="26"/>
  <c r="I136" i="30"/>
  <c r="J125" i="26"/>
  <c r="J138" i="30"/>
  <c r="J69" i="26"/>
  <c r="J75" i="30"/>
  <c r="P78" i="26"/>
  <c r="P84" i="30"/>
  <c r="P71" i="26"/>
  <c r="P77" i="30"/>
  <c r="L73" i="26"/>
  <c r="L80" i="30"/>
  <c r="M128" i="26"/>
  <c r="M142" i="30"/>
  <c r="K126" i="26"/>
  <c r="K139" i="30"/>
  <c r="K78" i="26"/>
  <c r="K84" i="30"/>
  <c r="I68" i="26"/>
  <c r="I74" i="30"/>
  <c r="R75" i="26"/>
  <c r="R82" i="30"/>
  <c r="J72" i="26"/>
  <c r="J78" i="30"/>
  <c r="K73" i="26"/>
  <c r="K80" i="30"/>
  <c r="R128" i="26"/>
  <c r="R142" i="30"/>
  <c r="N128" i="26"/>
  <c r="N142" i="30"/>
  <c r="M123" i="26"/>
  <c r="M136" i="30"/>
  <c r="I127" i="26"/>
  <c r="I140" i="30"/>
  <c r="Q127" i="26"/>
  <c r="Q140" i="30"/>
  <c r="K74" i="26"/>
  <c r="P76"/>
  <c r="I129"/>
  <c r="J76"/>
  <c r="L76"/>
  <c r="N75"/>
  <c r="L129"/>
  <c r="L75"/>
  <c r="M74"/>
  <c r="I74"/>
  <c r="J129"/>
  <c r="O130"/>
  <c r="R76"/>
  <c r="I75"/>
  <c r="Q131"/>
  <c r="J130"/>
  <c r="M131"/>
  <c r="R130"/>
  <c r="N76"/>
  <c r="O75"/>
  <c r="N129"/>
  <c r="P130"/>
  <c r="K130"/>
  <c r="O131"/>
  <c r="M75"/>
  <c r="I132"/>
  <c r="I133"/>
  <c r="K132"/>
  <c r="K133"/>
  <c r="M77"/>
  <c r="M78"/>
  <c r="N132"/>
  <c r="N133"/>
  <c r="P132"/>
  <c r="P133"/>
  <c r="R132"/>
  <c r="R133"/>
  <c r="L132"/>
  <c r="L133"/>
  <c r="Q77"/>
  <c r="Q78"/>
  <c r="Q132"/>
  <c r="Q133"/>
  <c r="O77"/>
  <c r="O78"/>
  <c r="I77"/>
  <c r="I78"/>
  <c r="J132"/>
  <c r="K77"/>
  <c r="P77"/>
  <c r="N77"/>
  <c r="L77"/>
  <c r="M132"/>
  <c r="J77"/>
  <c r="R77"/>
  <c r="O132"/>
  <c r="K76"/>
  <c r="I131"/>
  <c r="J131"/>
  <c r="K131"/>
  <c r="N131"/>
  <c r="L131"/>
  <c r="I76"/>
  <c r="R131"/>
  <c r="O76"/>
  <c r="M76"/>
  <c r="P131"/>
  <c r="Q76"/>
  <c r="L130"/>
  <c r="Q130"/>
  <c r="I130"/>
  <c r="N130"/>
  <c r="P75"/>
  <c r="Q75"/>
  <c r="M130"/>
  <c r="J75"/>
  <c r="P129"/>
  <c r="J74"/>
  <c r="Q74"/>
  <c r="O74"/>
  <c r="R74"/>
  <c r="R129"/>
  <c r="O129"/>
  <c r="P74"/>
  <c r="M129"/>
  <c r="N74"/>
  <c r="Q129"/>
  <c r="K129"/>
  <c r="L74"/>
  <c r="J121" i="17"/>
  <c r="K121" s="1"/>
  <c r="L121" s="1"/>
  <c r="M121" s="1"/>
  <c r="N121" s="1"/>
  <c r="O121" s="1"/>
  <c r="P121" s="1"/>
  <c r="Q121" s="1"/>
  <c r="R121" s="1"/>
  <c r="S121" s="1"/>
  <c r="H121"/>
  <c r="I121" s="1"/>
  <c r="H1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H66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N50" i="26"/>
  <c r="I50"/>
  <c r="M50"/>
  <c r="J50"/>
  <c r="O50"/>
  <c r="Q50"/>
  <c r="P50"/>
  <c r="L50"/>
  <c r="K50"/>
  <c r="R50"/>
  <c r="O47"/>
  <c r="I47"/>
  <c r="K47"/>
  <c r="L47"/>
  <c r="Q47"/>
  <c r="R47"/>
  <c r="M47"/>
  <c r="J47"/>
  <c r="P47"/>
  <c r="N47"/>
  <c r="J48"/>
  <c r="L48"/>
  <c r="R48"/>
  <c r="N48"/>
  <c r="P48"/>
  <c r="I48"/>
  <c r="K48"/>
  <c r="M48"/>
  <c r="Q48"/>
  <c r="O48"/>
  <c r="P43"/>
  <c r="R43"/>
  <c r="J43"/>
  <c r="K43"/>
  <c r="N43"/>
  <c r="Q43"/>
  <c r="L43"/>
  <c r="M43"/>
  <c r="O43"/>
  <c r="I43"/>
  <c r="O33"/>
  <c r="L33"/>
  <c r="J33"/>
  <c r="M33"/>
  <c r="I33"/>
  <c r="R33"/>
  <c r="N33"/>
  <c r="P33"/>
  <c r="Q33"/>
  <c r="K33"/>
  <c r="O54"/>
  <c r="K54"/>
  <c r="N54"/>
  <c r="M54"/>
  <c r="P54"/>
  <c r="J54"/>
  <c r="Q54"/>
  <c r="R54"/>
  <c r="L54"/>
  <c r="I54"/>
  <c r="O41"/>
  <c r="I41"/>
  <c r="Q41"/>
  <c r="R41"/>
  <c r="N41"/>
  <c r="K41"/>
  <c r="J41"/>
  <c r="M41"/>
  <c r="P41"/>
  <c r="L41"/>
  <c r="I51"/>
  <c r="L51"/>
  <c r="O51"/>
  <c r="Q51"/>
  <c r="K51"/>
  <c r="N51"/>
  <c r="P51"/>
  <c r="J51"/>
  <c r="M51"/>
  <c r="R51"/>
  <c r="O57"/>
  <c r="P57"/>
  <c r="R57"/>
  <c r="I57"/>
  <c r="N57"/>
  <c r="K57"/>
  <c r="L57"/>
  <c r="J57"/>
  <c r="Q57"/>
  <c r="M57"/>
  <c r="I29"/>
  <c r="M29"/>
  <c r="R29"/>
  <c r="O29"/>
  <c r="Q29"/>
  <c r="L29"/>
  <c r="J29"/>
  <c r="N29"/>
  <c r="K29"/>
  <c r="P29"/>
  <c r="J35"/>
  <c r="R35"/>
  <c r="P35"/>
  <c r="L35"/>
  <c r="M35"/>
  <c r="O35"/>
  <c r="I35"/>
  <c r="Q35"/>
  <c r="N35"/>
  <c r="K35"/>
  <c r="Q30"/>
  <c r="P30"/>
  <c r="O30"/>
  <c r="K30"/>
  <c r="M30"/>
  <c r="L30"/>
  <c r="N30"/>
  <c r="J30"/>
  <c r="R30"/>
  <c r="I30"/>
  <c r="I37"/>
  <c r="P37"/>
  <c r="K37"/>
  <c r="N37"/>
  <c r="L37"/>
  <c r="M37"/>
  <c r="J37"/>
  <c r="O37"/>
  <c r="Q37"/>
  <c r="R37"/>
  <c r="K32"/>
  <c r="O32"/>
  <c r="I32"/>
  <c r="J32"/>
  <c r="R32"/>
  <c r="N32"/>
  <c r="P32"/>
  <c r="M32"/>
  <c r="Q32"/>
  <c r="L32"/>
  <c r="Q26"/>
  <c r="P26"/>
  <c r="R26"/>
  <c r="K26"/>
  <c r="L26"/>
  <c r="N26"/>
  <c r="M26"/>
  <c r="O26"/>
  <c r="J26"/>
  <c r="I26"/>
  <c r="J25"/>
  <c r="Q25"/>
  <c r="K25"/>
  <c r="R25"/>
  <c r="O25"/>
  <c r="I25"/>
  <c r="N25"/>
  <c r="M25"/>
  <c r="P25"/>
  <c r="L25"/>
  <c r="O38"/>
  <c r="M38"/>
  <c r="R38"/>
  <c r="K38"/>
  <c r="P38"/>
  <c r="J38"/>
  <c r="Q38"/>
  <c r="I38"/>
  <c r="L38"/>
  <c r="N38"/>
  <c r="N36"/>
  <c r="O36"/>
  <c r="P36"/>
  <c r="K36"/>
  <c r="I36"/>
  <c r="Q36"/>
  <c r="J36"/>
  <c r="L36"/>
  <c r="R36"/>
  <c r="M36"/>
  <c r="L31"/>
  <c r="N31"/>
  <c r="I31"/>
  <c r="K31"/>
  <c r="J31"/>
  <c r="P31"/>
  <c r="O31"/>
  <c r="R31"/>
  <c r="M31"/>
  <c r="Q31"/>
  <c r="L53"/>
  <c r="M53"/>
  <c r="N53"/>
  <c r="I53"/>
  <c r="P53"/>
  <c r="J53"/>
  <c r="K53"/>
  <c r="O53"/>
  <c r="Q53"/>
  <c r="R53"/>
  <c r="P39"/>
  <c r="M39"/>
  <c r="N39"/>
  <c r="J39"/>
  <c r="L39"/>
  <c r="R39"/>
  <c r="I39"/>
  <c r="K39"/>
  <c r="O39"/>
  <c r="Q39"/>
  <c r="K40"/>
  <c r="N40"/>
  <c r="P40"/>
  <c r="Q40"/>
  <c r="R40"/>
  <c r="M40"/>
  <c r="O40"/>
  <c r="J40"/>
  <c r="I40"/>
  <c r="L40"/>
  <c r="J45"/>
  <c r="I45"/>
  <c r="O45"/>
  <c r="R45"/>
  <c r="M45"/>
  <c r="Q45"/>
  <c r="P45"/>
  <c r="N45"/>
  <c r="K45"/>
  <c r="L45"/>
  <c r="K56"/>
  <c r="O56"/>
  <c r="P56"/>
  <c r="J56"/>
  <c r="L56"/>
  <c r="M56"/>
  <c r="R56"/>
  <c r="Q56"/>
  <c r="I56"/>
  <c r="N56"/>
  <c r="L34"/>
  <c r="P34"/>
  <c r="R34"/>
  <c r="N34"/>
  <c r="Q34"/>
  <c r="O34"/>
  <c r="I34"/>
  <c r="M34"/>
  <c r="K34"/>
  <c r="J34"/>
  <c r="N49"/>
  <c r="I49"/>
  <c r="P49"/>
  <c r="O49"/>
  <c r="K49"/>
  <c r="M49"/>
  <c r="R49"/>
  <c r="Q49"/>
  <c r="L49"/>
  <c r="J49"/>
  <c r="K44"/>
  <c r="I44"/>
  <c r="R44"/>
  <c r="N44"/>
  <c r="P44"/>
  <c r="Q44"/>
  <c r="J44"/>
  <c r="L44"/>
  <c r="O44"/>
  <c r="M44"/>
  <c r="R55"/>
  <c r="P55"/>
  <c r="N55"/>
  <c r="O55"/>
  <c r="Q55"/>
  <c r="J55"/>
  <c r="L55"/>
  <c r="I55"/>
  <c r="K55"/>
  <c r="M55"/>
  <c r="J24"/>
  <c r="Q24"/>
  <c r="R24"/>
  <c r="M24"/>
  <c r="I24"/>
  <c r="N24"/>
  <c r="P24"/>
  <c r="O24"/>
  <c r="K24"/>
  <c r="L24"/>
  <c r="L46"/>
  <c r="N46"/>
  <c r="M46"/>
  <c r="I46"/>
  <c r="R46"/>
  <c r="J46"/>
  <c r="K46"/>
  <c r="P46"/>
  <c r="O46"/>
  <c r="Q46"/>
  <c r="R28"/>
  <c r="Q28"/>
  <c r="O28"/>
  <c r="J28"/>
  <c r="L28"/>
  <c r="N28"/>
  <c r="I28"/>
  <c r="P28"/>
  <c r="M28"/>
  <c r="K28"/>
  <c r="L42"/>
  <c r="O42"/>
  <c r="P42"/>
  <c r="M42"/>
  <c r="N42"/>
  <c r="K42"/>
  <c r="J42"/>
  <c r="R42"/>
  <c r="I42"/>
  <c r="Q42"/>
  <c r="I27"/>
  <c r="N27"/>
  <c r="M27"/>
  <c r="K27"/>
  <c r="L27"/>
  <c r="Q27"/>
  <c r="P27"/>
  <c r="R27"/>
  <c r="J27"/>
  <c r="O27"/>
  <c r="M52"/>
  <c r="J52"/>
  <c r="L52"/>
  <c r="I52"/>
  <c r="R52"/>
  <c r="P52"/>
  <c r="K52"/>
  <c r="Q52"/>
  <c r="N52"/>
  <c r="O52"/>
  <c r="H15" i="18"/>
  <c r="B124" i="17"/>
  <c r="D7" i="3"/>
  <c r="E7"/>
  <c r="D8"/>
  <c r="E8"/>
  <c r="D11"/>
  <c r="E11"/>
  <c r="D12"/>
  <c r="E12"/>
  <c r="D16"/>
  <c r="E16"/>
  <c r="D19"/>
  <c r="E19"/>
  <c r="D22"/>
  <c r="E22"/>
  <c r="D24"/>
  <c r="E24"/>
  <c r="D44"/>
  <c r="E44"/>
  <c r="D45"/>
  <c r="E45"/>
  <c r="D7" i="15"/>
  <c r="E7"/>
  <c r="D8"/>
  <c r="E8"/>
  <c r="D11"/>
  <c r="E11"/>
  <c r="D12"/>
  <c r="E12"/>
  <c r="D16"/>
  <c r="E16"/>
  <c r="D19"/>
  <c r="E19"/>
  <c r="D22"/>
  <c r="E22"/>
  <c r="D24"/>
  <c r="E24"/>
  <c r="D44"/>
  <c r="E44"/>
  <c r="D45"/>
  <c r="E45"/>
  <c r="I67" i="10"/>
  <c r="U67" s="1"/>
  <c r="G53" i="46" s="1"/>
  <c r="F53" s="1"/>
  <c r="I69" i="10"/>
  <c r="U69" s="1"/>
  <c r="G54" i="46" s="1"/>
  <c r="F54" s="1"/>
  <c r="I11" i="10"/>
  <c r="U11" s="1"/>
  <c r="G13" i="47" s="1"/>
  <c r="I12" i="10"/>
  <c r="U12" s="1"/>
  <c r="G14" i="47" s="1"/>
  <c r="F14" s="1"/>
  <c r="I15" i="10"/>
  <c r="U15" s="1"/>
  <c r="G15" i="47" s="1"/>
  <c r="F15" s="1"/>
  <c r="I20" i="10"/>
  <c r="U20" s="1"/>
  <c r="G16" i="47" s="1"/>
  <c r="F16" s="1"/>
  <c r="I24" i="10"/>
  <c r="U24" s="1"/>
  <c r="G17" i="47" s="1"/>
  <c r="F17" s="1"/>
  <c r="I42" i="10"/>
  <c r="U42" s="1"/>
  <c r="G19" i="47" s="1"/>
  <c r="F19" s="1"/>
  <c r="I59" i="10"/>
  <c r="U59" s="1"/>
  <c r="G20" i="47" s="1"/>
  <c r="F20" s="1"/>
  <c r="I70" i="10"/>
  <c r="U70" s="1"/>
  <c r="G21" i="47" s="1"/>
  <c r="F21" s="1"/>
  <c r="I26" i="10"/>
  <c r="U26" s="1"/>
  <c r="G18" i="47" s="1"/>
  <c r="F18" s="1"/>
  <c r="I16" i="10"/>
  <c r="U16" s="1"/>
  <c r="G13" i="37" s="1"/>
  <c r="I22" i="10"/>
  <c r="U22" s="1"/>
  <c r="G14" i="37" s="1"/>
  <c r="F14" s="1"/>
  <c r="I45" i="10"/>
  <c r="U45" s="1"/>
  <c r="G16" i="37" s="1"/>
  <c r="F16" s="1"/>
  <c r="I46" i="10"/>
  <c r="U46" s="1"/>
  <c r="G17" i="37" s="1"/>
  <c r="F17" s="1"/>
  <c r="I60" i="10"/>
  <c r="U60" s="1"/>
  <c r="G19" i="37" s="1"/>
  <c r="F19" s="1"/>
  <c r="I62" i="10"/>
  <c r="U62" s="1"/>
  <c r="G20" i="37" s="1"/>
  <c r="F20" s="1"/>
  <c r="I63" i="10"/>
  <c r="U63" s="1"/>
  <c r="G21" i="37" s="1"/>
  <c r="F21" s="1"/>
  <c r="I64" i="10"/>
  <c r="U64" s="1"/>
  <c r="G22" i="37" s="1"/>
  <c r="F22" s="1"/>
  <c r="I68" i="10"/>
  <c r="U68" s="1"/>
  <c r="G23" i="37" s="1"/>
  <c r="F23" s="1"/>
  <c r="I71" i="10"/>
  <c r="U71" s="1"/>
  <c r="I72"/>
  <c r="U72" s="1"/>
  <c r="I66"/>
  <c r="U66" s="1"/>
  <c r="G52" i="46" s="1"/>
  <c r="F52" s="1"/>
  <c r="E68" i="10"/>
  <c r="D23" i="47" s="1"/>
  <c r="E64" i="10"/>
  <c r="D22" i="47" s="1"/>
  <c r="E63" i="10"/>
  <c r="D21" i="51" s="1"/>
  <c r="E62" i="10"/>
  <c r="D20" i="51" s="1"/>
  <c r="E60" i="10"/>
  <c r="D19" i="51" s="1"/>
  <c r="E46" i="10"/>
  <c r="D17" i="51" s="1"/>
  <c r="E45" i="10"/>
  <c r="D16" i="51" s="1"/>
  <c r="E43" i="10"/>
  <c r="D15" i="51" s="1"/>
  <c r="E22" i="10"/>
  <c r="D14" i="51" s="1"/>
  <c r="E16" i="10"/>
  <c r="D13" i="51" s="1"/>
  <c r="C13" s="1"/>
  <c r="L13" i="38" l="1"/>
  <c r="M18" i="46" s="1"/>
  <c r="M61" s="1"/>
  <c r="M18" i="50"/>
  <c r="C15"/>
  <c r="C16" s="1"/>
  <c r="D22" i="51"/>
  <c r="C14"/>
  <c r="C15" s="1"/>
  <c r="D23"/>
  <c r="L60" i="46"/>
  <c r="L65" s="1"/>
  <c r="L60" i="50"/>
  <c r="F153" i="30"/>
  <c r="F174"/>
  <c r="F168"/>
  <c r="F102"/>
  <c r="F158"/>
  <c r="F94"/>
  <c r="F159"/>
  <c r="F91"/>
  <c r="F165"/>
  <c r="F114"/>
  <c r="F99"/>
  <c r="F98"/>
  <c r="F157"/>
  <c r="F100"/>
  <c r="F112"/>
  <c r="F166"/>
  <c r="F163"/>
  <c r="F79"/>
  <c r="F86"/>
  <c r="F169"/>
  <c r="F167"/>
  <c r="F152"/>
  <c r="F97"/>
  <c r="F93"/>
  <c r="F101"/>
  <c r="F172"/>
  <c r="F106"/>
  <c r="F85"/>
  <c r="F108"/>
  <c r="F109"/>
  <c r="F92"/>
  <c r="F110"/>
  <c r="F111"/>
  <c r="F173"/>
  <c r="F170"/>
  <c r="F176"/>
  <c r="F147"/>
  <c r="F149"/>
  <c r="F154"/>
  <c r="F89"/>
  <c r="F141"/>
  <c r="F90"/>
  <c r="F155"/>
  <c r="F87"/>
  <c r="F104"/>
  <c r="F162"/>
  <c r="F95"/>
  <c r="F175"/>
  <c r="F88"/>
  <c r="F113"/>
  <c r="F151"/>
  <c r="F148"/>
  <c r="F150"/>
  <c r="F105"/>
  <c r="F171"/>
  <c r="F156"/>
  <c r="F164"/>
  <c r="F96"/>
  <c r="F107"/>
  <c r="F103"/>
  <c r="F160"/>
  <c r="Q161"/>
  <c r="Q182" s="1"/>
  <c r="P161"/>
  <c r="P183" s="1"/>
  <c r="N161"/>
  <c r="N183" s="1"/>
  <c r="M161"/>
  <c r="M183" s="1"/>
  <c r="I161"/>
  <c r="I182" s="1"/>
  <c r="J60" i="49"/>
  <c r="O161" i="30"/>
  <c r="O182" s="1"/>
  <c r="K161"/>
  <c r="K183" s="1"/>
  <c r="J161"/>
  <c r="J183" s="1"/>
  <c r="R161"/>
  <c r="R183" s="1"/>
  <c r="L78"/>
  <c r="L121" s="1"/>
  <c r="D15" i="49"/>
  <c r="G60" i="37"/>
  <c r="F60" s="1"/>
  <c r="G59"/>
  <c r="F13"/>
  <c r="G59" i="47"/>
  <c r="G60"/>
  <c r="F60" s="1"/>
  <c r="F13"/>
  <c r="D13" i="37"/>
  <c r="C13" s="1"/>
  <c r="D14" i="46"/>
  <c r="C14" s="1"/>
  <c r="D21" i="37"/>
  <c r="D22" i="46"/>
  <c r="D20" i="37"/>
  <c r="D21" i="46"/>
  <c r="D15" i="37"/>
  <c r="D16" i="46"/>
  <c r="D23" i="37"/>
  <c r="D24" i="46"/>
  <c r="D19" i="37"/>
  <c r="D20" i="46"/>
  <c r="D17" i="37"/>
  <c r="D18" i="46"/>
  <c r="D14" i="37"/>
  <c r="D15" i="46"/>
  <c r="D22" i="37"/>
  <c r="D23" i="46"/>
  <c r="D16" i="37"/>
  <c r="D17" i="46"/>
  <c r="D89" i="30"/>
  <c r="D151"/>
  <c r="D159" i="29"/>
  <c r="D97"/>
  <c r="D157" i="30"/>
  <c r="D95"/>
  <c r="D148" i="29"/>
  <c r="D86"/>
  <c r="D97" i="30"/>
  <c r="D159"/>
  <c r="D93" i="29"/>
  <c r="D155"/>
  <c r="D151"/>
  <c r="D89"/>
  <c r="D150"/>
  <c r="D88"/>
  <c r="D156" i="30"/>
  <c r="D94"/>
  <c r="D157" i="29"/>
  <c r="D95"/>
  <c r="D88" i="30"/>
  <c r="D150"/>
  <c r="D141"/>
  <c r="D79"/>
  <c r="D98"/>
  <c r="D160"/>
  <c r="D158"/>
  <c r="D96"/>
  <c r="D156" i="29"/>
  <c r="D94"/>
  <c r="D155" i="30"/>
  <c r="D93"/>
  <c r="D87"/>
  <c r="D149"/>
  <c r="D84" i="29"/>
  <c r="D146"/>
  <c r="D90" i="30"/>
  <c r="D152"/>
  <c r="D149" i="29"/>
  <c r="D87"/>
  <c r="D147" i="30"/>
  <c r="D85"/>
  <c r="D153" i="29"/>
  <c r="D91"/>
  <c r="D147"/>
  <c r="D85"/>
  <c r="D91" i="30"/>
  <c r="D153"/>
  <c r="D158" i="29"/>
  <c r="D96"/>
  <c r="D78"/>
  <c r="D140"/>
  <c r="D154"/>
  <c r="D92"/>
  <c r="D92" i="30"/>
  <c r="D154"/>
  <c r="D86"/>
  <c r="D148"/>
  <c r="D152" i="29"/>
  <c r="D90"/>
  <c r="F83" i="30"/>
  <c r="F81"/>
  <c r="F143"/>
  <c r="F145"/>
  <c r="F144"/>
  <c r="F76"/>
  <c r="F84"/>
  <c r="F146"/>
  <c r="F82"/>
  <c r="D14"/>
  <c r="D15" i="29"/>
  <c r="D23"/>
  <c r="D22" i="30"/>
  <c r="D21" i="29"/>
  <c r="D20" i="30"/>
  <c r="I121"/>
  <c r="I120"/>
  <c r="F74"/>
  <c r="F80"/>
  <c r="F138"/>
  <c r="F139"/>
  <c r="D23"/>
  <c r="D24" i="29"/>
  <c r="D21" i="30"/>
  <c r="D22" i="29"/>
  <c r="L183" i="30"/>
  <c r="L182"/>
  <c r="D19"/>
  <c r="D20" i="29"/>
  <c r="F75" i="30"/>
  <c r="D13"/>
  <c r="D14" i="29"/>
  <c r="K121" i="30"/>
  <c r="K120"/>
  <c r="F77"/>
  <c r="D15"/>
  <c r="D16" i="29"/>
  <c r="J121" i="30"/>
  <c r="J120"/>
  <c r="F136"/>
  <c r="D17"/>
  <c r="D18" i="29"/>
  <c r="D16" i="30"/>
  <c r="D17" i="29"/>
  <c r="F142" i="30"/>
  <c r="F140"/>
  <c r="F137"/>
  <c r="R170" i="26"/>
  <c r="I169"/>
  <c r="J114"/>
  <c r="K115"/>
  <c r="M114"/>
  <c r="O169"/>
  <c r="N114"/>
  <c r="M115"/>
  <c r="I115"/>
  <c r="I114"/>
  <c r="Q170"/>
  <c r="I170"/>
  <c r="R169"/>
  <c r="R114"/>
  <c r="J169"/>
  <c r="L170"/>
  <c r="J170"/>
  <c r="L169"/>
  <c r="L114"/>
  <c r="R115"/>
  <c r="K170"/>
  <c r="N170"/>
  <c r="Q115"/>
  <c r="Q114"/>
  <c r="K169"/>
  <c r="O114"/>
  <c r="J115"/>
  <c r="N169"/>
  <c r="K114"/>
  <c r="P114"/>
  <c r="P170"/>
  <c r="M170"/>
  <c r="N115"/>
  <c r="P115"/>
  <c r="Q169"/>
  <c r="O170"/>
  <c r="M169"/>
  <c r="L115"/>
  <c r="O115"/>
  <c r="P169"/>
  <c r="I15" i="18"/>
  <c r="L13" i="23"/>
  <c r="Q64" i="10"/>
  <c r="P64"/>
  <c r="P26"/>
  <c r="Q26"/>
  <c r="Q11"/>
  <c r="P11"/>
  <c r="P68"/>
  <c r="Q68"/>
  <c r="P16"/>
  <c r="Q16"/>
  <c r="Q12"/>
  <c r="P12"/>
  <c r="Q71"/>
  <c r="P71"/>
  <c r="Q72"/>
  <c r="P72"/>
  <c r="Q45"/>
  <c r="P45"/>
  <c r="Q20"/>
  <c r="P20"/>
  <c r="P60"/>
  <c r="Q60"/>
  <c r="Q42"/>
  <c r="P42"/>
  <c r="Q22"/>
  <c r="P22"/>
  <c r="P15"/>
  <c r="Q15"/>
  <c r="P66"/>
  <c r="G111" i="29" s="1"/>
  <c r="F111" s="1"/>
  <c r="Q66" i="10"/>
  <c r="G173" i="29" s="1"/>
  <c r="F173" s="1"/>
  <c r="Q46" i="10"/>
  <c r="P46"/>
  <c r="Q24"/>
  <c r="P24"/>
  <c r="P62"/>
  <c r="Q62"/>
  <c r="P59"/>
  <c r="Q59"/>
  <c r="Q67"/>
  <c r="G174" i="29" s="1"/>
  <c r="F174" s="1"/>
  <c r="P67" i="10"/>
  <c r="G112" i="29" s="1"/>
  <c r="F112" s="1"/>
  <c r="Q63" i="10"/>
  <c r="P63"/>
  <c r="Q70"/>
  <c r="P70"/>
  <c r="Q69"/>
  <c r="G175" i="29" s="1"/>
  <c r="F175" s="1"/>
  <c r="P69" i="10"/>
  <c r="G113" i="29" s="1"/>
  <c r="F113" s="1"/>
  <c r="D13" i="17"/>
  <c r="D123" s="1"/>
  <c r="C123" s="1"/>
  <c r="D13" i="26"/>
  <c r="D16" i="17"/>
  <c r="D126" s="1"/>
  <c r="D16" i="26"/>
  <c r="D17" i="17"/>
  <c r="D72" s="1"/>
  <c r="D17" i="26"/>
  <c r="D15" i="17"/>
  <c r="D70" s="1"/>
  <c r="D15" i="26"/>
  <c r="D14" i="17"/>
  <c r="D69" s="1"/>
  <c r="D14" i="26"/>
  <c r="G22" i="3"/>
  <c r="G11"/>
  <c r="G24"/>
  <c r="G12"/>
  <c r="G45"/>
  <c r="G19"/>
  <c r="G8"/>
  <c r="G44"/>
  <c r="G16"/>
  <c r="G7"/>
  <c r="M13" i="38" l="1"/>
  <c r="N18" i="46" s="1"/>
  <c r="N60" s="1"/>
  <c r="N65" s="1"/>
  <c r="N18" i="50"/>
  <c r="C17"/>
  <c r="C18" s="1"/>
  <c r="C16" i="51"/>
  <c r="C17" s="1"/>
  <c r="M60" i="46"/>
  <c r="M65" s="1"/>
  <c r="M60" i="50"/>
  <c r="Q183" i="30"/>
  <c r="N182"/>
  <c r="K182"/>
  <c r="P182"/>
  <c r="R182"/>
  <c r="M182"/>
  <c r="F161"/>
  <c r="O183"/>
  <c r="J61" i="49"/>
  <c r="J182" i="30"/>
  <c r="I183"/>
  <c r="D16" i="49"/>
  <c r="M78" i="30"/>
  <c r="M121" s="1"/>
  <c r="L120"/>
  <c r="G66" i="47"/>
  <c r="F59"/>
  <c r="F66" s="1"/>
  <c r="G66" i="37"/>
  <c r="F59"/>
  <c r="F66" s="1"/>
  <c r="Q83" i="10"/>
  <c r="P83"/>
  <c r="C14" i="37"/>
  <c r="C15" i="46"/>
  <c r="D83" i="29"/>
  <c r="D145"/>
  <c r="D144" i="30"/>
  <c r="D82"/>
  <c r="D143" i="29"/>
  <c r="D81"/>
  <c r="D142"/>
  <c r="D80"/>
  <c r="D75" i="30"/>
  <c r="D137"/>
  <c r="D139"/>
  <c r="D77"/>
  <c r="D136" i="29"/>
  <c r="D74"/>
  <c r="D144"/>
  <c r="D82"/>
  <c r="D80" i="30"/>
  <c r="D142"/>
  <c r="D83"/>
  <c r="D145"/>
  <c r="D140"/>
  <c r="D78"/>
  <c r="D136"/>
  <c r="C136" s="1"/>
  <c r="D74"/>
  <c r="C74" s="1"/>
  <c r="C13"/>
  <c r="D141" i="29"/>
  <c r="D79"/>
  <c r="D137"/>
  <c r="D75"/>
  <c r="D138"/>
  <c r="D76"/>
  <c r="D143" i="30"/>
  <c r="D81"/>
  <c r="D139" i="29"/>
  <c r="D77"/>
  <c r="D76" i="30"/>
  <c r="D138"/>
  <c r="D135" i="29"/>
  <c r="C135" s="1"/>
  <c r="D73"/>
  <c r="C73" s="1"/>
  <c r="C14"/>
  <c r="D84" i="30"/>
  <c r="D146"/>
  <c r="J15" i="18"/>
  <c r="M13" i="23"/>
  <c r="P81" i="10"/>
  <c r="Q81"/>
  <c r="D127" i="17"/>
  <c r="D71"/>
  <c r="D125"/>
  <c r="D124"/>
  <c r="C124" s="1"/>
  <c r="D68"/>
  <c r="C68" s="1"/>
  <c r="C69" s="1"/>
  <c r="C70" s="1"/>
  <c r="D123" i="26"/>
  <c r="C123" s="1"/>
  <c r="C13"/>
  <c r="C14" s="1"/>
  <c r="D68"/>
  <c r="C68" s="1"/>
  <c r="F69"/>
  <c r="F72"/>
  <c r="D124"/>
  <c r="D69"/>
  <c r="C13" i="17"/>
  <c r="C14" s="1"/>
  <c r="D70" i="26"/>
  <c r="D125"/>
  <c r="D127"/>
  <c r="D72"/>
  <c r="D71"/>
  <c r="D126"/>
  <c r="F71"/>
  <c r="F70"/>
  <c r="N13" i="38" l="1"/>
  <c r="O18" i="46" s="1"/>
  <c r="O60" s="1"/>
  <c r="O18" i="50"/>
  <c r="C19"/>
  <c r="C20" s="1"/>
  <c r="C18" i="51"/>
  <c r="C19" s="1"/>
  <c r="N61" i="46"/>
  <c r="N60" i="50"/>
  <c r="F182" i="30"/>
  <c r="F183"/>
  <c r="M120"/>
  <c r="N78"/>
  <c r="N120" s="1"/>
  <c r="D17" i="49"/>
  <c r="D18" s="1"/>
  <c r="C15" i="37"/>
  <c r="C16" i="46"/>
  <c r="C14" i="30"/>
  <c r="C15" s="1"/>
  <c r="C136" i="29"/>
  <c r="C74"/>
  <c r="C15"/>
  <c r="C16" s="1"/>
  <c r="C137" i="30"/>
  <c r="C138" s="1"/>
  <c r="C75"/>
  <c r="K15" i="18"/>
  <c r="N13" i="23"/>
  <c r="C124" i="26"/>
  <c r="C125" s="1"/>
  <c r="C126" s="1"/>
  <c r="C125" i="17"/>
  <c r="C126" s="1"/>
  <c r="C15"/>
  <c r="C16" s="1"/>
  <c r="C17" s="1"/>
  <c r="C71"/>
  <c r="C72" s="1"/>
  <c r="C15" i="26"/>
  <c r="C16" s="1"/>
  <c r="C17" s="1"/>
  <c r="H114"/>
  <c r="H115"/>
  <c r="F68"/>
  <c r="C69"/>
  <c r="O13" i="38" l="1"/>
  <c r="P18" i="46" s="1"/>
  <c r="P61" s="1"/>
  <c r="P18" i="50"/>
  <c r="C20" i="51"/>
  <c r="O61" i="46"/>
  <c r="O60" i="50"/>
  <c r="C21"/>
  <c r="N121" i="30"/>
  <c r="D19" i="49"/>
  <c r="D20" s="1"/>
  <c r="O78" i="30"/>
  <c r="O120" s="1"/>
  <c r="O65" i="46"/>
  <c r="C16" i="37"/>
  <c r="C17" i="46"/>
  <c r="C18" s="1"/>
  <c r="C75" i="29"/>
  <c r="C139" i="30"/>
  <c r="C76"/>
  <c r="C77" s="1"/>
  <c r="C137" i="29"/>
  <c r="C17"/>
  <c r="C16" i="30"/>
  <c r="C17" s="1"/>
  <c r="L15" i="18"/>
  <c r="O13" i="23"/>
  <c r="C127" i="17"/>
  <c r="C127" i="26"/>
  <c r="C70"/>
  <c r="B1" i="11"/>
  <c r="E24" i="10" s="1"/>
  <c r="D17" i="47" s="1"/>
  <c r="D35" i="15"/>
  <c r="E35"/>
  <c r="P13" i="38" l="1"/>
  <c r="Q18" i="46" s="1"/>
  <c r="Q61" s="1"/>
  <c r="Q18" i="50"/>
  <c r="C21" i="51"/>
  <c r="C22" s="1"/>
  <c r="C23" s="1"/>
  <c r="C24"/>
  <c r="P60" i="50"/>
  <c r="C22"/>
  <c r="C23" s="1"/>
  <c r="C24" s="1"/>
  <c r="C25" s="1"/>
  <c r="P60" i="46"/>
  <c r="P65" s="1"/>
  <c r="O121" i="30"/>
  <c r="P78"/>
  <c r="P120" s="1"/>
  <c r="D21" i="49"/>
  <c r="D22" s="1"/>
  <c r="C17" i="37"/>
  <c r="C18" s="1"/>
  <c r="C19" s="1"/>
  <c r="C22" i="47"/>
  <c r="C19" i="46"/>
  <c r="C76" i="29"/>
  <c r="C77" s="1"/>
  <c r="C78" i="30"/>
  <c r="C79" s="1"/>
  <c r="C80" s="1"/>
  <c r="C18" i="29"/>
  <c r="C140" i="30"/>
  <c r="C138" i="29"/>
  <c r="C18" i="30"/>
  <c r="M15" i="18"/>
  <c r="P13" i="23"/>
  <c r="C71" i="26"/>
  <c r="E20" i="10"/>
  <c r="D16" i="47" s="1"/>
  <c r="E59" i="10"/>
  <c r="D20" i="47" s="1"/>
  <c r="E26" i="10"/>
  <c r="D18" i="47" s="1"/>
  <c r="E15" i="10"/>
  <c r="D15" i="47" s="1"/>
  <c r="E11" i="10"/>
  <c r="D13" i="47" s="1"/>
  <c r="C13" s="1"/>
  <c r="E42" i="10"/>
  <c r="D19" i="47" s="1"/>
  <c r="E70" i="10"/>
  <c r="D21" i="47" s="1"/>
  <c r="E12" i="10"/>
  <c r="D14" i="47" s="1"/>
  <c r="D35" i="3"/>
  <c r="E35"/>
  <c r="Q13" i="38" l="1"/>
  <c r="R18" i="46" s="1"/>
  <c r="R61" s="1"/>
  <c r="R18" i="50"/>
  <c r="C25" i="51"/>
  <c r="C26" s="1"/>
  <c r="C27" s="1"/>
  <c r="C28" s="1"/>
  <c r="C29" s="1"/>
  <c r="C30" s="1"/>
  <c r="C31" s="1"/>
  <c r="C32" s="1"/>
  <c r="C33" s="1"/>
  <c r="C34" s="1"/>
  <c r="C35" s="1"/>
  <c r="C36" s="1"/>
  <c r="C37" s="1"/>
  <c r="Q60" i="46"/>
  <c r="Q65" s="1"/>
  <c r="Q60" i="50"/>
  <c r="C26"/>
  <c r="C27" s="1"/>
  <c r="P121" i="30"/>
  <c r="Q78"/>
  <c r="Q121" s="1"/>
  <c r="D23" i="49"/>
  <c r="D24" s="1"/>
  <c r="C20" i="37"/>
  <c r="C21" s="1"/>
  <c r="C14" i="47"/>
  <c r="C15" s="1"/>
  <c r="C23"/>
  <c r="C20" i="46"/>
  <c r="C19" i="30"/>
  <c r="C20" s="1"/>
  <c r="C21" s="1"/>
  <c r="C19" i="29"/>
  <c r="C20" s="1"/>
  <c r="C141" i="30"/>
  <c r="C81"/>
  <c r="C78" i="29"/>
  <c r="C139"/>
  <c r="Q13" i="23"/>
  <c r="C72" i="26"/>
  <c r="G35" i="3"/>
  <c r="I37" i="10"/>
  <c r="U37" s="1"/>
  <c r="G33" i="46" s="1"/>
  <c r="F33" s="1"/>
  <c r="D6" i="15"/>
  <c r="E6"/>
  <c r="D10"/>
  <c r="E10"/>
  <c r="D9"/>
  <c r="E9"/>
  <c r="D13"/>
  <c r="E13"/>
  <c r="D14"/>
  <c r="E14"/>
  <c r="D15"/>
  <c r="E15"/>
  <c r="D17"/>
  <c r="E17"/>
  <c r="D18"/>
  <c r="E18"/>
  <c r="D20"/>
  <c r="E20"/>
  <c r="D21"/>
  <c r="E21"/>
  <c r="D23"/>
  <c r="E23"/>
  <c r="D25"/>
  <c r="E25"/>
  <c r="D26"/>
  <c r="E26"/>
  <c r="D27"/>
  <c r="E27"/>
  <c r="D28"/>
  <c r="E28"/>
  <c r="D29"/>
  <c r="E29"/>
  <c r="D30"/>
  <c r="E30"/>
  <c r="D31"/>
  <c r="E31"/>
  <c r="D33"/>
  <c r="E33"/>
  <c r="D34"/>
  <c r="E34"/>
  <c r="D36"/>
  <c r="E36"/>
  <c r="D37"/>
  <c r="E37"/>
  <c r="D38"/>
  <c r="E38"/>
  <c r="D39"/>
  <c r="E39"/>
  <c r="D40"/>
  <c r="E40"/>
  <c r="D42"/>
  <c r="E42"/>
  <c r="D43"/>
  <c r="E43"/>
  <c r="D46"/>
  <c r="E46"/>
  <c r="D32"/>
  <c r="E32"/>
  <c r="D41"/>
  <c r="E41"/>
  <c r="E5"/>
  <c r="D5"/>
  <c r="R60" i="50" l="1"/>
  <c r="F62" s="1"/>
  <c r="F18"/>
  <c r="C28"/>
  <c r="C29" s="1"/>
  <c r="C30" s="1"/>
  <c r="R60" i="46"/>
  <c r="R65" s="1"/>
  <c r="D25" i="49"/>
  <c r="Q120" i="30"/>
  <c r="R78"/>
  <c r="R121" s="1"/>
  <c r="F121" s="1"/>
  <c r="C22" i="37"/>
  <c r="C23" s="1"/>
  <c r="C16" i="47"/>
  <c r="C21" i="46"/>
  <c r="C21" i="29"/>
  <c r="C22" s="1"/>
  <c r="C82" i="30"/>
  <c r="C142"/>
  <c r="C79" i="29"/>
  <c r="C80" s="1"/>
  <c r="C81" s="1"/>
  <c r="C82" s="1"/>
  <c r="C83" s="1"/>
  <c r="C22" i="30"/>
  <c r="C140" i="29"/>
  <c r="Q37" i="10"/>
  <c r="G154" i="29" s="1"/>
  <c r="F154" s="1"/>
  <c r="P37" i="10"/>
  <c r="G92" i="29" s="1"/>
  <c r="F92" s="1"/>
  <c r="C31" i="50" l="1"/>
  <c r="C32" s="1"/>
  <c r="C33" s="1"/>
  <c r="C34" s="1"/>
  <c r="C35" s="1"/>
  <c r="C36" s="1"/>
  <c r="C37" s="1"/>
  <c r="C38" s="1"/>
  <c r="F60"/>
  <c r="D26" i="49"/>
  <c r="D27" s="1"/>
  <c r="D28" s="1"/>
  <c r="D29" s="1"/>
  <c r="D30" s="1"/>
  <c r="D31" s="1"/>
  <c r="D32" s="1"/>
  <c r="R120" i="30"/>
  <c r="F120" s="1"/>
  <c r="F78"/>
  <c r="C59" i="37"/>
  <c r="C60" s="1"/>
  <c r="C63" s="1"/>
  <c r="C66" s="1"/>
  <c r="C17" i="47"/>
  <c r="C18" s="1"/>
  <c r="C22" i="46"/>
  <c r="C23" s="1"/>
  <c r="C24" s="1"/>
  <c r="C23" i="29"/>
  <c r="C24" s="1"/>
  <c r="C83" i="30"/>
  <c r="C143"/>
  <c r="C144" s="1"/>
  <c r="C145" s="1"/>
  <c r="C146" s="1"/>
  <c r="C84" i="29"/>
  <c r="C23" i="30"/>
  <c r="C24" s="1"/>
  <c r="C25" s="1"/>
  <c r="C26" s="1"/>
  <c r="C141" i="29"/>
  <c r="G18" i="2"/>
  <c r="G20"/>
  <c r="J20" s="1"/>
  <c r="M20" s="1"/>
  <c r="G36"/>
  <c r="G40"/>
  <c r="G42"/>
  <c r="J42" s="1"/>
  <c r="M42" s="1"/>
  <c r="G41"/>
  <c r="J41" s="1"/>
  <c r="M41" s="1"/>
  <c r="D6" i="3"/>
  <c r="E6"/>
  <c r="D10"/>
  <c r="E10"/>
  <c r="D9"/>
  <c r="E9"/>
  <c r="D13"/>
  <c r="E13"/>
  <c r="D14"/>
  <c r="E14"/>
  <c r="D15"/>
  <c r="E15"/>
  <c r="D17"/>
  <c r="E17"/>
  <c r="D18"/>
  <c r="E18"/>
  <c r="D20"/>
  <c r="E20"/>
  <c r="D21"/>
  <c r="E21"/>
  <c r="D23"/>
  <c r="E23"/>
  <c r="D25"/>
  <c r="E25"/>
  <c r="D26"/>
  <c r="E26"/>
  <c r="D27"/>
  <c r="E27"/>
  <c r="D28"/>
  <c r="E28"/>
  <c r="D29"/>
  <c r="E29"/>
  <c r="D30"/>
  <c r="E30"/>
  <c r="D31"/>
  <c r="E31"/>
  <c r="D33"/>
  <c r="E33"/>
  <c r="D34"/>
  <c r="E34"/>
  <c r="D36"/>
  <c r="E36"/>
  <c r="D37"/>
  <c r="E37"/>
  <c r="D38"/>
  <c r="E38"/>
  <c r="D39"/>
  <c r="E39"/>
  <c r="D40"/>
  <c r="E40"/>
  <c r="D42"/>
  <c r="E42"/>
  <c r="D43"/>
  <c r="E43"/>
  <c r="D46"/>
  <c r="E46"/>
  <c r="D32"/>
  <c r="E32"/>
  <c r="D41"/>
  <c r="E41"/>
  <c r="M1" i="14"/>
  <c r="L1"/>
  <c r="K1"/>
  <c r="J1"/>
  <c r="I1"/>
  <c r="H1"/>
  <c r="G1"/>
  <c r="F1"/>
  <c r="E1"/>
  <c r="D1"/>
  <c r="C1"/>
  <c r="M1" i="13"/>
  <c r="L1"/>
  <c r="K1"/>
  <c r="J1"/>
  <c r="I1"/>
  <c r="H1"/>
  <c r="G1"/>
  <c r="F1"/>
  <c r="E1"/>
  <c r="D1"/>
  <c r="M1" i="11"/>
  <c r="L1"/>
  <c r="K1"/>
  <c r="J1"/>
  <c r="I1"/>
  <c r="H1"/>
  <c r="G1"/>
  <c r="F1"/>
  <c r="E1"/>
  <c r="D1"/>
  <c r="C1"/>
  <c r="D33" i="49" l="1"/>
  <c r="D34" s="1"/>
  <c r="D35" s="1"/>
  <c r="D36" s="1"/>
  <c r="D37" s="1"/>
  <c r="D38" s="1"/>
  <c r="C19" i="47"/>
  <c r="C25" i="46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147" i="30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27"/>
  <c r="C28" s="1"/>
  <c r="C25" i="29"/>
  <c r="C26" s="1"/>
  <c r="C84" i="30"/>
  <c r="C142" i="29"/>
  <c r="C143" s="1"/>
  <c r="C144" s="1"/>
  <c r="C145" s="1"/>
  <c r="C85"/>
  <c r="C86" s="1"/>
  <c r="J18" i="2"/>
  <c r="J40"/>
  <c r="J36"/>
  <c r="H2" i="3"/>
  <c r="H51" s="1"/>
  <c r="I2"/>
  <c r="I51" s="1"/>
  <c r="J2" i="22"/>
  <c r="G2"/>
  <c r="O2" i="15"/>
  <c r="O51" s="1"/>
  <c r="I2" i="22"/>
  <c r="Q2"/>
  <c r="N2" i="15"/>
  <c r="N51" s="1"/>
  <c r="M2" i="22"/>
  <c r="H2" i="15"/>
  <c r="H51" s="1"/>
  <c r="L2" i="22"/>
  <c r="I2" i="15"/>
  <c r="I51" s="1"/>
  <c r="Q2"/>
  <c r="Q51" s="1"/>
  <c r="K2" i="22"/>
  <c r="P2" i="15"/>
  <c r="P51" s="1"/>
  <c r="H2" i="22"/>
  <c r="P2"/>
  <c r="M2" i="15"/>
  <c r="M51" s="1"/>
  <c r="J2"/>
  <c r="J51" s="1"/>
  <c r="O2" i="22"/>
  <c r="L2" i="15"/>
  <c r="L51" s="1"/>
  <c r="N2" i="22"/>
  <c r="K2" i="15"/>
  <c r="K51" s="1"/>
  <c r="G2"/>
  <c r="G43" i="3"/>
  <c r="G38"/>
  <c r="G33"/>
  <c r="G28"/>
  <c r="G23"/>
  <c r="G17"/>
  <c r="G9"/>
  <c r="G40"/>
  <c r="G36"/>
  <c r="G30"/>
  <c r="G26"/>
  <c r="G20"/>
  <c r="G14"/>
  <c r="G6"/>
  <c r="G41"/>
  <c r="G46"/>
  <c r="G39"/>
  <c r="G34"/>
  <c r="G29"/>
  <c r="G25"/>
  <c r="G18"/>
  <c r="G13"/>
  <c r="G32"/>
  <c r="G42"/>
  <c r="G37"/>
  <c r="G31"/>
  <c r="G27"/>
  <c r="G21"/>
  <c r="G15"/>
  <c r="G10"/>
  <c r="I17" i="10"/>
  <c r="U17" s="1"/>
  <c r="G18" i="46" s="1"/>
  <c r="F18" s="1"/>
  <c r="H13" i="22" l="1"/>
  <c r="I17" i="30" s="1"/>
  <c r="H47" i="22"/>
  <c r="H75"/>
  <c r="H71"/>
  <c r="H59"/>
  <c r="H55"/>
  <c r="H51"/>
  <c r="H67"/>
  <c r="H63"/>
  <c r="H54"/>
  <c r="H62"/>
  <c r="H70"/>
  <c r="H48"/>
  <c r="H49"/>
  <c r="H76"/>
  <c r="H66"/>
  <c r="H77"/>
  <c r="H52"/>
  <c r="H68"/>
  <c r="H58"/>
  <c r="H73"/>
  <c r="H60"/>
  <c r="H69"/>
  <c r="H50"/>
  <c r="H74"/>
  <c r="H65"/>
  <c r="H57"/>
  <c r="H78"/>
  <c r="H56"/>
  <c r="H64"/>
  <c r="H72"/>
  <c r="H53"/>
  <c r="H61"/>
  <c r="N74"/>
  <c r="N70"/>
  <c r="N58"/>
  <c r="N54"/>
  <c r="N78"/>
  <c r="N66"/>
  <c r="N75"/>
  <c r="N71"/>
  <c r="N67"/>
  <c r="N63"/>
  <c r="N59"/>
  <c r="N55"/>
  <c r="N51"/>
  <c r="N62"/>
  <c r="N50"/>
  <c r="N48"/>
  <c r="N76"/>
  <c r="N77"/>
  <c r="N56"/>
  <c r="N57"/>
  <c r="N73"/>
  <c r="N72"/>
  <c r="N68"/>
  <c r="N53"/>
  <c r="N61"/>
  <c r="N69"/>
  <c r="N47"/>
  <c r="N52"/>
  <c r="N49"/>
  <c r="N64"/>
  <c r="N60"/>
  <c r="N65"/>
  <c r="K48"/>
  <c r="K76"/>
  <c r="K64"/>
  <c r="K52"/>
  <c r="K68"/>
  <c r="K56"/>
  <c r="K72"/>
  <c r="K60"/>
  <c r="K75"/>
  <c r="K71"/>
  <c r="K67"/>
  <c r="K63"/>
  <c r="K59"/>
  <c r="K55"/>
  <c r="K51"/>
  <c r="K47"/>
  <c r="K54"/>
  <c r="K49"/>
  <c r="K50"/>
  <c r="K69"/>
  <c r="K66"/>
  <c r="K78"/>
  <c r="K73"/>
  <c r="K77"/>
  <c r="K70"/>
  <c r="K65"/>
  <c r="K58"/>
  <c r="K57"/>
  <c r="K62"/>
  <c r="K53"/>
  <c r="K61"/>
  <c r="K74"/>
  <c r="I47"/>
  <c r="I75"/>
  <c r="I63"/>
  <c r="I51"/>
  <c r="I67"/>
  <c r="I55"/>
  <c r="I48"/>
  <c r="I71"/>
  <c r="I59"/>
  <c r="I78"/>
  <c r="I74"/>
  <c r="I70"/>
  <c r="I66"/>
  <c r="I62"/>
  <c r="I58"/>
  <c r="I54"/>
  <c r="I50"/>
  <c r="I61"/>
  <c r="I68"/>
  <c r="I60"/>
  <c r="I73"/>
  <c r="I65"/>
  <c r="I52"/>
  <c r="I64"/>
  <c r="I76"/>
  <c r="I53"/>
  <c r="I77"/>
  <c r="I69"/>
  <c r="I56"/>
  <c r="I72"/>
  <c r="I49"/>
  <c r="I57"/>
  <c r="Q47"/>
  <c r="Q75"/>
  <c r="Q63"/>
  <c r="Q51"/>
  <c r="Q67"/>
  <c r="Q55"/>
  <c r="Q48"/>
  <c r="Q71"/>
  <c r="Q59"/>
  <c r="Q78"/>
  <c r="Q74"/>
  <c r="Q70"/>
  <c r="Q66"/>
  <c r="Q62"/>
  <c r="Q58"/>
  <c r="Q54"/>
  <c r="Q50"/>
  <c r="Q60"/>
  <c r="Q73"/>
  <c r="Q64"/>
  <c r="Q76"/>
  <c r="Q69"/>
  <c r="Q53"/>
  <c r="Q68"/>
  <c r="Q65"/>
  <c r="Q77"/>
  <c r="Q52"/>
  <c r="Q57"/>
  <c r="Q56"/>
  <c r="Q72"/>
  <c r="Q49"/>
  <c r="Q61"/>
  <c r="P47"/>
  <c r="P75"/>
  <c r="P71"/>
  <c r="P59"/>
  <c r="P55"/>
  <c r="P67"/>
  <c r="P63"/>
  <c r="P51"/>
  <c r="P48"/>
  <c r="P53"/>
  <c r="P66"/>
  <c r="P58"/>
  <c r="P74"/>
  <c r="P77"/>
  <c r="P52"/>
  <c r="P60"/>
  <c r="P68"/>
  <c r="P76"/>
  <c r="P50"/>
  <c r="P49"/>
  <c r="P65"/>
  <c r="P69"/>
  <c r="P78"/>
  <c r="P56"/>
  <c r="P64"/>
  <c r="P72"/>
  <c r="P57"/>
  <c r="P61"/>
  <c r="P54"/>
  <c r="P62"/>
  <c r="P70"/>
  <c r="P73"/>
  <c r="M54"/>
  <c r="M70"/>
  <c r="M49"/>
  <c r="M76"/>
  <c r="M47"/>
  <c r="M66"/>
  <c r="M67"/>
  <c r="M71"/>
  <c r="M52"/>
  <c r="M62"/>
  <c r="M68"/>
  <c r="M69"/>
  <c r="M57"/>
  <c r="M73"/>
  <c r="M56"/>
  <c r="M58"/>
  <c r="M78"/>
  <c r="M77"/>
  <c r="M64"/>
  <c r="M59"/>
  <c r="M63"/>
  <c r="M72"/>
  <c r="M74"/>
  <c r="M75"/>
  <c r="M61"/>
  <c r="M51"/>
  <c r="M55"/>
  <c r="M60"/>
  <c r="M48"/>
  <c r="M65"/>
  <c r="M53"/>
  <c r="M50"/>
  <c r="L71"/>
  <c r="L67"/>
  <c r="L63"/>
  <c r="L59"/>
  <c r="L55"/>
  <c r="L51"/>
  <c r="L48"/>
  <c r="L47"/>
  <c r="L54"/>
  <c r="L62"/>
  <c r="L70"/>
  <c r="L78"/>
  <c r="L66"/>
  <c r="L49"/>
  <c r="L76"/>
  <c r="L73"/>
  <c r="L77"/>
  <c r="L57"/>
  <c r="L75"/>
  <c r="L58"/>
  <c r="L52"/>
  <c r="L60"/>
  <c r="L68"/>
  <c r="L53"/>
  <c r="L65"/>
  <c r="L50"/>
  <c r="L74"/>
  <c r="L56"/>
  <c r="L64"/>
  <c r="L72"/>
  <c r="L61"/>
  <c r="L69"/>
  <c r="J76"/>
  <c r="J72"/>
  <c r="J60"/>
  <c r="J56"/>
  <c r="J68"/>
  <c r="J47"/>
  <c r="J48"/>
  <c r="J64"/>
  <c r="J52"/>
  <c r="J71"/>
  <c r="J67"/>
  <c r="J63"/>
  <c r="J59"/>
  <c r="J55"/>
  <c r="J51"/>
  <c r="J74"/>
  <c r="J57"/>
  <c r="J73"/>
  <c r="J78"/>
  <c r="J66"/>
  <c r="J53"/>
  <c r="J61"/>
  <c r="J69"/>
  <c r="J77"/>
  <c r="J62"/>
  <c r="J65"/>
  <c r="J70"/>
  <c r="J58"/>
  <c r="J75"/>
  <c r="J50"/>
  <c r="J54"/>
  <c r="J49"/>
  <c r="O48"/>
  <c r="O63"/>
  <c r="O51"/>
  <c r="O74"/>
  <c r="O62"/>
  <c r="O75"/>
  <c r="O71"/>
  <c r="O59"/>
  <c r="O78"/>
  <c r="O66"/>
  <c r="O54"/>
  <c r="O47"/>
  <c r="O67"/>
  <c r="O55"/>
  <c r="O70"/>
  <c r="O58"/>
  <c r="O50"/>
  <c r="O57"/>
  <c r="O52"/>
  <c r="O73"/>
  <c r="O64"/>
  <c r="O61"/>
  <c r="O77"/>
  <c r="O60"/>
  <c r="O53"/>
  <c r="O65"/>
  <c r="O72"/>
  <c r="O76"/>
  <c r="O49"/>
  <c r="O56"/>
  <c r="O69"/>
  <c r="O68"/>
  <c r="G48"/>
  <c r="G63"/>
  <c r="G78"/>
  <c r="G66"/>
  <c r="G50"/>
  <c r="G75"/>
  <c r="G51"/>
  <c r="G54"/>
  <c r="G47"/>
  <c r="G71"/>
  <c r="G67"/>
  <c r="G59"/>
  <c r="G55"/>
  <c r="G74"/>
  <c r="G70"/>
  <c r="G62"/>
  <c r="G58"/>
  <c r="G69"/>
  <c r="G68"/>
  <c r="G72"/>
  <c r="G73"/>
  <c r="G57"/>
  <c r="G65"/>
  <c r="G53"/>
  <c r="G52"/>
  <c r="G64"/>
  <c r="G77"/>
  <c r="G60"/>
  <c r="G61"/>
  <c r="G49"/>
  <c r="G56"/>
  <c r="G76"/>
  <c r="G47" i="15"/>
  <c r="G69"/>
  <c r="G77"/>
  <c r="G71"/>
  <c r="G65"/>
  <c r="G61"/>
  <c r="G57"/>
  <c r="G53"/>
  <c r="G50"/>
  <c r="G75"/>
  <c r="G73"/>
  <c r="G67"/>
  <c r="G63"/>
  <c r="G59"/>
  <c r="G55"/>
  <c r="G48"/>
  <c r="G72"/>
  <c r="G74"/>
  <c r="G60"/>
  <c r="G64"/>
  <c r="G66"/>
  <c r="G54"/>
  <c r="G76"/>
  <c r="G51"/>
  <c r="G56"/>
  <c r="G58"/>
  <c r="G49"/>
  <c r="G68"/>
  <c r="G52"/>
  <c r="G78"/>
  <c r="G70"/>
  <c r="G62"/>
  <c r="C20" i="47"/>
  <c r="C21" s="1"/>
  <c r="L140" i="29"/>
  <c r="L182" s="1"/>
  <c r="N140"/>
  <c r="N181" s="1"/>
  <c r="K140"/>
  <c r="K182" s="1"/>
  <c r="Q140"/>
  <c r="Q182" s="1"/>
  <c r="O140"/>
  <c r="O181" s="1"/>
  <c r="I78"/>
  <c r="I119" s="1"/>
  <c r="I140"/>
  <c r="I182" s="1"/>
  <c r="J78"/>
  <c r="J120" s="1"/>
  <c r="J140"/>
  <c r="J181" s="1"/>
  <c r="M140"/>
  <c r="M182" s="1"/>
  <c r="R140"/>
  <c r="R181" s="1"/>
  <c r="P140"/>
  <c r="P181" s="1"/>
  <c r="C87"/>
  <c r="C88" s="1"/>
  <c r="C89" s="1"/>
  <c r="C90" s="1"/>
  <c r="C91" s="1"/>
  <c r="C92" s="1"/>
  <c r="C93" s="1"/>
  <c r="C94" s="1"/>
  <c r="C95" s="1"/>
  <c r="C96" s="1"/>
  <c r="C97" s="1"/>
  <c r="C85" i="30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29"/>
  <c r="C30" s="1"/>
  <c r="C31" s="1"/>
  <c r="C32" s="1"/>
  <c r="C33" s="1"/>
  <c r="C34" s="1"/>
  <c r="C35" s="1"/>
  <c r="C36" s="1"/>
  <c r="C37" s="1"/>
  <c r="C27" i="29"/>
  <c r="C28" s="1"/>
  <c r="C29" s="1"/>
  <c r="C30" s="1"/>
  <c r="C31" s="1"/>
  <c r="C32" s="1"/>
  <c r="C33" s="1"/>
  <c r="C34" s="1"/>
  <c r="C35" s="1"/>
  <c r="C36" s="1"/>
  <c r="C37" s="1"/>
  <c r="C38" s="1"/>
  <c r="C146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Q17" i="10"/>
  <c r="G139" i="29" s="1"/>
  <c r="F139" s="1"/>
  <c r="P17" i="10"/>
  <c r="G77" i="29" s="1"/>
  <c r="F77" s="1"/>
  <c r="M18" i="2"/>
  <c r="M40"/>
  <c r="M36"/>
  <c r="G16" i="15"/>
  <c r="G44"/>
  <c r="G11"/>
  <c r="G7"/>
  <c r="G45"/>
  <c r="G22"/>
  <c r="G12"/>
  <c r="G24"/>
  <c r="G8"/>
  <c r="G19"/>
  <c r="G35"/>
  <c r="G20"/>
  <c r="G21"/>
  <c r="G33"/>
  <c r="G46"/>
  <c r="G9"/>
  <c r="G26"/>
  <c r="G27"/>
  <c r="G38"/>
  <c r="G25"/>
  <c r="G30"/>
  <c r="G31"/>
  <c r="G43"/>
  <c r="G39"/>
  <c r="G29"/>
  <c r="G36"/>
  <c r="G37"/>
  <c r="G5"/>
  <c r="G40"/>
  <c r="G42"/>
  <c r="G41"/>
  <c r="G28"/>
  <c r="G18"/>
  <c r="G32"/>
  <c r="G17"/>
  <c r="G13"/>
  <c r="G6"/>
  <c r="G10"/>
  <c r="G23"/>
  <c r="G34"/>
  <c r="G14"/>
  <c r="G15"/>
  <c r="L44" i="22"/>
  <c r="L32"/>
  <c r="L39"/>
  <c r="L36"/>
  <c r="L5"/>
  <c r="L42"/>
  <c r="L34"/>
  <c r="L26"/>
  <c r="L18"/>
  <c r="L10"/>
  <c r="L13"/>
  <c r="L38"/>
  <c r="L6"/>
  <c r="L28"/>
  <c r="L16"/>
  <c r="L19"/>
  <c r="L20"/>
  <c r="L27"/>
  <c r="L35"/>
  <c r="L22"/>
  <c r="L9"/>
  <c r="L24"/>
  <c r="L43"/>
  <c r="L12"/>
  <c r="L41"/>
  <c r="L21"/>
  <c r="L25"/>
  <c r="L46"/>
  <c r="L14"/>
  <c r="L11"/>
  <c r="L33"/>
  <c r="L8"/>
  <c r="L7"/>
  <c r="L37"/>
  <c r="L17"/>
  <c r="L15"/>
  <c r="L45"/>
  <c r="L30"/>
  <c r="L23"/>
  <c r="L40"/>
  <c r="L31"/>
  <c r="L29"/>
  <c r="J15"/>
  <c r="J16"/>
  <c r="J36"/>
  <c r="J5"/>
  <c r="J38"/>
  <c r="J29"/>
  <c r="J26"/>
  <c r="J11"/>
  <c r="J43"/>
  <c r="J32"/>
  <c r="J34"/>
  <c r="J30"/>
  <c r="J14"/>
  <c r="J31"/>
  <c r="J18"/>
  <c r="J12"/>
  <c r="J45"/>
  <c r="J13"/>
  <c r="J22"/>
  <c r="J46"/>
  <c r="J7"/>
  <c r="J39"/>
  <c r="J24"/>
  <c r="J41"/>
  <c r="J33"/>
  <c r="J25"/>
  <c r="J17"/>
  <c r="J9"/>
  <c r="J44"/>
  <c r="J27"/>
  <c r="J40"/>
  <c r="J20"/>
  <c r="J42"/>
  <c r="J21"/>
  <c r="J10"/>
  <c r="J35"/>
  <c r="J6"/>
  <c r="J23"/>
  <c r="J28"/>
  <c r="J37"/>
  <c r="J19"/>
  <c r="J8"/>
  <c r="Q5"/>
  <c r="Q23"/>
  <c r="Q46"/>
  <c r="Q38"/>
  <c r="Q36"/>
  <c r="Q8"/>
  <c r="Q39"/>
  <c r="Q40"/>
  <c r="Q27"/>
  <c r="Q34"/>
  <c r="Q30"/>
  <c r="Q29"/>
  <c r="Q18"/>
  <c r="Q43"/>
  <c r="Q11"/>
  <c r="Q28"/>
  <c r="Q32"/>
  <c r="Q37"/>
  <c r="Q35"/>
  <c r="Q44"/>
  <c r="Q31"/>
  <c r="Q22"/>
  <c r="Q26"/>
  <c r="Q20"/>
  <c r="Q7"/>
  <c r="Q14"/>
  <c r="Q15"/>
  <c r="Q10"/>
  <c r="Q24"/>
  <c r="Q45"/>
  <c r="Q13"/>
  <c r="Q41"/>
  <c r="Q33"/>
  <c r="Q25"/>
  <c r="Q17"/>
  <c r="Q9"/>
  <c r="Q19"/>
  <c r="Q12"/>
  <c r="Q42"/>
  <c r="Q6"/>
  <c r="Q21"/>
  <c r="Q16"/>
  <c r="O33"/>
  <c r="O23"/>
  <c r="O46"/>
  <c r="O38"/>
  <c r="O30"/>
  <c r="O22"/>
  <c r="O14"/>
  <c r="O36"/>
  <c r="O19"/>
  <c r="O45"/>
  <c r="O42"/>
  <c r="O18"/>
  <c r="O41"/>
  <c r="O28"/>
  <c r="O35"/>
  <c r="O15"/>
  <c r="O6"/>
  <c r="O24"/>
  <c r="O39"/>
  <c r="O37"/>
  <c r="O26"/>
  <c r="O11"/>
  <c r="O20"/>
  <c r="O8"/>
  <c r="O9"/>
  <c r="O7"/>
  <c r="O44"/>
  <c r="O12"/>
  <c r="O29"/>
  <c r="O34"/>
  <c r="O5"/>
  <c r="O16"/>
  <c r="O25"/>
  <c r="O32"/>
  <c r="O27"/>
  <c r="O31"/>
  <c r="O21"/>
  <c r="O17"/>
  <c r="O10"/>
  <c r="O13"/>
  <c r="O40"/>
  <c r="O43"/>
  <c r="G46"/>
  <c r="G36"/>
  <c r="G23"/>
  <c r="G30"/>
  <c r="G38"/>
  <c r="G39"/>
  <c r="G16"/>
  <c r="G18"/>
  <c r="G35"/>
  <c r="G9"/>
  <c r="G12"/>
  <c r="G8"/>
  <c r="G29"/>
  <c r="G32"/>
  <c r="G19"/>
  <c r="G26"/>
  <c r="G20"/>
  <c r="G42"/>
  <c r="G17"/>
  <c r="G44"/>
  <c r="G31"/>
  <c r="G21"/>
  <c r="G41"/>
  <c r="G28"/>
  <c r="G22"/>
  <c r="G15"/>
  <c r="G34"/>
  <c r="G25"/>
  <c r="G7"/>
  <c r="G37"/>
  <c r="G6"/>
  <c r="G13"/>
  <c r="G33"/>
  <c r="G24"/>
  <c r="G14"/>
  <c r="G11"/>
  <c r="G43"/>
  <c r="G10"/>
  <c r="G5"/>
  <c r="G45"/>
  <c r="G40"/>
  <c r="G27"/>
  <c r="H31"/>
  <c r="H15"/>
  <c r="H24"/>
  <c r="H22"/>
  <c r="H6"/>
  <c r="H7"/>
  <c r="H41"/>
  <c r="H39"/>
  <c r="H44"/>
  <c r="H36"/>
  <c r="H28"/>
  <c r="H20"/>
  <c r="H12"/>
  <c r="H27"/>
  <c r="H40"/>
  <c r="H8"/>
  <c r="H17"/>
  <c r="H30"/>
  <c r="H5"/>
  <c r="H21"/>
  <c r="H37"/>
  <c r="H35"/>
  <c r="H32"/>
  <c r="H45"/>
  <c r="H38"/>
  <c r="H11"/>
  <c r="H29"/>
  <c r="H9"/>
  <c r="H42"/>
  <c r="H34"/>
  <c r="H26"/>
  <c r="H18"/>
  <c r="H10"/>
  <c r="H43"/>
  <c r="H23"/>
  <c r="H16"/>
  <c r="H19"/>
  <c r="H25"/>
  <c r="H33"/>
  <c r="H46"/>
  <c r="H14"/>
  <c r="M8"/>
  <c r="M34"/>
  <c r="M10"/>
  <c r="M38"/>
  <c r="M44"/>
  <c r="M19"/>
  <c r="M17"/>
  <c r="M23"/>
  <c r="M15"/>
  <c r="M24"/>
  <c r="M30"/>
  <c r="M29"/>
  <c r="M27"/>
  <c r="M22"/>
  <c r="M6"/>
  <c r="M26"/>
  <c r="M7"/>
  <c r="M37"/>
  <c r="M5"/>
  <c r="M40"/>
  <c r="M46"/>
  <c r="M39"/>
  <c r="M18"/>
  <c r="M11"/>
  <c r="M14"/>
  <c r="M12"/>
  <c r="M35"/>
  <c r="M25"/>
  <c r="M33"/>
  <c r="M36"/>
  <c r="M16"/>
  <c r="M21"/>
  <c r="M32"/>
  <c r="M41"/>
  <c r="M20"/>
  <c r="M43"/>
  <c r="M45"/>
  <c r="M13"/>
  <c r="M28"/>
  <c r="M42"/>
  <c r="M9"/>
  <c r="M31"/>
  <c r="P46"/>
  <c r="P38"/>
  <c r="P30"/>
  <c r="P22"/>
  <c r="P14"/>
  <c r="P27"/>
  <c r="P21"/>
  <c r="P42"/>
  <c r="P10"/>
  <c r="P9"/>
  <c r="P24"/>
  <c r="P23"/>
  <c r="P29"/>
  <c r="P19"/>
  <c r="P18"/>
  <c r="P33"/>
  <c r="P32"/>
  <c r="P35"/>
  <c r="P6"/>
  <c r="P5"/>
  <c r="P7"/>
  <c r="P44"/>
  <c r="P36"/>
  <c r="P28"/>
  <c r="P20"/>
  <c r="P12"/>
  <c r="P31"/>
  <c r="P15"/>
  <c r="P26"/>
  <c r="P16"/>
  <c r="P25"/>
  <c r="P17"/>
  <c r="P45"/>
  <c r="P34"/>
  <c r="P11"/>
  <c r="P39"/>
  <c r="P37"/>
  <c r="P41"/>
  <c r="P40"/>
  <c r="P8"/>
  <c r="P43"/>
  <c r="P13"/>
  <c r="N36"/>
  <c r="N22"/>
  <c r="N19"/>
  <c r="N8"/>
  <c r="N25"/>
  <c r="N32"/>
  <c r="N18"/>
  <c r="N39"/>
  <c r="N31"/>
  <c r="N23"/>
  <c r="N15"/>
  <c r="N7"/>
  <c r="N16"/>
  <c r="N27"/>
  <c r="N44"/>
  <c r="N30"/>
  <c r="N40"/>
  <c r="N26"/>
  <c r="N41"/>
  <c r="N28"/>
  <c r="N14"/>
  <c r="N46"/>
  <c r="N43"/>
  <c r="N11"/>
  <c r="N12"/>
  <c r="N38"/>
  <c r="N17"/>
  <c r="N24"/>
  <c r="N10"/>
  <c r="N42"/>
  <c r="N45"/>
  <c r="N37"/>
  <c r="N29"/>
  <c r="N21"/>
  <c r="N13"/>
  <c r="N5"/>
  <c r="N20"/>
  <c r="N6"/>
  <c r="N34"/>
  <c r="N35"/>
  <c r="N33"/>
  <c r="N9"/>
  <c r="K17"/>
  <c r="K30"/>
  <c r="K25"/>
  <c r="K19"/>
  <c r="K8"/>
  <c r="K14"/>
  <c r="K28"/>
  <c r="K13"/>
  <c r="K15"/>
  <c r="K35"/>
  <c r="K37"/>
  <c r="K40"/>
  <c r="K32"/>
  <c r="K24"/>
  <c r="K16"/>
  <c r="K18"/>
  <c r="K21"/>
  <c r="K11"/>
  <c r="K29"/>
  <c r="K36"/>
  <c r="K34"/>
  <c r="K22"/>
  <c r="K10"/>
  <c r="K33"/>
  <c r="K38"/>
  <c r="K6"/>
  <c r="K41"/>
  <c r="K39"/>
  <c r="K45"/>
  <c r="K5"/>
  <c r="K23"/>
  <c r="K20"/>
  <c r="K43"/>
  <c r="K42"/>
  <c r="K27"/>
  <c r="K26"/>
  <c r="K31"/>
  <c r="K46"/>
  <c r="K44"/>
  <c r="K12"/>
  <c r="K9"/>
  <c r="K7"/>
  <c r="I43"/>
  <c r="I11"/>
  <c r="I28"/>
  <c r="I37"/>
  <c r="I36"/>
  <c r="I6"/>
  <c r="I31"/>
  <c r="I26"/>
  <c r="I20"/>
  <c r="I34"/>
  <c r="I32"/>
  <c r="I46"/>
  <c r="I45"/>
  <c r="I21"/>
  <c r="I16"/>
  <c r="I5"/>
  <c r="I8"/>
  <c r="I41"/>
  <c r="I33"/>
  <c r="I25"/>
  <c r="I17"/>
  <c r="I9"/>
  <c r="I19"/>
  <c r="I12"/>
  <c r="I30"/>
  <c r="I29"/>
  <c r="I14"/>
  <c r="I18"/>
  <c r="I22"/>
  <c r="I38"/>
  <c r="I10"/>
  <c r="I39"/>
  <c r="I7"/>
  <c r="I42"/>
  <c r="I40"/>
  <c r="I27"/>
  <c r="I15"/>
  <c r="I24"/>
  <c r="I13"/>
  <c r="I35"/>
  <c r="I44"/>
  <c r="I23"/>
  <c r="G127" i="17"/>
  <c r="D47" i="10"/>
  <c r="E5" i="3"/>
  <c r="D5"/>
  <c r="I61" i="10"/>
  <c r="U61" s="1"/>
  <c r="G50" i="46" s="1"/>
  <c r="F50" s="1"/>
  <c r="I56" i="10"/>
  <c r="U56" s="1"/>
  <c r="G47" i="46" s="1"/>
  <c r="F47" s="1"/>
  <c r="I55" i="10"/>
  <c r="U55" s="1"/>
  <c r="G46" i="46" s="1"/>
  <c r="F46" s="1"/>
  <c r="I54" i="10"/>
  <c r="U54" s="1"/>
  <c r="G45" i="46" s="1"/>
  <c r="F45" s="1"/>
  <c r="I53" i="10"/>
  <c r="U53" s="1"/>
  <c r="G44" i="46" s="1"/>
  <c r="F44" s="1"/>
  <c r="I50" i="10"/>
  <c r="U50" s="1"/>
  <c r="G41" i="46" s="1"/>
  <c r="F41" s="1"/>
  <c r="I49" i="10"/>
  <c r="U49" s="1"/>
  <c r="G40" i="46" s="1"/>
  <c r="F40" s="1"/>
  <c r="I47" i="10"/>
  <c r="U47" s="1"/>
  <c r="G39" i="46" s="1"/>
  <c r="F39" s="1"/>
  <c r="I44" i="10"/>
  <c r="U44" s="1"/>
  <c r="G38" i="46" s="1"/>
  <c r="F38" s="1"/>
  <c r="I41" i="10"/>
  <c r="U41" s="1"/>
  <c r="G37" i="46" s="1"/>
  <c r="F37" s="1"/>
  <c r="I40" i="10"/>
  <c r="U40" s="1"/>
  <c r="G36" i="46" s="1"/>
  <c r="F36" s="1"/>
  <c r="I39" i="10"/>
  <c r="U39" s="1"/>
  <c r="G35" i="46" s="1"/>
  <c r="F35" s="1"/>
  <c r="I36" i="10"/>
  <c r="U36" s="1"/>
  <c r="G32" i="46" s="1"/>
  <c r="F32" s="1"/>
  <c r="I35" i="10"/>
  <c r="U35" s="1"/>
  <c r="G31" i="46" s="1"/>
  <c r="F31" s="1"/>
  <c r="I34" i="10"/>
  <c r="U34" s="1"/>
  <c r="G30" i="46" s="1"/>
  <c r="F30" s="1"/>
  <c r="I33" i="10"/>
  <c r="U33" s="1"/>
  <c r="G29" i="46" s="1"/>
  <c r="F29" s="1"/>
  <c r="I31" i="10"/>
  <c r="U31" s="1"/>
  <c r="G28" i="46" s="1"/>
  <c r="F28" s="1"/>
  <c r="I30" i="10"/>
  <c r="U30" s="1"/>
  <c r="G27" i="46" s="1"/>
  <c r="F27" s="1"/>
  <c r="I29" i="10"/>
  <c r="U29" s="1"/>
  <c r="G26" i="46" s="1"/>
  <c r="F26" s="1"/>
  <c r="I27" i="10"/>
  <c r="U27" s="1"/>
  <c r="G24" i="46" s="1"/>
  <c r="F24" s="1"/>
  <c r="I25" i="10"/>
  <c r="U25" s="1"/>
  <c r="G23" i="46" s="1"/>
  <c r="F23" s="1"/>
  <c r="I19" i="10"/>
  <c r="U19" s="1"/>
  <c r="G20" i="46" s="1"/>
  <c r="F20" s="1"/>
  <c r="I18" i="10"/>
  <c r="U18" s="1"/>
  <c r="G19" i="46" s="1"/>
  <c r="F19" s="1"/>
  <c r="P73" i="10"/>
  <c r="Q73"/>
  <c r="J34" i="30" l="1"/>
  <c r="L33"/>
  <c r="Q33"/>
  <c r="I25"/>
  <c r="P28"/>
  <c r="P24"/>
  <c r="R26"/>
  <c r="K45"/>
  <c r="K34"/>
  <c r="M45"/>
  <c r="M26"/>
  <c r="J39"/>
  <c r="L53"/>
  <c r="P53"/>
  <c r="M52"/>
  <c r="M44"/>
  <c r="L39"/>
  <c r="N53"/>
  <c r="N31"/>
  <c r="K32"/>
  <c r="K28"/>
  <c r="J41"/>
  <c r="L40"/>
  <c r="O24"/>
  <c r="O44"/>
  <c r="Q49"/>
  <c r="Q53"/>
  <c r="I44"/>
  <c r="I33"/>
  <c r="R53"/>
  <c r="R37"/>
  <c r="K48"/>
  <c r="M51"/>
  <c r="J32"/>
  <c r="J51"/>
  <c r="J43"/>
  <c r="J44"/>
  <c r="J26"/>
  <c r="L28"/>
  <c r="L25"/>
  <c r="L46"/>
  <c r="L31"/>
  <c r="L45"/>
  <c r="O33"/>
  <c r="O48"/>
  <c r="O25"/>
  <c r="O28"/>
  <c r="Q35"/>
  <c r="Q30"/>
  <c r="Q42"/>
  <c r="N50"/>
  <c r="N27"/>
  <c r="N52"/>
  <c r="I24"/>
  <c r="I29"/>
  <c r="I48"/>
  <c r="I35"/>
  <c r="I53"/>
  <c r="P25"/>
  <c r="P27"/>
  <c r="P42"/>
  <c r="P40"/>
  <c r="P44"/>
  <c r="P34"/>
  <c r="R28"/>
  <c r="R33"/>
  <c r="R35"/>
  <c r="K44"/>
  <c r="K31"/>
  <c r="K27"/>
  <c r="K41"/>
  <c r="M30"/>
  <c r="M49"/>
  <c r="M41"/>
  <c r="M46"/>
  <c r="M35"/>
  <c r="L38"/>
  <c r="L34"/>
  <c r="O27"/>
  <c r="Q27"/>
  <c r="N51"/>
  <c r="P46"/>
  <c r="K38"/>
  <c r="K40"/>
  <c r="J42"/>
  <c r="L52"/>
  <c r="L50"/>
  <c r="O37"/>
  <c r="O42"/>
  <c r="Q24"/>
  <c r="N36"/>
  <c r="P31"/>
  <c r="P47"/>
  <c r="K24"/>
  <c r="M36"/>
  <c r="J53"/>
  <c r="J33"/>
  <c r="O53"/>
  <c r="Q52"/>
  <c r="N45"/>
  <c r="I36"/>
  <c r="R38"/>
  <c r="R51"/>
  <c r="J29"/>
  <c r="N24"/>
  <c r="P30"/>
  <c r="R52"/>
  <c r="K35"/>
  <c r="K39"/>
  <c r="M34"/>
  <c r="J27"/>
  <c r="J24"/>
  <c r="J46"/>
  <c r="L36"/>
  <c r="L27"/>
  <c r="L29"/>
  <c r="O30"/>
  <c r="O50"/>
  <c r="Q38"/>
  <c r="Q31"/>
  <c r="N39"/>
  <c r="N29"/>
  <c r="N48"/>
  <c r="N37"/>
  <c r="N41"/>
  <c r="N34"/>
  <c r="I46"/>
  <c r="I45"/>
  <c r="I32"/>
  <c r="I26"/>
  <c r="I52"/>
  <c r="P38"/>
  <c r="P45"/>
  <c r="P26"/>
  <c r="R47"/>
  <c r="R43"/>
  <c r="R49"/>
  <c r="R31"/>
  <c r="R34"/>
  <c r="K49"/>
  <c r="K43"/>
  <c r="K47"/>
  <c r="M28"/>
  <c r="M37"/>
  <c r="M53"/>
  <c r="M25"/>
  <c r="M42"/>
  <c r="M31"/>
  <c r="L37"/>
  <c r="O31"/>
  <c r="O52"/>
  <c r="Q45"/>
  <c r="I38"/>
  <c r="I27"/>
  <c r="R32"/>
  <c r="J25"/>
  <c r="J45"/>
  <c r="L43"/>
  <c r="O40"/>
  <c r="I40"/>
  <c r="R24"/>
  <c r="K37"/>
  <c r="J38"/>
  <c r="J28"/>
  <c r="O34"/>
  <c r="O29"/>
  <c r="Q44"/>
  <c r="Q32"/>
  <c r="N38"/>
  <c r="N32"/>
  <c r="N42"/>
  <c r="I49"/>
  <c r="P36"/>
  <c r="P51"/>
  <c r="R29"/>
  <c r="K30"/>
  <c r="L35"/>
  <c r="L26"/>
  <c r="O39"/>
  <c r="O43"/>
  <c r="Q39"/>
  <c r="Q48"/>
  <c r="I41"/>
  <c r="P50"/>
  <c r="P49"/>
  <c r="R30"/>
  <c r="K33"/>
  <c r="J37"/>
  <c r="J50"/>
  <c r="J36"/>
  <c r="L41"/>
  <c r="L51"/>
  <c r="L44"/>
  <c r="O36"/>
  <c r="O45"/>
  <c r="O41"/>
  <c r="Q41"/>
  <c r="Q37"/>
  <c r="N26"/>
  <c r="N40"/>
  <c r="N49"/>
  <c r="N35"/>
  <c r="N44"/>
  <c r="I30"/>
  <c r="I47"/>
  <c r="I34"/>
  <c r="I51"/>
  <c r="P39"/>
  <c r="P35"/>
  <c r="P32"/>
  <c r="R44"/>
  <c r="R40"/>
  <c r="R46"/>
  <c r="R45"/>
  <c r="K51"/>
  <c r="K50"/>
  <c r="K29"/>
  <c r="M27"/>
  <c r="M33"/>
  <c r="M39"/>
  <c r="M32"/>
  <c r="M47"/>
  <c r="M24"/>
  <c r="J48"/>
  <c r="L49"/>
  <c r="O51"/>
  <c r="Q36"/>
  <c r="Q40"/>
  <c r="N30"/>
  <c r="N25"/>
  <c r="I50"/>
  <c r="I43"/>
  <c r="P41"/>
  <c r="R48"/>
  <c r="K52"/>
  <c r="J40"/>
  <c r="L48"/>
  <c r="O32"/>
  <c r="Q29"/>
  <c r="N28"/>
  <c r="N46"/>
  <c r="I28"/>
  <c r="P43"/>
  <c r="R27"/>
  <c r="K25"/>
  <c r="J35"/>
  <c r="J31"/>
  <c r="J52"/>
  <c r="L47"/>
  <c r="Q51"/>
  <c r="R42"/>
  <c r="K26"/>
  <c r="M48"/>
  <c r="O49"/>
  <c r="Q46"/>
  <c r="Q26"/>
  <c r="Q25"/>
  <c r="N43"/>
  <c r="R50"/>
  <c r="R25"/>
  <c r="K36"/>
  <c r="J30"/>
  <c r="J47"/>
  <c r="J49"/>
  <c r="L24"/>
  <c r="L30"/>
  <c r="L32"/>
  <c r="L42"/>
  <c r="O38"/>
  <c r="O47"/>
  <c r="O26"/>
  <c r="O46"/>
  <c r="O35"/>
  <c r="Q47"/>
  <c r="Q28"/>
  <c r="Q50"/>
  <c r="Q43"/>
  <c r="Q34"/>
  <c r="N33"/>
  <c r="N47"/>
  <c r="I37"/>
  <c r="I31"/>
  <c r="I42"/>
  <c r="I39"/>
  <c r="P52"/>
  <c r="P29"/>
  <c r="P48"/>
  <c r="P33"/>
  <c r="P37"/>
  <c r="R39"/>
  <c r="R41"/>
  <c r="R36"/>
  <c r="K46"/>
  <c r="K53"/>
  <c r="K42"/>
  <c r="M38"/>
  <c r="M50"/>
  <c r="M40"/>
  <c r="M43"/>
  <c r="M29"/>
  <c r="C59" i="47"/>
  <c r="K181" i="29"/>
  <c r="O182"/>
  <c r="R182"/>
  <c r="J182"/>
  <c r="L181"/>
  <c r="J119"/>
  <c r="P182"/>
  <c r="Q181"/>
  <c r="N182"/>
  <c r="I120"/>
  <c r="I181"/>
  <c r="M181"/>
  <c r="I20" i="30"/>
  <c r="J20"/>
  <c r="L19"/>
  <c r="Q21"/>
  <c r="I19"/>
  <c r="M18"/>
  <c r="O20"/>
  <c r="O22"/>
  <c r="R21"/>
  <c r="J19"/>
  <c r="R20"/>
  <c r="R22"/>
  <c r="L22"/>
  <c r="N21"/>
  <c r="O18"/>
  <c r="Q20"/>
  <c r="N20"/>
  <c r="K19"/>
  <c r="K20"/>
  <c r="M21"/>
  <c r="J18"/>
  <c r="P22"/>
  <c r="L18"/>
  <c r="M22"/>
  <c r="J23"/>
  <c r="J21"/>
  <c r="L20"/>
  <c r="O19"/>
  <c r="Q19"/>
  <c r="N19"/>
  <c r="N22"/>
  <c r="I22"/>
  <c r="I21"/>
  <c r="P19"/>
  <c r="R19"/>
  <c r="K23"/>
  <c r="M20"/>
  <c r="P18"/>
  <c r="Q18"/>
  <c r="I18"/>
  <c r="J22"/>
  <c r="Q22"/>
  <c r="K21"/>
  <c r="R18"/>
  <c r="N18"/>
  <c r="O21"/>
  <c r="L21"/>
  <c r="P21"/>
  <c r="K22"/>
  <c r="M19"/>
  <c r="K18"/>
  <c r="K17" i="26"/>
  <c r="K17" i="30"/>
  <c r="M15" i="26"/>
  <c r="M15" i="30"/>
  <c r="Q15" i="26"/>
  <c r="Q15" i="30"/>
  <c r="Q14" i="26"/>
  <c r="Q14" i="30"/>
  <c r="I14" i="26"/>
  <c r="I14" i="30"/>
  <c r="M13" i="26"/>
  <c r="M13" i="30"/>
  <c r="M14" i="26"/>
  <c r="M14" i="30"/>
  <c r="L17" i="26"/>
  <c r="L17" i="30"/>
  <c r="N17" i="26"/>
  <c r="N17" i="30"/>
  <c r="M16" i="26"/>
  <c r="M16" i="30"/>
  <c r="J17" i="26"/>
  <c r="J17" i="30"/>
  <c r="L13" i="26"/>
  <c r="L13" i="30"/>
  <c r="O14" i="26"/>
  <c r="O14" i="30"/>
  <c r="I23" i="26"/>
  <c r="I23" i="30"/>
  <c r="P14" i="26"/>
  <c r="P14" i="30"/>
  <c r="R16" i="26"/>
  <c r="R16" i="30"/>
  <c r="K14" i="26"/>
  <c r="K14" i="30"/>
  <c r="K13" i="26"/>
  <c r="K13" i="30"/>
  <c r="I17" i="26"/>
  <c r="J16"/>
  <c r="J16" i="30"/>
  <c r="L16" i="26"/>
  <c r="L16" i="30"/>
  <c r="O13" i="26"/>
  <c r="O13" i="30"/>
  <c r="I15" i="26"/>
  <c r="I15" i="30"/>
  <c r="R17" i="26"/>
  <c r="R17" i="30"/>
  <c r="K16" i="26"/>
  <c r="K16" i="30"/>
  <c r="O17" i="26"/>
  <c r="O17" i="30"/>
  <c r="M17" i="26"/>
  <c r="M17" i="30"/>
  <c r="L15" i="26"/>
  <c r="L15" i="30"/>
  <c r="O23" i="26"/>
  <c r="O23" i="30"/>
  <c r="O16" i="26"/>
  <c r="O16" i="30"/>
  <c r="Q13" i="26"/>
  <c r="Q13" i="30"/>
  <c r="N23" i="26"/>
  <c r="N23" i="30"/>
  <c r="P23" i="26"/>
  <c r="P23" i="30"/>
  <c r="K15" i="26"/>
  <c r="K15" i="30"/>
  <c r="M23" i="26"/>
  <c r="M23" i="30"/>
  <c r="P17" i="26"/>
  <c r="P17" i="30"/>
  <c r="N13" i="26"/>
  <c r="N13" i="30"/>
  <c r="Q16" i="26"/>
  <c r="Q16" i="30"/>
  <c r="N16" i="26"/>
  <c r="N16" i="30"/>
  <c r="P19" i="26"/>
  <c r="P20" i="30"/>
  <c r="J13" i="26"/>
  <c r="J13" i="30"/>
  <c r="O15" i="26"/>
  <c r="O15" i="30"/>
  <c r="N15" i="26"/>
  <c r="N15" i="30"/>
  <c r="I13" i="26"/>
  <c r="I13" i="30"/>
  <c r="P13" i="26"/>
  <c r="P13" i="30"/>
  <c r="P15" i="26"/>
  <c r="P15" i="30"/>
  <c r="R15" i="26"/>
  <c r="R15" i="30"/>
  <c r="R13" i="26"/>
  <c r="R13" i="30"/>
  <c r="J14" i="26"/>
  <c r="J14" i="30"/>
  <c r="P16" i="26"/>
  <c r="P16" i="30"/>
  <c r="J15" i="26"/>
  <c r="J15" i="30"/>
  <c r="L14" i="26"/>
  <c r="L14" i="30"/>
  <c r="L23" i="26"/>
  <c r="L23" i="30"/>
  <c r="Q23" i="26"/>
  <c r="Q23" i="30"/>
  <c r="Q17" i="26"/>
  <c r="Q17" i="30"/>
  <c r="N14" i="26"/>
  <c r="N14" i="30"/>
  <c r="I16" i="26"/>
  <c r="I16" i="30"/>
  <c r="R23" i="26"/>
  <c r="R23" i="30"/>
  <c r="R14" i="26"/>
  <c r="R14" i="30"/>
  <c r="J18" i="26"/>
  <c r="Q21"/>
  <c r="I21"/>
  <c r="K20"/>
  <c r="L18"/>
  <c r="O18"/>
  <c r="N20"/>
  <c r="J20"/>
  <c r="L19"/>
  <c r="Q18"/>
  <c r="P18"/>
  <c r="N21"/>
  <c r="I19"/>
  <c r="R21"/>
  <c r="N18"/>
  <c r="I20"/>
  <c r="R18"/>
  <c r="M19"/>
  <c r="O21"/>
  <c r="L21"/>
  <c r="P21"/>
  <c r="K22"/>
  <c r="K23"/>
  <c r="J22"/>
  <c r="J23"/>
  <c r="I22"/>
  <c r="O22"/>
  <c r="N22"/>
  <c r="P22"/>
  <c r="M22"/>
  <c r="L22"/>
  <c r="R22"/>
  <c r="Q22"/>
  <c r="K21"/>
  <c r="J21"/>
  <c r="M21"/>
  <c r="R20"/>
  <c r="L20"/>
  <c r="P20"/>
  <c r="M20"/>
  <c r="J19"/>
  <c r="O20"/>
  <c r="Q20"/>
  <c r="O19"/>
  <c r="R19"/>
  <c r="Q19"/>
  <c r="N19"/>
  <c r="K19"/>
  <c r="M18"/>
  <c r="K18"/>
  <c r="I18"/>
  <c r="Q39" i="10"/>
  <c r="G156" i="29" s="1"/>
  <c r="F156" s="1"/>
  <c r="P39" i="10"/>
  <c r="G94" i="29" s="1"/>
  <c r="F94" s="1"/>
  <c r="Q19" i="10"/>
  <c r="G141" i="29" s="1"/>
  <c r="F141" s="1"/>
  <c r="P19" i="10"/>
  <c r="G79" i="29" s="1"/>
  <c r="F79" s="1"/>
  <c r="Q34" i="10"/>
  <c r="G151" i="29" s="1"/>
  <c r="F151" s="1"/>
  <c r="P34" i="10"/>
  <c r="G89" i="29" s="1"/>
  <c r="F89" s="1"/>
  <c r="Q49" i="10"/>
  <c r="G161" i="29" s="1"/>
  <c r="F161" s="1"/>
  <c r="P49" i="10"/>
  <c r="G99" i="29" s="1"/>
  <c r="F99" s="1"/>
  <c r="P47" i="10"/>
  <c r="G98" i="29" s="1"/>
  <c r="F98" s="1"/>
  <c r="Q47" i="10"/>
  <c r="G160" i="29" s="1"/>
  <c r="F160" s="1"/>
  <c r="Q31" i="10"/>
  <c r="G149" i="29" s="1"/>
  <c r="F149" s="1"/>
  <c r="P31" i="10"/>
  <c r="G87" i="29" s="1"/>
  <c r="F87" s="1"/>
  <c r="Q27" i="10"/>
  <c r="G145" i="29" s="1"/>
  <c r="F145" s="1"/>
  <c r="P27" i="10"/>
  <c r="G83" i="29" s="1"/>
  <c r="F83" s="1"/>
  <c r="P54" i="10"/>
  <c r="G104" i="29" s="1"/>
  <c r="F104" s="1"/>
  <c r="Q54" i="10"/>
  <c r="G166" i="29" s="1"/>
  <c r="F166" s="1"/>
  <c r="P25" i="10"/>
  <c r="G82" i="29" s="1"/>
  <c r="F82" s="1"/>
  <c r="Q25" i="10"/>
  <c r="G144" i="29" s="1"/>
  <c r="F144" s="1"/>
  <c r="Q36" i="10"/>
  <c r="G153" i="29" s="1"/>
  <c r="F153" s="1"/>
  <c r="P36" i="10"/>
  <c r="G91" i="29" s="1"/>
  <c r="F91" s="1"/>
  <c r="Q53" i="10"/>
  <c r="G165" i="29" s="1"/>
  <c r="F165" s="1"/>
  <c r="P53" i="10"/>
  <c r="G103" i="29" s="1"/>
  <c r="F103" s="1"/>
  <c r="Q35" i="10"/>
  <c r="G152" i="29" s="1"/>
  <c r="F152" s="1"/>
  <c r="P35" i="10"/>
  <c r="G90" i="29" s="1"/>
  <c r="F90" s="1"/>
  <c r="P50" i="10"/>
  <c r="G100" i="29" s="1"/>
  <c r="F100" s="1"/>
  <c r="Q50" i="10"/>
  <c r="G162" i="29" s="1"/>
  <c r="F162" s="1"/>
  <c r="P33" i="10"/>
  <c r="G88" i="29" s="1"/>
  <c r="F88" s="1"/>
  <c r="Q33" i="10"/>
  <c r="G150" i="29" s="1"/>
  <c r="F150" s="1"/>
  <c r="Q61" i="10"/>
  <c r="G171" i="29" s="1"/>
  <c r="F171" s="1"/>
  <c r="P61" i="10"/>
  <c r="G109" i="29" s="1"/>
  <c r="F109" s="1"/>
  <c r="Q30" i="10"/>
  <c r="G148" i="29" s="1"/>
  <c r="F148" s="1"/>
  <c r="P30" i="10"/>
  <c r="G86" i="29" s="1"/>
  <c r="F86" s="1"/>
  <c r="Q56" i="10"/>
  <c r="G168" i="29" s="1"/>
  <c r="F168" s="1"/>
  <c r="P56" i="10"/>
  <c r="G106" i="29" s="1"/>
  <c r="F106" s="1"/>
  <c r="G131" i="26"/>
  <c r="F131" s="1"/>
  <c r="G139"/>
  <c r="F139" s="1"/>
  <c r="G147"/>
  <c r="F147" s="1"/>
  <c r="G155"/>
  <c r="F155" s="1"/>
  <c r="G163"/>
  <c r="F163" s="1"/>
  <c r="G77"/>
  <c r="F77" s="1"/>
  <c r="G85"/>
  <c r="F85" s="1"/>
  <c r="G93"/>
  <c r="F93" s="1"/>
  <c r="G101"/>
  <c r="F101" s="1"/>
  <c r="G109"/>
  <c r="F109" s="1"/>
  <c r="G25"/>
  <c r="F25" s="1"/>
  <c r="G33"/>
  <c r="F33" s="1"/>
  <c r="G41"/>
  <c r="F41" s="1"/>
  <c r="G49"/>
  <c r="F49" s="1"/>
  <c r="G57"/>
  <c r="F57" s="1"/>
  <c r="D53"/>
  <c r="D45"/>
  <c r="D37"/>
  <c r="D29"/>
  <c r="G152"/>
  <c r="F152" s="1"/>
  <c r="G82"/>
  <c r="F82" s="1"/>
  <c r="G98"/>
  <c r="F98" s="1"/>
  <c r="G22"/>
  <c r="G54"/>
  <c r="F54" s="1"/>
  <c r="D40"/>
  <c r="D24"/>
  <c r="G143"/>
  <c r="F143" s="1"/>
  <c r="G167"/>
  <c r="F167" s="1"/>
  <c r="G89"/>
  <c r="F89" s="1"/>
  <c r="G105"/>
  <c r="F105" s="1"/>
  <c r="G37"/>
  <c r="F37" s="1"/>
  <c r="G53"/>
  <c r="F53" s="1"/>
  <c r="D41"/>
  <c r="G142"/>
  <c r="F142" s="1"/>
  <c r="G44"/>
  <c r="F44" s="1"/>
  <c r="D42"/>
  <c r="G130"/>
  <c r="F130" s="1"/>
  <c r="G138"/>
  <c r="F138" s="1"/>
  <c r="G146"/>
  <c r="F146" s="1"/>
  <c r="G154"/>
  <c r="F154" s="1"/>
  <c r="G162"/>
  <c r="F162" s="1"/>
  <c r="G76"/>
  <c r="F76" s="1"/>
  <c r="G84"/>
  <c r="F84" s="1"/>
  <c r="G92"/>
  <c r="F92" s="1"/>
  <c r="G100"/>
  <c r="F100" s="1"/>
  <c r="G108"/>
  <c r="F108" s="1"/>
  <c r="G24"/>
  <c r="F24" s="1"/>
  <c r="G32"/>
  <c r="F32" s="1"/>
  <c r="G40"/>
  <c r="F40" s="1"/>
  <c r="G48"/>
  <c r="F48" s="1"/>
  <c r="G56"/>
  <c r="F56" s="1"/>
  <c r="D54"/>
  <c r="D46"/>
  <c r="D38"/>
  <c r="D30"/>
  <c r="G128"/>
  <c r="F128" s="1"/>
  <c r="G144"/>
  <c r="F144" s="1"/>
  <c r="G90"/>
  <c r="F90" s="1"/>
  <c r="G106"/>
  <c r="F106" s="1"/>
  <c r="G30"/>
  <c r="F30" s="1"/>
  <c r="G46"/>
  <c r="F46" s="1"/>
  <c r="D48"/>
  <c r="G159"/>
  <c r="F159" s="1"/>
  <c r="G81"/>
  <c r="F81" s="1"/>
  <c r="G97"/>
  <c r="F97" s="1"/>
  <c r="G29"/>
  <c r="F29" s="1"/>
  <c r="G45"/>
  <c r="F45" s="1"/>
  <c r="D49"/>
  <c r="D25"/>
  <c r="G150"/>
  <c r="F150" s="1"/>
  <c r="G80"/>
  <c r="F80" s="1"/>
  <c r="G104"/>
  <c r="F104" s="1"/>
  <c r="G52"/>
  <c r="F52" s="1"/>
  <c r="D34"/>
  <c r="G129"/>
  <c r="F129" s="1"/>
  <c r="G137"/>
  <c r="F137" s="1"/>
  <c r="G145"/>
  <c r="F145" s="1"/>
  <c r="G153"/>
  <c r="F153" s="1"/>
  <c r="G161"/>
  <c r="F161" s="1"/>
  <c r="G75"/>
  <c r="F75" s="1"/>
  <c r="G83"/>
  <c r="F83" s="1"/>
  <c r="G91"/>
  <c r="F91" s="1"/>
  <c r="G99"/>
  <c r="F99" s="1"/>
  <c r="G107"/>
  <c r="F107" s="1"/>
  <c r="G23"/>
  <c r="G31"/>
  <c r="F31" s="1"/>
  <c r="G39"/>
  <c r="F39" s="1"/>
  <c r="G47"/>
  <c r="F47" s="1"/>
  <c r="G55"/>
  <c r="F55" s="1"/>
  <c r="D55"/>
  <c r="D47"/>
  <c r="D39"/>
  <c r="D31"/>
  <c r="D23"/>
  <c r="G136"/>
  <c r="F136" s="1"/>
  <c r="G160"/>
  <c r="F160" s="1"/>
  <c r="G74"/>
  <c r="F74" s="1"/>
  <c r="G38"/>
  <c r="F38" s="1"/>
  <c r="D56"/>
  <c r="D32"/>
  <c r="G135"/>
  <c r="F135" s="1"/>
  <c r="G151"/>
  <c r="F151" s="1"/>
  <c r="G73"/>
  <c r="G21"/>
  <c r="D57"/>
  <c r="D33"/>
  <c r="G134"/>
  <c r="F134" s="1"/>
  <c r="G158"/>
  <c r="F158" s="1"/>
  <c r="G88"/>
  <c r="F88" s="1"/>
  <c r="G112"/>
  <c r="F112" s="1"/>
  <c r="G20"/>
  <c r="D50"/>
  <c r="G133"/>
  <c r="F133" s="1"/>
  <c r="G141"/>
  <c r="F141" s="1"/>
  <c r="G149"/>
  <c r="F149" s="1"/>
  <c r="G157"/>
  <c r="F157" s="1"/>
  <c r="G165"/>
  <c r="F165" s="1"/>
  <c r="G79"/>
  <c r="F79" s="1"/>
  <c r="G87"/>
  <c r="F87" s="1"/>
  <c r="G95"/>
  <c r="F95" s="1"/>
  <c r="G103"/>
  <c r="F103" s="1"/>
  <c r="G111"/>
  <c r="F111" s="1"/>
  <c r="G19"/>
  <c r="G27"/>
  <c r="F27" s="1"/>
  <c r="G35"/>
  <c r="F35" s="1"/>
  <c r="G43"/>
  <c r="F43" s="1"/>
  <c r="G51"/>
  <c r="F51" s="1"/>
  <c r="D51"/>
  <c r="D43"/>
  <c r="D35"/>
  <c r="D27"/>
  <c r="G132"/>
  <c r="F132" s="1"/>
  <c r="G140"/>
  <c r="F140" s="1"/>
  <c r="G148"/>
  <c r="F148" s="1"/>
  <c r="G156"/>
  <c r="F156" s="1"/>
  <c r="G164"/>
  <c r="F164" s="1"/>
  <c r="G78"/>
  <c r="F78" s="1"/>
  <c r="G86"/>
  <c r="F86" s="1"/>
  <c r="G94"/>
  <c r="F94" s="1"/>
  <c r="G102"/>
  <c r="F102" s="1"/>
  <c r="G110"/>
  <c r="F110" s="1"/>
  <c r="G18"/>
  <c r="G26"/>
  <c r="F26" s="1"/>
  <c r="G34"/>
  <c r="F34" s="1"/>
  <c r="G42"/>
  <c r="F42" s="1"/>
  <c r="G50"/>
  <c r="F50" s="1"/>
  <c r="D52"/>
  <c r="D44"/>
  <c r="D36"/>
  <c r="D28"/>
  <c r="G166"/>
  <c r="F166" s="1"/>
  <c r="G96"/>
  <c r="F96" s="1"/>
  <c r="G28"/>
  <c r="F28" s="1"/>
  <c r="G36"/>
  <c r="F36" s="1"/>
  <c r="D26"/>
  <c r="A40" i="24"/>
  <c r="A20" i="22"/>
  <c r="A36"/>
  <c r="A18" i="15"/>
  <c r="A42"/>
  <c r="A40" i="3"/>
  <c r="A30" i="2"/>
  <c r="A20" i="3"/>
  <c r="A40" i="23"/>
  <c r="A41" i="2"/>
  <c r="A20" i="23"/>
  <c r="A36"/>
  <c r="A41" i="15"/>
  <c r="A18" i="23"/>
  <c r="A20" i="24"/>
  <c r="A41" i="23"/>
  <c r="A30" i="15"/>
  <c r="A36" i="3"/>
  <c r="A42" i="2"/>
  <c r="A30" i="24"/>
  <c r="A18" i="22"/>
  <c r="A42"/>
  <c r="A40" i="15"/>
  <c r="A30" i="3"/>
  <c r="A20" i="2"/>
  <c r="A36"/>
  <c r="A42" i="23"/>
  <c r="A41" i="22"/>
  <c r="A36" i="24"/>
  <c r="A40" i="22"/>
  <c r="A18" i="2"/>
  <c r="A18" i="24"/>
  <c r="A42"/>
  <c r="A30" i="22"/>
  <c r="A20" i="15"/>
  <c r="A36"/>
  <c r="A18" i="3"/>
  <c r="A42"/>
  <c r="A40" i="2"/>
  <c r="A41" i="24"/>
  <c r="A30" i="23"/>
  <c r="A41" i="3"/>
  <c r="D18" i="26"/>
  <c r="D22"/>
  <c r="D20"/>
  <c r="D21"/>
  <c r="D19"/>
  <c r="Q44" i="10"/>
  <c r="G159" i="29" s="1"/>
  <c r="F159" s="1"/>
  <c r="P44" i="10"/>
  <c r="G97" i="29" s="1"/>
  <c r="F97" s="1"/>
  <c r="P41" i="10"/>
  <c r="G96" i="29" s="1"/>
  <c r="F96" s="1"/>
  <c r="Q41" i="10"/>
  <c r="G158" i="29" s="1"/>
  <c r="F158" s="1"/>
  <c r="Q29" i="10"/>
  <c r="G147" i="29" s="1"/>
  <c r="F147" s="1"/>
  <c r="P29" i="10"/>
  <c r="G85" i="29" s="1"/>
  <c r="F85" s="1"/>
  <c r="Q40" i="10"/>
  <c r="G157" i="29" s="1"/>
  <c r="F157" s="1"/>
  <c r="P40" i="10"/>
  <c r="G95" i="29" s="1"/>
  <c r="F95" s="1"/>
  <c r="Q55" i="10"/>
  <c r="G167" i="29" s="1"/>
  <c r="F167" s="1"/>
  <c r="P55" i="10"/>
  <c r="G105" i="29" s="1"/>
  <c r="F105" s="1"/>
  <c r="Q18" i="10"/>
  <c r="G140" i="29" s="1"/>
  <c r="F140" s="1"/>
  <c r="P18" i="10"/>
  <c r="G78" i="29" s="1"/>
  <c r="F124" i="26"/>
  <c r="F126"/>
  <c r="F125"/>
  <c r="F127"/>
  <c r="G5" i="3"/>
  <c r="G35" i="17"/>
  <c r="G28"/>
  <c r="G20"/>
  <c r="G30"/>
  <c r="G38"/>
  <c r="D31"/>
  <c r="G36"/>
  <c r="G29"/>
  <c r="G21"/>
  <c r="G37"/>
  <c r="G22"/>
  <c r="G23"/>
  <c r="G31"/>
  <c r="G24"/>
  <c r="G26"/>
  <c r="G27"/>
  <c r="G32"/>
  <c r="G25"/>
  <c r="G33"/>
  <c r="G18"/>
  <c r="G34"/>
  <c r="G19"/>
  <c r="D25"/>
  <c r="D32"/>
  <c r="D35"/>
  <c r="D37"/>
  <c r="D26"/>
  <c r="D24"/>
  <c r="D29"/>
  <c r="D34"/>
  <c r="D38"/>
  <c r="D36"/>
  <c r="D27"/>
  <c r="D28"/>
  <c r="D23"/>
  <c r="D30"/>
  <c r="D33"/>
  <c r="D18"/>
  <c r="D19"/>
  <c r="D21"/>
  <c r="D22"/>
  <c r="D20"/>
  <c r="G143"/>
  <c r="G88"/>
  <c r="B134"/>
  <c r="B142"/>
  <c r="B131"/>
  <c r="B139"/>
  <c r="B145"/>
  <c r="B132"/>
  <c r="B146"/>
  <c r="B140"/>
  <c r="B133"/>
  <c r="B138"/>
  <c r="B137"/>
  <c r="B143"/>
  <c r="B130"/>
  <c r="B128"/>
  <c r="B135"/>
  <c r="B147"/>
  <c r="B129"/>
  <c r="B144"/>
  <c r="B136"/>
  <c r="B141"/>
  <c r="B148"/>
  <c r="G83"/>
  <c r="G136"/>
  <c r="G91"/>
  <c r="B165"/>
  <c r="B157"/>
  <c r="B149"/>
  <c r="B166"/>
  <c r="B158"/>
  <c r="B150"/>
  <c r="B162"/>
  <c r="B154"/>
  <c r="B167"/>
  <c r="B155"/>
  <c r="B164"/>
  <c r="B163"/>
  <c r="B156"/>
  <c r="B151"/>
  <c r="B159"/>
  <c r="B160"/>
  <c r="B152"/>
  <c r="B161"/>
  <c r="B153"/>
  <c r="G54"/>
  <c r="G46"/>
  <c r="G111"/>
  <c r="G107"/>
  <c r="G101"/>
  <c r="D56"/>
  <c r="G50"/>
  <c r="G112"/>
  <c r="G110"/>
  <c r="G108"/>
  <c r="G102"/>
  <c r="G100"/>
  <c r="G96"/>
  <c r="G94"/>
  <c r="G41"/>
  <c r="G40"/>
  <c r="G56"/>
  <c r="D55"/>
  <c r="G51"/>
  <c r="G166"/>
  <c r="G42"/>
  <c r="G53"/>
  <c r="G48"/>
  <c r="G47"/>
  <c r="G154"/>
  <c r="G44"/>
  <c r="G52"/>
  <c r="D57"/>
  <c r="G45"/>
  <c r="G57"/>
  <c r="G55"/>
  <c r="G95"/>
  <c r="G49"/>
  <c r="G39"/>
  <c r="G167"/>
  <c r="G43"/>
  <c r="G165"/>
  <c r="G160"/>
  <c r="G72"/>
  <c r="G93"/>
  <c r="G147"/>
  <c r="G135"/>
  <c r="G78"/>
  <c r="G77"/>
  <c r="G141"/>
  <c r="G137"/>
  <c r="G90"/>
  <c r="G87"/>
  <c r="G75"/>
  <c r="G140"/>
  <c r="G73"/>
  <c r="G129"/>
  <c r="G139"/>
  <c r="G163"/>
  <c r="I10" i="10"/>
  <c r="I13"/>
  <c r="U13" s="1"/>
  <c r="G16" i="46" s="1"/>
  <c r="F16" s="1"/>
  <c r="I14" i="10"/>
  <c r="U14" s="1"/>
  <c r="G17" i="46" s="1"/>
  <c r="F17" s="1"/>
  <c r="I23" i="10"/>
  <c r="U23" s="1"/>
  <c r="G22" i="46" s="1"/>
  <c r="F22" s="1"/>
  <c r="I28" i="10"/>
  <c r="U28" s="1"/>
  <c r="G25" i="46" s="1"/>
  <c r="F25" s="1"/>
  <c r="I38" i="10"/>
  <c r="U38" s="1"/>
  <c r="G34" i="46" s="1"/>
  <c r="F34" s="1"/>
  <c r="I51" i="10"/>
  <c r="U51" s="1"/>
  <c r="G42" i="46" s="1"/>
  <c r="F42" s="1"/>
  <c r="I57" i="10"/>
  <c r="U57" s="1"/>
  <c r="G48" i="46" s="1"/>
  <c r="F48" s="1"/>
  <c r="I58" i="10"/>
  <c r="U58" s="1"/>
  <c r="G49" i="46" s="1"/>
  <c r="F49" s="1"/>
  <c r="I65" i="10"/>
  <c r="U65" s="1"/>
  <c r="G51" i="46" s="1"/>
  <c r="F51" s="1"/>
  <c r="I9" i="10"/>
  <c r="U9" s="1"/>
  <c r="G14" i="46" s="1"/>
  <c r="F29" i="30" l="1"/>
  <c r="F49"/>
  <c r="F47"/>
  <c r="F41"/>
  <c r="F46"/>
  <c r="F25"/>
  <c r="F37"/>
  <c r="F30"/>
  <c r="F38"/>
  <c r="F53"/>
  <c r="F34"/>
  <c r="F39"/>
  <c r="F42"/>
  <c r="F44"/>
  <c r="F33"/>
  <c r="F52"/>
  <c r="F50"/>
  <c r="F35"/>
  <c r="F48"/>
  <c r="F36"/>
  <c r="F26"/>
  <c r="F32"/>
  <c r="F27"/>
  <c r="F24"/>
  <c r="F31"/>
  <c r="F51"/>
  <c r="F45"/>
  <c r="F28"/>
  <c r="F40"/>
  <c r="F43"/>
  <c r="P10" i="10"/>
  <c r="G74" i="29" s="1"/>
  <c r="F74" s="1"/>
  <c r="U10" i="10"/>
  <c r="G15" i="46" s="1"/>
  <c r="F15" s="1"/>
  <c r="F14"/>
  <c r="C60" i="47"/>
  <c r="C63" s="1"/>
  <c r="F18" i="30"/>
  <c r="F21"/>
  <c r="F22"/>
  <c r="F19"/>
  <c r="F20"/>
  <c r="F14" i="26"/>
  <c r="F13"/>
  <c r="F17"/>
  <c r="F16"/>
  <c r="F15"/>
  <c r="F15" i="30"/>
  <c r="F16"/>
  <c r="F14"/>
  <c r="I59"/>
  <c r="I60"/>
  <c r="F13"/>
  <c r="F23"/>
  <c r="Q59"/>
  <c r="Q60"/>
  <c r="K60"/>
  <c r="K59"/>
  <c r="M59"/>
  <c r="M60"/>
  <c r="O60"/>
  <c r="O59"/>
  <c r="F17"/>
  <c r="R59"/>
  <c r="R60"/>
  <c r="P60"/>
  <c r="P59"/>
  <c r="J59"/>
  <c r="J60"/>
  <c r="N60"/>
  <c r="N59"/>
  <c r="L59"/>
  <c r="L60"/>
  <c r="P9" i="10"/>
  <c r="G73" i="29" s="1"/>
  <c r="Q9" i="10"/>
  <c r="G135" i="29" s="1"/>
  <c r="J60" i="26"/>
  <c r="F23"/>
  <c r="N59"/>
  <c r="P60"/>
  <c r="N60"/>
  <c r="R60"/>
  <c r="P59"/>
  <c r="Q59"/>
  <c r="L59"/>
  <c r="H60"/>
  <c r="O60"/>
  <c r="I60"/>
  <c r="I59"/>
  <c r="F22"/>
  <c r="Q60"/>
  <c r="L60"/>
  <c r="F21"/>
  <c r="M59"/>
  <c r="K59"/>
  <c r="J59"/>
  <c r="M60"/>
  <c r="R59"/>
  <c r="F20"/>
  <c r="O59"/>
  <c r="H59"/>
  <c r="F19"/>
  <c r="K60"/>
  <c r="F18"/>
  <c r="C44"/>
  <c r="D154"/>
  <c r="C154" s="1"/>
  <c r="D99"/>
  <c r="C99" s="1"/>
  <c r="P58" i="10"/>
  <c r="G108" i="29" s="1"/>
  <c r="F108" s="1"/>
  <c r="Q58" i="10"/>
  <c r="G170" i="29" s="1"/>
  <c r="F170" s="1"/>
  <c r="Q10" i="10"/>
  <c r="G136" i="29" s="1"/>
  <c r="F136" s="1"/>
  <c r="C28" i="26"/>
  <c r="D138"/>
  <c r="C138" s="1"/>
  <c r="D83"/>
  <c r="C83" s="1"/>
  <c r="D164"/>
  <c r="C164" s="1"/>
  <c r="D109"/>
  <c r="C109" s="1"/>
  <c r="C54"/>
  <c r="Q23" i="10"/>
  <c r="G143" i="29" s="1"/>
  <c r="F143" s="1"/>
  <c r="P23" i="10"/>
  <c r="G81" i="29" s="1"/>
  <c r="F81" s="1"/>
  <c r="D75" i="26"/>
  <c r="D130"/>
  <c r="D98"/>
  <c r="C98" s="1"/>
  <c r="D153"/>
  <c r="C153" s="1"/>
  <c r="C43"/>
  <c r="D87"/>
  <c r="C87" s="1"/>
  <c r="C32"/>
  <c r="D142"/>
  <c r="C142" s="1"/>
  <c r="D149"/>
  <c r="C149" s="1"/>
  <c r="C39"/>
  <c r="D94"/>
  <c r="C94" s="1"/>
  <c r="C34"/>
  <c r="D89"/>
  <c r="C89" s="1"/>
  <c r="D144"/>
  <c r="C144" s="1"/>
  <c r="D156"/>
  <c r="C156" s="1"/>
  <c r="D101"/>
  <c r="C101" s="1"/>
  <c r="C46"/>
  <c r="D97"/>
  <c r="C97" s="1"/>
  <c r="D152"/>
  <c r="C152" s="1"/>
  <c r="C42"/>
  <c r="Q57" i="10"/>
  <c r="P57"/>
  <c r="D139" i="26"/>
  <c r="C139" s="1"/>
  <c r="D84"/>
  <c r="C84" s="1"/>
  <c r="C29"/>
  <c r="Q65" i="10"/>
  <c r="G172" i="29" s="1"/>
  <c r="F172" s="1"/>
  <c r="P65" i="10"/>
  <c r="G110" i="29" s="1"/>
  <c r="F110" s="1"/>
  <c r="Q13" i="10"/>
  <c r="G137" i="29" s="1"/>
  <c r="F137" s="1"/>
  <c r="P13" i="10"/>
  <c r="G75" i="29" s="1"/>
  <c r="F75" s="1"/>
  <c r="G60" i="26"/>
  <c r="G59"/>
  <c r="D136"/>
  <c r="C136" s="1"/>
  <c r="C26"/>
  <c r="D81"/>
  <c r="C81" s="1"/>
  <c r="C47"/>
  <c r="D102"/>
  <c r="C102" s="1"/>
  <c r="D157"/>
  <c r="C157" s="1"/>
  <c r="D74"/>
  <c r="D129"/>
  <c r="D131"/>
  <c r="D76"/>
  <c r="D90"/>
  <c r="C90" s="1"/>
  <c r="C35"/>
  <c r="D145"/>
  <c r="C145" s="1"/>
  <c r="D141"/>
  <c r="C141" s="1"/>
  <c r="C31"/>
  <c r="D86"/>
  <c r="C86" s="1"/>
  <c r="D148"/>
  <c r="C148" s="1"/>
  <c r="C38"/>
  <c r="D93"/>
  <c r="C93" s="1"/>
  <c r="D163"/>
  <c r="C163" s="1"/>
  <c r="D108"/>
  <c r="C108" s="1"/>
  <c r="C53"/>
  <c r="D135"/>
  <c r="C135" s="1"/>
  <c r="C25"/>
  <c r="D80"/>
  <c r="C80" s="1"/>
  <c r="D143"/>
  <c r="C143" s="1"/>
  <c r="C33"/>
  <c r="D88"/>
  <c r="C88" s="1"/>
  <c r="P14" i="10"/>
  <c r="G76" i="29" s="1"/>
  <c r="F76" s="1"/>
  <c r="Q14" i="10"/>
  <c r="G138" i="29" s="1"/>
  <c r="F138" s="1"/>
  <c r="D106" i="26"/>
  <c r="C106" s="1"/>
  <c r="D161"/>
  <c r="C161" s="1"/>
  <c r="C51"/>
  <c r="D111"/>
  <c r="C111" s="1"/>
  <c r="D166"/>
  <c r="C166" s="1"/>
  <c r="C56"/>
  <c r="Q28" i="10"/>
  <c r="G146" i="29" s="1"/>
  <c r="F146" s="1"/>
  <c r="P28" i="10"/>
  <c r="G84" i="29" s="1"/>
  <c r="F84" s="1"/>
  <c r="Q38" i="10"/>
  <c r="G155" i="29" s="1"/>
  <c r="F155" s="1"/>
  <c r="P38" i="10"/>
  <c r="G93" i="29" s="1"/>
  <c r="F93" s="1"/>
  <c r="D82" i="26"/>
  <c r="C82" s="1"/>
  <c r="D137"/>
  <c r="C137" s="1"/>
  <c r="C27"/>
  <c r="D160"/>
  <c r="C160" s="1"/>
  <c r="D105"/>
  <c r="C105" s="1"/>
  <c r="C50"/>
  <c r="D78"/>
  <c r="D133"/>
  <c r="D103"/>
  <c r="C103" s="1"/>
  <c r="C48"/>
  <c r="D158"/>
  <c r="C158" s="1"/>
  <c r="D140"/>
  <c r="C140" s="1"/>
  <c r="D85"/>
  <c r="C85" s="1"/>
  <c r="C30"/>
  <c r="D95"/>
  <c r="C95" s="1"/>
  <c r="D150"/>
  <c r="C150" s="1"/>
  <c r="C40"/>
  <c r="D155"/>
  <c r="C155" s="1"/>
  <c r="C45"/>
  <c r="D100"/>
  <c r="C100" s="1"/>
  <c r="G169"/>
  <c r="G170"/>
  <c r="D128"/>
  <c r="C128" s="1"/>
  <c r="D73"/>
  <c r="C73" s="1"/>
  <c r="C18"/>
  <c r="C36"/>
  <c r="D91"/>
  <c r="C91" s="1"/>
  <c r="D146"/>
  <c r="C146" s="1"/>
  <c r="D167"/>
  <c r="C167" s="1"/>
  <c r="C57"/>
  <c r="D112"/>
  <c r="C112" s="1"/>
  <c r="D132"/>
  <c r="D77"/>
  <c r="C55"/>
  <c r="D165"/>
  <c r="C165" s="1"/>
  <c r="D110"/>
  <c r="C110" s="1"/>
  <c r="P51" i="10"/>
  <c r="Q51"/>
  <c r="G163" i="29" s="1"/>
  <c r="F163" s="1"/>
  <c r="D162" i="26"/>
  <c r="C162" s="1"/>
  <c r="C52"/>
  <c r="D107"/>
  <c r="C107" s="1"/>
  <c r="G115"/>
  <c r="F115" s="1"/>
  <c r="G114"/>
  <c r="F114" s="1"/>
  <c r="F73"/>
  <c r="D159"/>
  <c r="C159" s="1"/>
  <c r="C49"/>
  <c r="D104"/>
  <c r="C104" s="1"/>
  <c r="C41"/>
  <c r="D96"/>
  <c r="C96" s="1"/>
  <c r="D151"/>
  <c r="C151" s="1"/>
  <c r="D79"/>
  <c r="C79" s="1"/>
  <c r="D134"/>
  <c r="C134" s="1"/>
  <c r="C24"/>
  <c r="D147"/>
  <c r="C147" s="1"/>
  <c r="D92"/>
  <c r="C92" s="1"/>
  <c r="C37"/>
  <c r="H170"/>
  <c r="H169"/>
  <c r="F123"/>
  <c r="O144" i="17"/>
  <c r="H169"/>
  <c r="K146"/>
  <c r="J146"/>
  <c r="L146"/>
  <c r="K143"/>
  <c r="R145"/>
  <c r="L143"/>
  <c r="Q143"/>
  <c r="J143"/>
  <c r="J145"/>
  <c r="Q146"/>
  <c r="R146"/>
  <c r="R143"/>
  <c r="N143"/>
  <c r="O143"/>
  <c r="I143"/>
  <c r="M143"/>
  <c r="P143"/>
  <c r="I144"/>
  <c r="M144"/>
  <c r="K144"/>
  <c r="L144"/>
  <c r="N144"/>
  <c r="R144"/>
  <c r="P144"/>
  <c r="I146"/>
  <c r="M146"/>
  <c r="N146"/>
  <c r="P146"/>
  <c r="O146"/>
  <c r="D132"/>
  <c r="D77"/>
  <c r="D130"/>
  <c r="D75"/>
  <c r="D83"/>
  <c r="D138"/>
  <c r="D147"/>
  <c r="D92"/>
  <c r="D78"/>
  <c r="D133"/>
  <c r="D136"/>
  <c r="D81"/>
  <c r="N145"/>
  <c r="I145"/>
  <c r="D137"/>
  <c r="D82"/>
  <c r="D145"/>
  <c r="D90"/>
  <c r="D140"/>
  <c r="D85"/>
  <c r="D88"/>
  <c r="D143"/>
  <c r="D73"/>
  <c r="C73" s="1"/>
  <c r="D128"/>
  <c r="C128" s="1"/>
  <c r="C18"/>
  <c r="C19" s="1"/>
  <c r="C20" s="1"/>
  <c r="C21" s="1"/>
  <c r="C22" s="1"/>
  <c r="C23" s="1"/>
  <c r="C24" s="1"/>
  <c r="D89"/>
  <c r="D144"/>
  <c r="D86"/>
  <c r="D141"/>
  <c r="O145"/>
  <c r="P145"/>
  <c r="D74"/>
  <c r="D129"/>
  <c r="D148"/>
  <c r="D93"/>
  <c r="D135"/>
  <c r="D80"/>
  <c r="C80" s="1"/>
  <c r="C25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K145"/>
  <c r="Q145"/>
  <c r="D79"/>
  <c r="D134"/>
  <c r="C134" s="1"/>
  <c r="D84"/>
  <c r="D139"/>
  <c r="D76"/>
  <c r="D131"/>
  <c r="D91"/>
  <c r="D146"/>
  <c r="D87"/>
  <c r="D142"/>
  <c r="M145"/>
  <c r="L145"/>
  <c r="M135"/>
  <c r="M125"/>
  <c r="P148"/>
  <c r="K133"/>
  <c r="O138"/>
  <c r="L164"/>
  <c r="M164"/>
  <c r="P164"/>
  <c r="Q164"/>
  <c r="I164"/>
  <c r="J164"/>
  <c r="K164"/>
  <c r="N164"/>
  <c r="O164"/>
  <c r="R164"/>
  <c r="M129"/>
  <c r="M137"/>
  <c r="M134"/>
  <c r="M136"/>
  <c r="M130"/>
  <c r="P131"/>
  <c r="P137"/>
  <c r="P132"/>
  <c r="K139"/>
  <c r="K147"/>
  <c r="K128"/>
  <c r="N131"/>
  <c r="N137"/>
  <c r="N142"/>
  <c r="N134"/>
  <c r="N128"/>
  <c r="O148"/>
  <c r="O141"/>
  <c r="O125"/>
  <c r="J140"/>
  <c r="J132"/>
  <c r="L137"/>
  <c r="Q135"/>
  <c r="Q132"/>
  <c r="Q130"/>
  <c r="I126"/>
  <c r="I147"/>
  <c r="I142"/>
  <c r="R125"/>
  <c r="R131"/>
  <c r="R128"/>
  <c r="M163"/>
  <c r="N163"/>
  <c r="Q163"/>
  <c r="I163"/>
  <c r="R163"/>
  <c r="J163"/>
  <c r="K163"/>
  <c r="L163"/>
  <c r="O163"/>
  <c r="P163"/>
  <c r="R166"/>
  <c r="J166"/>
  <c r="K166"/>
  <c r="N166"/>
  <c r="O166"/>
  <c r="M166"/>
  <c r="P166"/>
  <c r="Q166"/>
  <c r="I166"/>
  <c r="L166"/>
  <c r="G146"/>
  <c r="L123"/>
  <c r="G85"/>
  <c r="G142"/>
  <c r="G133"/>
  <c r="G82"/>
  <c r="P128"/>
  <c r="P134"/>
  <c r="K127"/>
  <c r="N136"/>
  <c r="N125"/>
  <c r="O127"/>
  <c r="O140"/>
  <c r="O128"/>
  <c r="J135"/>
  <c r="J125"/>
  <c r="J137"/>
  <c r="L133"/>
  <c r="L127"/>
  <c r="L132"/>
  <c r="L125"/>
  <c r="Q142"/>
  <c r="Q133"/>
  <c r="Q134"/>
  <c r="Q139"/>
  <c r="Q141"/>
  <c r="I132"/>
  <c r="R139"/>
  <c r="L156"/>
  <c r="M156"/>
  <c r="P156"/>
  <c r="Q156"/>
  <c r="I156"/>
  <c r="J156"/>
  <c r="K156"/>
  <c r="N156"/>
  <c r="O156"/>
  <c r="R156"/>
  <c r="R158"/>
  <c r="J158"/>
  <c r="K158"/>
  <c r="N158"/>
  <c r="O158"/>
  <c r="M158"/>
  <c r="P158"/>
  <c r="L158"/>
  <c r="I158"/>
  <c r="Q158"/>
  <c r="G157"/>
  <c r="G105"/>
  <c r="Q123"/>
  <c r="G81"/>
  <c r="K142"/>
  <c r="N139"/>
  <c r="J144"/>
  <c r="Q147"/>
  <c r="I139"/>
  <c r="R137"/>
  <c r="O149"/>
  <c r="I149"/>
  <c r="M149"/>
  <c r="G84"/>
  <c r="G128"/>
  <c r="G130"/>
  <c r="R123"/>
  <c r="M132"/>
  <c r="P130"/>
  <c r="K137"/>
  <c r="N126"/>
  <c r="N138"/>
  <c r="O131"/>
  <c r="J147"/>
  <c r="L128"/>
  <c r="Q131"/>
  <c r="I148"/>
  <c r="R130"/>
  <c r="R150"/>
  <c r="J150"/>
  <c r="K150"/>
  <c r="N150"/>
  <c r="O150"/>
  <c r="M150"/>
  <c r="P150"/>
  <c r="L150"/>
  <c r="Q150"/>
  <c r="I150"/>
  <c r="M141"/>
  <c r="P135"/>
  <c r="J124"/>
  <c r="Q159"/>
  <c r="I159"/>
  <c r="R159"/>
  <c r="J159"/>
  <c r="M159"/>
  <c r="N159"/>
  <c r="L159"/>
  <c r="O159"/>
  <c r="P159"/>
  <c r="K159"/>
  <c r="O123"/>
  <c r="G148"/>
  <c r="G86"/>
  <c r="M139"/>
  <c r="M131"/>
  <c r="M142"/>
  <c r="M147"/>
  <c r="P142"/>
  <c r="P141"/>
  <c r="K138"/>
  <c r="N135"/>
  <c r="N140"/>
  <c r="N130"/>
  <c r="O147"/>
  <c r="O132"/>
  <c r="J127"/>
  <c r="J133"/>
  <c r="J126"/>
  <c r="L131"/>
  <c r="L142"/>
  <c r="L135"/>
  <c r="L134"/>
  <c r="L136"/>
  <c r="Q140"/>
  <c r="I124"/>
  <c r="I141"/>
  <c r="R129"/>
  <c r="R141"/>
  <c r="P160"/>
  <c r="Q160"/>
  <c r="I160"/>
  <c r="L160"/>
  <c r="M160"/>
  <c r="R160"/>
  <c r="K160"/>
  <c r="N160"/>
  <c r="J160"/>
  <c r="O160"/>
  <c r="N154"/>
  <c r="O154"/>
  <c r="R154"/>
  <c r="J154"/>
  <c r="K154"/>
  <c r="L154"/>
  <c r="M154"/>
  <c r="P154"/>
  <c r="I154"/>
  <c r="Q154"/>
  <c r="G149"/>
  <c r="G99"/>
  <c r="P140"/>
  <c r="O137"/>
  <c r="O124"/>
  <c r="L130"/>
  <c r="R142"/>
  <c r="R126"/>
  <c r="D167"/>
  <c r="C167" s="1"/>
  <c r="D112"/>
  <c r="C112" s="1"/>
  <c r="C57"/>
  <c r="C55"/>
  <c r="D165"/>
  <c r="C165" s="1"/>
  <c r="D110"/>
  <c r="C110" s="1"/>
  <c r="K123"/>
  <c r="G138"/>
  <c r="P129"/>
  <c r="P136"/>
  <c r="K131"/>
  <c r="K130"/>
  <c r="O135"/>
  <c r="J138"/>
  <c r="J130"/>
  <c r="Q127"/>
  <c r="Q125"/>
  <c r="R135"/>
  <c r="R147"/>
  <c r="Q151"/>
  <c r="I151"/>
  <c r="R151"/>
  <c r="J151"/>
  <c r="M151"/>
  <c r="N151"/>
  <c r="L151"/>
  <c r="O151"/>
  <c r="P151"/>
  <c r="K151"/>
  <c r="G80"/>
  <c r="M133"/>
  <c r="P138"/>
  <c r="K125"/>
  <c r="N147"/>
  <c r="O139"/>
  <c r="J129"/>
  <c r="L148"/>
  <c r="I133"/>
  <c r="N162"/>
  <c r="O162"/>
  <c r="R162"/>
  <c r="J162"/>
  <c r="K162"/>
  <c r="L162"/>
  <c r="M162"/>
  <c r="P162"/>
  <c r="I162"/>
  <c r="Q162"/>
  <c r="G123"/>
  <c r="P123"/>
  <c r="J123"/>
  <c r="G145"/>
  <c r="M126"/>
  <c r="M127"/>
  <c r="P133"/>
  <c r="P147"/>
  <c r="K148"/>
  <c r="K129"/>
  <c r="K132"/>
  <c r="K124"/>
  <c r="N141"/>
  <c r="O133"/>
  <c r="O134"/>
  <c r="J136"/>
  <c r="J139"/>
  <c r="J134"/>
  <c r="L140"/>
  <c r="L129"/>
  <c r="L139"/>
  <c r="L141"/>
  <c r="Q138"/>
  <c r="Q148"/>
  <c r="Q136"/>
  <c r="Q137"/>
  <c r="I130"/>
  <c r="I137"/>
  <c r="I128"/>
  <c r="I134"/>
  <c r="I131"/>
  <c r="R138"/>
  <c r="R148"/>
  <c r="R140"/>
  <c r="P152"/>
  <c r="Q152"/>
  <c r="I152"/>
  <c r="L152"/>
  <c r="M152"/>
  <c r="R152"/>
  <c r="K152"/>
  <c r="N152"/>
  <c r="J152"/>
  <c r="O152"/>
  <c r="Q167"/>
  <c r="I167"/>
  <c r="R167"/>
  <c r="J167"/>
  <c r="M167"/>
  <c r="N167"/>
  <c r="L167"/>
  <c r="O167"/>
  <c r="P167"/>
  <c r="K167"/>
  <c r="K165"/>
  <c r="L165"/>
  <c r="O165"/>
  <c r="P165"/>
  <c r="I165"/>
  <c r="J165"/>
  <c r="Q165"/>
  <c r="R165"/>
  <c r="N165"/>
  <c r="M165"/>
  <c r="G155"/>
  <c r="G151"/>
  <c r="G162"/>
  <c r="G150"/>
  <c r="M128"/>
  <c r="P126"/>
  <c r="K135"/>
  <c r="K141"/>
  <c r="N132"/>
  <c r="O153"/>
  <c r="P153"/>
  <c r="K153"/>
  <c r="L153"/>
  <c r="N153"/>
  <c r="Q153"/>
  <c r="R153"/>
  <c r="I153"/>
  <c r="J153"/>
  <c r="M153"/>
  <c r="M148"/>
  <c r="M138"/>
  <c r="P127"/>
  <c r="N127"/>
  <c r="N133"/>
  <c r="O130"/>
  <c r="J128"/>
  <c r="L138"/>
  <c r="I135"/>
  <c r="I140"/>
  <c r="R134"/>
  <c r="N123"/>
  <c r="G132"/>
  <c r="K136"/>
  <c r="N148"/>
  <c r="N124"/>
  <c r="Q144"/>
  <c r="I138"/>
  <c r="I136"/>
  <c r="R132"/>
  <c r="R133"/>
  <c r="I123"/>
  <c r="M123"/>
  <c r="G74"/>
  <c r="G92"/>
  <c r="M140"/>
  <c r="M124"/>
  <c r="P125"/>
  <c r="P139"/>
  <c r="P124"/>
  <c r="K140"/>
  <c r="K126"/>
  <c r="K134"/>
  <c r="N129"/>
  <c r="O142"/>
  <c r="O129"/>
  <c r="O136"/>
  <c r="O126"/>
  <c r="J148"/>
  <c r="J141"/>
  <c r="J131"/>
  <c r="J142"/>
  <c r="L126"/>
  <c r="L124"/>
  <c r="L147"/>
  <c r="Q124"/>
  <c r="Q126"/>
  <c r="Q129"/>
  <c r="Q128"/>
  <c r="I125"/>
  <c r="I127"/>
  <c r="I129"/>
  <c r="R124"/>
  <c r="R136"/>
  <c r="R127"/>
  <c r="G60"/>
  <c r="G59"/>
  <c r="D166"/>
  <c r="C166" s="1"/>
  <c r="D111"/>
  <c r="C111" s="1"/>
  <c r="C56"/>
  <c r="O161"/>
  <c r="P161"/>
  <c r="K161"/>
  <c r="L161"/>
  <c r="N161"/>
  <c r="Q161"/>
  <c r="R161"/>
  <c r="I161"/>
  <c r="J161"/>
  <c r="M161"/>
  <c r="M155"/>
  <c r="N155"/>
  <c r="Q155"/>
  <c r="I155"/>
  <c r="R155"/>
  <c r="J155"/>
  <c r="K155"/>
  <c r="L155"/>
  <c r="O155"/>
  <c r="P155"/>
  <c r="K157"/>
  <c r="L157"/>
  <c r="O157"/>
  <c r="P157"/>
  <c r="I157"/>
  <c r="J157"/>
  <c r="Q157"/>
  <c r="R157"/>
  <c r="N157"/>
  <c r="M157"/>
  <c r="G156"/>
  <c r="G89"/>
  <c r="G144"/>
  <c r="G61" i="46" l="1"/>
  <c r="F61" s="1"/>
  <c r="G60"/>
  <c r="C66" i="47"/>
  <c r="P78" i="10"/>
  <c r="G107" i="29"/>
  <c r="F107" s="1"/>
  <c r="F135"/>
  <c r="Q78" i="10"/>
  <c r="G169" i="29"/>
  <c r="F169" s="1"/>
  <c r="F73"/>
  <c r="P79" i="10"/>
  <c r="G101" i="29"/>
  <c r="F101" s="1"/>
  <c r="F59" i="30"/>
  <c r="F60"/>
  <c r="F60" i="26"/>
  <c r="F59"/>
  <c r="Q79" i="10"/>
  <c r="Q77"/>
  <c r="Q76"/>
  <c r="Q80"/>
  <c r="Q82"/>
  <c r="P77"/>
  <c r="P76"/>
  <c r="P80"/>
  <c r="P82"/>
  <c r="F169" i="26"/>
  <c r="C74"/>
  <c r="C75" s="1"/>
  <c r="C19"/>
  <c r="F170"/>
  <c r="C129"/>
  <c r="C130" s="1"/>
  <c r="C131" s="1"/>
  <c r="C132" s="1"/>
  <c r="H170" i="17"/>
  <c r="F123"/>
  <c r="F138"/>
  <c r="F163"/>
  <c r="F146"/>
  <c r="F127"/>
  <c r="F133"/>
  <c r="F136"/>
  <c r="F128"/>
  <c r="F132"/>
  <c r="F147"/>
  <c r="F130"/>
  <c r="F155"/>
  <c r="F143"/>
  <c r="F154"/>
  <c r="F160"/>
  <c r="F140"/>
  <c r="F129"/>
  <c r="F137"/>
  <c r="F156"/>
  <c r="F157"/>
  <c r="F135"/>
  <c r="F141"/>
  <c r="F142"/>
  <c r="F144"/>
  <c r="F151"/>
  <c r="F167"/>
  <c r="F162"/>
  <c r="F150"/>
  <c r="F165"/>
  <c r="F148"/>
  <c r="F139"/>
  <c r="F166"/>
  <c r="F145"/>
  <c r="C135"/>
  <c r="C136" s="1"/>
  <c r="C137" s="1"/>
  <c r="C138" s="1"/>
  <c r="C139" s="1"/>
  <c r="C140" s="1"/>
  <c r="C79"/>
  <c r="C74"/>
  <c r="C75" s="1"/>
  <c r="C76" s="1"/>
  <c r="C77" s="1"/>
  <c r="C129"/>
  <c r="C130" s="1"/>
  <c r="C81"/>
  <c r="C82" s="1"/>
  <c r="C83" s="1"/>
  <c r="C84" s="1"/>
  <c r="C85" s="1"/>
  <c r="C86" s="1"/>
  <c r="C87" s="1"/>
  <c r="C88" s="1"/>
  <c r="C89" s="1"/>
  <c r="C90" s="1"/>
  <c r="C91" s="1"/>
  <c r="C92" s="1"/>
  <c r="C93" s="1"/>
  <c r="C141"/>
  <c r="C142" s="1"/>
  <c r="C143" s="1"/>
  <c r="C144" s="1"/>
  <c r="C145" s="1"/>
  <c r="C146" s="1"/>
  <c r="C147" s="1"/>
  <c r="C148" s="1"/>
  <c r="R149"/>
  <c r="R169" s="1"/>
  <c r="N149"/>
  <c r="N170" s="1"/>
  <c r="K149"/>
  <c r="K170" s="1"/>
  <c r="J149"/>
  <c r="G98"/>
  <c r="G97"/>
  <c r="L149"/>
  <c r="L170" s="1"/>
  <c r="G76"/>
  <c r="G125"/>
  <c r="F125" s="1"/>
  <c r="G124"/>
  <c r="F124" s="1"/>
  <c r="G126"/>
  <c r="F126" s="1"/>
  <c r="G70"/>
  <c r="G71"/>
  <c r="G103"/>
  <c r="I170"/>
  <c r="I169"/>
  <c r="G134"/>
  <c r="F134" s="1"/>
  <c r="G153"/>
  <c r="F153" s="1"/>
  <c r="G164"/>
  <c r="F164" s="1"/>
  <c r="G106"/>
  <c r="G159"/>
  <c r="F159" s="1"/>
  <c r="G109"/>
  <c r="G161"/>
  <c r="F161" s="1"/>
  <c r="G104"/>
  <c r="G158"/>
  <c r="F158" s="1"/>
  <c r="O169"/>
  <c r="O170"/>
  <c r="P149"/>
  <c r="P169" s="1"/>
  <c r="G152"/>
  <c r="F152" s="1"/>
  <c r="G69"/>
  <c r="G68"/>
  <c r="G79"/>
  <c r="G131"/>
  <c r="F131" s="1"/>
  <c r="M170"/>
  <c r="M169"/>
  <c r="Q149"/>
  <c r="Q169" s="1"/>
  <c r="G65" i="46" l="1"/>
  <c r="F60"/>
  <c r="F65" s="1"/>
  <c r="G182" i="29"/>
  <c r="F182" s="1"/>
  <c r="G120"/>
  <c r="G181"/>
  <c r="F181" s="1"/>
  <c r="G119"/>
  <c r="C78" i="17"/>
  <c r="C133" i="26"/>
  <c r="C169" s="1"/>
  <c r="C170" s="1"/>
  <c r="C76"/>
  <c r="C77" s="1"/>
  <c r="C20"/>
  <c r="F149" i="17"/>
  <c r="C131"/>
  <c r="C132" s="1"/>
  <c r="N169"/>
  <c r="K169"/>
  <c r="L169"/>
  <c r="R170"/>
  <c r="P170"/>
  <c r="J169"/>
  <c r="J170"/>
  <c r="Q170"/>
  <c r="J71"/>
  <c r="J14"/>
  <c r="J15"/>
  <c r="G115"/>
  <c r="G114"/>
  <c r="I14"/>
  <c r="J17"/>
  <c r="J69"/>
  <c r="J72"/>
  <c r="I17"/>
  <c r="I16"/>
  <c r="I71"/>
  <c r="I69"/>
  <c r="I72"/>
  <c r="J70"/>
  <c r="I15"/>
  <c r="G169"/>
  <c r="I70"/>
  <c r="J16"/>
  <c r="G170"/>
  <c r="C133" l="1"/>
  <c r="C78" i="26"/>
  <c r="C114" s="1"/>
  <c r="C115" s="1"/>
  <c r="C21"/>
  <c r="C22" s="1"/>
  <c r="F170" i="17"/>
  <c r="F169"/>
  <c r="C23" i="26" l="1"/>
  <c r="C59" s="1"/>
  <c r="C60" s="1"/>
  <c r="O2" i="3" l="1"/>
  <c r="O51" s="1"/>
  <c r="N2"/>
  <c r="N51" s="1"/>
  <c r="L2"/>
  <c r="L51" s="1"/>
  <c r="K2"/>
  <c r="K51" s="1"/>
  <c r="P2"/>
  <c r="P51" s="1"/>
  <c r="J2"/>
  <c r="J51" s="1"/>
  <c r="Q2"/>
  <c r="Q51" s="1"/>
  <c r="M2"/>
  <c r="M51" s="1"/>
  <c r="O78" i="29" l="1"/>
  <c r="O119" s="1"/>
  <c r="Q78"/>
  <c r="Q120" s="1"/>
  <c r="P78"/>
  <c r="P120" s="1"/>
  <c r="K78"/>
  <c r="K120" s="1"/>
  <c r="M78"/>
  <c r="M120" s="1"/>
  <c r="R78"/>
  <c r="R119" s="1"/>
  <c r="L78"/>
  <c r="L120" s="1"/>
  <c r="N78"/>
  <c r="N119" s="1"/>
  <c r="J13" i="17"/>
  <c r="I13"/>
  <c r="R120" i="29" l="1"/>
  <c r="Q119"/>
  <c r="N120"/>
  <c r="K119"/>
  <c r="P119"/>
  <c r="M119"/>
  <c r="L119"/>
  <c r="F78"/>
  <c r="O120"/>
  <c r="L13" i="17"/>
  <c r="O70"/>
  <c r="N13"/>
  <c r="L69"/>
  <c r="M72"/>
  <c r="M17"/>
  <c r="M15"/>
  <c r="L16"/>
  <c r="O16"/>
  <c r="M70"/>
  <c r="R70"/>
  <c r="K14"/>
  <c r="Q70"/>
  <c r="R16"/>
  <c r="R15"/>
  <c r="L71"/>
  <c r="K15"/>
  <c r="R71"/>
  <c r="O14"/>
  <c r="P13"/>
  <c r="K72"/>
  <c r="Q71"/>
  <c r="Q17"/>
  <c r="L15"/>
  <c r="R13"/>
  <c r="P72"/>
  <c r="Q72"/>
  <c r="K17"/>
  <c r="R14"/>
  <c r="Q15"/>
  <c r="Q13"/>
  <c r="L70"/>
  <c r="O72"/>
  <c r="O15"/>
  <c r="M69"/>
  <c r="K13"/>
  <c r="N71"/>
  <c r="K71"/>
  <c r="P15"/>
  <c r="O17"/>
  <c r="N70"/>
  <c r="L72"/>
  <c r="R69"/>
  <c r="O69"/>
  <c r="P17"/>
  <c r="P16"/>
  <c r="Q16"/>
  <c r="N17"/>
  <c r="M14"/>
  <c r="K70"/>
  <c r="N16"/>
  <c r="P71"/>
  <c r="R17"/>
  <c r="O13"/>
  <c r="N69"/>
  <c r="N72"/>
  <c r="M13"/>
  <c r="M71"/>
  <c r="R72"/>
  <c r="O71"/>
  <c r="P70"/>
  <c r="P69"/>
  <c r="K69"/>
  <c r="Q69"/>
  <c r="K16"/>
  <c r="P14"/>
  <c r="Q14"/>
  <c r="N14"/>
  <c r="N15"/>
  <c r="M16"/>
  <c r="L14"/>
  <c r="L17"/>
  <c r="F120" i="29" l="1"/>
  <c r="F119"/>
  <c r="F71" i="17"/>
  <c r="F70"/>
  <c r="F69"/>
  <c r="F72"/>
  <c r="F17"/>
  <c r="F14"/>
  <c r="F16"/>
  <c r="F15"/>
  <c r="F13"/>
  <c r="I68"/>
  <c r="P68" l="1"/>
  <c r="L68"/>
  <c r="O68"/>
  <c r="R68"/>
  <c r="J68"/>
  <c r="N68"/>
  <c r="Q68"/>
  <c r="M68"/>
  <c r="K68"/>
  <c r="F68" l="1"/>
  <c r="B23"/>
  <c r="B31"/>
  <c r="B39"/>
  <c r="B47"/>
  <c r="B55"/>
  <c r="B29"/>
  <c r="B37"/>
  <c r="B53"/>
  <c r="B28"/>
  <c r="B36"/>
  <c r="B52"/>
  <c r="B22"/>
  <c r="B30"/>
  <c r="B38"/>
  <c r="B46"/>
  <c r="B54"/>
  <c r="B21"/>
  <c r="B45"/>
  <c r="B20"/>
  <c r="B44"/>
  <c r="B19"/>
  <c r="B27"/>
  <c r="B35"/>
  <c r="B43"/>
  <c r="B51"/>
  <c r="B25"/>
  <c r="B41"/>
  <c r="B57"/>
  <c r="B40"/>
  <c r="B56"/>
  <c r="B18"/>
  <c r="B26"/>
  <c r="B34"/>
  <c r="B42"/>
  <c r="B50"/>
  <c r="B33"/>
  <c r="B49"/>
  <c r="B24"/>
  <c r="B32"/>
  <c r="B48"/>
  <c r="B75"/>
  <c r="B83"/>
  <c r="B91"/>
  <c r="B99"/>
  <c r="B107"/>
  <c r="B73"/>
  <c r="B97"/>
  <c r="B96"/>
  <c r="B112"/>
  <c r="B74"/>
  <c r="B82"/>
  <c r="B90"/>
  <c r="B98"/>
  <c r="B106"/>
  <c r="B81"/>
  <c r="B89"/>
  <c r="B105"/>
  <c r="B80"/>
  <c r="B88"/>
  <c r="B104"/>
  <c r="B79"/>
  <c r="B87"/>
  <c r="B95"/>
  <c r="B103"/>
  <c r="B111"/>
  <c r="B77"/>
  <c r="B109"/>
  <c r="B76"/>
  <c r="B100"/>
  <c r="B78"/>
  <c r="B86"/>
  <c r="B94"/>
  <c r="B102"/>
  <c r="B110"/>
  <c r="B85"/>
  <c r="B93"/>
  <c r="B101"/>
  <c r="B84"/>
  <c r="B92"/>
  <c r="B108"/>
  <c r="E58" i="10"/>
  <c r="E50"/>
  <c r="E55"/>
  <c r="E56"/>
  <c r="E57"/>
  <c r="E67"/>
  <c r="E61"/>
  <c r="E51"/>
  <c r="E54"/>
  <c r="E49"/>
  <c r="E65"/>
  <c r="E53"/>
  <c r="E66"/>
  <c r="E52"/>
  <c r="E69"/>
  <c r="E72"/>
  <c r="E71"/>
  <c r="E47"/>
  <c r="D45" i="50" l="1"/>
  <c r="D44" i="51"/>
  <c r="D39" i="50"/>
  <c r="C39" s="1"/>
  <c r="D38" i="51"/>
  <c r="C38" s="1"/>
  <c r="D40" i="50"/>
  <c r="D39" i="51"/>
  <c r="D41" i="50"/>
  <c r="D40" i="51"/>
  <c r="D42" i="50"/>
  <c r="D41" i="51"/>
  <c r="D44" i="50"/>
  <c r="D43" i="51"/>
  <c r="D51" i="50"/>
  <c r="D50" i="51"/>
  <c r="D48" i="50"/>
  <c r="D47" i="51"/>
  <c r="D43" i="50"/>
  <c r="D42" i="51"/>
  <c r="D53" i="50"/>
  <c r="D52" i="51"/>
  <c r="D49" i="50"/>
  <c r="D48" i="51"/>
  <c r="D46" i="50"/>
  <c r="D45" i="51"/>
  <c r="D47" i="50"/>
  <c r="D46" i="51"/>
  <c r="D52" i="50"/>
  <c r="D51" i="51"/>
  <c r="D54" i="50"/>
  <c r="D53" i="51"/>
  <c r="D50" i="50"/>
  <c r="D49" i="51"/>
  <c r="C40" i="50"/>
  <c r="D43" i="46"/>
  <c r="D40"/>
  <c r="D41"/>
  <c r="D54"/>
  <c r="D49"/>
  <c r="D51"/>
  <c r="D46"/>
  <c r="D53"/>
  <c r="D50"/>
  <c r="D42"/>
  <c r="D45"/>
  <c r="D39"/>
  <c r="C39" s="1"/>
  <c r="D44"/>
  <c r="D47"/>
  <c r="D52"/>
  <c r="D48"/>
  <c r="D54" i="29"/>
  <c r="D53" i="30"/>
  <c r="D42" i="29"/>
  <c r="D41" i="30"/>
  <c r="D44"/>
  <c r="D45" i="29"/>
  <c r="D40"/>
  <c r="D39" i="30"/>
  <c r="D40"/>
  <c r="D41" i="29"/>
  <c r="D52" i="30"/>
  <c r="D53" i="29"/>
  <c r="D50"/>
  <c r="D49" i="30"/>
  <c r="D48"/>
  <c r="D49" i="29"/>
  <c r="D46"/>
  <c r="D45" i="30"/>
  <c r="D44" i="29"/>
  <c r="D43" i="30"/>
  <c r="D46"/>
  <c r="D47" i="29"/>
  <c r="D42" i="30"/>
  <c r="D43" i="29"/>
  <c r="D50" i="30"/>
  <c r="D51" i="29"/>
  <c r="D38" i="30"/>
  <c r="D39" i="29"/>
  <c r="D52"/>
  <c r="D51" i="30"/>
  <c r="D48" i="29"/>
  <c r="D47" i="30"/>
  <c r="H114" i="17"/>
  <c r="H115"/>
  <c r="H59"/>
  <c r="H60"/>
  <c r="S79"/>
  <c r="T79"/>
  <c r="V79"/>
  <c r="U79"/>
  <c r="J79"/>
  <c r="I79"/>
  <c r="N79"/>
  <c r="P79"/>
  <c r="Q79"/>
  <c r="R79"/>
  <c r="M79"/>
  <c r="L79"/>
  <c r="O79"/>
  <c r="K79"/>
  <c r="I21"/>
  <c r="J21"/>
  <c r="R21"/>
  <c r="L21"/>
  <c r="M21"/>
  <c r="Q21"/>
  <c r="N21"/>
  <c r="O21"/>
  <c r="K21"/>
  <c r="P21"/>
  <c r="T84"/>
  <c r="S84"/>
  <c r="U84"/>
  <c r="V84"/>
  <c r="I84"/>
  <c r="J84"/>
  <c r="K84"/>
  <c r="R84"/>
  <c r="O84"/>
  <c r="L84"/>
  <c r="M84"/>
  <c r="Q84"/>
  <c r="P84"/>
  <c r="N84"/>
  <c r="V78"/>
  <c r="U78"/>
  <c r="S78"/>
  <c r="T78"/>
  <c r="J78"/>
  <c r="I78"/>
  <c r="L78"/>
  <c r="N78"/>
  <c r="K78"/>
  <c r="P78"/>
  <c r="M78"/>
  <c r="Q78"/>
  <c r="R78"/>
  <c r="O78"/>
  <c r="V87"/>
  <c r="U87"/>
  <c r="T87"/>
  <c r="S87"/>
  <c r="J87"/>
  <c r="I87"/>
  <c r="Q87"/>
  <c r="K87"/>
  <c r="L87"/>
  <c r="P87"/>
  <c r="O87"/>
  <c r="N87"/>
  <c r="R87"/>
  <c r="M87"/>
  <c r="I73"/>
  <c r="J73"/>
  <c r="K73"/>
  <c r="L73"/>
  <c r="N73"/>
  <c r="P73"/>
  <c r="Q73"/>
  <c r="M73"/>
  <c r="R73"/>
  <c r="O73"/>
  <c r="I42"/>
  <c r="J42"/>
  <c r="M42"/>
  <c r="R42"/>
  <c r="K42"/>
  <c r="O42"/>
  <c r="L42"/>
  <c r="Q42"/>
  <c r="P42"/>
  <c r="N42"/>
  <c r="I25"/>
  <c r="J25"/>
  <c r="P25"/>
  <c r="O25"/>
  <c r="Q25"/>
  <c r="R25"/>
  <c r="M25"/>
  <c r="K25"/>
  <c r="L25"/>
  <c r="N25"/>
  <c r="I45"/>
  <c r="J45"/>
  <c r="L45"/>
  <c r="Q45"/>
  <c r="N45"/>
  <c r="R45"/>
  <c r="P45"/>
  <c r="O45"/>
  <c r="M45"/>
  <c r="K45"/>
  <c r="I36"/>
  <c r="J36"/>
  <c r="O36"/>
  <c r="N36"/>
  <c r="K36"/>
  <c r="L36"/>
  <c r="P36"/>
  <c r="M36"/>
  <c r="R36"/>
  <c r="Q36"/>
  <c r="J31"/>
  <c r="I31"/>
  <c r="K31"/>
  <c r="M31"/>
  <c r="O31"/>
  <c r="P31"/>
  <c r="L31"/>
  <c r="Q31"/>
  <c r="N31"/>
  <c r="R31"/>
  <c r="T92"/>
  <c r="S92"/>
  <c r="U92"/>
  <c r="V92"/>
  <c r="I92"/>
  <c r="J92"/>
  <c r="Q92"/>
  <c r="K92"/>
  <c r="M92"/>
  <c r="R92"/>
  <c r="L92"/>
  <c r="P92"/>
  <c r="O92"/>
  <c r="N92"/>
  <c r="T86"/>
  <c r="U86"/>
  <c r="S86"/>
  <c r="V86"/>
  <c r="J86"/>
  <c r="I86"/>
  <c r="O86"/>
  <c r="M86"/>
  <c r="Q86"/>
  <c r="P86"/>
  <c r="L86"/>
  <c r="R86"/>
  <c r="N86"/>
  <c r="K86"/>
  <c r="V81"/>
  <c r="T81"/>
  <c r="U81"/>
  <c r="S81"/>
  <c r="I81"/>
  <c r="J81"/>
  <c r="P81"/>
  <c r="N81"/>
  <c r="M81"/>
  <c r="O81"/>
  <c r="L81"/>
  <c r="K81"/>
  <c r="R81"/>
  <c r="Q81"/>
  <c r="I50"/>
  <c r="J50"/>
  <c r="L50"/>
  <c r="N50"/>
  <c r="M50"/>
  <c r="K50"/>
  <c r="R50"/>
  <c r="Q50"/>
  <c r="O50"/>
  <c r="P50"/>
  <c r="J41"/>
  <c r="I41"/>
  <c r="P41"/>
  <c r="L41"/>
  <c r="M41"/>
  <c r="Q41"/>
  <c r="O41"/>
  <c r="K41"/>
  <c r="N41"/>
  <c r="R41"/>
  <c r="I20"/>
  <c r="J20"/>
  <c r="K20"/>
  <c r="O20"/>
  <c r="L20"/>
  <c r="N20"/>
  <c r="M20"/>
  <c r="P20"/>
  <c r="R20"/>
  <c r="Q20"/>
  <c r="I52"/>
  <c r="J52"/>
  <c r="L52"/>
  <c r="N52"/>
  <c r="M52"/>
  <c r="R52"/>
  <c r="O52"/>
  <c r="K52"/>
  <c r="P52"/>
  <c r="Q52"/>
  <c r="I39"/>
  <c r="J39"/>
  <c r="R39"/>
  <c r="L39"/>
  <c r="N39"/>
  <c r="Q39"/>
  <c r="O39"/>
  <c r="M39"/>
  <c r="P39"/>
  <c r="K39"/>
  <c r="I51"/>
  <c r="J51"/>
  <c r="L51"/>
  <c r="O51"/>
  <c r="R51"/>
  <c r="K51"/>
  <c r="P51"/>
  <c r="M51"/>
  <c r="N51"/>
  <c r="Q51"/>
  <c r="I33"/>
  <c r="J33"/>
  <c r="L33"/>
  <c r="R33"/>
  <c r="O33"/>
  <c r="M33"/>
  <c r="P33"/>
  <c r="K33"/>
  <c r="Q33"/>
  <c r="N33"/>
  <c r="J22"/>
  <c r="I22"/>
  <c r="Q22"/>
  <c r="O22"/>
  <c r="R22"/>
  <c r="P22"/>
  <c r="N22"/>
  <c r="M22"/>
  <c r="L22"/>
  <c r="K22"/>
  <c r="I40"/>
  <c r="J40"/>
  <c r="O40"/>
  <c r="P40"/>
  <c r="N40"/>
  <c r="R40"/>
  <c r="Q40"/>
  <c r="M40"/>
  <c r="K40"/>
  <c r="L40"/>
  <c r="P55"/>
  <c r="R55"/>
  <c r="L55"/>
  <c r="Q55"/>
  <c r="I55"/>
  <c r="M55"/>
  <c r="O55"/>
  <c r="N55"/>
  <c r="J55"/>
  <c r="K55"/>
  <c r="J77"/>
  <c r="I77"/>
  <c r="P77"/>
  <c r="L77"/>
  <c r="Q77"/>
  <c r="M77"/>
  <c r="N77"/>
  <c r="R77"/>
  <c r="K77"/>
  <c r="O77"/>
  <c r="S80"/>
  <c r="U80"/>
  <c r="T80"/>
  <c r="V80"/>
  <c r="I80"/>
  <c r="J80"/>
  <c r="K80"/>
  <c r="Q80"/>
  <c r="P80"/>
  <c r="L80"/>
  <c r="R80"/>
  <c r="N80"/>
  <c r="O80"/>
  <c r="M80"/>
  <c r="I74"/>
  <c r="J74"/>
  <c r="O74"/>
  <c r="R74"/>
  <c r="M74"/>
  <c r="Q74"/>
  <c r="K74"/>
  <c r="N74"/>
  <c r="P74"/>
  <c r="L74"/>
  <c r="S83"/>
  <c r="V83"/>
  <c r="U83"/>
  <c r="T83"/>
  <c r="J83"/>
  <c r="I83"/>
  <c r="K83"/>
  <c r="L83"/>
  <c r="Q83"/>
  <c r="R83"/>
  <c r="N83"/>
  <c r="O83"/>
  <c r="M83"/>
  <c r="P83"/>
  <c r="J24"/>
  <c r="I24"/>
  <c r="P24"/>
  <c r="O24"/>
  <c r="M24"/>
  <c r="Q24"/>
  <c r="L24"/>
  <c r="N24"/>
  <c r="K24"/>
  <c r="R24"/>
  <c r="I56"/>
  <c r="J56"/>
  <c r="P56"/>
  <c r="K56"/>
  <c r="O56"/>
  <c r="Q56"/>
  <c r="N56"/>
  <c r="R56"/>
  <c r="L56"/>
  <c r="M56"/>
  <c r="I27"/>
  <c r="J27"/>
  <c r="P27"/>
  <c r="K27"/>
  <c r="R27"/>
  <c r="Q27"/>
  <c r="L27"/>
  <c r="N27"/>
  <c r="M27"/>
  <c r="O27"/>
  <c r="I38"/>
  <c r="J38"/>
  <c r="M38"/>
  <c r="N38"/>
  <c r="L38"/>
  <c r="K38"/>
  <c r="R38"/>
  <c r="P38"/>
  <c r="Q38"/>
  <c r="O38"/>
  <c r="J29"/>
  <c r="I29"/>
  <c r="P29"/>
  <c r="N29"/>
  <c r="O29"/>
  <c r="Q29"/>
  <c r="M29"/>
  <c r="K29"/>
  <c r="L29"/>
  <c r="R29"/>
  <c r="J34"/>
  <c r="I34"/>
  <c r="N34"/>
  <c r="K34"/>
  <c r="M34"/>
  <c r="L34"/>
  <c r="R34"/>
  <c r="O34"/>
  <c r="P34"/>
  <c r="Q34"/>
  <c r="J23"/>
  <c r="I23"/>
  <c r="O23"/>
  <c r="R23"/>
  <c r="K23"/>
  <c r="L23"/>
  <c r="P23"/>
  <c r="M23"/>
  <c r="N23"/>
  <c r="Q23"/>
  <c r="R57"/>
  <c r="Q57"/>
  <c r="P57"/>
  <c r="J57"/>
  <c r="K57"/>
  <c r="I57"/>
  <c r="O57"/>
  <c r="L57"/>
  <c r="N57"/>
  <c r="M57"/>
  <c r="J44"/>
  <c r="I44"/>
  <c r="K44"/>
  <c r="R44"/>
  <c r="O44"/>
  <c r="P44"/>
  <c r="M44"/>
  <c r="N44"/>
  <c r="L44"/>
  <c r="Q44"/>
  <c r="J47"/>
  <c r="I47"/>
  <c r="L47"/>
  <c r="P47"/>
  <c r="N47"/>
  <c r="Q47"/>
  <c r="M47"/>
  <c r="K47"/>
  <c r="O47"/>
  <c r="R47"/>
  <c r="J19"/>
  <c r="I19"/>
  <c r="P19"/>
  <c r="R19"/>
  <c r="M19"/>
  <c r="L19"/>
  <c r="K19"/>
  <c r="O19"/>
  <c r="N19"/>
  <c r="Q19"/>
  <c r="V85"/>
  <c r="T85"/>
  <c r="S85"/>
  <c r="U85"/>
  <c r="J85"/>
  <c r="I85"/>
  <c r="N85"/>
  <c r="O85"/>
  <c r="Q85"/>
  <c r="R85"/>
  <c r="P85"/>
  <c r="K85"/>
  <c r="M85"/>
  <c r="L85"/>
  <c r="U88"/>
  <c r="T88"/>
  <c r="V88"/>
  <c r="S88"/>
  <c r="I88"/>
  <c r="J88"/>
  <c r="Q88"/>
  <c r="M88"/>
  <c r="K88"/>
  <c r="O88"/>
  <c r="P88"/>
  <c r="R88"/>
  <c r="N88"/>
  <c r="L88"/>
  <c r="T82"/>
  <c r="V82"/>
  <c r="S82"/>
  <c r="U82"/>
  <c r="I82"/>
  <c r="J82"/>
  <c r="M82"/>
  <c r="P82"/>
  <c r="O82"/>
  <c r="K82"/>
  <c r="Q82"/>
  <c r="N82"/>
  <c r="R82"/>
  <c r="L82"/>
  <c r="T91"/>
  <c r="U91"/>
  <c r="S91"/>
  <c r="V91"/>
  <c r="J91"/>
  <c r="I91"/>
  <c r="O91"/>
  <c r="N91"/>
  <c r="R91"/>
  <c r="Q91"/>
  <c r="P91"/>
  <c r="M91"/>
  <c r="K91"/>
  <c r="L91"/>
  <c r="I32"/>
  <c r="J32"/>
  <c r="Q32"/>
  <c r="K32"/>
  <c r="O32"/>
  <c r="M32"/>
  <c r="L32"/>
  <c r="P32"/>
  <c r="N32"/>
  <c r="R32"/>
  <c r="J18"/>
  <c r="I18"/>
  <c r="R18"/>
  <c r="L18"/>
  <c r="O18"/>
  <c r="N18"/>
  <c r="P18"/>
  <c r="K18"/>
  <c r="Q18"/>
  <c r="M18"/>
  <c r="J35"/>
  <c r="I35"/>
  <c r="M35"/>
  <c r="L35"/>
  <c r="K35"/>
  <c r="Q35"/>
  <c r="N35"/>
  <c r="R35"/>
  <c r="O35"/>
  <c r="P35"/>
  <c r="I46"/>
  <c r="J46"/>
  <c r="O46"/>
  <c r="L46"/>
  <c r="Q46"/>
  <c r="N46"/>
  <c r="M46"/>
  <c r="R46"/>
  <c r="K46"/>
  <c r="P46"/>
  <c r="I37"/>
  <c r="J37"/>
  <c r="N37"/>
  <c r="Q37"/>
  <c r="K37"/>
  <c r="R37"/>
  <c r="O37"/>
  <c r="P37"/>
  <c r="M37"/>
  <c r="L37"/>
  <c r="J28"/>
  <c r="I28"/>
  <c r="P28"/>
  <c r="K28"/>
  <c r="L28"/>
  <c r="Q28"/>
  <c r="M28"/>
  <c r="N28"/>
  <c r="R28"/>
  <c r="O28"/>
  <c r="U89"/>
  <c r="T89"/>
  <c r="S89"/>
  <c r="V89"/>
  <c r="J89"/>
  <c r="I89"/>
  <c r="N89"/>
  <c r="M89"/>
  <c r="K89"/>
  <c r="O89"/>
  <c r="L89"/>
  <c r="R89"/>
  <c r="P89"/>
  <c r="Q89"/>
  <c r="I75"/>
  <c r="J75"/>
  <c r="Q75"/>
  <c r="N75"/>
  <c r="K75"/>
  <c r="O75"/>
  <c r="M75"/>
  <c r="R75"/>
  <c r="L75"/>
  <c r="P75"/>
  <c r="J49"/>
  <c r="I49"/>
  <c r="N49"/>
  <c r="Q49"/>
  <c r="L49"/>
  <c r="K49"/>
  <c r="P49"/>
  <c r="R49"/>
  <c r="O49"/>
  <c r="M49"/>
  <c r="I30"/>
  <c r="J30"/>
  <c r="R30"/>
  <c r="P30"/>
  <c r="O30"/>
  <c r="M30"/>
  <c r="L30"/>
  <c r="K30"/>
  <c r="N30"/>
  <c r="Q30"/>
  <c r="S93"/>
  <c r="V93"/>
  <c r="U93"/>
  <c r="T93"/>
  <c r="I93"/>
  <c r="J93"/>
  <c r="Q93"/>
  <c r="K93"/>
  <c r="O93"/>
  <c r="R93"/>
  <c r="N93"/>
  <c r="P93"/>
  <c r="L93"/>
  <c r="M93"/>
  <c r="J76"/>
  <c r="I76"/>
  <c r="M76"/>
  <c r="P76"/>
  <c r="Q76"/>
  <c r="K76"/>
  <c r="L76"/>
  <c r="R76"/>
  <c r="O76"/>
  <c r="N76"/>
  <c r="U90"/>
  <c r="V90"/>
  <c r="T90"/>
  <c r="S90"/>
  <c r="J90"/>
  <c r="I90"/>
  <c r="L90"/>
  <c r="O90"/>
  <c r="M90"/>
  <c r="N90"/>
  <c r="P90"/>
  <c r="Q90"/>
  <c r="K90"/>
  <c r="R90"/>
  <c r="I48"/>
  <c r="J48"/>
  <c r="N48"/>
  <c r="K48"/>
  <c r="Q48"/>
  <c r="L48"/>
  <c r="M48"/>
  <c r="O48"/>
  <c r="P48"/>
  <c r="R48"/>
  <c r="I26"/>
  <c r="J26"/>
  <c r="M26"/>
  <c r="K26"/>
  <c r="Q26"/>
  <c r="N26"/>
  <c r="L26"/>
  <c r="R26"/>
  <c r="O26"/>
  <c r="P26"/>
  <c r="J43"/>
  <c r="I43"/>
  <c r="O43"/>
  <c r="P43"/>
  <c r="R43"/>
  <c r="M43"/>
  <c r="L43"/>
  <c r="Q43"/>
  <c r="K43"/>
  <c r="N43"/>
  <c r="J54"/>
  <c r="I54"/>
  <c r="L54"/>
  <c r="R54"/>
  <c r="K54"/>
  <c r="M54"/>
  <c r="Q54"/>
  <c r="P54"/>
  <c r="O54"/>
  <c r="N54"/>
  <c r="J53"/>
  <c r="I53"/>
  <c r="R53"/>
  <c r="M53"/>
  <c r="K53"/>
  <c r="P53"/>
  <c r="Q53"/>
  <c r="L53"/>
  <c r="O53"/>
  <c r="N53"/>
  <c r="S96"/>
  <c r="K96"/>
  <c r="O96"/>
  <c r="P96"/>
  <c r="N96"/>
  <c r="Q96"/>
  <c r="R96"/>
  <c r="V96"/>
  <c r="J96"/>
  <c r="T96"/>
  <c r="U96"/>
  <c r="M96"/>
  <c r="I96"/>
  <c r="L96"/>
  <c r="O103"/>
  <c r="P103"/>
  <c r="S103"/>
  <c r="K103"/>
  <c r="T103"/>
  <c r="L103"/>
  <c r="R103"/>
  <c r="U103"/>
  <c r="V103"/>
  <c r="M103"/>
  <c r="I103"/>
  <c r="J103"/>
  <c r="N103"/>
  <c r="Q103"/>
  <c r="O99"/>
  <c r="P99"/>
  <c r="S99"/>
  <c r="K99"/>
  <c r="T99"/>
  <c r="L99"/>
  <c r="J99"/>
  <c r="M99"/>
  <c r="N99"/>
  <c r="U99"/>
  <c r="I99"/>
  <c r="Q99"/>
  <c r="R99"/>
  <c r="V99"/>
  <c r="D45"/>
  <c r="D49"/>
  <c r="S110"/>
  <c r="K110"/>
  <c r="T110"/>
  <c r="L110"/>
  <c r="O110"/>
  <c r="P110"/>
  <c r="I110"/>
  <c r="J110"/>
  <c r="M110"/>
  <c r="R110"/>
  <c r="N110"/>
  <c r="Q110"/>
  <c r="U110"/>
  <c r="V110"/>
  <c r="O107"/>
  <c r="P107"/>
  <c r="S107"/>
  <c r="K107"/>
  <c r="T107"/>
  <c r="L107"/>
  <c r="J107"/>
  <c r="M107"/>
  <c r="N107"/>
  <c r="U107"/>
  <c r="I107"/>
  <c r="Q107"/>
  <c r="R107"/>
  <c r="V107"/>
  <c r="D40"/>
  <c r="D41"/>
  <c r="S108"/>
  <c r="K108"/>
  <c r="T108"/>
  <c r="L108"/>
  <c r="O108"/>
  <c r="P108"/>
  <c r="U108"/>
  <c r="V108"/>
  <c r="I108"/>
  <c r="N108"/>
  <c r="R108"/>
  <c r="Q108"/>
  <c r="J108"/>
  <c r="M108"/>
  <c r="D42"/>
  <c r="O101"/>
  <c r="P101"/>
  <c r="S101"/>
  <c r="K101"/>
  <c r="T101"/>
  <c r="L101"/>
  <c r="N101"/>
  <c r="Q101"/>
  <c r="R101"/>
  <c r="I101"/>
  <c r="J101"/>
  <c r="V101"/>
  <c r="M101"/>
  <c r="U101"/>
  <c r="D46"/>
  <c r="D44"/>
  <c r="O109"/>
  <c r="P109"/>
  <c r="S109"/>
  <c r="K109"/>
  <c r="T109"/>
  <c r="L109"/>
  <c r="N109"/>
  <c r="Q109"/>
  <c r="R109"/>
  <c r="I109"/>
  <c r="J109"/>
  <c r="V109"/>
  <c r="M109"/>
  <c r="U109"/>
  <c r="S94"/>
  <c r="P94"/>
  <c r="T94"/>
  <c r="U94"/>
  <c r="I94"/>
  <c r="V94"/>
  <c r="Q94"/>
  <c r="R94"/>
  <c r="D48"/>
  <c r="S102"/>
  <c r="K102"/>
  <c r="T102"/>
  <c r="L102"/>
  <c r="O102"/>
  <c r="P102"/>
  <c r="I102"/>
  <c r="J102"/>
  <c r="M102"/>
  <c r="R102"/>
  <c r="N102"/>
  <c r="Q102"/>
  <c r="U102"/>
  <c r="V102"/>
  <c r="O95"/>
  <c r="S95"/>
  <c r="K95"/>
  <c r="T95"/>
  <c r="L95"/>
  <c r="J95"/>
  <c r="M95"/>
  <c r="N95"/>
  <c r="R95"/>
  <c r="Q95"/>
  <c r="P95"/>
  <c r="U95"/>
  <c r="V95"/>
  <c r="I95"/>
  <c r="S112"/>
  <c r="K112"/>
  <c r="T112"/>
  <c r="L112"/>
  <c r="O112"/>
  <c r="P112"/>
  <c r="M112"/>
  <c r="N112"/>
  <c r="Q112"/>
  <c r="V112"/>
  <c r="R112"/>
  <c r="U112"/>
  <c r="J112"/>
  <c r="I112"/>
  <c r="S106"/>
  <c r="K106"/>
  <c r="T106"/>
  <c r="L106"/>
  <c r="O106"/>
  <c r="P106"/>
  <c r="Q106"/>
  <c r="R106"/>
  <c r="U106"/>
  <c r="J106"/>
  <c r="M106"/>
  <c r="N106"/>
  <c r="I106"/>
  <c r="V106"/>
  <c r="D47"/>
  <c r="O105"/>
  <c r="P105"/>
  <c r="S105"/>
  <c r="K105"/>
  <c r="T105"/>
  <c r="L105"/>
  <c r="V105"/>
  <c r="I105"/>
  <c r="J105"/>
  <c r="Q105"/>
  <c r="M105"/>
  <c r="U105"/>
  <c r="N105"/>
  <c r="R105"/>
  <c r="D52"/>
  <c r="D53"/>
  <c r="S100"/>
  <c r="K100"/>
  <c r="T100"/>
  <c r="L100"/>
  <c r="O100"/>
  <c r="P100"/>
  <c r="U100"/>
  <c r="V100"/>
  <c r="I100"/>
  <c r="N100"/>
  <c r="R100"/>
  <c r="Q100"/>
  <c r="J100"/>
  <c r="M100"/>
  <c r="D39"/>
  <c r="D54"/>
  <c r="D51"/>
  <c r="O97"/>
  <c r="P97"/>
  <c r="S97"/>
  <c r="K97"/>
  <c r="T97"/>
  <c r="L97"/>
  <c r="V97"/>
  <c r="I97"/>
  <c r="J97"/>
  <c r="Q97"/>
  <c r="U97"/>
  <c r="M97"/>
  <c r="N97"/>
  <c r="R97"/>
  <c r="S104"/>
  <c r="K104"/>
  <c r="T104"/>
  <c r="L104"/>
  <c r="O104"/>
  <c r="P104"/>
  <c r="M104"/>
  <c r="N104"/>
  <c r="Q104"/>
  <c r="V104"/>
  <c r="R104"/>
  <c r="J104"/>
  <c r="U104"/>
  <c r="I104"/>
  <c r="O111"/>
  <c r="P111"/>
  <c r="S111"/>
  <c r="K111"/>
  <c r="T111"/>
  <c r="L111"/>
  <c r="R111"/>
  <c r="U111"/>
  <c r="V111"/>
  <c r="M111"/>
  <c r="I111"/>
  <c r="J111"/>
  <c r="Q111"/>
  <c r="N111"/>
  <c r="D43"/>
  <c r="D50"/>
  <c r="S98"/>
  <c r="K98"/>
  <c r="T98"/>
  <c r="L98"/>
  <c r="O98"/>
  <c r="P98"/>
  <c r="Q98"/>
  <c r="R98"/>
  <c r="U98"/>
  <c r="J98"/>
  <c r="M98"/>
  <c r="N98"/>
  <c r="I98"/>
  <c r="V98"/>
  <c r="C39" i="51" l="1"/>
  <c r="C41" i="50"/>
  <c r="C42" s="1"/>
  <c r="C40" i="46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60" s="1"/>
  <c r="C61" s="1"/>
  <c r="C63" s="1"/>
  <c r="C65" s="1"/>
  <c r="D39" i="49"/>
  <c r="D174" i="30"/>
  <c r="D112"/>
  <c r="D110"/>
  <c r="D172"/>
  <c r="D165"/>
  <c r="D103"/>
  <c r="D99" i="29"/>
  <c r="D161"/>
  <c r="D173" i="30"/>
  <c r="D111"/>
  <c r="D167" i="29"/>
  <c r="D105"/>
  <c r="D163" i="30"/>
  <c r="D101"/>
  <c r="D175" i="29"/>
  <c r="D113"/>
  <c r="D172"/>
  <c r="D110"/>
  <c r="D168" i="30"/>
  <c r="D106"/>
  <c r="D162" i="29"/>
  <c r="D100"/>
  <c r="D176" i="30"/>
  <c r="D114"/>
  <c r="D99"/>
  <c r="C99" s="1"/>
  <c r="D161"/>
  <c r="C161" s="1"/>
  <c r="C38"/>
  <c r="D165" i="29"/>
  <c r="D103"/>
  <c r="D113" i="30"/>
  <c r="D175"/>
  <c r="D101" i="29"/>
  <c r="D163"/>
  <c r="D160"/>
  <c r="C160" s="1"/>
  <c r="D98"/>
  <c r="C98" s="1"/>
  <c r="C39"/>
  <c r="D104" i="30"/>
  <c r="D166"/>
  <c r="D174" i="29"/>
  <c r="D112"/>
  <c r="D102" i="30"/>
  <c r="D164"/>
  <c r="D173" i="29"/>
  <c r="D111"/>
  <c r="D107" i="30"/>
  <c r="D169"/>
  <c r="D109" i="29"/>
  <c r="D171"/>
  <c r="D167" i="30"/>
  <c r="D105"/>
  <c r="D168" i="29"/>
  <c r="D106"/>
  <c r="D166"/>
  <c r="D104"/>
  <c r="D169"/>
  <c r="D107"/>
  <c r="D109" i="30"/>
  <c r="D171"/>
  <c r="D108"/>
  <c r="D170"/>
  <c r="D102" i="29"/>
  <c r="D164"/>
  <c r="D170"/>
  <c r="D108"/>
  <c r="D162" i="30"/>
  <c r="D100"/>
  <c r="F100" i="17"/>
  <c r="F108"/>
  <c r="F103"/>
  <c r="F85"/>
  <c r="F102"/>
  <c r="F96"/>
  <c r="F24"/>
  <c r="F51"/>
  <c r="F101"/>
  <c r="F107"/>
  <c r="F93"/>
  <c r="F57"/>
  <c r="F40"/>
  <c r="F21"/>
  <c r="F98"/>
  <c r="F43"/>
  <c r="F90"/>
  <c r="F55"/>
  <c r="F87"/>
  <c r="F95"/>
  <c r="F34"/>
  <c r="F111"/>
  <c r="F112"/>
  <c r="F109"/>
  <c r="F99"/>
  <c r="F106"/>
  <c r="F92"/>
  <c r="F104"/>
  <c r="F88"/>
  <c r="F80"/>
  <c r="F45"/>
  <c r="F82"/>
  <c r="F77"/>
  <c r="F73"/>
  <c r="F110"/>
  <c r="F89"/>
  <c r="F91"/>
  <c r="F83"/>
  <c r="F86"/>
  <c r="F84"/>
  <c r="F79"/>
  <c r="F105"/>
  <c r="F78"/>
  <c r="F75"/>
  <c r="F74"/>
  <c r="F81"/>
  <c r="F97"/>
  <c r="F76"/>
  <c r="F27"/>
  <c r="F39"/>
  <c r="F22"/>
  <c r="F53"/>
  <c r="F19"/>
  <c r="F36"/>
  <c r="F30"/>
  <c r="F46"/>
  <c r="F23"/>
  <c r="F41"/>
  <c r="F37"/>
  <c r="F42"/>
  <c r="F48"/>
  <c r="F44"/>
  <c r="F26"/>
  <c r="F38"/>
  <c r="F49"/>
  <c r="F29"/>
  <c r="F33"/>
  <c r="F52"/>
  <c r="F35"/>
  <c r="F56"/>
  <c r="F32"/>
  <c r="F47"/>
  <c r="F20"/>
  <c r="F25"/>
  <c r="F31"/>
  <c r="F28"/>
  <c r="F54"/>
  <c r="F18"/>
  <c r="F50"/>
  <c r="L60"/>
  <c r="L59"/>
  <c r="O59"/>
  <c r="O60"/>
  <c r="K60"/>
  <c r="K59"/>
  <c r="N60"/>
  <c r="N59"/>
  <c r="Q59"/>
  <c r="Q60"/>
  <c r="J59"/>
  <c r="J60"/>
  <c r="R60"/>
  <c r="R59"/>
  <c r="P59"/>
  <c r="P60"/>
  <c r="M59"/>
  <c r="M60"/>
  <c r="I59"/>
  <c r="I60"/>
  <c r="L94"/>
  <c r="L115" s="1"/>
  <c r="K94"/>
  <c r="K115" s="1"/>
  <c r="R115"/>
  <c r="R114"/>
  <c r="D155"/>
  <c r="D100"/>
  <c r="D162"/>
  <c r="D107"/>
  <c r="D159"/>
  <c r="D104"/>
  <c r="D163"/>
  <c r="D108"/>
  <c r="I115"/>
  <c r="I114"/>
  <c r="D97"/>
  <c r="D152"/>
  <c r="C39"/>
  <c r="C40" s="1"/>
  <c r="D149"/>
  <c r="C149" s="1"/>
  <c r="D94"/>
  <c r="C94" s="1"/>
  <c r="D158"/>
  <c r="D103"/>
  <c r="J94"/>
  <c r="D157"/>
  <c r="D102"/>
  <c r="P114"/>
  <c r="P115"/>
  <c r="D106"/>
  <c r="D161"/>
  <c r="D105"/>
  <c r="D160"/>
  <c r="D164"/>
  <c r="D109"/>
  <c r="N94"/>
  <c r="Q115"/>
  <c r="Q114"/>
  <c r="D150"/>
  <c r="D95"/>
  <c r="C95" s="1"/>
  <c r="D153"/>
  <c r="D98"/>
  <c r="D151"/>
  <c r="D96"/>
  <c r="D154"/>
  <c r="D99"/>
  <c r="D156"/>
  <c r="D101"/>
  <c r="M94"/>
  <c r="O94"/>
  <c r="C40" i="51" l="1"/>
  <c r="C43" i="50"/>
  <c r="C44" s="1"/>
  <c r="D40" i="49"/>
  <c r="C100" i="30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61" i="29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62" i="30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99" i="29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39" i="30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40" i="29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F94" i="17"/>
  <c r="F60"/>
  <c r="F59"/>
  <c r="L114"/>
  <c r="K114"/>
  <c r="C150"/>
  <c r="C151" s="1"/>
  <c r="C152" s="1"/>
  <c r="C153" s="1"/>
  <c r="C96"/>
  <c r="C97" s="1"/>
  <c r="N114"/>
  <c r="N115"/>
  <c r="C41"/>
  <c r="O114"/>
  <c r="O115"/>
  <c r="C42"/>
  <c r="M115"/>
  <c r="M114"/>
  <c r="J114"/>
  <c r="J115"/>
  <c r="C41" i="51" l="1"/>
  <c r="C45" i="50"/>
  <c r="D41" i="49"/>
  <c r="D42" s="1"/>
  <c r="C59" i="30"/>
  <c r="C60" s="1"/>
  <c r="C60" i="29"/>
  <c r="C61" s="1"/>
  <c r="C181"/>
  <c r="C182" s="1"/>
  <c r="C120" i="30"/>
  <c r="C121" s="1"/>
  <c r="C182"/>
  <c r="C183" s="1"/>
  <c r="C119" i="29"/>
  <c r="C120" s="1"/>
  <c r="F114" i="17"/>
  <c r="F115"/>
  <c r="C154"/>
  <c r="C155" s="1"/>
  <c r="C43"/>
  <c r="C44" s="1"/>
  <c r="C98"/>
  <c r="C42" i="51" l="1"/>
  <c r="C46" s="1"/>
  <c r="C47" s="1"/>
  <c r="C48" s="1"/>
  <c r="C49" s="1"/>
  <c r="C50" s="1"/>
  <c r="C44"/>
  <c r="C45" s="1"/>
  <c r="C43"/>
  <c r="C46" i="50"/>
  <c r="C47" s="1"/>
  <c r="C48" s="1"/>
  <c r="D43" i="49"/>
  <c r="C45" i="17"/>
  <c r="C46" s="1"/>
  <c r="C156"/>
  <c r="C99"/>
  <c r="C51" i="51" l="1"/>
  <c r="C52" s="1"/>
  <c r="C53" s="1"/>
  <c r="C59" s="1"/>
  <c r="C49" i="50"/>
  <c r="C50" s="1"/>
  <c r="C51" s="1"/>
  <c r="C52" s="1"/>
  <c r="C53" s="1"/>
  <c r="C54" s="1"/>
  <c r="C60" s="1"/>
  <c r="D44" i="49"/>
  <c r="C47" i="17"/>
  <c r="C48" s="1"/>
  <c r="C49" s="1"/>
  <c r="C50" s="1"/>
  <c r="C51" s="1"/>
  <c r="C52" s="1"/>
  <c r="C53" s="1"/>
  <c r="C54" s="1"/>
  <c r="C59" s="1"/>
  <c r="C60" s="1"/>
  <c r="C100"/>
  <c r="C157"/>
  <c r="C158" s="1"/>
  <c r="D45" i="49" l="1"/>
  <c r="C159" i="17"/>
  <c r="C160" s="1"/>
  <c r="C161" s="1"/>
  <c r="C162" s="1"/>
  <c r="C163" s="1"/>
  <c r="C164" s="1"/>
  <c r="C169" s="1"/>
  <c r="C170" s="1"/>
  <c r="C101"/>
  <c r="C102" s="1"/>
  <c r="C103" s="1"/>
  <c r="C104" s="1"/>
  <c r="C105" s="1"/>
  <c r="C106" s="1"/>
  <c r="C107" s="1"/>
  <c r="C108" s="1"/>
  <c r="C109" s="1"/>
  <c r="C114" s="1"/>
  <c r="C115" s="1"/>
  <c r="D46" i="49" l="1"/>
  <c r="D47" s="1"/>
  <c r="D48" s="1"/>
  <c r="D49" s="1"/>
  <c r="D50" s="1"/>
  <c r="D51" s="1"/>
  <c r="D52" s="1"/>
  <c r="D53" l="1"/>
  <c r="D54" s="1"/>
  <c r="D60" s="1"/>
  <c r="D61" s="1"/>
</calcChain>
</file>

<file path=xl/comments1.xml><?xml version="1.0" encoding="utf-8"?>
<comments xmlns="http://schemas.openxmlformats.org/spreadsheetml/2006/main">
  <authors>
    <author>Diane Berron</author>
  </authors>
  <commentList>
    <comment ref="A8" authorId="0">
      <text>
        <r>
          <rPr>
            <b/>
            <sz val="11"/>
            <color indexed="81"/>
            <rFont val="Tahoma"/>
            <family val="2"/>
          </rPr>
          <t>Diane Berron:</t>
        </r>
        <r>
          <rPr>
            <sz val="11"/>
            <color indexed="81"/>
            <rFont val="Tahoma"/>
            <family val="2"/>
          </rPr>
          <t xml:space="preserve">
1 if electric or gas</t>
        </r>
      </text>
    </comment>
  </commentList>
</comments>
</file>

<file path=xl/sharedStrings.xml><?xml version="1.0" encoding="utf-8"?>
<sst xmlns="http://schemas.openxmlformats.org/spreadsheetml/2006/main" count="3454" uniqueCount="407">
  <si>
    <t>ALE</t>
  </si>
  <si>
    <t>LNT</t>
  </si>
  <si>
    <t>AEP</t>
  </si>
  <si>
    <t>AEE</t>
  </si>
  <si>
    <t>AVA</t>
  </si>
  <si>
    <t>BKH</t>
  </si>
  <si>
    <t>CNP</t>
  </si>
  <si>
    <t>CHG</t>
  </si>
  <si>
    <t>CNL</t>
  </si>
  <si>
    <t>CMS</t>
  </si>
  <si>
    <t>ED</t>
  </si>
  <si>
    <t>D</t>
  </si>
  <si>
    <t>DTE</t>
  </si>
  <si>
    <t>DUK</t>
  </si>
  <si>
    <t>EIX</t>
  </si>
  <si>
    <t>EE</t>
  </si>
  <si>
    <t>EDE</t>
  </si>
  <si>
    <t>ETR</t>
  </si>
  <si>
    <t>EXC</t>
  </si>
  <si>
    <t>FE</t>
  </si>
  <si>
    <t>GXP</t>
  </si>
  <si>
    <t>HE</t>
  </si>
  <si>
    <t>IDA</t>
  </si>
  <si>
    <t>TEG</t>
  </si>
  <si>
    <t>MDU</t>
  </si>
  <si>
    <t>MGEE</t>
  </si>
  <si>
    <t>NI</t>
  </si>
  <si>
    <t>OGE</t>
  </si>
  <si>
    <t>OTTR</t>
  </si>
  <si>
    <t>POM</t>
  </si>
  <si>
    <t>PCG</t>
  </si>
  <si>
    <t>PNW</t>
  </si>
  <si>
    <t>PNM</t>
  </si>
  <si>
    <t>POR</t>
  </si>
  <si>
    <t>PPL</t>
  </si>
  <si>
    <t>PEG</t>
  </si>
  <si>
    <t>SCG</t>
  </si>
  <si>
    <t>SRE</t>
  </si>
  <si>
    <t>SO</t>
  </si>
  <si>
    <t>TE</t>
  </si>
  <si>
    <t>UIL</t>
  </si>
  <si>
    <t>UNS</t>
  </si>
  <si>
    <t>VVC</t>
  </si>
  <si>
    <t>WR</t>
  </si>
  <si>
    <t>WEC</t>
  </si>
  <si>
    <t>XEL</t>
  </si>
  <si>
    <t xml:space="preserve">Black Hills                   </t>
  </si>
  <si>
    <t xml:space="preserve">CMS Energy Corp.              </t>
  </si>
  <si>
    <t xml:space="preserve">CH Energy Group               </t>
  </si>
  <si>
    <t xml:space="preserve">Cleco Corp.                   </t>
  </si>
  <si>
    <t xml:space="preserve">Consol. Edison                </t>
  </si>
  <si>
    <t xml:space="preserve">DTE Energy                    </t>
  </si>
  <si>
    <t xml:space="preserve">Dominion Resources            </t>
  </si>
  <si>
    <t xml:space="preserve">Edison Int'l                  </t>
  </si>
  <si>
    <t xml:space="preserve">Sempra Energy                 </t>
  </si>
  <si>
    <t xml:space="preserve">Entergy Corp.                 </t>
  </si>
  <si>
    <t xml:space="preserve">FPL Group                     </t>
  </si>
  <si>
    <t>FPL</t>
  </si>
  <si>
    <t xml:space="preserve">Hawaiian Elec.                </t>
  </si>
  <si>
    <t xml:space="preserve">IDACORP, Inc.                 </t>
  </si>
  <si>
    <t xml:space="preserve">MDU Resources                 </t>
  </si>
  <si>
    <t xml:space="preserve">MGE Energy                    </t>
  </si>
  <si>
    <t xml:space="preserve">NiSource Inc.                 </t>
  </si>
  <si>
    <t xml:space="preserve">Sierra Pacific Res.           </t>
  </si>
  <si>
    <t>SRP</t>
  </si>
  <si>
    <t xml:space="preserve">Xcel Energy Inc.              </t>
  </si>
  <si>
    <t xml:space="preserve">FirstEnergy Corp.             </t>
  </si>
  <si>
    <t xml:space="preserve">OGE Energy                    </t>
  </si>
  <si>
    <t xml:space="preserve">Otter Tail Corp.              </t>
  </si>
  <si>
    <t xml:space="preserve">Exelon Corp.                  </t>
  </si>
  <si>
    <t xml:space="preserve">PPL Corp.                     </t>
  </si>
  <si>
    <t xml:space="preserve">PG&amp;E Corp.                    </t>
  </si>
  <si>
    <t xml:space="preserve">Pinnacle West Capital         </t>
  </si>
  <si>
    <t xml:space="preserve">Pepco Holdings                </t>
  </si>
  <si>
    <t xml:space="preserve">PNM Resources                 </t>
  </si>
  <si>
    <t xml:space="preserve">Public Serv. Enterprise       </t>
  </si>
  <si>
    <t xml:space="preserve">SCANA Corp.                   </t>
  </si>
  <si>
    <t xml:space="preserve">Southern Co.                  </t>
  </si>
  <si>
    <t xml:space="preserve">TECO Energy                   </t>
  </si>
  <si>
    <t xml:space="preserve">UniSource Energy              </t>
  </si>
  <si>
    <t xml:space="preserve">Ameren Corp.                  </t>
  </si>
  <si>
    <t xml:space="preserve">UIL Holdings                  </t>
  </si>
  <si>
    <t xml:space="preserve">UNITIL Corp.                  </t>
  </si>
  <si>
    <t>UTL</t>
  </si>
  <si>
    <t xml:space="preserve">Alliant Energy                </t>
  </si>
  <si>
    <t xml:space="preserve">Integrys Energy               </t>
  </si>
  <si>
    <t xml:space="preserve">Avista Corp.                  </t>
  </si>
  <si>
    <t xml:space="preserve">Westar Energy                 </t>
  </si>
  <si>
    <t xml:space="preserve">El Paso Electric              </t>
  </si>
  <si>
    <t xml:space="preserve">Vectren Corp.                 </t>
  </si>
  <si>
    <t xml:space="preserve">CenterPoint Energy            </t>
  </si>
  <si>
    <t xml:space="preserve">ALLETE                        </t>
  </si>
  <si>
    <t xml:space="preserve">Portland General              </t>
  </si>
  <si>
    <t xml:space="preserve">Duke Energy                   </t>
  </si>
  <si>
    <t xml:space="preserve">NorthWestern Corp             </t>
  </si>
  <si>
    <r>
      <t xml:space="preserve">Price to Earnings (P/E) Ratio </t>
    </r>
    <r>
      <rPr>
        <b/>
        <vertAlign val="superscript"/>
        <sz val="11"/>
        <rFont val="Arial"/>
        <family val="2"/>
      </rPr>
      <t>1</t>
    </r>
  </si>
  <si>
    <t>Line</t>
  </si>
  <si>
    <t>Company</t>
  </si>
  <si>
    <t>Average</t>
  </si>
  <si>
    <t>Ticker</t>
  </si>
  <si>
    <t>Lookup:</t>
  </si>
  <si>
    <t>2</t>
  </si>
  <si>
    <t>Empire District Electric</t>
  </si>
  <si>
    <t>American Electric Power</t>
  </si>
  <si>
    <t xml:space="preserve">Great Plains Energy             </t>
  </si>
  <si>
    <t>NMF</t>
  </si>
  <si>
    <t>N/A</t>
  </si>
  <si>
    <t>Sources:</t>
  </si>
  <si>
    <t>Note:</t>
  </si>
  <si>
    <r>
      <t xml:space="preserve">Market Price to Cash Flow (MP/CF) Ratio </t>
    </r>
    <r>
      <rPr>
        <b/>
        <vertAlign val="superscript"/>
        <sz val="11"/>
        <rFont val="Arial"/>
        <family val="2"/>
      </rPr>
      <t>1</t>
    </r>
  </si>
  <si>
    <t>High</t>
  </si>
  <si>
    <t>Low</t>
  </si>
  <si>
    <t>Avg.</t>
  </si>
  <si>
    <t>P/E Ratio</t>
  </si>
  <si>
    <t>MP/CF</t>
  </si>
  <si>
    <t>ValueLine Reported</t>
  </si>
  <si>
    <t>input</t>
  </si>
  <si>
    <t>Company Name</t>
  </si>
  <si>
    <t>Ticker Symbol</t>
  </si>
  <si>
    <t>ALLETE</t>
  </si>
  <si>
    <t>Alliant Energy</t>
  </si>
  <si>
    <t>Amer. Elec. Power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</si>
  <si>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</si>
  <si>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</si>
  <si>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</si>
  <si>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</si>
  <si>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</si>
  <si>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</si>
  <si>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</si>
  <si>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</si>
  <si>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</si>
  <si>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Edison Int'l</t>
  </si>
  <si>
    <t>El Paso Electric</t>
  </si>
  <si>
    <t>Empire Dist. Elec.</t>
  </si>
  <si>
    <t>Entergy Corp.</t>
  </si>
  <si>
    <t>Exelon Corp.</t>
  </si>
  <si>
    <t>FirstEnergy Corp.</t>
  </si>
  <si>
    <t>G't Plains Energy</t>
  </si>
  <si>
    <t>Hawaiian Elec.</t>
  </si>
  <si>
    <t>MGE Energy</t>
  </si>
  <si>
    <t>NextEra Energy</t>
  </si>
  <si>
    <t>NEE</t>
  </si>
  <si>
    <t>NiSource Inc.</t>
  </si>
  <si>
    <t>NorthWestern Corp.</t>
  </si>
  <si>
    <t>NWE</t>
  </si>
  <si>
    <t>OGE Energy</t>
  </si>
  <si>
    <t>Otter Tail Corp.</t>
  </si>
  <si>
    <t>PG&amp;E Corp.</t>
  </si>
  <si>
    <t>Pinnacle West Capital</t>
  </si>
  <si>
    <t>PNM Resources</t>
  </si>
  <si>
    <t>Portland General</t>
  </si>
  <si>
    <t>PPL Corp.</t>
  </si>
  <si>
    <t>Public Serv. Enterprise</t>
  </si>
  <si>
    <t>SCANA Corp.</t>
  </si>
  <si>
    <t>Sempra Energy</t>
  </si>
  <si>
    <t>Southern Co.</t>
  </si>
  <si>
    <t>Vectren Corp.</t>
  </si>
  <si>
    <t>Westar Energy</t>
  </si>
  <si>
    <t>Xcel Energy Inc.</t>
  </si>
  <si>
    <t>Unitil Corp.</t>
  </si>
  <si>
    <t>ITC Holdings</t>
  </si>
  <si>
    <t>ITC</t>
  </si>
  <si>
    <t>Adams Resources &amp; Energy</t>
  </si>
  <si>
    <t>AE</t>
  </si>
  <si>
    <t>Amer. States Water</t>
  </si>
  <si>
    <t>AWR</t>
  </si>
  <si>
    <t>Amer. Water Works</t>
  </si>
  <si>
    <t>AWK</t>
  </si>
  <si>
    <t>AmeriGas Partners</t>
  </si>
  <si>
    <t>APU</t>
  </si>
  <si>
    <t>Aqua America</t>
  </si>
  <si>
    <t>WTR</t>
  </si>
  <si>
    <t>Artesian Res Corp</t>
  </si>
  <si>
    <t>ARTNA</t>
  </si>
  <si>
    <t>Atmos Energy</t>
  </si>
  <si>
    <t>ATO</t>
  </si>
  <si>
    <t>California Water</t>
  </si>
  <si>
    <t>CWT</t>
  </si>
  <si>
    <t>CPK</t>
  </si>
  <si>
    <t>Conn. Water Services</t>
  </si>
  <si>
    <t>CTWS</t>
  </si>
  <si>
    <t>Consolidated Water</t>
  </si>
  <si>
    <t>CWCO</t>
  </si>
  <si>
    <t>Delta Natural Gas</t>
  </si>
  <si>
    <t>DGAS</t>
  </si>
  <si>
    <t>Gas Natural Inc</t>
  </si>
  <si>
    <t>EGAS</t>
  </si>
  <si>
    <t>Middlesex Water</t>
  </si>
  <si>
    <t>MSEX</t>
  </si>
  <si>
    <t>New Jersey Resources</t>
  </si>
  <si>
    <t>NJR</t>
  </si>
  <si>
    <t>Northwest Nat. Gas</t>
  </si>
  <si>
    <t>NWN</t>
  </si>
  <si>
    <t>RGC Resources Inc</t>
  </si>
  <si>
    <t>RGCO</t>
  </si>
  <si>
    <t>SJW Corp.</t>
  </si>
  <si>
    <t>SJW</t>
  </si>
  <si>
    <t>South Jersey Inds.</t>
  </si>
  <si>
    <t>SJI</t>
  </si>
  <si>
    <t>Southwest Gas</t>
  </si>
  <si>
    <t>SWX</t>
  </si>
  <si>
    <t>Star Gas Partners L.P.</t>
  </si>
  <si>
    <t>SGU</t>
  </si>
  <si>
    <t>UGI Corp.</t>
  </si>
  <si>
    <t>UGI</t>
  </si>
  <si>
    <t>WGL Holdings Inc.</t>
  </si>
  <si>
    <t>WGL</t>
  </si>
  <si>
    <t>York Water Co. (The)</t>
  </si>
  <si>
    <t>YORW</t>
  </si>
  <si>
    <t>NextEra Energy, Inc.</t>
  </si>
  <si>
    <t>Eversource Energy</t>
  </si>
  <si>
    <t>ES</t>
  </si>
  <si>
    <t xml:space="preserve">Eversource Energy    </t>
  </si>
  <si>
    <t>mp</t>
  </si>
  <si>
    <t>cf</t>
  </si>
  <si>
    <t>Chesapeake Utilities</t>
  </si>
  <si>
    <t>IDACORP Inc.</t>
  </si>
  <si>
    <t>WEC Energy Group</t>
  </si>
  <si>
    <t xml:space="preserve">Source: The Value Line Investment Survey Investment Analyzer Software, </t>
  </si>
  <si>
    <t>Market Price to Cash Flow (MP/CF) Ratio</t>
  </si>
  <si>
    <t>Price to Earnings (P/E) Ratio</t>
  </si>
  <si>
    <t>CF 2015</t>
  </si>
  <si>
    <t>CF 2014</t>
  </si>
  <si>
    <t>CF 2013</t>
  </si>
  <si>
    <t>CF 2012</t>
  </si>
  <si>
    <t>CF 2011</t>
  </si>
  <si>
    <t>CF 2010</t>
  </si>
  <si>
    <t>CF 2009</t>
  </si>
  <si>
    <t>CF 2008</t>
  </si>
  <si>
    <t>CF 2007</t>
  </si>
  <si>
    <t>CF 2006</t>
  </si>
  <si>
    <t>P 2015</t>
  </si>
  <si>
    <t>P 2014</t>
  </si>
  <si>
    <t>P 2013</t>
  </si>
  <si>
    <t>P 2012</t>
  </si>
  <si>
    <t>P 2011</t>
  </si>
  <si>
    <t>P 2010</t>
  </si>
  <si>
    <t>P 2009</t>
  </si>
  <si>
    <t>P 2008</t>
  </si>
  <si>
    <t>P 2007</t>
  </si>
  <si>
    <t>P 2006</t>
  </si>
  <si>
    <t>Match</t>
  </si>
  <si>
    <t>Row</t>
  </si>
  <si>
    <t>Spire Inc.</t>
  </si>
  <si>
    <t>SR</t>
  </si>
  <si>
    <t>MP/BV</t>
  </si>
  <si>
    <t>BookValue 2015</t>
  </si>
  <si>
    <t>BookValue 2014</t>
  </si>
  <si>
    <t>BookValue 2013</t>
  </si>
  <si>
    <t>BookValue 2012</t>
  </si>
  <si>
    <t>BookValue 2011</t>
  </si>
  <si>
    <t>BookValue 2010</t>
  </si>
  <si>
    <t>BookValue 2009</t>
  </si>
  <si>
    <t>BookValue 2008</t>
  </si>
  <si>
    <t>BookValue 2007</t>
  </si>
  <si>
    <t>BookValue 2006</t>
  </si>
  <si>
    <t>bv</t>
  </si>
  <si>
    <t>Median</t>
  </si>
  <si>
    <t>12-Year</t>
  </si>
  <si>
    <t>Market Price to Book Value (MP/BV) Ratio</t>
  </si>
  <si>
    <r>
      <t xml:space="preserve">Market Price to Book Value (MP/BV) Ratio </t>
    </r>
    <r>
      <rPr>
        <b/>
        <vertAlign val="superscript"/>
        <sz val="11"/>
        <rFont val="Arial"/>
        <family val="2"/>
      </rPr>
      <t>1</t>
    </r>
  </si>
  <si>
    <t>AGR</t>
  </si>
  <si>
    <t>Avangrid, Inc.</t>
  </si>
  <si>
    <t>CF 2016</t>
  </si>
  <si>
    <t>AVANGRID Inc.</t>
  </si>
  <si>
    <t>BookValue 2016</t>
  </si>
  <si>
    <t>Fortis Inc.</t>
  </si>
  <si>
    <t>FTS.TO</t>
  </si>
  <si>
    <t>Value Line Industry</t>
  </si>
  <si>
    <t>Electric Utility (East)</t>
  </si>
  <si>
    <t>Electric Utility (West)</t>
  </si>
  <si>
    <t>Water Utility</t>
  </si>
  <si>
    <t>Natural Gas Utility</t>
  </si>
  <si>
    <t>Electric Utilities</t>
  </si>
  <si>
    <t>Natural Gas Utilities</t>
  </si>
  <si>
    <t>(Valuation Metrics)</t>
  </si>
  <si>
    <t>2016 Div declared per share</t>
  </si>
  <si>
    <t>2015 Div declared per share</t>
  </si>
  <si>
    <t>2014 Div declared per share</t>
  </si>
  <si>
    <t>2013 Div declared per share</t>
  </si>
  <si>
    <t>2012 Div declared per share</t>
  </si>
  <si>
    <t>2011 Div declared per share</t>
  </si>
  <si>
    <t>2010 Div declared per share</t>
  </si>
  <si>
    <t>2009 Div declared per share</t>
  </si>
  <si>
    <t>2008 Div declared per share</t>
  </si>
  <si>
    <t>2007 Div declared per share</t>
  </si>
  <si>
    <t>2006 Div declared per share</t>
  </si>
  <si>
    <t>EPS2006</t>
  </si>
  <si>
    <t>EPS2007</t>
  </si>
  <si>
    <t>EPS2008</t>
  </si>
  <si>
    <t>EPS2009</t>
  </si>
  <si>
    <t>EPS2010</t>
  </si>
  <si>
    <t>EPS2011</t>
  </si>
  <si>
    <t>EPS2012</t>
  </si>
  <si>
    <t>EPS2013</t>
  </si>
  <si>
    <t>EPS2014</t>
  </si>
  <si>
    <t>EPS2015</t>
  </si>
  <si>
    <t>EPS2016</t>
  </si>
  <si>
    <t>CapSpend2006</t>
  </si>
  <si>
    <t>CapSpend2007</t>
  </si>
  <si>
    <t>CapSpend2008</t>
  </si>
  <si>
    <t>CapSpend2009</t>
  </si>
  <si>
    <t>CapSpend2010</t>
  </si>
  <si>
    <t>CapSpend2011</t>
  </si>
  <si>
    <t>CapSpend2012</t>
  </si>
  <si>
    <t>CapSpend2013</t>
  </si>
  <si>
    <t>CapSpend2014</t>
  </si>
  <si>
    <t>CapSpend2015</t>
  </si>
  <si>
    <t>CapSpend2016</t>
  </si>
  <si>
    <t>PE</t>
  </si>
  <si>
    <t>BookValue</t>
  </si>
  <si>
    <t>CashFlow</t>
  </si>
  <si>
    <t>Earnings</t>
  </si>
  <si>
    <t>Price</t>
  </si>
  <si>
    <t>CapSpend</t>
  </si>
  <si>
    <t>Dividends</t>
  </si>
  <si>
    <t>downloaded:</t>
  </si>
  <si>
    <t>Source: The Value Line Investment Survey Investment Analyzer Software,</t>
  </si>
  <si>
    <r>
      <t xml:space="preserve">2017 </t>
    </r>
    <r>
      <rPr>
        <b/>
        <u/>
        <vertAlign val="superscript"/>
        <sz val="11"/>
        <rFont val="Arial"/>
        <family val="2"/>
      </rPr>
      <t>2</t>
    </r>
  </si>
  <si>
    <t xml:space="preserve">Downloaded from The Value Line Investment Survey Investment Analyzer Software, </t>
  </si>
  <si>
    <t>div</t>
  </si>
  <si>
    <t>ear</t>
  </si>
  <si>
    <t>Dividend to Book Value (Div/BV) Ratio</t>
  </si>
  <si>
    <t>Dividend to Earnings (DIV/EARN) Ratio</t>
  </si>
  <si>
    <t>Cash Flow to Capital Spending (CF/CAPSPEND) Ratio</t>
  </si>
  <si>
    <t>Capsp</t>
  </si>
  <si>
    <t>VL Report Date</t>
  </si>
  <si>
    <t>DIV/Earn</t>
  </si>
  <si>
    <t>CF/Cap Spend</t>
  </si>
  <si>
    <t>16-Year</t>
  </si>
  <si>
    <r>
      <t xml:space="preserve">2017 </t>
    </r>
    <r>
      <rPr>
        <b/>
        <u/>
        <vertAlign val="superscript"/>
        <sz val="11"/>
        <rFont val="Arial"/>
        <family val="2"/>
      </rPr>
      <t>2/a</t>
    </r>
  </si>
  <si>
    <t>13-Year</t>
  </si>
  <si>
    <r>
      <t xml:space="preserve">Dividends to Earnings Ratio </t>
    </r>
    <r>
      <rPr>
        <b/>
        <vertAlign val="superscript"/>
        <sz val="11"/>
        <rFont val="Arial"/>
        <family val="2"/>
      </rPr>
      <t>1</t>
    </r>
  </si>
  <si>
    <r>
      <t xml:space="preserve">Cash Flow to Capital Spending Ratio </t>
    </r>
    <r>
      <rPr>
        <b/>
        <vertAlign val="superscript"/>
        <sz val="11"/>
        <rFont val="Arial"/>
        <family val="2"/>
      </rPr>
      <t>1</t>
    </r>
  </si>
  <si>
    <r>
      <t xml:space="preserve">2017 </t>
    </r>
    <r>
      <rPr>
        <b/>
        <u/>
        <vertAlign val="superscript"/>
        <sz val="11"/>
        <rFont val="Arial"/>
        <family val="2"/>
      </rPr>
      <t>2/b</t>
    </r>
  </si>
  <si>
    <r>
      <t xml:space="preserve">2017 </t>
    </r>
    <r>
      <rPr>
        <b/>
        <u/>
        <vertAlign val="superscript"/>
        <sz val="11"/>
        <rFont val="Arial"/>
        <family val="2"/>
      </rPr>
      <t>2/c</t>
    </r>
  </si>
  <si>
    <t>Notes:</t>
  </si>
  <si>
    <r>
      <t xml:space="preserve">Percent Dividends to Book Value </t>
    </r>
    <r>
      <rPr>
        <b/>
        <vertAlign val="superscript"/>
        <sz val="11"/>
        <rFont val="Arial"/>
        <family val="2"/>
      </rPr>
      <t>1</t>
    </r>
  </si>
  <si>
    <t>AvgAnnDivYld</t>
  </si>
  <si>
    <t>Avg Annual PE Ratio</t>
  </si>
  <si>
    <t>Avg Annual Price</t>
  </si>
  <si>
    <t>Book Value per shr</t>
  </si>
  <si>
    <t>Cap'l Spending per shr</t>
  </si>
  <si>
    <t>Cash Flow per share</t>
  </si>
  <si>
    <t>Div'ds decl per shr</t>
  </si>
  <si>
    <t>EPS</t>
  </si>
  <si>
    <t>Avg Annual Div'd Yield</t>
  </si>
  <si>
    <t>AVERAGE</t>
  </si>
  <si>
    <t>All</t>
  </si>
  <si>
    <t>Electric and Gas</t>
  </si>
  <si>
    <t>Electric Util. (Central)</t>
  </si>
  <si>
    <t>CHECKSUM</t>
  </si>
  <si>
    <t>Electric Utility</t>
  </si>
  <si>
    <t>OGS</t>
  </si>
  <si>
    <t>Dominion Energy</t>
  </si>
  <si>
    <t>note: OGS downloaded 6/21/17</t>
  </si>
  <si>
    <t>ONE Gas Inc.</t>
  </si>
  <si>
    <t>DIV/BV %</t>
  </si>
  <si>
    <t>DIV/BV
%</t>
  </si>
  <si>
    <t>Electric</t>
  </si>
  <si>
    <t>Gas</t>
  </si>
  <si>
    <t>Water</t>
  </si>
  <si>
    <t>a</t>
  </si>
  <si>
    <t>b</t>
  </si>
  <si>
    <t>c</t>
  </si>
  <si>
    <t>Based on the average of the high and low price for 2017 and the projected 2017 Cash Flow per share,</t>
  </si>
  <si>
    <t>Based on the average of the high and low price for 2017 and the projected 2017 Book Value per share,</t>
  </si>
  <si>
    <t>Based on the projected 2017 Dividends Declared per share and Earnings per share,</t>
  </si>
  <si>
    <t>Based on the projected 2017 Cash Flow per share and Capital Spending per share,</t>
  </si>
  <si>
    <t>Based on the projected 2017 Dividend Declared per share and Book Value per share,</t>
  </si>
  <si>
    <t>Enter Utility Here</t>
  </si>
  <si>
    <t>Dividend Yield (Div/MP) %</t>
  </si>
  <si>
    <t>A Utility Bonds</t>
  </si>
  <si>
    <t xml:space="preserve">Year </t>
  </si>
  <si>
    <t>Annual Yield</t>
  </si>
  <si>
    <t>*Jan - August</t>
  </si>
  <si>
    <t>www.moodys.com, Bond Yields and Key Indicators.</t>
  </si>
  <si>
    <t>Spread</t>
  </si>
  <si>
    <r>
      <t>"A" Rated Utility
Bond Yield</t>
    </r>
    <r>
      <rPr>
        <b/>
        <vertAlign val="superscript"/>
        <sz val="11"/>
        <color theme="1"/>
        <rFont val="Arial"/>
        <family val="2"/>
      </rPr>
      <t>3</t>
    </r>
  </si>
  <si>
    <t>Dividend Yield</t>
  </si>
  <si>
    <t>DIV/MP
%</t>
  </si>
  <si>
    <t>July 14, 2017.</t>
  </si>
  <si>
    <t>Water Utilities</t>
  </si>
  <si>
    <t>CapSpendperShare2017</t>
  </si>
  <si>
    <t>CapSpendperShare2018</t>
  </si>
  <si>
    <t>CapSpendperShare2019</t>
  </si>
  <si>
    <t>CapSpendperShare3-5yr</t>
  </si>
  <si>
    <t>CashFlowperShare2017</t>
  </si>
  <si>
    <t>CashFlowperShare2018</t>
  </si>
  <si>
    <t>CashFlowperShare2019</t>
  </si>
  <si>
    <t>CashFlowperShare3-5yrs</t>
  </si>
  <si>
    <t>SJW Group</t>
  </si>
  <si>
    <t>3 - 5 yr</t>
  </si>
  <si>
    <t>Projection</t>
  </si>
  <si>
    <t>2017</t>
  </si>
  <si>
    <t>Based on the projected Cash Flow per share and Capital Spending per share.</t>
  </si>
  <si>
    <t>Downloaded from Value Line Investment Analyzer.</t>
  </si>
  <si>
    <t>July 28, August 18, and September 15, 2017.</t>
  </si>
  <si>
    <t>www.moodys.com, Bond Yields and Key Indicators, through August 31, 2017.</t>
  </si>
  <si>
    <t>Cash Flow / Capital Spending</t>
  </si>
  <si>
    <t>September 1, 2017.</t>
  </si>
  <si>
    <t>Industry CAGR</t>
  </si>
  <si>
    <t>CAGR = Compound Annual Growth Rate</t>
  </si>
  <si>
    <r>
      <t>Dividend Yield</t>
    </r>
    <r>
      <rPr>
        <b/>
        <vertAlign val="superscript"/>
        <sz val="11"/>
        <rFont val="Arial"/>
        <family val="2"/>
      </rPr>
      <t>1</t>
    </r>
  </si>
  <si>
    <r>
      <t>Dividend per Share</t>
    </r>
    <r>
      <rPr>
        <b/>
        <vertAlign val="superscript"/>
        <sz val="11"/>
        <rFont val="Arial"/>
        <family val="2"/>
      </rPr>
      <t>1</t>
    </r>
  </si>
  <si>
    <t>Enter Utility Name Here</t>
  </si>
  <si>
    <t>Avista Corporation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</si>
</sst>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0"/>
    <numFmt numFmtId="166" formatCode="[$-409]mmm\ d\,\ yyyy;@"/>
    <numFmt numFmtId="167" formatCode="0.0"/>
    <numFmt numFmtId="168" formatCode="?0.00"/>
    <numFmt numFmtId="169" formatCode="0.000000"/>
    <numFmt numFmtId="170" formatCode="_([$€-2]* #,##0.00_);_([$€-2]* \(#,##0.00\);_([$€-2]* &quot;-&quot;??_)"/>
    <numFmt numFmtId="171" formatCode="0.0000"/>
    <numFmt numFmtId="172" formatCode="0.0%"/>
    <numFmt numFmtId="173" formatCode="0.00&quot;x&quot;"/>
    <numFmt numFmtId="174" formatCode="[$-409]mmmm\ d\,\ yyyy;@"/>
  </numFmts>
  <fonts count="109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u/>
      <sz val="11"/>
      <name val="Arial"/>
      <family val="2"/>
    </font>
    <font>
      <b/>
      <u/>
      <vertAlign val="superscript"/>
      <sz val="11"/>
      <name val="Arial"/>
      <family val="2"/>
    </font>
    <font>
      <b/>
      <u/>
      <sz val="11"/>
      <color theme="0"/>
      <name val="Arial"/>
      <family val="2"/>
    </font>
    <font>
      <vertAlign val="superscript"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0" tint="-0.249977111117893"/>
      <name val="Arial"/>
      <family val="2"/>
    </font>
    <font>
      <sz val="11"/>
      <color rgb="FF0000FF"/>
      <name val="Arial"/>
      <family val="2"/>
    </font>
    <font>
      <sz val="8"/>
      <color theme="1"/>
      <name val="Arial"/>
      <family val="2"/>
    </font>
    <font>
      <sz val="11"/>
      <color theme="0" tint="-0.499984740745262"/>
      <name val="Arial"/>
      <family val="2"/>
    </font>
    <font>
      <sz val="8"/>
      <color theme="0" tint="-0.249977111117893"/>
      <name val="Arial"/>
      <family val="2"/>
    </font>
    <font>
      <sz val="8"/>
      <color theme="0" tint="-0.499984740745262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erif"/>
      <family val="1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9"/>
      <color indexed="8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8"/>
      <color indexed="9"/>
      <name val="Calibri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2"/>
      <color indexed="30"/>
      <name val="Calibri"/>
      <family val="2"/>
    </font>
    <font>
      <sz val="14"/>
      <color indexed="13"/>
      <name val="Helv"/>
    </font>
    <font>
      <b/>
      <sz val="18"/>
      <color indexed="56"/>
      <name val="Cambria"/>
      <family val="2"/>
    </font>
    <font>
      <b/>
      <sz val="9"/>
      <name val="Helv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vertAlign val="superscript"/>
      <sz val="11"/>
      <color theme="1"/>
      <name val="Arial"/>
      <family val="2"/>
    </font>
    <font>
      <sz val="8"/>
      <color theme="0" tint="-0.34998626667073579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1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55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4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35" borderId="0" applyNumberFormat="0" applyBorder="0" applyAlignment="0" applyProtection="0"/>
    <xf numFmtId="0" fontId="4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0" fillId="36" borderId="0" applyNumberFormat="0" applyBorder="0" applyAlignment="0" applyProtection="0"/>
    <xf numFmtId="0" fontId="39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9" fillId="36" borderId="0" applyNumberFormat="0" applyBorder="0" applyAlignment="0" applyProtection="0"/>
    <xf numFmtId="0" fontId="41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0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0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1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0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1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1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1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7" borderId="0" applyNumberFormat="0" applyBorder="0" applyAlignment="0" applyProtection="0"/>
    <xf numFmtId="0" fontId="41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1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1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1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1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39" fillId="38" borderId="0" applyNumberFormat="0" applyBorder="0" applyAlignment="0" applyProtection="0"/>
    <xf numFmtId="0" fontId="41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1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0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1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1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41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39" fillId="39" borderId="0" applyNumberFormat="0" applyBorder="0" applyAlignment="0" applyProtection="0"/>
    <xf numFmtId="0" fontId="41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1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1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1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1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3" fillId="0" borderId="0">
      <alignment horizontal="center"/>
    </xf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5" fillId="0" borderId="12" applyNumberFormat="0" applyFont="0" applyProtection="0">
      <alignment wrapText="1"/>
    </xf>
    <xf numFmtId="0" fontId="45" fillId="0" borderId="13" applyNumberFormat="0" applyFont="0" applyProtection="0">
      <alignment wrapText="1"/>
    </xf>
    <xf numFmtId="49" fontId="46" fillId="0" borderId="0"/>
    <xf numFmtId="2" fontId="47" fillId="0" borderId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8" fillId="53" borderId="14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51" fillId="0" borderId="0"/>
    <xf numFmtId="0" fontId="51" fillId="0" borderId="16"/>
    <xf numFmtId="0" fontId="51" fillId="0" borderId="16"/>
    <xf numFmtId="0" fontId="43" fillId="0" borderId="0" applyProtection="0"/>
    <xf numFmtId="170" fontId="18" fillId="0" borderId="0" applyFont="0" applyFill="0" applyBorder="0" applyAlignment="0" applyProtection="0"/>
    <xf numFmtId="1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Protection="0"/>
    <xf numFmtId="0" fontId="36" fillId="0" borderId="0" applyProtection="0"/>
    <xf numFmtId="0" fontId="55" fillId="0" borderId="0" applyProtection="0"/>
    <xf numFmtId="0" fontId="56" fillId="0" borderId="0" applyProtection="0"/>
    <xf numFmtId="0" fontId="57" fillId="0" borderId="0" applyProtection="0"/>
    <xf numFmtId="0" fontId="58" fillId="0" borderId="0" applyProtection="0"/>
    <xf numFmtId="0" fontId="59" fillId="0" borderId="0" applyProtection="0"/>
    <xf numFmtId="2" fontId="43" fillId="0" borderId="0" applyProtection="0"/>
    <xf numFmtId="0" fontId="45" fillId="0" borderId="0" applyNumberFormat="0" applyFill="0" applyBorder="0" applyAlignment="0" applyProtection="0"/>
    <xf numFmtId="0" fontId="45" fillId="0" borderId="17" applyNumberFormat="0" applyProtection="0">
      <alignment wrapText="1"/>
    </xf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1" fillId="0" borderId="18" applyNumberFormat="0" applyProtection="0">
      <alignment wrapText="1"/>
    </xf>
    <xf numFmtId="0" fontId="46" fillId="0" borderId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Protection="0"/>
    <xf numFmtId="0" fontId="66" fillId="0" borderId="0" applyProtection="0"/>
    <xf numFmtId="0" fontId="18" fillId="0" borderId="0" applyNumberFormat="0" applyFill="0" applyBorder="0" applyProtection="0">
      <alignment wrapText="1"/>
    </xf>
    <xf numFmtId="0" fontId="67" fillId="55" borderId="0" applyNumberFormat="0" applyBorder="0" applyProtection="0">
      <alignment vertical="top" wrapText="1"/>
    </xf>
    <xf numFmtId="0" fontId="18" fillId="0" borderId="0" applyNumberFormat="0" applyFill="0" applyBorder="0" applyProtection="0">
      <alignment horizontal="justify" vertical="top" wrapText="1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36" fillId="56" borderId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4" fillId="58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39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7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3" fillId="0" borderId="0">
      <alignment vertical="top"/>
    </xf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3" fillId="0" borderId="0"/>
    <xf numFmtId="0" fontId="7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>
      <alignment vertical="top"/>
    </xf>
    <xf numFmtId="0" fontId="47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18" fillId="59" borderId="23" applyNumberFormat="0" applyFon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0" fontId="79" fillId="53" borderId="24" applyNumberFormat="0" applyAlignment="0" applyProtection="0"/>
    <xf numFmtId="40" fontId="80" fillId="60" borderId="0">
      <alignment horizontal="right"/>
    </xf>
    <xf numFmtId="0" fontId="81" fillId="60" borderId="0">
      <alignment horizontal="right"/>
    </xf>
    <xf numFmtId="0" fontId="82" fillId="60" borderId="25"/>
    <xf numFmtId="0" fontId="82" fillId="0" borderId="0" applyBorder="0">
      <alignment horizontal="centerContinuous"/>
    </xf>
    <xf numFmtId="0" fontId="83" fillId="0" borderId="0" applyBorder="0">
      <alignment horizontal="centerContinuous"/>
    </xf>
    <xf numFmtId="0" fontId="61" fillId="0" borderId="26" applyNumberFormat="0" applyProtection="0">
      <alignment wrapText="1"/>
    </xf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85" fillId="0" borderId="10">
      <alignment horizontal="center"/>
    </xf>
    <xf numFmtId="3" fontId="84" fillId="0" borderId="0" applyFont="0" applyFill="0" applyBorder="0" applyAlignment="0" applyProtection="0"/>
    <xf numFmtId="0" fontId="84" fillId="61" borderId="0" applyNumberFormat="0" applyFont="0" applyBorder="0" applyAlignment="0" applyProtection="0"/>
    <xf numFmtId="0" fontId="51" fillId="0" borderId="0"/>
    <xf numFmtId="4" fontId="86" fillId="57" borderId="27" applyNumberFormat="0" applyProtection="0">
      <alignment vertical="center"/>
    </xf>
    <xf numFmtId="4" fontId="86" fillId="57" borderId="27" applyNumberFormat="0" applyProtection="0">
      <alignment vertical="center"/>
    </xf>
    <xf numFmtId="4" fontId="86" fillId="57" borderId="27" applyNumberFormat="0" applyProtection="0">
      <alignment vertical="center"/>
    </xf>
    <xf numFmtId="4" fontId="86" fillId="57" borderId="27" applyNumberFormat="0" applyProtection="0">
      <alignment vertical="center"/>
    </xf>
    <xf numFmtId="4" fontId="87" fillId="62" borderId="27" applyNumberFormat="0" applyProtection="0">
      <alignment vertical="center"/>
    </xf>
    <xf numFmtId="4" fontId="87" fillId="62" borderId="27" applyNumberFormat="0" applyProtection="0">
      <alignment vertical="center"/>
    </xf>
    <xf numFmtId="4" fontId="87" fillId="62" borderId="27" applyNumberFormat="0" applyProtection="0">
      <alignment vertical="center"/>
    </xf>
    <xf numFmtId="4" fontId="87" fillId="62" borderId="27" applyNumberFormat="0" applyProtection="0">
      <alignment vertical="center"/>
    </xf>
    <xf numFmtId="4" fontId="86" fillId="62" borderId="27" applyNumberFormat="0" applyProtection="0">
      <alignment horizontal="left" vertical="center" indent="1"/>
    </xf>
    <xf numFmtId="4" fontId="86" fillId="62" borderId="27" applyNumberFormat="0" applyProtection="0">
      <alignment horizontal="left" vertical="center" indent="1"/>
    </xf>
    <xf numFmtId="4" fontId="86" fillId="62" borderId="27" applyNumberFormat="0" applyProtection="0">
      <alignment horizontal="left" vertical="center" indent="1"/>
    </xf>
    <xf numFmtId="4" fontId="86" fillId="62" borderId="27" applyNumberFormat="0" applyProtection="0">
      <alignment horizontal="left" vertical="center" indent="1"/>
    </xf>
    <xf numFmtId="0" fontId="86" fillId="62" borderId="27" applyNumberFormat="0" applyProtection="0">
      <alignment horizontal="left" vertical="top" indent="1"/>
    </xf>
    <xf numFmtId="0" fontId="86" fillId="62" borderId="27" applyNumberFormat="0" applyProtection="0">
      <alignment horizontal="left" vertical="top" indent="1"/>
    </xf>
    <xf numFmtId="0" fontId="86" fillId="62" borderId="27" applyNumberFormat="0" applyProtection="0">
      <alignment horizontal="left" vertical="top" indent="1"/>
    </xf>
    <xf numFmtId="0" fontId="86" fillId="62" borderId="27" applyNumberFormat="0" applyProtection="0">
      <alignment horizontal="left" vertical="top" indent="1"/>
    </xf>
    <xf numFmtId="4" fontId="86" fillId="63" borderId="0" applyNumberFormat="0" applyProtection="0">
      <alignment horizontal="left" vertical="center" indent="1"/>
    </xf>
    <xf numFmtId="4" fontId="41" fillId="36" borderId="27" applyNumberFormat="0" applyProtection="0">
      <alignment horizontal="right" vertical="center"/>
    </xf>
    <xf numFmtId="4" fontId="41" fillId="36" borderId="27" applyNumberFormat="0" applyProtection="0">
      <alignment horizontal="right" vertical="center"/>
    </xf>
    <xf numFmtId="4" fontId="41" fillId="36" borderId="27" applyNumberFormat="0" applyProtection="0">
      <alignment horizontal="right" vertical="center"/>
    </xf>
    <xf numFmtId="4" fontId="41" fillId="36" borderId="27" applyNumberFormat="0" applyProtection="0">
      <alignment horizontal="right" vertical="center"/>
    </xf>
    <xf numFmtId="4" fontId="41" fillId="42" borderId="27" applyNumberFormat="0" applyProtection="0">
      <alignment horizontal="right" vertical="center"/>
    </xf>
    <xf numFmtId="4" fontId="41" fillId="42" borderId="27" applyNumberFormat="0" applyProtection="0">
      <alignment horizontal="right" vertical="center"/>
    </xf>
    <xf numFmtId="4" fontId="41" fillId="42" borderId="27" applyNumberFormat="0" applyProtection="0">
      <alignment horizontal="right" vertical="center"/>
    </xf>
    <xf numFmtId="4" fontId="41" fillId="42" borderId="27" applyNumberFormat="0" applyProtection="0">
      <alignment horizontal="right" vertical="center"/>
    </xf>
    <xf numFmtId="4" fontId="41" fillId="50" borderId="27" applyNumberFormat="0" applyProtection="0">
      <alignment horizontal="right" vertical="center"/>
    </xf>
    <xf numFmtId="4" fontId="41" fillId="50" borderId="27" applyNumberFormat="0" applyProtection="0">
      <alignment horizontal="right" vertical="center"/>
    </xf>
    <xf numFmtId="4" fontId="41" fillId="50" borderId="27" applyNumberFormat="0" applyProtection="0">
      <alignment horizontal="right" vertical="center"/>
    </xf>
    <xf numFmtId="4" fontId="41" fillId="50" borderId="27" applyNumberFormat="0" applyProtection="0">
      <alignment horizontal="right" vertical="center"/>
    </xf>
    <xf numFmtId="4" fontId="41" fillId="44" borderId="27" applyNumberFormat="0" applyProtection="0">
      <alignment horizontal="right" vertical="center"/>
    </xf>
    <xf numFmtId="4" fontId="41" fillId="44" borderId="27" applyNumberFormat="0" applyProtection="0">
      <alignment horizontal="right" vertical="center"/>
    </xf>
    <xf numFmtId="4" fontId="41" fillId="44" borderId="27" applyNumberFormat="0" applyProtection="0">
      <alignment horizontal="right" vertical="center"/>
    </xf>
    <xf numFmtId="4" fontId="41" fillId="44" borderId="27" applyNumberFormat="0" applyProtection="0">
      <alignment horizontal="right" vertical="center"/>
    </xf>
    <xf numFmtId="4" fontId="41" fillId="48" borderId="27" applyNumberFormat="0" applyProtection="0">
      <alignment horizontal="right" vertical="center"/>
    </xf>
    <xf numFmtId="4" fontId="41" fillId="48" borderId="27" applyNumberFormat="0" applyProtection="0">
      <alignment horizontal="right" vertical="center"/>
    </xf>
    <xf numFmtId="4" fontId="41" fillId="48" borderId="27" applyNumberFormat="0" applyProtection="0">
      <alignment horizontal="right" vertical="center"/>
    </xf>
    <xf numFmtId="4" fontId="41" fillId="48" borderId="27" applyNumberFormat="0" applyProtection="0">
      <alignment horizontal="right" vertical="center"/>
    </xf>
    <xf numFmtId="4" fontId="41" fillId="52" borderId="27" applyNumberFormat="0" applyProtection="0">
      <alignment horizontal="right" vertical="center"/>
    </xf>
    <xf numFmtId="4" fontId="41" fillId="52" borderId="27" applyNumberFormat="0" applyProtection="0">
      <alignment horizontal="right" vertical="center"/>
    </xf>
    <xf numFmtId="4" fontId="41" fillId="52" borderId="27" applyNumberFormat="0" applyProtection="0">
      <alignment horizontal="right" vertical="center"/>
    </xf>
    <xf numFmtId="4" fontId="41" fillId="52" borderId="27" applyNumberFormat="0" applyProtection="0">
      <alignment horizontal="right" vertical="center"/>
    </xf>
    <xf numFmtId="4" fontId="41" fillId="51" borderId="27" applyNumberFormat="0" applyProtection="0">
      <alignment horizontal="right" vertical="center"/>
    </xf>
    <xf numFmtId="4" fontId="41" fillId="51" borderId="27" applyNumberFormat="0" applyProtection="0">
      <alignment horizontal="right" vertical="center"/>
    </xf>
    <xf numFmtId="4" fontId="41" fillId="51" borderId="27" applyNumberFormat="0" applyProtection="0">
      <alignment horizontal="right" vertical="center"/>
    </xf>
    <xf numFmtId="4" fontId="41" fillId="51" borderId="27" applyNumberFormat="0" applyProtection="0">
      <alignment horizontal="right" vertical="center"/>
    </xf>
    <xf numFmtId="4" fontId="41" fillId="64" borderId="27" applyNumberFormat="0" applyProtection="0">
      <alignment horizontal="right" vertical="center"/>
    </xf>
    <xf numFmtId="4" fontId="41" fillId="64" borderId="27" applyNumberFormat="0" applyProtection="0">
      <alignment horizontal="right" vertical="center"/>
    </xf>
    <xf numFmtId="4" fontId="41" fillId="64" borderId="27" applyNumberFormat="0" applyProtection="0">
      <alignment horizontal="right" vertical="center"/>
    </xf>
    <xf numFmtId="4" fontId="41" fillId="64" borderId="27" applyNumberFormat="0" applyProtection="0">
      <alignment horizontal="right" vertical="center"/>
    </xf>
    <xf numFmtId="4" fontId="41" fillId="43" borderId="27" applyNumberFormat="0" applyProtection="0">
      <alignment horizontal="right" vertical="center"/>
    </xf>
    <xf numFmtId="4" fontId="41" fillId="43" borderId="27" applyNumberFormat="0" applyProtection="0">
      <alignment horizontal="right" vertical="center"/>
    </xf>
    <xf numFmtId="4" fontId="41" fillId="43" borderId="27" applyNumberFormat="0" applyProtection="0">
      <alignment horizontal="right" vertical="center"/>
    </xf>
    <xf numFmtId="4" fontId="41" fillId="43" borderId="27" applyNumberFormat="0" applyProtection="0">
      <alignment horizontal="right" vertical="center"/>
    </xf>
    <xf numFmtId="4" fontId="86" fillId="65" borderId="28" applyNumberFormat="0" applyProtection="0">
      <alignment horizontal="left" vertical="center" indent="1"/>
    </xf>
    <xf numFmtId="4" fontId="41" fillId="66" borderId="0" applyNumberFormat="0" applyProtection="0">
      <alignment horizontal="left" vertical="center" indent="1"/>
    </xf>
    <xf numFmtId="4" fontId="88" fillId="67" borderId="0" applyNumberFormat="0" applyProtection="0">
      <alignment horizontal="left" vertical="center" indent="1"/>
    </xf>
    <xf numFmtId="4" fontId="41" fillId="68" borderId="27" applyNumberFormat="0" applyProtection="0">
      <alignment horizontal="right" vertical="center"/>
    </xf>
    <xf numFmtId="4" fontId="41" fillId="68" borderId="27" applyNumberFormat="0" applyProtection="0">
      <alignment horizontal="right" vertical="center"/>
    </xf>
    <xf numFmtId="4" fontId="41" fillId="68" borderId="27" applyNumberFormat="0" applyProtection="0">
      <alignment horizontal="right" vertical="center"/>
    </xf>
    <xf numFmtId="4" fontId="41" fillId="68" borderId="27" applyNumberFormat="0" applyProtection="0">
      <alignment horizontal="right" vertical="center"/>
    </xf>
    <xf numFmtId="4" fontId="41" fillId="66" borderId="0" applyNumberFormat="0" applyProtection="0">
      <alignment horizontal="left" vertical="center" indent="1"/>
    </xf>
    <xf numFmtId="4" fontId="41" fillId="63" borderId="0" applyNumberFormat="0" applyProtection="0">
      <alignment horizontal="left" vertical="center" indent="1"/>
    </xf>
    <xf numFmtId="0" fontId="18" fillId="67" borderId="27" applyNumberFormat="0" applyProtection="0">
      <alignment horizontal="left" vertical="center" indent="1"/>
    </xf>
    <xf numFmtId="0" fontId="18" fillId="67" borderId="27" applyNumberFormat="0" applyProtection="0">
      <alignment horizontal="left" vertical="center" indent="1"/>
    </xf>
    <xf numFmtId="0" fontId="18" fillId="67" borderId="27" applyNumberFormat="0" applyProtection="0">
      <alignment horizontal="left" vertical="center" indent="1"/>
    </xf>
    <xf numFmtId="0" fontId="18" fillId="67" borderId="27" applyNumberFormat="0" applyProtection="0">
      <alignment horizontal="left" vertical="center" indent="1"/>
    </xf>
    <xf numFmtId="0" fontId="18" fillId="67" borderId="27" applyNumberFormat="0" applyProtection="0">
      <alignment horizontal="left" vertical="top" indent="1"/>
    </xf>
    <xf numFmtId="0" fontId="18" fillId="67" borderId="27" applyNumberFormat="0" applyProtection="0">
      <alignment horizontal="left" vertical="top" indent="1"/>
    </xf>
    <xf numFmtId="0" fontId="18" fillId="67" borderId="27" applyNumberFormat="0" applyProtection="0">
      <alignment horizontal="left" vertical="top" indent="1"/>
    </xf>
    <xf numFmtId="0" fontId="18" fillId="67" borderId="27" applyNumberFormat="0" applyProtection="0">
      <alignment horizontal="left" vertical="top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9" borderId="27" applyNumberFormat="0" applyProtection="0">
      <alignment horizontal="left" vertical="center" indent="1"/>
    </xf>
    <xf numFmtId="0" fontId="18" fillId="69" borderId="27" applyNumberFormat="0" applyProtection="0">
      <alignment horizontal="left" vertical="center" indent="1"/>
    </xf>
    <xf numFmtId="0" fontId="18" fillId="69" borderId="27" applyNumberFormat="0" applyProtection="0">
      <alignment horizontal="left" vertical="center" indent="1"/>
    </xf>
    <xf numFmtId="0" fontId="18" fillId="69" borderId="27" applyNumberFormat="0" applyProtection="0">
      <alignment horizontal="left" vertical="center" indent="1"/>
    </xf>
    <xf numFmtId="0" fontId="18" fillId="69" borderId="27" applyNumberFormat="0" applyProtection="0">
      <alignment horizontal="left" vertical="top" indent="1"/>
    </xf>
    <xf numFmtId="0" fontId="18" fillId="69" borderId="27" applyNumberFormat="0" applyProtection="0">
      <alignment horizontal="left" vertical="top" indent="1"/>
    </xf>
    <xf numFmtId="0" fontId="18" fillId="69" borderId="27" applyNumberFormat="0" applyProtection="0">
      <alignment horizontal="left" vertical="top" indent="1"/>
    </xf>
    <xf numFmtId="0" fontId="18" fillId="69" borderId="27" applyNumberFormat="0" applyProtection="0">
      <alignment horizontal="left" vertical="top" indent="1"/>
    </xf>
    <xf numFmtId="0" fontId="18" fillId="70" borderId="27" applyNumberFormat="0" applyProtection="0">
      <alignment horizontal="left" vertical="center" indent="1"/>
    </xf>
    <xf numFmtId="0" fontId="18" fillId="70" borderId="27" applyNumberFormat="0" applyProtection="0">
      <alignment horizontal="left" vertical="center" indent="1"/>
    </xf>
    <xf numFmtId="0" fontId="18" fillId="70" borderId="27" applyNumberFormat="0" applyProtection="0">
      <alignment horizontal="left" vertical="center" indent="1"/>
    </xf>
    <xf numFmtId="0" fontId="18" fillId="70" borderId="27" applyNumberFormat="0" applyProtection="0">
      <alignment horizontal="left" vertical="center" indent="1"/>
    </xf>
    <xf numFmtId="0" fontId="18" fillId="70" borderId="27" applyNumberFormat="0" applyProtection="0">
      <alignment horizontal="left" vertical="top" indent="1"/>
    </xf>
    <xf numFmtId="0" fontId="18" fillId="70" borderId="27" applyNumberFormat="0" applyProtection="0">
      <alignment horizontal="left" vertical="top" indent="1"/>
    </xf>
    <xf numFmtId="0" fontId="18" fillId="70" borderId="27" applyNumberFormat="0" applyProtection="0">
      <alignment horizontal="left" vertical="top" indent="1"/>
    </xf>
    <xf numFmtId="0" fontId="18" fillId="70" borderId="27" applyNumberFormat="0" applyProtection="0">
      <alignment horizontal="left" vertical="top" indent="1"/>
    </xf>
    <xf numFmtId="4" fontId="41" fillId="71" borderId="27" applyNumberFormat="0" applyProtection="0">
      <alignment vertical="center"/>
    </xf>
    <xf numFmtId="4" fontId="41" fillId="71" borderId="27" applyNumberFormat="0" applyProtection="0">
      <alignment vertical="center"/>
    </xf>
    <xf numFmtId="4" fontId="41" fillId="71" borderId="27" applyNumberFormat="0" applyProtection="0">
      <alignment vertical="center"/>
    </xf>
    <xf numFmtId="4" fontId="41" fillId="71" borderId="27" applyNumberFormat="0" applyProtection="0">
      <alignment vertical="center"/>
    </xf>
    <xf numFmtId="4" fontId="89" fillId="71" borderId="27" applyNumberFormat="0" applyProtection="0">
      <alignment vertical="center"/>
    </xf>
    <xf numFmtId="4" fontId="89" fillId="71" borderId="27" applyNumberFormat="0" applyProtection="0">
      <alignment vertical="center"/>
    </xf>
    <xf numFmtId="4" fontId="89" fillId="71" borderId="27" applyNumberFormat="0" applyProtection="0">
      <alignment vertical="center"/>
    </xf>
    <xf numFmtId="4" fontId="89" fillId="71" borderId="27" applyNumberFormat="0" applyProtection="0">
      <alignment vertical="center"/>
    </xf>
    <xf numFmtId="4" fontId="41" fillId="71" borderId="27" applyNumberFormat="0" applyProtection="0">
      <alignment horizontal="left" vertical="center" indent="1"/>
    </xf>
    <xf numFmtId="4" fontId="41" fillId="71" borderId="27" applyNumberFormat="0" applyProtection="0">
      <alignment horizontal="left" vertical="center" indent="1"/>
    </xf>
    <xf numFmtId="4" fontId="41" fillId="71" borderId="27" applyNumberFormat="0" applyProtection="0">
      <alignment horizontal="left" vertical="center" indent="1"/>
    </xf>
    <xf numFmtId="4" fontId="41" fillId="71" borderId="27" applyNumberFormat="0" applyProtection="0">
      <alignment horizontal="left" vertical="center" indent="1"/>
    </xf>
    <xf numFmtId="0" fontId="41" fillId="71" borderId="27" applyNumberFormat="0" applyProtection="0">
      <alignment horizontal="left" vertical="top" indent="1"/>
    </xf>
    <xf numFmtId="0" fontId="41" fillId="71" borderId="27" applyNumberFormat="0" applyProtection="0">
      <alignment horizontal="left" vertical="top" indent="1"/>
    </xf>
    <xf numFmtId="0" fontId="41" fillId="71" borderId="27" applyNumberFormat="0" applyProtection="0">
      <alignment horizontal="left" vertical="top" indent="1"/>
    </xf>
    <xf numFmtId="0" fontId="41" fillId="71" borderId="27" applyNumberFormat="0" applyProtection="0">
      <alignment horizontal="left" vertical="top" indent="1"/>
    </xf>
    <xf numFmtId="4" fontId="41" fillId="66" borderId="27" applyNumberFormat="0" applyProtection="0">
      <alignment horizontal="right" vertical="center"/>
    </xf>
    <xf numFmtId="4" fontId="41" fillId="66" borderId="27" applyNumberFormat="0" applyProtection="0">
      <alignment horizontal="right" vertical="center"/>
    </xf>
    <xf numFmtId="4" fontId="41" fillId="66" borderId="27" applyNumberFormat="0" applyProtection="0">
      <alignment horizontal="right" vertical="center"/>
    </xf>
    <xf numFmtId="4" fontId="41" fillId="66" borderId="27" applyNumberFormat="0" applyProtection="0">
      <alignment horizontal="right" vertical="center"/>
    </xf>
    <xf numFmtId="4" fontId="89" fillId="66" borderId="27" applyNumberFormat="0" applyProtection="0">
      <alignment horizontal="right" vertical="center"/>
    </xf>
    <xf numFmtId="4" fontId="89" fillId="66" borderId="27" applyNumberFormat="0" applyProtection="0">
      <alignment horizontal="right" vertical="center"/>
    </xf>
    <xf numFmtId="4" fontId="89" fillId="66" borderId="27" applyNumberFormat="0" applyProtection="0">
      <alignment horizontal="right" vertical="center"/>
    </xf>
    <xf numFmtId="4" fontId="89" fillId="66" borderId="27" applyNumberFormat="0" applyProtection="0">
      <alignment horizontal="right" vertical="center"/>
    </xf>
    <xf numFmtId="4" fontId="41" fillId="68" borderId="27" applyNumberFormat="0" applyProtection="0">
      <alignment horizontal="left" vertical="center" indent="1"/>
    </xf>
    <xf numFmtId="4" fontId="41" fillId="68" borderId="27" applyNumberFormat="0" applyProtection="0">
      <alignment horizontal="left" vertical="center" indent="1"/>
    </xf>
    <xf numFmtId="4" fontId="41" fillId="68" borderId="27" applyNumberFormat="0" applyProtection="0">
      <alignment horizontal="left" vertical="center" indent="1"/>
    </xf>
    <xf numFmtId="4" fontId="41" fillId="68" borderId="27" applyNumberFormat="0" applyProtection="0">
      <alignment horizontal="left" vertical="center" indent="1"/>
    </xf>
    <xf numFmtId="0" fontId="41" fillId="63" borderId="27" applyNumberFormat="0" applyProtection="0">
      <alignment horizontal="left" vertical="top" indent="1"/>
    </xf>
    <xf numFmtId="0" fontId="41" fillId="63" borderId="27" applyNumberFormat="0" applyProtection="0">
      <alignment horizontal="left" vertical="top" indent="1"/>
    </xf>
    <xf numFmtId="0" fontId="41" fillId="63" borderId="27" applyNumberFormat="0" applyProtection="0">
      <alignment horizontal="left" vertical="top" indent="1"/>
    </xf>
    <xf numFmtId="0" fontId="41" fillId="63" borderId="27" applyNumberFormat="0" applyProtection="0">
      <alignment horizontal="left" vertical="top" indent="1"/>
    </xf>
    <xf numFmtId="4" fontId="90" fillId="72" borderId="0" applyNumberFormat="0" applyProtection="0">
      <alignment horizontal="left" vertical="center" indent="1"/>
    </xf>
    <xf numFmtId="4" fontId="91" fillId="66" borderId="27" applyNumberFormat="0" applyProtection="0">
      <alignment horizontal="right" vertical="center"/>
    </xf>
    <xf numFmtId="4" fontId="91" fillId="66" borderId="27" applyNumberFormat="0" applyProtection="0">
      <alignment horizontal="right" vertical="center"/>
    </xf>
    <xf numFmtId="4" fontId="91" fillId="66" borderId="27" applyNumberFormat="0" applyProtection="0">
      <alignment horizontal="right" vertical="center"/>
    </xf>
    <xf numFmtId="4" fontId="91" fillId="66" borderId="27" applyNumberFormat="0" applyProtection="0">
      <alignment horizontal="right" vertical="center"/>
    </xf>
    <xf numFmtId="169" fontId="18" fillId="0" borderId="0">
      <alignment horizontal="left" wrapText="1"/>
    </xf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18" fillId="55" borderId="0" applyNumberFormat="0" applyFont="0" applyBorder="0" applyAlignment="0" applyProtection="0"/>
    <xf numFmtId="0" fontId="92" fillId="73" borderId="0" applyNumberFormat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wrapText="1"/>
    </xf>
    <xf numFmtId="0" fontId="94" fillId="7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wrapText="1"/>
    </xf>
    <xf numFmtId="0" fontId="67" fillId="0" borderId="0" applyNumberFormat="0" applyFill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>
      <alignment wrapText="1"/>
    </xf>
    <xf numFmtId="0" fontId="49" fillId="58" borderId="0" applyNumberFormat="0" applyBorder="0" applyAlignment="0" applyProtection="0"/>
    <xf numFmtId="0" fontId="49" fillId="58" borderId="0" applyNumberFormat="0" applyBorder="0" applyAlignment="0" applyProtection="0">
      <alignment wrapText="1"/>
    </xf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Protection="0">
      <alignment horizontal="center"/>
    </xf>
    <xf numFmtId="0" fontId="95" fillId="58" borderId="0" applyNumberFormat="0" applyBorder="0" applyAlignment="0" applyProtection="0"/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left"/>
    </xf>
    <xf numFmtId="0" fontId="3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55" borderId="0" applyNumberFormat="0" applyFont="0" applyBorder="0" applyAlignment="0" applyProtection="0"/>
    <xf numFmtId="171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41" fillId="0" borderId="29" applyNumberFormat="0" applyFill="0" applyAlignment="0" applyProtection="0"/>
    <xf numFmtId="0" fontId="18" fillId="0" borderId="10" applyNumberFormat="0" applyFont="0" applyFill="0" applyAlignment="0" applyProtection="0"/>
    <xf numFmtId="0" fontId="98" fillId="0" borderId="0" applyNumberFormat="0" applyBorder="0" applyAlignment="0"/>
    <xf numFmtId="0" fontId="99" fillId="0" borderId="0" applyNumberFormat="0" applyBorder="0" applyAlignment="0"/>
    <xf numFmtId="0" fontId="100" fillId="0" borderId="0" applyNumberFormat="0" applyBorder="0" applyAlignment="0"/>
    <xf numFmtId="0" fontId="100" fillId="0" borderId="0" applyNumberFormat="0" applyBorder="0" applyAlignment="0"/>
    <xf numFmtId="0" fontId="51" fillId="0" borderId="16"/>
    <xf numFmtId="0" fontId="51" fillId="0" borderId="16"/>
    <xf numFmtId="0" fontId="101" fillId="0" borderId="0" applyNumberFormat="0" applyProtection="0">
      <alignment horizontal="left"/>
    </xf>
    <xf numFmtId="0" fontId="102" fillId="74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86" fillId="0" borderId="30" applyNumberFormat="0" applyFill="0" applyAlignment="0" applyProtection="0"/>
    <xf numFmtId="0" fontId="104" fillId="0" borderId="31"/>
    <xf numFmtId="0" fontId="104" fillId="0" borderId="16"/>
    <xf numFmtId="0" fontId="104" fillId="0" borderId="16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6" fillId="0" borderId="10" xfId="0" applyFont="1" applyBorder="1" applyAlignment="1">
      <alignment horizontal="center" wrapText="1"/>
    </xf>
    <xf numFmtId="0" fontId="19" fillId="0" borderId="0" xfId="42" applyFont="1" applyAlignment="1">
      <alignment horizontal="center"/>
    </xf>
    <xf numFmtId="0" fontId="19" fillId="0" borderId="0" xfId="42" applyFont="1"/>
    <xf numFmtId="0" fontId="19" fillId="0" borderId="0" xfId="42" applyFont="1" applyFill="1" applyAlignment="1">
      <alignment horizontal="center"/>
    </xf>
    <xf numFmtId="0" fontId="19" fillId="0" borderId="0" xfId="42" applyFont="1" applyFill="1"/>
    <xf numFmtId="0" fontId="20" fillId="0" borderId="0" xfId="42" applyFont="1" applyFill="1" applyBorder="1" applyAlignment="1">
      <alignment horizontal="center"/>
    </xf>
    <xf numFmtId="49" fontId="22" fillId="0" borderId="0" xfId="42" applyNumberFormat="1" applyFont="1" applyFill="1" applyAlignment="1">
      <alignment horizontal="center"/>
    </xf>
    <xf numFmtId="49" fontId="22" fillId="0" borderId="0" xfId="42" applyNumberFormat="1" applyFont="1" applyFill="1" applyBorder="1" applyAlignment="1">
      <alignment horizontal="center"/>
    </xf>
    <xf numFmtId="49" fontId="22" fillId="0" borderId="0" xfId="42" applyNumberFormat="1" applyFont="1" applyAlignment="1">
      <alignment horizontal="center"/>
    </xf>
    <xf numFmtId="164" fontId="20" fillId="0" borderId="0" xfId="42" applyNumberFormat="1" applyFont="1" applyFill="1" applyBorder="1" applyAlignment="1">
      <alignment horizontal="center"/>
    </xf>
    <xf numFmtId="0" fontId="0" fillId="33" borderId="0" xfId="0" applyFill="1"/>
    <xf numFmtId="49" fontId="24" fillId="0" borderId="0" xfId="42" applyNumberFormat="1" applyFont="1" applyAlignment="1">
      <alignment horizontal="center"/>
    </xf>
    <xf numFmtId="0" fontId="0" fillId="0" borderId="0" xfId="0" applyFont="1"/>
    <xf numFmtId="0" fontId="1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3" applyFont="1" applyFill="1" applyAlignment="1"/>
    <xf numFmtId="0" fontId="19" fillId="0" borderId="0" xfId="42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19" fillId="0" borderId="0" xfId="42" applyFont="1" applyFill="1" applyAlignment="1">
      <alignment horizontal="left"/>
    </xf>
    <xf numFmtId="0" fontId="0" fillId="0" borderId="0" xfId="0" applyFill="1" applyAlignment="1">
      <alignment horizontal="left" vertical="center" indent="1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" fontId="0" fillId="0" borderId="0" xfId="0" applyNumberFormat="1"/>
    <xf numFmtId="0" fontId="16" fillId="0" borderId="10" xfId="0" applyFon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4" fontId="0" fillId="0" borderId="0" xfId="0" applyNumberFormat="1"/>
    <xf numFmtId="0" fontId="16" fillId="0" borderId="10" xfId="0" applyFont="1" applyBorder="1" applyAlignment="1">
      <alignment horizontal="center" wrapText="1"/>
    </xf>
    <xf numFmtId="0" fontId="0" fillId="0" borderId="0" xfId="0" applyFill="1"/>
    <xf numFmtId="166" fontId="0" fillId="0" borderId="0" xfId="0" applyNumberFormat="1" applyAlignment="1">
      <alignment horizontal="center"/>
    </xf>
    <xf numFmtId="167" fontId="0" fillId="0" borderId="0" xfId="0" applyNumberFormat="1"/>
    <xf numFmtId="0" fontId="27" fillId="0" borderId="0" xfId="0" applyFont="1"/>
    <xf numFmtId="0" fontId="27" fillId="0" borderId="0" xfId="0" applyFont="1" applyAlignment="1">
      <alignment horizontal="center"/>
    </xf>
    <xf numFmtId="0" fontId="17" fillId="0" borderId="0" xfId="0" applyFont="1"/>
    <xf numFmtId="2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65" fontId="0" fillId="34" borderId="0" xfId="0" applyNumberFormat="1" applyFill="1" applyAlignment="1">
      <alignment horizontal="center"/>
    </xf>
    <xf numFmtId="0" fontId="28" fillId="0" borderId="0" xfId="0" applyFont="1" applyAlignment="1">
      <alignment horizontal="center"/>
    </xf>
    <xf numFmtId="0" fontId="22" fillId="0" borderId="0" xfId="42" applyNumberFormat="1" applyFont="1" applyFill="1" applyBorder="1" applyAlignment="1">
      <alignment horizontal="center"/>
    </xf>
    <xf numFmtId="0" fontId="14" fillId="0" borderId="0" xfId="0" applyFont="1" applyFill="1"/>
    <xf numFmtId="0" fontId="0" fillId="0" borderId="11" xfId="0" applyFill="1" applyBorder="1"/>
    <xf numFmtId="0" fontId="0" fillId="0" borderId="0" xfId="0" applyFill="1" applyBorder="1"/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0" xfId="0" applyFont="1" applyAlignment="1">
      <alignment horizontal="left" indent="3"/>
    </xf>
    <xf numFmtId="0" fontId="19" fillId="0" borderId="0" xfId="0" applyFont="1" applyFill="1"/>
    <xf numFmtId="0" fontId="19" fillId="0" borderId="0" xfId="0" applyFont="1" applyAlignment="1">
      <alignment horizontal="center"/>
    </xf>
    <xf numFmtId="2" fontId="19" fillId="0" borderId="0" xfId="0" applyNumberFormat="1" applyFont="1"/>
    <xf numFmtId="0" fontId="30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>
      <alignment wrapText="1"/>
    </xf>
    <xf numFmtId="0" fontId="29" fillId="0" borderId="0" xfId="0" applyFont="1"/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49" fontId="22" fillId="0" borderId="0" xfId="42" applyNumberFormat="1" applyFont="1" applyAlignment="1">
      <alignment horizontal="left" indent="4"/>
    </xf>
    <xf numFmtId="0" fontId="32" fillId="0" borderId="0" xfId="0" applyFont="1" applyAlignment="1">
      <alignment horizontal="left"/>
    </xf>
    <xf numFmtId="167" fontId="28" fillId="0" borderId="0" xfId="0" applyNumberFormat="1" applyFont="1"/>
    <xf numFmtId="2" fontId="28" fillId="0" borderId="0" xfId="0" applyNumberFormat="1" applyFont="1"/>
    <xf numFmtId="0" fontId="19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36" fillId="0" borderId="0" xfId="0" applyNumberFormat="1" applyFont="1" applyAlignment="1">
      <alignment horizontal="center"/>
    </xf>
    <xf numFmtId="14" fontId="29" fillId="0" borderId="0" xfId="0" applyNumberFormat="1" applyFont="1"/>
    <xf numFmtId="0" fontId="37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4" fontId="28" fillId="0" borderId="0" xfId="0" applyNumberFormat="1" applyFont="1"/>
    <xf numFmtId="49" fontId="22" fillId="0" borderId="0" xfId="42" applyNumberFormat="1" applyFont="1" applyAlignment="1">
      <alignment horizontal="left" indent="4"/>
    </xf>
    <xf numFmtId="14" fontId="36" fillId="0" borderId="0" xfId="0" applyNumberFormat="1" applyFont="1"/>
    <xf numFmtId="2" fontId="29" fillId="0" borderId="0" xfId="0" applyNumberFormat="1" applyFont="1"/>
    <xf numFmtId="0" fontId="25" fillId="0" borderId="0" xfId="0" applyFont="1" applyFill="1" applyAlignment="1">
      <alignment vertical="center"/>
    </xf>
    <xf numFmtId="10" fontId="0" fillId="0" borderId="0" xfId="44" applyNumberFormat="1" applyFont="1" applyAlignment="1">
      <alignment horizontal="center"/>
    </xf>
    <xf numFmtId="0" fontId="38" fillId="0" borderId="0" xfId="0" applyFont="1" applyAlignment="1">
      <alignment wrapText="1"/>
    </xf>
    <xf numFmtId="1" fontId="0" fillId="0" borderId="0" xfId="0" applyNumberFormat="1"/>
    <xf numFmtId="2" fontId="0" fillId="0" borderId="0" xfId="0" applyNumberFormat="1" applyAlignment="1">
      <alignment horizontal="right"/>
    </xf>
    <xf numFmtId="0" fontId="29" fillId="0" borderId="0" xfId="0" applyNumberFormat="1" applyFont="1"/>
    <xf numFmtId="49" fontId="22" fillId="0" borderId="0" xfId="42" applyNumberFormat="1" applyFont="1" applyAlignment="1">
      <alignment horizontal="left" indent="4"/>
    </xf>
    <xf numFmtId="0" fontId="26" fillId="0" borderId="0" xfId="0" applyFont="1" applyAlignment="1">
      <alignment horizontal="center" wrapText="1"/>
    </xf>
    <xf numFmtId="10" fontId="19" fillId="0" borderId="0" xfId="44" applyNumberFormat="1" applyFont="1"/>
    <xf numFmtId="0" fontId="37" fillId="0" borderId="0" xfId="0" applyFont="1" applyAlignment="1">
      <alignment horizontal="center" wrapText="1"/>
    </xf>
    <xf numFmtId="10" fontId="29" fillId="0" borderId="0" xfId="44" applyNumberFormat="1" applyFont="1"/>
    <xf numFmtId="0" fontId="28" fillId="0" borderId="0" xfId="0" applyFont="1"/>
    <xf numFmtId="0" fontId="0" fillId="0" borderId="11" xfId="0" applyBorder="1"/>
    <xf numFmtId="0" fontId="0" fillId="0" borderId="0" xfId="0" quotePrefix="1" applyFill="1" applyAlignment="1">
      <alignment horizontal="left" vertical="center" indent="1"/>
    </xf>
    <xf numFmtId="0" fontId="25" fillId="0" borderId="0" xfId="0" applyFont="1" applyFill="1" applyAlignment="1">
      <alignment horizontal="right" vertical="center"/>
    </xf>
    <xf numFmtId="49" fontId="22" fillId="0" borderId="0" xfId="42" applyNumberFormat="1" applyFont="1" applyAlignment="1">
      <alignment horizontal="left" indent="4"/>
    </xf>
    <xf numFmtId="0" fontId="34" fillId="0" borderId="0" xfId="42" applyFont="1" applyFill="1" applyAlignment="1">
      <alignment horizontal="center"/>
    </xf>
    <xf numFmtId="0" fontId="33" fillId="0" borderId="0" xfId="42" applyFont="1" applyAlignment="1">
      <alignment horizontal="center"/>
    </xf>
    <xf numFmtId="0" fontId="35" fillId="0" borderId="0" xfId="42" applyFont="1" applyAlignment="1">
      <alignment horizontal="center"/>
    </xf>
    <xf numFmtId="0" fontId="20" fillId="0" borderId="11" xfId="42" applyFont="1" applyFill="1" applyBorder="1" applyAlignment="1">
      <alignment horizontal="center"/>
    </xf>
    <xf numFmtId="172" fontId="0" fillId="0" borderId="0" xfId="44" applyNumberFormat="1" applyFont="1" applyAlignment="1">
      <alignment horizontal="center"/>
    </xf>
    <xf numFmtId="0" fontId="16" fillId="0" borderId="0" xfId="0" applyFont="1" applyAlignment="1">
      <alignment horizontal="center"/>
    </xf>
    <xf numFmtId="10" fontId="28" fillId="0" borderId="0" xfId="44" applyNumberFormat="1" applyFont="1" applyAlignment="1">
      <alignment horizontal="center"/>
    </xf>
    <xf numFmtId="49" fontId="22" fillId="0" borderId="0" xfId="42" applyNumberFormat="1" applyFont="1" applyAlignment="1">
      <alignment horizontal="left" indent="4"/>
    </xf>
    <xf numFmtId="0" fontId="19" fillId="0" borderId="0" xfId="0" applyFont="1" applyFill="1" applyBorder="1"/>
    <xf numFmtId="2" fontId="19" fillId="0" borderId="0" xfId="0" applyNumberFormat="1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0" xfId="42" applyFont="1" applyFill="1" applyBorder="1"/>
    <xf numFmtId="0" fontId="19" fillId="0" borderId="0" xfId="43" applyFont="1" applyFill="1" applyBorder="1" applyAlignment="1"/>
    <xf numFmtId="10" fontId="20" fillId="0" borderId="0" xfId="44" applyNumberFormat="1" applyFont="1" applyFill="1" applyBorder="1" applyAlignment="1">
      <alignment horizontal="center"/>
    </xf>
    <xf numFmtId="0" fontId="16" fillId="0" borderId="0" xfId="0" applyFont="1"/>
    <xf numFmtId="10" fontId="20" fillId="0" borderId="0" xfId="44" applyNumberFormat="1" applyFont="1" applyFill="1" applyBorder="1" applyAlignment="1"/>
    <xf numFmtId="10" fontId="16" fillId="0" borderId="0" xfId="44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16" fillId="0" borderId="0" xfId="44" applyNumberFormat="1" applyFont="1" applyAlignment="1">
      <alignment horizontal="center"/>
    </xf>
    <xf numFmtId="0" fontId="13" fillId="0" borderId="0" xfId="42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2" fontId="20" fillId="0" borderId="0" xfId="42" applyNumberFormat="1" applyFont="1" applyFill="1" applyBorder="1" applyAlignment="1"/>
    <xf numFmtId="0" fontId="0" fillId="0" borderId="0" xfId="0" applyAlignment="1">
      <alignment wrapText="1"/>
    </xf>
    <xf numFmtId="0" fontId="108" fillId="0" borderId="0" xfId="0" applyFont="1" applyAlignment="1">
      <alignment horizontal="center"/>
    </xf>
    <xf numFmtId="0" fontId="34" fillId="0" borderId="0" xfId="42" applyFont="1" applyFill="1" applyAlignment="1"/>
    <xf numFmtId="0" fontId="33" fillId="0" borderId="0" xfId="42" applyFont="1" applyAlignment="1"/>
    <xf numFmtId="0" fontId="35" fillId="0" borderId="0" xfId="42" applyFont="1" applyAlignment="1"/>
    <xf numFmtId="173" fontId="0" fillId="0" borderId="0" xfId="44" applyNumberFormat="1" applyFont="1" applyAlignment="1">
      <alignment horizontal="center"/>
    </xf>
    <xf numFmtId="174" fontId="0" fillId="0" borderId="0" xfId="0" applyNumberFormat="1"/>
    <xf numFmtId="0" fontId="16" fillId="0" borderId="0" xfId="0" applyFont="1" applyAlignment="1"/>
    <xf numFmtId="2" fontId="0" fillId="33" borderId="0" xfId="0" applyNumberFormat="1" applyFill="1" applyAlignment="1">
      <alignment horizontal="right"/>
    </xf>
    <xf numFmtId="49" fontId="22" fillId="0" borderId="0" xfId="42" applyNumberFormat="1" applyFont="1" applyAlignment="1">
      <alignment horizontal="left" indent="4"/>
    </xf>
    <xf numFmtId="0" fontId="34" fillId="0" borderId="0" xfId="42" applyFont="1" applyFill="1" applyAlignment="1">
      <alignment horizontal="center"/>
    </xf>
    <xf numFmtId="0" fontId="33" fillId="0" borderId="0" xfId="42" applyFont="1" applyAlignment="1">
      <alignment horizontal="center"/>
    </xf>
    <xf numFmtId="0" fontId="35" fillId="0" borderId="0" xfId="42" applyFont="1" applyAlignment="1">
      <alignment horizontal="center"/>
    </xf>
    <xf numFmtId="0" fontId="20" fillId="0" borderId="11" xfId="42" applyFont="1" applyFill="1" applyBorder="1" applyAlignment="1">
      <alignment horizontal="center"/>
    </xf>
    <xf numFmtId="2" fontId="0" fillId="0" borderId="0" xfId="44" applyNumberFormat="1" applyFont="1" applyAlignment="1">
      <alignment horizontal="center"/>
    </xf>
    <xf numFmtId="0" fontId="17" fillId="0" borderId="0" xfId="0" applyFont="1" applyFill="1" applyAlignment="1">
      <alignment horizontal="center"/>
    </xf>
    <xf numFmtId="2" fontId="16" fillId="0" borderId="0" xfId="44" applyNumberFormat="1" applyFont="1" applyAlignment="1">
      <alignment horizontal="center"/>
    </xf>
    <xf numFmtId="10" fontId="16" fillId="0" borderId="0" xfId="44" applyNumberFormat="1" applyFont="1"/>
    <xf numFmtId="49" fontId="22" fillId="0" borderId="0" xfId="42" applyNumberFormat="1" applyFont="1" applyAlignment="1">
      <alignment horizontal="left" indent="4"/>
    </xf>
    <xf numFmtId="2" fontId="20" fillId="0" borderId="11" xfId="42" applyNumberFormat="1" applyFont="1" applyFill="1" applyBorder="1" applyAlignment="1">
      <alignment horizontal="center"/>
    </xf>
    <xf numFmtId="0" fontId="34" fillId="0" borderId="0" xfId="42" applyFont="1" applyFill="1" applyAlignment="1">
      <alignment horizontal="center"/>
    </xf>
    <xf numFmtId="0" fontId="33" fillId="0" borderId="0" xfId="42" applyFont="1" applyAlignment="1">
      <alignment horizontal="center"/>
    </xf>
    <xf numFmtId="0" fontId="35" fillId="0" borderId="0" xfId="42" applyFont="1" applyAlignment="1">
      <alignment horizontal="center"/>
    </xf>
    <xf numFmtId="0" fontId="20" fillId="0" borderId="11" xfId="42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11" xfId="0" applyFont="1" applyBorder="1" applyAlignment="1">
      <alignment horizontal="center"/>
    </xf>
    <xf numFmtId="2" fontId="20" fillId="0" borderId="0" xfId="42" applyNumberFormat="1" applyFont="1" applyFill="1" applyBorder="1" applyAlignment="1">
      <alignment horizontal="center"/>
    </xf>
    <xf numFmtId="49" fontId="22" fillId="0" borderId="0" xfId="42" applyNumberFormat="1" applyFont="1" applyFill="1" applyBorder="1" applyAlignment="1">
      <alignment horizontal="left" indent="4"/>
    </xf>
    <xf numFmtId="0" fontId="16" fillId="0" borderId="0" xfId="0" applyFont="1" applyAlignment="1">
      <alignment horizontal="center"/>
    </xf>
  </cellXfs>
  <cellStyles count="4159">
    <cellStyle name="_x000a_bidires=100_x000d_" xfId="45"/>
    <cellStyle name="_2008 Reforecast 0+12  03.14.08" xfId="46"/>
    <cellStyle name="_2008 Reforecast 0+12  03.14.08_Avera UIL NEEWS Analyses 2011" xfId="47"/>
    <cellStyle name="_2008 Reforecast 0+12  03.14.08_Avera UIL NEEWS Analyses 2011_Baudino Exhibits" xfId="48"/>
    <cellStyle name="_2008 Reforecast 0+12  03.14.08_Avera UIL NEEWS Analyses 2011_Baudino Exhibits 2" xfId="49"/>
    <cellStyle name="_2008 Reforecast 0+12  03.14.08_Baudino Exhibits" xfId="50"/>
    <cellStyle name="_2008 Reforecast 0+12  03.14.08_Baudino Exhibits 2" xfId="51"/>
    <cellStyle name="_2008 Reforecast 0+12  03.14.08_Value Line Data Base" xfId="52"/>
    <cellStyle name="_2008 Reforecast 0+12  03.14.08_Value Line Data Base 2" xfId="53"/>
    <cellStyle name="_2008_ACCT 17103" xfId="54"/>
    <cellStyle name="_2008_ACCT 17103_Avera UIL NEEWS Analyses 2011" xfId="55"/>
    <cellStyle name="_2008_ACCT 17103_Avera UIL NEEWS Analyses 2011_Baudino Exhibits" xfId="56"/>
    <cellStyle name="_2008_ACCT 17103_Avera UIL NEEWS Analyses 2011_Baudino Exhibits 2" xfId="57"/>
    <cellStyle name="_2008_ACCT 17103_Baudino Exhibits" xfId="58"/>
    <cellStyle name="_2008_ACCT 17103_Baudino Exhibits 2" xfId="59"/>
    <cellStyle name="_2008_ACCT 17103_Value Line Data Base" xfId="60"/>
    <cellStyle name="_2008_ACCT 17103_Value Line Data Base 2" xfId="61"/>
    <cellStyle name="_2009 Budget 5_02_08  FINAL" xfId="62"/>
    <cellStyle name="_2009 Budget 5_02_08  FINAL_Avera UIL NEEWS Analyses 2011" xfId="63"/>
    <cellStyle name="_2009 Budget 5_02_08  FINAL_Avera UIL NEEWS Analyses 2011_Baudino Exhibits" xfId="64"/>
    <cellStyle name="_2009 Budget 5_02_08  FINAL_Avera UIL NEEWS Analyses 2011_Baudino Exhibits 2" xfId="65"/>
    <cellStyle name="_2009 Budget 5_02_08  FINAL_Baudino Exhibits" xfId="66"/>
    <cellStyle name="_2009 Budget 5_02_08  FINAL_Baudino Exhibits 2" xfId="67"/>
    <cellStyle name="_2009 Budget 5_02_08  FINAL_Value Line Data Base" xfId="68"/>
    <cellStyle name="_2009 Budget 5_02_08  FINAL_Value Line Data Base 2" xfId="69"/>
    <cellStyle name="_Reformatted Cash Flow Consolidation 0706" xfId="70"/>
    <cellStyle name="_Reformatted Cash Flow Consolidation 0706_Avera UIL NEEWS Analyses 2011" xfId="71"/>
    <cellStyle name="_Reformatted Cash Flow Consolidation 0706_Avera UIL NEEWS Analyses 2011_Baudino Exhibits" xfId="72"/>
    <cellStyle name="_Reformatted Cash Flow Consolidation 0706_Avera UIL NEEWS Analyses 2011_Baudino Exhibits 2" xfId="73"/>
    <cellStyle name="_Reformatted Cash Flow Consolidation 0706_Baudino Exhibits" xfId="74"/>
    <cellStyle name="_Reformatted Cash Flow Consolidation 0706_Baudino Exhibits 2" xfId="75"/>
    <cellStyle name="_Reformatted Cash Flow Consolidation 0706_Value Line Data Base" xfId="76"/>
    <cellStyle name="_Reformatted Cash Flow Consolidation 0706_Value Line Data Base 2" xfId="77"/>
    <cellStyle name="_Reformatted Cash Flow Consolidation 0906" xfId="78"/>
    <cellStyle name="_Reformatted Cash Flow Consolidation 0906_Avera UIL NEEWS Analyses 2011" xfId="79"/>
    <cellStyle name="_Reformatted Cash Flow Consolidation 0906_Avera UIL NEEWS Analyses 2011_Baudino Exhibits" xfId="80"/>
    <cellStyle name="_Reformatted Cash Flow Consolidation 0906_Avera UIL NEEWS Analyses 2011_Baudino Exhibits 2" xfId="81"/>
    <cellStyle name="_Reformatted Cash Flow Consolidation 0906_Baudino Exhibits" xfId="82"/>
    <cellStyle name="_Reformatted Cash Flow Consolidation 0906_Baudino Exhibits 2" xfId="83"/>
    <cellStyle name="_Reformatted Cash Flow Consolidation 0906_Value Line Data Base" xfId="84"/>
    <cellStyle name="_Reformatted Cash Flow Consolidation 0906_Value Line Data Base 2" xfId="85"/>
    <cellStyle name="20% - Accent1" xfId="19" builtinId="30" customBuiltin="1"/>
    <cellStyle name="20% - Accent1 10" xfId="86"/>
    <cellStyle name="20% - Accent1 10 10" xfId="87"/>
    <cellStyle name="20% - Accent1 10 11" xfId="88"/>
    <cellStyle name="20% - Accent1 10 12" xfId="89"/>
    <cellStyle name="20% - Accent1 10 13" xfId="90"/>
    <cellStyle name="20% - Accent1 10 14" xfId="91"/>
    <cellStyle name="20% - Accent1 10 15" xfId="92"/>
    <cellStyle name="20% - Accent1 10 16" xfId="93"/>
    <cellStyle name="20% - Accent1 10 17" xfId="94"/>
    <cellStyle name="20% - Accent1 10 18" xfId="95"/>
    <cellStyle name="20% - Accent1 10 19" xfId="96"/>
    <cellStyle name="20% - Accent1 10 2" xfId="97"/>
    <cellStyle name="20% - Accent1 10 20" xfId="98"/>
    <cellStyle name="20% - Accent1 10 21" xfId="99"/>
    <cellStyle name="20% - Accent1 10 22" xfId="100"/>
    <cellStyle name="20% - Accent1 10 23" xfId="101"/>
    <cellStyle name="20% - Accent1 10 24" xfId="102"/>
    <cellStyle name="20% - Accent1 10 25" xfId="103"/>
    <cellStyle name="20% - Accent1 10 26" xfId="104"/>
    <cellStyle name="20% - Accent1 10 27" xfId="105"/>
    <cellStyle name="20% - Accent1 10 28" xfId="106"/>
    <cellStyle name="20% - Accent1 10 29" xfId="107"/>
    <cellStyle name="20% - Accent1 10 3" xfId="108"/>
    <cellStyle name="20% - Accent1 10 30" xfId="109"/>
    <cellStyle name="20% - Accent1 10 31" xfId="110"/>
    <cellStyle name="20% - Accent1 10 32" xfId="111"/>
    <cellStyle name="20% - Accent1 10 33" xfId="112"/>
    <cellStyle name="20% - Accent1 10 34" xfId="113"/>
    <cellStyle name="20% - Accent1 10 35" xfId="114"/>
    <cellStyle name="20% - Accent1 10 36" xfId="115"/>
    <cellStyle name="20% - Accent1 10 37" xfId="116"/>
    <cellStyle name="20% - Accent1 10 38" xfId="117"/>
    <cellStyle name="20% - Accent1 10 39" xfId="118"/>
    <cellStyle name="20% - Accent1 10 4" xfId="119"/>
    <cellStyle name="20% - Accent1 10 40" xfId="120"/>
    <cellStyle name="20% - Accent1 10 41" xfId="121"/>
    <cellStyle name="20% - Accent1 10 5" xfId="122"/>
    <cellStyle name="20% - Accent1 10 6" xfId="123"/>
    <cellStyle name="20% - Accent1 10 7" xfId="124"/>
    <cellStyle name="20% - Accent1 10 8" xfId="125"/>
    <cellStyle name="20% - Accent1 10 9" xfId="126"/>
    <cellStyle name="20% - Accent1 11" xfId="127"/>
    <cellStyle name="20% - Accent1 11 10" xfId="128"/>
    <cellStyle name="20% - Accent1 11 11" xfId="129"/>
    <cellStyle name="20% - Accent1 11 12" xfId="130"/>
    <cellStyle name="20% - Accent1 11 13" xfId="131"/>
    <cellStyle name="20% - Accent1 11 14" xfId="132"/>
    <cellStyle name="20% - Accent1 11 15" xfId="133"/>
    <cellStyle name="20% - Accent1 11 16" xfId="134"/>
    <cellStyle name="20% - Accent1 11 17" xfId="135"/>
    <cellStyle name="20% - Accent1 11 18" xfId="136"/>
    <cellStyle name="20% - Accent1 11 19" xfId="137"/>
    <cellStyle name="20% - Accent1 11 2" xfId="138"/>
    <cellStyle name="20% - Accent1 11 20" xfId="139"/>
    <cellStyle name="20% - Accent1 11 21" xfId="140"/>
    <cellStyle name="20% - Accent1 11 22" xfId="141"/>
    <cellStyle name="20% - Accent1 11 23" xfId="142"/>
    <cellStyle name="20% - Accent1 11 24" xfId="143"/>
    <cellStyle name="20% - Accent1 11 25" xfId="144"/>
    <cellStyle name="20% - Accent1 11 26" xfId="145"/>
    <cellStyle name="20% - Accent1 11 27" xfId="146"/>
    <cellStyle name="20% - Accent1 11 28" xfId="147"/>
    <cellStyle name="20% - Accent1 11 29" xfId="148"/>
    <cellStyle name="20% - Accent1 11 3" xfId="149"/>
    <cellStyle name="20% - Accent1 11 30" xfId="150"/>
    <cellStyle name="20% - Accent1 11 31" xfId="151"/>
    <cellStyle name="20% - Accent1 11 32" xfId="152"/>
    <cellStyle name="20% - Accent1 11 33" xfId="153"/>
    <cellStyle name="20% - Accent1 11 34" xfId="154"/>
    <cellStyle name="20% - Accent1 11 35" xfId="155"/>
    <cellStyle name="20% - Accent1 11 36" xfId="156"/>
    <cellStyle name="20% - Accent1 11 37" xfId="157"/>
    <cellStyle name="20% - Accent1 11 38" xfId="158"/>
    <cellStyle name="20% - Accent1 11 39" xfId="159"/>
    <cellStyle name="20% - Accent1 11 4" xfId="160"/>
    <cellStyle name="20% - Accent1 11 40" xfId="161"/>
    <cellStyle name="20% - Accent1 11 41" xfId="162"/>
    <cellStyle name="20% - Accent1 11 5" xfId="163"/>
    <cellStyle name="20% - Accent1 11 6" xfId="164"/>
    <cellStyle name="20% - Accent1 11 7" xfId="165"/>
    <cellStyle name="20% - Accent1 11 8" xfId="166"/>
    <cellStyle name="20% - Accent1 11 9" xfId="167"/>
    <cellStyle name="20% - Accent1 12" xfId="168"/>
    <cellStyle name="20% - Accent1 12 10" xfId="169"/>
    <cellStyle name="20% - Accent1 12 11" xfId="170"/>
    <cellStyle name="20% - Accent1 12 12" xfId="171"/>
    <cellStyle name="20% - Accent1 12 13" xfId="172"/>
    <cellStyle name="20% - Accent1 12 14" xfId="173"/>
    <cellStyle name="20% - Accent1 12 15" xfId="174"/>
    <cellStyle name="20% - Accent1 12 16" xfId="175"/>
    <cellStyle name="20% - Accent1 12 17" xfId="176"/>
    <cellStyle name="20% - Accent1 12 18" xfId="177"/>
    <cellStyle name="20% - Accent1 12 19" xfId="178"/>
    <cellStyle name="20% - Accent1 12 2" xfId="179"/>
    <cellStyle name="20% - Accent1 12 20" xfId="180"/>
    <cellStyle name="20% - Accent1 12 21" xfId="181"/>
    <cellStyle name="20% - Accent1 12 22" xfId="182"/>
    <cellStyle name="20% - Accent1 12 23" xfId="183"/>
    <cellStyle name="20% - Accent1 12 24" xfId="184"/>
    <cellStyle name="20% - Accent1 12 25" xfId="185"/>
    <cellStyle name="20% - Accent1 12 26" xfId="186"/>
    <cellStyle name="20% - Accent1 12 27" xfId="187"/>
    <cellStyle name="20% - Accent1 12 28" xfId="188"/>
    <cellStyle name="20% - Accent1 12 29" xfId="189"/>
    <cellStyle name="20% - Accent1 12 3" xfId="190"/>
    <cellStyle name="20% - Accent1 12 30" xfId="191"/>
    <cellStyle name="20% - Accent1 12 31" xfId="192"/>
    <cellStyle name="20% - Accent1 12 32" xfId="193"/>
    <cellStyle name="20% - Accent1 12 33" xfId="194"/>
    <cellStyle name="20% - Accent1 12 34" xfId="195"/>
    <cellStyle name="20% - Accent1 12 35" xfId="196"/>
    <cellStyle name="20% - Accent1 12 36" xfId="197"/>
    <cellStyle name="20% - Accent1 12 37" xfId="198"/>
    <cellStyle name="20% - Accent1 12 38" xfId="199"/>
    <cellStyle name="20% - Accent1 12 39" xfId="200"/>
    <cellStyle name="20% - Accent1 12 4" xfId="201"/>
    <cellStyle name="20% - Accent1 12 40" xfId="202"/>
    <cellStyle name="20% - Accent1 12 41" xfId="203"/>
    <cellStyle name="20% - Accent1 12 5" xfId="204"/>
    <cellStyle name="20% - Accent1 12 6" xfId="205"/>
    <cellStyle name="20% - Accent1 12 7" xfId="206"/>
    <cellStyle name="20% - Accent1 12 8" xfId="207"/>
    <cellStyle name="20% - Accent1 12 9" xfId="208"/>
    <cellStyle name="20% - Accent1 13" xfId="209"/>
    <cellStyle name="20% - Accent1 14" xfId="210"/>
    <cellStyle name="20% - Accent1 14 2" xfId="211"/>
    <cellStyle name="20% - Accent1 15" xfId="212"/>
    <cellStyle name="20% - Accent1 16" xfId="213"/>
    <cellStyle name="20% - Accent1 2" xfId="214"/>
    <cellStyle name="20% - Accent1 2 10" xfId="215"/>
    <cellStyle name="20% - Accent1 2 11" xfId="216"/>
    <cellStyle name="20% - Accent1 2 12" xfId="217"/>
    <cellStyle name="20% - Accent1 2 13" xfId="218"/>
    <cellStyle name="20% - Accent1 2 14" xfId="219"/>
    <cellStyle name="20% - Accent1 2 15" xfId="220"/>
    <cellStyle name="20% - Accent1 2 16" xfId="221"/>
    <cellStyle name="20% - Accent1 2 17" xfId="222"/>
    <cellStyle name="20% - Accent1 2 18" xfId="223"/>
    <cellStyle name="20% - Accent1 2 19" xfId="224"/>
    <cellStyle name="20% - Accent1 2 2" xfId="225"/>
    <cellStyle name="20% - Accent1 2 2 2" xfId="226"/>
    <cellStyle name="20% - Accent1 2 2 2 2" xfId="227"/>
    <cellStyle name="20% - Accent1 2 2 3" xfId="228"/>
    <cellStyle name="20% - Accent1 2 2 4" xfId="229"/>
    <cellStyle name="20% - Accent1 2 2 5" xfId="230"/>
    <cellStyle name="20% - Accent1 2 20" xfId="231"/>
    <cellStyle name="20% - Accent1 2 21" xfId="232"/>
    <cellStyle name="20% - Accent1 2 22" xfId="233"/>
    <cellStyle name="20% - Accent1 2 23" xfId="234"/>
    <cellStyle name="20% - Accent1 2 24" xfId="235"/>
    <cellStyle name="20% - Accent1 2 25" xfId="236"/>
    <cellStyle name="20% - Accent1 2 26" xfId="237"/>
    <cellStyle name="20% - Accent1 2 27" xfId="238"/>
    <cellStyle name="20% - Accent1 2 28" xfId="239"/>
    <cellStyle name="20% - Accent1 2 29" xfId="240"/>
    <cellStyle name="20% - Accent1 2 3" xfId="241"/>
    <cellStyle name="20% - Accent1 2 3 2" xfId="242"/>
    <cellStyle name="20% - Accent1 2 3 3" xfId="243"/>
    <cellStyle name="20% - Accent1 2 3 4" xfId="244"/>
    <cellStyle name="20% - Accent1 2 3 5" xfId="245"/>
    <cellStyle name="20% - Accent1 2 3 6" xfId="246"/>
    <cellStyle name="20% - Accent1 2 30" xfId="247"/>
    <cellStyle name="20% - Accent1 2 31" xfId="248"/>
    <cellStyle name="20% - Accent1 2 32" xfId="249"/>
    <cellStyle name="20% - Accent1 2 33" xfId="250"/>
    <cellStyle name="20% - Accent1 2 34" xfId="251"/>
    <cellStyle name="20% - Accent1 2 35" xfId="252"/>
    <cellStyle name="20% - Accent1 2 36" xfId="253"/>
    <cellStyle name="20% - Accent1 2 37" xfId="254"/>
    <cellStyle name="20% - Accent1 2 38" xfId="255"/>
    <cellStyle name="20% - Accent1 2 39" xfId="256"/>
    <cellStyle name="20% - Accent1 2 4" xfId="257"/>
    <cellStyle name="20% - Accent1 2 40" xfId="258"/>
    <cellStyle name="20% - Accent1 2 41" xfId="259"/>
    <cellStyle name="20% - Accent1 2 42" xfId="260"/>
    <cellStyle name="20% - Accent1 2 43" xfId="261"/>
    <cellStyle name="20% - Accent1 2 44" xfId="262"/>
    <cellStyle name="20% - Accent1 2 45" xfId="263"/>
    <cellStyle name="20% - Accent1 2 5" xfId="264"/>
    <cellStyle name="20% - Accent1 2 6" xfId="265"/>
    <cellStyle name="20% - Accent1 2 7" xfId="266"/>
    <cellStyle name="20% - Accent1 2 8" xfId="267"/>
    <cellStyle name="20% - Accent1 2 9" xfId="268"/>
    <cellStyle name="20% - Accent1 3" xfId="269"/>
    <cellStyle name="20% - Accent1 3 10" xfId="270"/>
    <cellStyle name="20% - Accent1 3 11" xfId="271"/>
    <cellStyle name="20% - Accent1 3 12" xfId="272"/>
    <cellStyle name="20% - Accent1 3 13" xfId="273"/>
    <cellStyle name="20% - Accent1 3 14" xfId="274"/>
    <cellStyle name="20% - Accent1 3 15" xfId="275"/>
    <cellStyle name="20% - Accent1 3 16" xfId="276"/>
    <cellStyle name="20% - Accent1 3 17" xfId="277"/>
    <cellStyle name="20% - Accent1 3 18" xfId="278"/>
    <cellStyle name="20% - Accent1 3 19" xfId="279"/>
    <cellStyle name="20% - Accent1 3 2" xfId="280"/>
    <cellStyle name="20% - Accent1 3 20" xfId="281"/>
    <cellStyle name="20% - Accent1 3 21" xfId="282"/>
    <cellStyle name="20% - Accent1 3 22" xfId="283"/>
    <cellStyle name="20% - Accent1 3 23" xfId="284"/>
    <cellStyle name="20% - Accent1 3 24" xfId="285"/>
    <cellStyle name="20% - Accent1 3 25" xfId="286"/>
    <cellStyle name="20% - Accent1 3 26" xfId="287"/>
    <cellStyle name="20% - Accent1 3 27" xfId="288"/>
    <cellStyle name="20% - Accent1 3 28" xfId="289"/>
    <cellStyle name="20% - Accent1 3 29" xfId="290"/>
    <cellStyle name="20% - Accent1 3 3" xfId="291"/>
    <cellStyle name="20% - Accent1 3 30" xfId="292"/>
    <cellStyle name="20% - Accent1 3 31" xfId="293"/>
    <cellStyle name="20% - Accent1 3 32" xfId="294"/>
    <cellStyle name="20% - Accent1 3 33" xfId="295"/>
    <cellStyle name="20% - Accent1 3 34" xfId="296"/>
    <cellStyle name="20% - Accent1 3 35" xfId="297"/>
    <cellStyle name="20% - Accent1 3 36" xfId="298"/>
    <cellStyle name="20% - Accent1 3 37" xfId="299"/>
    <cellStyle name="20% - Accent1 3 38" xfId="300"/>
    <cellStyle name="20% - Accent1 3 39" xfId="301"/>
    <cellStyle name="20% - Accent1 3 4" xfId="302"/>
    <cellStyle name="20% - Accent1 3 40" xfId="303"/>
    <cellStyle name="20% - Accent1 3 41" xfId="304"/>
    <cellStyle name="20% - Accent1 3 42" xfId="305"/>
    <cellStyle name="20% - Accent1 3 43" xfId="306"/>
    <cellStyle name="20% - Accent1 3 44" xfId="307"/>
    <cellStyle name="20% - Accent1 3 45" xfId="308"/>
    <cellStyle name="20% - Accent1 3 5" xfId="309"/>
    <cellStyle name="20% - Accent1 3 6" xfId="310"/>
    <cellStyle name="20% - Accent1 3 7" xfId="311"/>
    <cellStyle name="20% - Accent1 3 8" xfId="312"/>
    <cellStyle name="20% - Accent1 3 9" xfId="313"/>
    <cellStyle name="20% - Accent1 4" xfId="314"/>
    <cellStyle name="20% - Accent1 4 10" xfId="315"/>
    <cellStyle name="20% - Accent1 4 11" xfId="316"/>
    <cellStyle name="20% - Accent1 4 12" xfId="317"/>
    <cellStyle name="20% - Accent1 4 13" xfId="318"/>
    <cellStyle name="20% - Accent1 4 14" xfId="319"/>
    <cellStyle name="20% - Accent1 4 15" xfId="320"/>
    <cellStyle name="20% - Accent1 4 16" xfId="321"/>
    <cellStyle name="20% - Accent1 4 17" xfId="322"/>
    <cellStyle name="20% - Accent1 4 18" xfId="323"/>
    <cellStyle name="20% - Accent1 4 19" xfId="324"/>
    <cellStyle name="20% - Accent1 4 2" xfId="325"/>
    <cellStyle name="20% - Accent1 4 20" xfId="326"/>
    <cellStyle name="20% - Accent1 4 21" xfId="327"/>
    <cellStyle name="20% - Accent1 4 22" xfId="328"/>
    <cellStyle name="20% - Accent1 4 23" xfId="329"/>
    <cellStyle name="20% - Accent1 4 24" xfId="330"/>
    <cellStyle name="20% - Accent1 4 25" xfId="331"/>
    <cellStyle name="20% - Accent1 4 26" xfId="332"/>
    <cellStyle name="20% - Accent1 4 27" xfId="333"/>
    <cellStyle name="20% - Accent1 4 28" xfId="334"/>
    <cellStyle name="20% - Accent1 4 29" xfId="335"/>
    <cellStyle name="20% - Accent1 4 3" xfId="336"/>
    <cellStyle name="20% - Accent1 4 30" xfId="337"/>
    <cellStyle name="20% - Accent1 4 31" xfId="338"/>
    <cellStyle name="20% - Accent1 4 32" xfId="339"/>
    <cellStyle name="20% - Accent1 4 33" xfId="340"/>
    <cellStyle name="20% - Accent1 4 34" xfId="341"/>
    <cellStyle name="20% - Accent1 4 35" xfId="342"/>
    <cellStyle name="20% - Accent1 4 36" xfId="343"/>
    <cellStyle name="20% - Accent1 4 37" xfId="344"/>
    <cellStyle name="20% - Accent1 4 38" xfId="345"/>
    <cellStyle name="20% - Accent1 4 39" xfId="346"/>
    <cellStyle name="20% - Accent1 4 4" xfId="347"/>
    <cellStyle name="20% - Accent1 4 40" xfId="348"/>
    <cellStyle name="20% - Accent1 4 41" xfId="349"/>
    <cellStyle name="20% - Accent1 4 5" xfId="350"/>
    <cellStyle name="20% - Accent1 4 6" xfId="351"/>
    <cellStyle name="20% - Accent1 4 7" xfId="352"/>
    <cellStyle name="20% - Accent1 4 8" xfId="353"/>
    <cellStyle name="20% - Accent1 4 9" xfId="354"/>
    <cellStyle name="20% - Accent1 5" xfId="355"/>
    <cellStyle name="20% - Accent1 5 10" xfId="356"/>
    <cellStyle name="20% - Accent1 5 11" xfId="357"/>
    <cellStyle name="20% - Accent1 5 12" xfId="358"/>
    <cellStyle name="20% - Accent1 5 13" xfId="359"/>
    <cellStyle name="20% - Accent1 5 14" xfId="360"/>
    <cellStyle name="20% - Accent1 5 15" xfId="361"/>
    <cellStyle name="20% - Accent1 5 16" xfId="362"/>
    <cellStyle name="20% - Accent1 5 17" xfId="363"/>
    <cellStyle name="20% - Accent1 5 18" xfId="364"/>
    <cellStyle name="20% - Accent1 5 19" xfId="365"/>
    <cellStyle name="20% - Accent1 5 2" xfId="366"/>
    <cellStyle name="20% - Accent1 5 20" xfId="367"/>
    <cellStyle name="20% - Accent1 5 21" xfId="368"/>
    <cellStyle name="20% - Accent1 5 22" xfId="369"/>
    <cellStyle name="20% - Accent1 5 23" xfId="370"/>
    <cellStyle name="20% - Accent1 5 24" xfId="371"/>
    <cellStyle name="20% - Accent1 5 25" xfId="372"/>
    <cellStyle name="20% - Accent1 5 26" xfId="373"/>
    <cellStyle name="20% - Accent1 5 27" xfId="374"/>
    <cellStyle name="20% - Accent1 5 28" xfId="375"/>
    <cellStyle name="20% - Accent1 5 29" xfId="376"/>
    <cellStyle name="20% - Accent1 5 3" xfId="377"/>
    <cellStyle name="20% - Accent1 5 30" xfId="378"/>
    <cellStyle name="20% - Accent1 5 31" xfId="379"/>
    <cellStyle name="20% - Accent1 5 32" xfId="380"/>
    <cellStyle name="20% - Accent1 5 33" xfId="381"/>
    <cellStyle name="20% - Accent1 5 34" xfId="382"/>
    <cellStyle name="20% - Accent1 5 35" xfId="383"/>
    <cellStyle name="20% - Accent1 5 36" xfId="384"/>
    <cellStyle name="20% - Accent1 5 37" xfId="385"/>
    <cellStyle name="20% - Accent1 5 38" xfId="386"/>
    <cellStyle name="20% - Accent1 5 39" xfId="387"/>
    <cellStyle name="20% - Accent1 5 4" xfId="388"/>
    <cellStyle name="20% - Accent1 5 40" xfId="389"/>
    <cellStyle name="20% - Accent1 5 41" xfId="390"/>
    <cellStyle name="20% - Accent1 5 5" xfId="391"/>
    <cellStyle name="20% - Accent1 5 6" xfId="392"/>
    <cellStyle name="20% - Accent1 5 7" xfId="393"/>
    <cellStyle name="20% - Accent1 5 8" xfId="394"/>
    <cellStyle name="20% - Accent1 5 9" xfId="395"/>
    <cellStyle name="20% - Accent1 6" xfId="396"/>
    <cellStyle name="20% - Accent1 6 10" xfId="397"/>
    <cellStyle name="20% - Accent1 6 11" xfId="398"/>
    <cellStyle name="20% - Accent1 6 12" xfId="399"/>
    <cellStyle name="20% - Accent1 6 13" xfId="400"/>
    <cellStyle name="20% - Accent1 6 14" xfId="401"/>
    <cellStyle name="20% - Accent1 6 15" xfId="402"/>
    <cellStyle name="20% - Accent1 6 16" xfId="403"/>
    <cellStyle name="20% - Accent1 6 17" xfId="404"/>
    <cellStyle name="20% - Accent1 6 18" xfId="405"/>
    <cellStyle name="20% - Accent1 6 19" xfId="406"/>
    <cellStyle name="20% - Accent1 6 2" xfId="407"/>
    <cellStyle name="20% - Accent1 6 20" xfId="408"/>
    <cellStyle name="20% - Accent1 6 21" xfId="409"/>
    <cellStyle name="20% - Accent1 6 22" xfId="410"/>
    <cellStyle name="20% - Accent1 6 23" xfId="411"/>
    <cellStyle name="20% - Accent1 6 24" xfId="412"/>
    <cellStyle name="20% - Accent1 6 25" xfId="413"/>
    <cellStyle name="20% - Accent1 6 26" xfId="414"/>
    <cellStyle name="20% - Accent1 6 27" xfId="415"/>
    <cellStyle name="20% - Accent1 6 28" xfId="416"/>
    <cellStyle name="20% - Accent1 6 29" xfId="417"/>
    <cellStyle name="20% - Accent1 6 3" xfId="418"/>
    <cellStyle name="20% - Accent1 6 30" xfId="419"/>
    <cellStyle name="20% - Accent1 6 31" xfId="420"/>
    <cellStyle name="20% - Accent1 6 32" xfId="421"/>
    <cellStyle name="20% - Accent1 6 33" xfId="422"/>
    <cellStyle name="20% - Accent1 6 34" xfId="423"/>
    <cellStyle name="20% - Accent1 6 35" xfId="424"/>
    <cellStyle name="20% - Accent1 6 36" xfId="425"/>
    <cellStyle name="20% - Accent1 6 37" xfId="426"/>
    <cellStyle name="20% - Accent1 6 38" xfId="427"/>
    <cellStyle name="20% - Accent1 6 39" xfId="428"/>
    <cellStyle name="20% - Accent1 6 4" xfId="429"/>
    <cellStyle name="20% - Accent1 6 40" xfId="430"/>
    <cellStyle name="20% - Accent1 6 41" xfId="431"/>
    <cellStyle name="20% - Accent1 6 5" xfId="432"/>
    <cellStyle name="20% - Accent1 6 6" xfId="433"/>
    <cellStyle name="20% - Accent1 6 7" xfId="434"/>
    <cellStyle name="20% - Accent1 6 8" xfId="435"/>
    <cellStyle name="20% - Accent1 6 9" xfId="436"/>
    <cellStyle name="20% - Accent1 7" xfId="437"/>
    <cellStyle name="20% - Accent1 7 10" xfId="438"/>
    <cellStyle name="20% - Accent1 7 11" xfId="439"/>
    <cellStyle name="20% - Accent1 7 12" xfId="440"/>
    <cellStyle name="20% - Accent1 7 13" xfId="441"/>
    <cellStyle name="20% - Accent1 7 14" xfId="442"/>
    <cellStyle name="20% - Accent1 7 15" xfId="443"/>
    <cellStyle name="20% - Accent1 7 16" xfId="444"/>
    <cellStyle name="20% - Accent1 7 17" xfId="445"/>
    <cellStyle name="20% - Accent1 7 18" xfId="446"/>
    <cellStyle name="20% - Accent1 7 19" xfId="447"/>
    <cellStyle name="20% - Accent1 7 2" xfId="448"/>
    <cellStyle name="20% - Accent1 7 20" xfId="449"/>
    <cellStyle name="20% - Accent1 7 21" xfId="450"/>
    <cellStyle name="20% - Accent1 7 22" xfId="451"/>
    <cellStyle name="20% - Accent1 7 23" xfId="452"/>
    <cellStyle name="20% - Accent1 7 24" xfId="453"/>
    <cellStyle name="20% - Accent1 7 25" xfId="454"/>
    <cellStyle name="20% - Accent1 7 26" xfId="455"/>
    <cellStyle name="20% - Accent1 7 27" xfId="456"/>
    <cellStyle name="20% - Accent1 7 28" xfId="457"/>
    <cellStyle name="20% - Accent1 7 29" xfId="458"/>
    <cellStyle name="20% - Accent1 7 3" xfId="459"/>
    <cellStyle name="20% - Accent1 7 30" xfId="460"/>
    <cellStyle name="20% - Accent1 7 31" xfId="461"/>
    <cellStyle name="20% - Accent1 7 32" xfId="462"/>
    <cellStyle name="20% - Accent1 7 33" xfId="463"/>
    <cellStyle name="20% - Accent1 7 34" xfId="464"/>
    <cellStyle name="20% - Accent1 7 35" xfId="465"/>
    <cellStyle name="20% - Accent1 7 36" xfId="466"/>
    <cellStyle name="20% - Accent1 7 37" xfId="467"/>
    <cellStyle name="20% - Accent1 7 38" xfId="468"/>
    <cellStyle name="20% - Accent1 7 39" xfId="469"/>
    <cellStyle name="20% - Accent1 7 4" xfId="470"/>
    <cellStyle name="20% - Accent1 7 40" xfId="471"/>
    <cellStyle name="20% - Accent1 7 41" xfId="472"/>
    <cellStyle name="20% - Accent1 7 5" xfId="473"/>
    <cellStyle name="20% - Accent1 7 6" xfId="474"/>
    <cellStyle name="20% - Accent1 7 7" xfId="475"/>
    <cellStyle name="20% - Accent1 7 8" xfId="476"/>
    <cellStyle name="20% - Accent1 7 9" xfId="477"/>
    <cellStyle name="20% - Accent1 8" xfId="478"/>
    <cellStyle name="20% - Accent1 8 10" xfId="479"/>
    <cellStyle name="20% - Accent1 8 11" xfId="480"/>
    <cellStyle name="20% - Accent1 8 12" xfId="481"/>
    <cellStyle name="20% - Accent1 8 13" xfId="482"/>
    <cellStyle name="20% - Accent1 8 14" xfId="483"/>
    <cellStyle name="20% - Accent1 8 15" xfId="484"/>
    <cellStyle name="20% - Accent1 8 16" xfId="485"/>
    <cellStyle name="20% - Accent1 8 17" xfId="486"/>
    <cellStyle name="20% - Accent1 8 18" xfId="487"/>
    <cellStyle name="20% - Accent1 8 19" xfId="488"/>
    <cellStyle name="20% - Accent1 8 2" xfId="489"/>
    <cellStyle name="20% - Accent1 8 20" xfId="490"/>
    <cellStyle name="20% - Accent1 8 21" xfId="491"/>
    <cellStyle name="20% - Accent1 8 22" xfId="492"/>
    <cellStyle name="20% - Accent1 8 23" xfId="493"/>
    <cellStyle name="20% - Accent1 8 24" xfId="494"/>
    <cellStyle name="20% - Accent1 8 25" xfId="495"/>
    <cellStyle name="20% - Accent1 8 26" xfId="496"/>
    <cellStyle name="20% - Accent1 8 27" xfId="497"/>
    <cellStyle name="20% - Accent1 8 28" xfId="498"/>
    <cellStyle name="20% - Accent1 8 29" xfId="499"/>
    <cellStyle name="20% - Accent1 8 3" xfId="500"/>
    <cellStyle name="20% - Accent1 8 30" xfId="501"/>
    <cellStyle name="20% - Accent1 8 31" xfId="502"/>
    <cellStyle name="20% - Accent1 8 32" xfId="503"/>
    <cellStyle name="20% - Accent1 8 33" xfId="504"/>
    <cellStyle name="20% - Accent1 8 34" xfId="505"/>
    <cellStyle name="20% - Accent1 8 35" xfId="506"/>
    <cellStyle name="20% - Accent1 8 36" xfId="507"/>
    <cellStyle name="20% - Accent1 8 37" xfId="508"/>
    <cellStyle name="20% - Accent1 8 38" xfId="509"/>
    <cellStyle name="20% - Accent1 8 39" xfId="510"/>
    <cellStyle name="20% - Accent1 8 4" xfId="511"/>
    <cellStyle name="20% - Accent1 8 40" xfId="512"/>
    <cellStyle name="20% - Accent1 8 41" xfId="513"/>
    <cellStyle name="20% - Accent1 8 5" xfId="514"/>
    <cellStyle name="20% - Accent1 8 6" xfId="515"/>
    <cellStyle name="20% - Accent1 8 7" xfId="516"/>
    <cellStyle name="20% - Accent1 8 8" xfId="517"/>
    <cellStyle name="20% - Accent1 8 9" xfId="518"/>
    <cellStyle name="20% - Accent1 9" xfId="519"/>
    <cellStyle name="20% - Accent1 9 10" xfId="520"/>
    <cellStyle name="20% - Accent1 9 11" xfId="521"/>
    <cellStyle name="20% - Accent1 9 12" xfId="522"/>
    <cellStyle name="20% - Accent1 9 13" xfId="523"/>
    <cellStyle name="20% - Accent1 9 14" xfId="524"/>
    <cellStyle name="20% - Accent1 9 15" xfId="525"/>
    <cellStyle name="20% - Accent1 9 16" xfId="526"/>
    <cellStyle name="20% - Accent1 9 17" xfId="527"/>
    <cellStyle name="20% - Accent1 9 18" xfId="528"/>
    <cellStyle name="20% - Accent1 9 19" xfId="529"/>
    <cellStyle name="20% - Accent1 9 2" xfId="530"/>
    <cellStyle name="20% - Accent1 9 20" xfId="531"/>
    <cellStyle name="20% - Accent1 9 21" xfId="532"/>
    <cellStyle name="20% - Accent1 9 22" xfId="533"/>
    <cellStyle name="20% - Accent1 9 23" xfId="534"/>
    <cellStyle name="20% - Accent1 9 24" xfId="535"/>
    <cellStyle name="20% - Accent1 9 25" xfId="536"/>
    <cellStyle name="20% - Accent1 9 26" xfId="537"/>
    <cellStyle name="20% - Accent1 9 27" xfId="538"/>
    <cellStyle name="20% - Accent1 9 28" xfId="539"/>
    <cellStyle name="20% - Accent1 9 29" xfId="540"/>
    <cellStyle name="20% - Accent1 9 3" xfId="541"/>
    <cellStyle name="20% - Accent1 9 30" xfId="542"/>
    <cellStyle name="20% - Accent1 9 31" xfId="543"/>
    <cellStyle name="20% - Accent1 9 32" xfId="544"/>
    <cellStyle name="20% - Accent1 9 33" xfId="545"/>
    <cellStyle name="20% - Accent1 9 34" xfId="546"/>
    <cellStyle name="20% - Accent1 9 35" xfId="547"/>
    <cellStyle name="20% - Accent1 9 36" xfId="548"/>
    <cellStyle name="20% - Accent1 9 37" xfId="549"/>
    <cellStyle name="20% - Accent1 9 38" xfId="550"/>
    <cellStyle name="20% - Accent1 9 39" xfId="551"/>
    <cellStyle name="20% - Accent1 9 4" xfId="552"/>
    <cellStyle name="20% - Accent1 9 40" xfId="553"/>
    <cellStyle name="20% - Accent1 9 41" xfId="554"/>
    <cellStyle name="20% - Accent1 9 5" xfId="555"/>
    <cellStyle name="20% - Accent1 9 6" xfId="556"/>
    <cellStyle name="20% - Accent1 9 7" xfId="557"/>
    <cellStyle name="20% - Accent1 9 8" xfId="558"/>
    <cellStyle name="20% - Accent1 9 9" xfId="559"/>
    <cellStyle name="20% - Accent2" xfId="23" builtinId="34" customBuiltin="1"/>
    <cellStyle name="20% - Accent2 10" xfId="560"/>
    <cellStyle name="20% - Accent2 10 10" xfId="561"/>
    <cellStyle name="20% - Accent2 10 11" xfId="562"/>
    <cellStyle name="20% - Accent2 10 12" xfId="563"/>
    <cellStyle name="20% - Accent2 10 13" xfId="564"/>
    <cellStyle name="20% - Accent2 10 14" xfId="565"/>
    <cellStyle name="20% - Accent2 10 15" xfId="566"/>
    <cellStyle name="20% - Accent2 10 16" xfId="567"/>
    <cellStyle name="20% - Accent2 10 17" xfId="568"/>
    <cellStyle name="20% - Accent2 10 18" xfId="569"/>
    <cellStyle name="20% - Accent2 10 19" xfId="570"/>
    <cellStyle name="20% - Accent2 10 2" xfId="571"/>
    <cellStyle name="20% - Accent2 10 20" xfId="572"/>
    <cellStyle name="20% - Accent2 10 21" xfId="573"/>
    <cellStyle name="20% - Accent2 10 22" xfId="574"/>
    <cellStyle name="20% - Accent2 10 23" xfId="575"/>
    <cellStyle name="20% - Accent2 10 24" xfId="576"/>
    <cellStyle name="20% - Accent2 10 25" xfId="577"/>
    <cellStyle name="20% - Accent2 10 26" xfId="578"/>
    <cellStyle name="20% - Accent2 10 27" xfId="579"/>
    <cellStyle name="20% - Accent2 10 28" xfId="580"/>
    <cellStyle name="20% - Accent2 10 29" xfId="581"/>
    <cellStyle name="20% - Accent2 10 3" xfId="582"/>
    <cellStyle name="20% - Accent2 10 30" xfId="583"/>
    <cellStyle name="20% - Accent2 10 31" xfId="584"/>
    <cellStyle name="20% - Accent2 10 32" xfId="585"/>
    <cellStyle name="20% - Accent2 10 33" xfId="586"/>
    <cellStyle name="20% - Accent2 10 34" xfId="587"/>
    <cellStyle name="20% - Accent2 10 35" xfId="588"/>
    <cellStyle name="20% - Accent2 10 36" xfId="589"/>
    <cellStyle name="20% - Accent2 10 37" xfId="590"/>
    <cellStyle name="20% - Accent2 10 38" xfId="591"/>
    <cellStyle name="20% - Accent2 10 39" xfId="592"/>
    <cellStyle name="20% - Accent2 10 4" xfId="593"/>
    <cellStyle name="20% - Accent2 10 40" xfId="594"/>
    <cellStyle name="20% - Accent2 10 41" xfId="595"/>
    <cellStyle name="20% - Accent2 10 5" xfId="596"/>
    <cellStyle name="20% - Accent2 10 6" xfId="597"/>
    <cellStyle name="20% - Accent2 10 7" xfId="598"/>
    <cellStyle name="20% - Accent2 10 8" xfId="599"/>
    <cellStyle name="20% - Accent2 10 9" xfId="600"/>
    <cellStyle name="20% - Accent2 11" xfId="601"/>
    <cellStyle name="20% - Accent2 11 10" xfId="602"/>
    <cellStyle name="20% - Accent2 11 11" xfId="603"/>
    <cellStyle name="20% - Accent2 11 12" xfId="604"/>
    <cellStyle name="20% - Accent2 11 13" xfId="605"/>
    <cellStyle name="20% - Accent2 11 14" xfId="606"/>
    <cellStyle name="20% - Accent2 11 15" xfId="607"/>
    <cellStyle name="20% - Accent2 11 16" xfId="608"/>
    <cellStyle name="20% - Accent2 11 17" xfId="609"/>
    <cellStyle name="20% - Accent2 11 18" xfId="610"/>
    <cellStyle name="20% - Accent2 11 19" xfId="611"/>
    <cellStyle name="20% - Accent2 11 2" xfId="612"/>
    <cellStyle name="20% - Accent2 11 20" xfId="613"/>
    <cellStyle name="20% - Accent2 11 21" xfId="614"/>
    <cellStyle name="20% - Accent2 11 22" xfId="615"/>
    <cellStyle name="20% - Accent2 11 23" xfId="616"/>
    <cellStyle name="20% - Accent2 11 24" xfId="617"/>
    <cellStyle name="20% - Accent2 11 25" xfId="618"/>
    <cellStyle name="20% - Accent2 11 26" xfId="619"/>
    <cellStyle name="20% - Accent2 11 27" xfId="620"/>
    <cellStyle name="20% - Accent2 11 28" xfId="621"/>
    <cellStyle name="20% - Accent2 11 29" xfId="622"/>
    <cellStyle name="20% - Accent2 11 3" xfId="623"/>
    <cellStyle name="20% - Accent2 11 30" xfId="624"/>
    <cellStyle name="20% - Accent2 11 31" xfId="625"/>
    <cellStyle name="20% - Accent2 11 32" xfId="626"/>
    <cellStyle name="20% - Accent2 11 33" xfId="627"/>
    <cellStyle name="20% - Accent2 11 34" xfId="628"/>
    <cellStyle name="20% - Accent2 11 35" xfId="629"/>
    <cellStyle name="20% - Accent2 11 36" xfId="630"/>
    <cellStyle name="20% - Accent2 11 37" xfId="631"/>
    <cellStyle name="20% - Accent2 11 38" xfId="632"/>
    <cellStyle name="20% - Accent2 11 39" xfId="633"/>
    <cellStyle name="20% - Accent2 11 4" xfId="634"/>
    <cellStyle name="20% - Accent2 11 40" xfId="635"/>
    <cellStyle name="20% - Accent2 11 41" xfId="636"/>
    <cellStyle name="20% - Accent2 11 5" xfId="637"/>
    <cellStyle name="20% - Accent2 11 6" xfId="638"/>
    <cellStyle name="20% - Accent2 11 7" xfId="639"/>
    <cellStyle name="20% - Accent2 11 8" xfId="640"/>
    <cellStyle name="20% - Accent2 11 9" xfId="641"/>
    <cellStyle name="20% - Accent2 12" xfId="642"/>
    <cellStyle name="20% - Accent2 12 10" xfId="643"/>
    <cellStyle name="20% - Accent2 12 11" xfId="644"/>
    <cellStyle name="20% - Accent2 12 12" xfId="645"/>
    <cellStyle name="20% - Accent2 12 13" xfId="646"/>
    <cellStyle name="20% - Accent2 12 14" xfId="647"/>
    <cellStyle name="20% - Accent2 12 15" xfId="648"/>
    <cellStyle name="20% - Accent2 12 16" xfId="649"/>
    <cellStyle name="20% - Accent2 12 17" xfId="650"/>
    <cellStyle name="20% - Accent2 12 18" xfId="651"/>
    <cellStyle name="20% - Accent2 12 19" xfId="652"/>
    <cellStyle name="20% - Accent2 12 2" xfId="653"/>
    <cellStyle name="20% - Accent2 12 20" xfId="654"/>
    <cellStyle name="20% - Accent2 12 21" xfId="655"/>
    <cellStyle name="20% - Accent2 12 22" xfId="656"/>
    <cellStyle name="20% - Accent2 12 23" xfId="657"/>
    <cellStyle name="20% - Accent2 12 24" xfId="658"/>
    <cellStyle name="20% - Accent2 12 25" xfId="659"/>
    <cellStyle name="20% - Accent2 12 26" xfId="660"/>
    <cellStyle name="20% - Accent2 12 27" xfId="661"/>
    <cellStyle name="20% - Accent2 12 28" xfId="662"/>
    <cellStyle name="20% - Accent2 12 29" xfId="663"/>
    <cellStyle name="20% - Accent2 12 3" xfId="664"/>
    <cellStyle name="20% - Accent2 12 30" xfId="665"/>
    <cellStyle name="20% - Accent2 12 31" xfId="666"/>
    <cellStyle name="20% - Accent2 12 32" xfId="667"/>
    <cellStyle name="20% - Accent2 12 33" xfId="668"/>
    <cellStyle name="20% - Accent2 12 34" xfId="669"/>
    <cellStyle name="20% - Accent2 12 35" xfId="670"/>
    <cellStyle name="20% - Accent2 12 36" xfId="671"/>
    <cellStyle name="20% - Accent2 12 37" xfId="672"/>
    <cellStyle name="20% - Accent2 12 38" xfId="673"/>
    <cellStyle name="20% - Accent2 12 39" xfId="674"/>
    <cellStyle name="20% - Accent2 12 4" xfId="675"/>
    <cellStyle name="20% - Accent2 12 40" xfId="676"/>
    <cellStyle name="20% - Accent2 12 41" xfId="677"/>
    <cellStyle name="20% - Accent2 12 5" xfId="678"/>
    <cellStyle name="20% - Accent2 12 6" xfId="679"/>
    <cellStyle name="20% - Accent2 12 7" xfId="680"/>
    <cellStyle name="20% - Accent2 12 8" xfId="681"/>
    <cellStyle name="20% - Accent2 12 9" xfId="682"/>
    <cellStyle name="20% - Accent2 13" xfId="683"/>
    <cellStyle name="20% - Accent2 14" xfId="684"/>
    <cellStyle name="20% - Accent2 14 2" xfId="685"/>
    <cellStyle name="20% - Accent2 15" xfId="686"/>
    <cellStyle name="20% - Accent2 16" xfId="687"/>
    <cellStyle name="20% - Accent2 2" xfId="688"/>
    <cellStyle name="20% - Accent2 2 10" xfId="689"/>
    <cellStyle name="20% - Accent2 2 11" xfId="690"/>
    <cellStyle name="20% - Accent2 2 12" xfId="691"/>
    <cellStyle name="20% - Accent2 2 13" xfId="692"/>
    <cellStyle name="20% - Accent2 2 14" xfId="693"/>
    <cellStyle name="20% - Accent2 2 15" xfId="694"/>
    <cellStyle name="20% - Accent2 2 16" xfId="695"/>
    <cellStyle name="20% - Accent2 2 17" xfId="696"/>
    <cellStyle name="20% - Accent2 2 18" xfId="697"/>
    <cellStyle name="20% - Accent2 2 19" xfId="698"/>
    <cellStyle name="20% - Accent2 2 2" xfId="699"/>
    <cellStyle name="20% - Accent2 2 2 2" xfId="700"/>
    <cellStyle name="20% - Accent2 2 2 2 2" xfId="701"/>
    <cellStyle name="20% - Accent2 2 2 3" xfId="702"/>
    <cellStyle name="20% - Accent2 2 2 4" xfId="703"/>
    <cellStyle name="20% - Accent2 2 2 5" xfId="704"/>
    <cellStyle name="20% - Accent2 2 20" xfId="705"/>
    <cellStyle name="20% - Accent2 2 21" xfId="706"/>
    <cellStyle name="20% - Accent2 2 22" xfId="707"/>
    <cellStyle name="20% - Accent2 2 23" xfId="708"/>
    <cellStyle name="20% - Accent2 2 24" xfId="709"/>
    <cellStyle name="20% - Accent2 2 25" xfId="710"/>
    <cellStyle name="20% - Accent2 2 26" xfId="711"/>
    <cellStyle name="20% - Accent2 2 27" xfId="712"/>
    <cellStyle name="20% - Accent2 2 28" xfId="713"/>
    <cellStyle name="20% - Accent2 2 29" xfId="714"/>
    <cellStyle name="20% - Accent2 2 3" xfId="715"/>
    <cellStyle name="20% - Accent2 2 3 2" xfId="716"/>
    <cellStyle name="20% - Accent2 2 3 3" xfId="717"/>
    <cellStyle name="20% - Accent2 2 3 4" xfId="718"/>
    <cellStyle name="20% - Accent2 2 3 5" xfId="719"/>
    <cellStyle name="20% - Accent2 2 3 6" xfId="720"/>
    <cellStyle name="20% - Accent2 2 30" xfId="721"/>
    <cellStyle name="20% - Accent2 2 31" xfId="722"/>
    <cellStyle name="20% - Accent2 2 32" xfId="723"/>
    <cellStyle name="20% - Accent2 2 33" xfId="724"/>
    <cellStyle name="20% - Accent2 2 34" xfId="725"/>
    <cellStyle name="20% - Accent2 2 35" xfId="726"/>
    <cellStyle name="20% - Accent2 2 36" xfId="727"/>
    <cellStyle name="20% - Accent2 2 37" xfId="728"/>
    <cellStyle name="20% - Accent2 2 38" xfId="729"/>
    <cellStyle name="20% - Accent2 2 39" xfId="730"/>
    <cellStyle name="20% - Accent2 2 4" xfId="731"/>
    <cellStyle name="20% - Accent2 2 40" xfId="732"/>
    <cellStyle name="20% - Accent2 2 41" xfId="733"/>
    <cellStyle name="20% - Accent2 2 42" xfId="734"/>
    <cellStyle name="20% - Accent2 2 43" xfId="735"/>
    <cellStyle name="20% - Accent2 2 44" xfId="736"/>
    <cellStyle name="20% - Accent2 2 45" xfId="737"/>
    <cellStyle name="20% - Accent2 2 5" xfId="738"/>
    <cellStyle name="20% - Accent2 2 6" xfId="739"/>
    <cellStyle name="20% - Accent2 2 7" xfId="740"/>
    <cellStyle name="20% - Accent2 2 8" xfId="741"/>
    <cellStyle name="20% - Accent2 2 9" xfId="742"/>
    <cellStyle name="20% - Accent2 3" xfId="743"/>
    <cellStyle name="20% - Accent2 3 10" xfId="744"/>
    <cellStyle name="20% - Accent2 3 11" xfId="745"/>
    <cellStyle name="20% - Accent2 3 12" xfId="746"/>
    <cellStyle name="20% - Accent2 3 13" xfId="747"/>
    <cellStyle name="20% - Accent2 3 14" xfId="748"/>
    <cellStyle name="20% - Accent2 3 15" xfId="749"/>
    <cellStyle name="20% - Accent2 3 16" xfId="750"/>
    <cellStyle name="20% - Accent2 3 17" xfId="751"/>
    <cellStyle name="20% - Accent2 3 18" xfId="752"/>
    <cellStyle name="20% - Accent2 3 19" xfId="753"/>
    <cellStyle name="20% - Accent2 3 2" xfId="754"/>
    <cellStyle name="20% - Accent2 3 20" xfId="755"/>
    <cellStyle name="20% - Accent2 3 21" xfId="756"/>
    <cellStyle name="20% - Accent2 3 22" xfId="757"/>
    <cellStyle name="20% - Accent2 3 23" xfId="758"/>
    <cellStyle name="20% - Accent2 3 24" xfId="759"/>
    <cellStyle name="20% - Accent2 3 25" xfId="760"/>
    <cellStyle name="20% - Accent2 3 26" xfId="761"/>
    <cellStyle name="20% - Accent2 3 27" xfId="762"/>
    <cellStyle name="20% - Accent2 3 28" xfId="763"/>
    <cellStyle name="20% - Accent2 3 29" xfId="764"/>
    <cellStyle name="20% - Accent2 3 3" xfId="765"/>
    <cellStyle name="20% - Accent2 3 30" xfId="766"/>
    <cellStyle name="20% - Accent2 3 31" xfId="767"/>
    <cellStyle name="20% - Accent2 3 32" xfId="768"/>
    <cellStyle name="20% - Accent2 3 33" xfId="769"/>
    <cellStyle name="20% - Accent2 3 34" xfId="770"/>
    <cellStyle name="20% - Accent2 3 35" xfId="771"/>
    <cellStyle name="20% - Accent2 3 36" xfId="772"/>
    <cellStyle name="20% - Accent2 3 37" xfId="773"/>
    <cellStyle name="20% - Accent2 3 38" xfId="774"/>
    <cellStyle name="20% - Accent2 3 39" xfId="775"/>
    <cellStyle name="20% - Accent2 3 4" xfId="776"/>
    <cellStyle name="20% - Accent2 3 40" xfId="777"/>
    <cellStyle name="20% - Accent2 3 41" xfId="778"/>
    <cellStyle name="20% - Accent2 3 42" xfId="779"/>
    <cellStyle name="20% - Accent2 3 43" xfId="780"/>
    <cellStyle name="20% - Accent2 3 44" xfId="781"/>
    <cellStyle name="20% - Accent2 3 45" xfId="782"/>
    <cellStyle name="20% - Accent2 3 5" xfId="783"/>
    <cellStyle name="20% - Accent2 3 6" xfId="784"/>
    <cellStyle name="20% - Accent2 3 7" xfId="785"/>
    <cellStyle name="20% - Accent2 3 8" xfId="786"/>
    <cellStyle name="20% - Accent2 3 9" xfId="787"/>
    <cellStyle name="20% - Accent2 4" xfId="788"/>
    <cellStyle name="20% - Accent2 4 10" xfId="789"/>
    <cellStyle name="20% - Accent2 4 11" xfId="790"/>
    <cellStyle name="20% - Accent2 4 12" xfId="791"/>
    <cellStyle name="20% - Accent2 4 13" xfId="792"/>
    <cellStyle name="20% - Accent2 4 14" xfId="793"/>
    <cellStyle name="20% - Accent2 4 15" xfId="794"/>
    <cellStyle name="20% - Accent2 4 16" xfId="795"/>
    <cellStyle name="20% - Accent2 4 17" xfId="796"/>
    <cellStyle name="20% - Accent2 4 18" xfId="797"/>
    <cellStyle name="20% - Accent2 4 19" xfId="798"/>
    <cellStyle name="20% - Accent2 4 2" xfId="799"/>
    <cellStyle name="20% - Accent2 4 20" xfId="800"/>
    <cellStyle name="20% - Accent2 4 21" xfId="801"/>
    <cellStyle name="20% - Accent2 4 22" xfId="802"/>
    <cellStyle name="20% - Accent2 4 23" xfId="803"/>
    <cellStyle name="20% - Accent2 4 24" xfId="804"/>
    <cellStyle name="20% - Accent2 4 25" xfId="805"/>
    <cellStyle name="20% - Accent2 4 26" xfId="806"/>
    <cellStyle name="20% - Accent2 4 27" xfId="807"/>
    <cellStyle name="20% - Accent2 4 28" xfId="808"/>
    <cellStyle name="20% - Accent2 4 29" xfId="809"/>
    <cellStyle name="20% - Accent2 4 3" xfId="810"/>
    <cellStyle name="20% - Accent2 4 30" xfId="811"/>
    <cellStyle name="20% - Accent2 4 31" xfId="812"/>
    <cellStyle name="20% - Accent2 4 32" xfId="813"/>
    <cellStyle name="20% - Accent2 4 33" xfId="814"/>
    <cellStyle name="20% - Accent2 4 34" xfId="815"/>
    <cellStyle name="20% - Accent2 4 35" xfId="816"/>
    <cellStyle name="20% - Accent2 4 36" xfId="817"/>
    <cellStyle name="20% - Accent2 4 37" xfId="818"/>
    <cellStyle name="20% - Accent2 4 38" xfId="819"/>
    <cellStyle name="20% - Accent2 4 39" xfId="820"/>
    <cellStyle name="20% - Accent2 4 4" xfId="821"/>
    <cellStyle name="20% - Accent2 4 40" xfId="822"/>
    <cellStyle name="20% - Accent2 4 41" xfId="823"/>
    <cellStyle name="20% - Accent2 4 5" xfId="824"/>
    <cellStyle name="20% - Accent2 4 6" xfId="825"/>
    <cellStyle name="20% - Accent2 4 7" xfId="826"/>
    <cellStyle name="20% - Accent2 4 8" xfId="827"/>
    <cellStyle name="20% - Accent2 4 9" xfId="828"/>
    <cellStyle name="20% - Accent2 5" xfId="829"/>
    <cellStyle name="20% - Accent2 5 10" xfId="830"/>
    <cellStyle name="20% - Accent2 5 11" xfId="831"/>
    <cellStyle name="20% - Accent2 5 12" xfId="832"/>
    <cellStyle name="20% - Accent2 5 13" xfId="833"/>
    <cellStyle name="20% - Accent2 5 14" xfId="834"/>
    <cellStyle name="20% - Accent2 5 15" xfId="835"/>
    <cellStyle name="20% - Accent2 5 16" xfId="836"/>
    <cellStyle name="20% - Accent2 5 17" xfId="837"/>
    <cellStyle name="20% - Accent2 5 18" xfId="838"/>
    <cellStyle name="20% - Accent2 5 19" xfId="839"/>
    <cellStyle name="20% - Accent2 5 2" xfId="840"/>
    <cellStyle name="20% - Accent2 5 20" xfId="841"/>
    <cellStyle name="20% - Accent2 5 21" xfId="842"/>
    <cellStyle name="20% - Accent2 5 22" xfId="843"/>
    <cellStyle name="20% - Accent2 5 23" xfId="844"/>
    <cellStyle name="20% - Accent2 5 24" xfId="845"/>
    <cellStyle name="20% - Accent2 5 25" xfId="846"/>
    <cellStyle name="20% - Accent2 5 26" xfId="847"/>
    <cellStyle name="20% - Accent2 5 27" xfId="848"/>
    <cellStyle name="20% - Accent2 5 28" xfId="849"/>
    <cellStyle name="20% - Accent2 5 29" xfId="850"/>
    <cellStyle name="20% - Accent2 5 3" xfId="851"/>
    <cellStyle name="20% - Accent2 5 30" xfId="852"/>
    <cellStyle name="20% - Accent2 5 31" xfId="853"/>
    <cellStyle name="20% - Accent2 5 32" xfId="854"/>
    <cellStyle name="20% - Accent2 5 33" xfId="855"/>
    <cellStyle name="20% - Accent2 5 34" xfId="856"/>
    <cellStyle name="20% - Accent2 5 35" xfId="857"/>
    <cellStyle name="20% - Accent2 5 36" xfId="858"/>
    <cellStyle name="20% - Accent2 5 37" xfId="859"/>
    <cellStyle name="20% - Accent2 5 38" xfId="860"/>
    <cellStyle name="20% - Accent2 5 39" xfId="861"/>
    <cellStyle name="20% - Accent2 5 4" xfId="862"/>
    <cellStyle name="20% - Accent2 5 40" xfId="863"/>
    <cellStyle name="20% - Accent2 5 41" xfId="864"/>
    <cellStyle name="20% - Accent2 5 5" xfId="865"/>
    <cellStyle name="20% - Accent2 5 6" xfId="866"/>
    <cellStyle name="20% - Accent2 5 7" xfId="867"/>
    <cellStyle name="20% - Accent2 5 8" xfId="868"/>
    <cellStyle name="20% - Accent2 5 9" xfId="869"/>
    <cellStyle name="20% - Accent2 6" xfId="870"/>
    <cellStyle name="20% - Accent2 6 10" xfId="871"/>
    <cellStyle name="20% - Accent2 6 11" xfId="872"/>
    <cellStyle name="20% - Accent2 6 12" xfId="873"/>
    <cellStyle name="20% - Accent2 6 13" xfId="874"/>
    <cellStyle name="20% - Accent2 6 14" xfId="875"/>
    <cellStyle name="20% - Accent2 6 15" xfId="876"/>
    <cellStyle name="20% - Accent2 6 16" xfId="877"/>
    <cellStyle name="20% - Accent2 6 17" xfId="878"/>
    <cellStyle name="20% - Accent2 6 18" xfId="879"/>
    <cellStyle name="20% - Accent2 6 19" xfId="880"/>
    <cellStyle name="20% - Accent2 6 2" xfId="881"/>
    <cellStyle name="20% - Accent2 6 20" xfId="882"/>
    <cellStyle name="20% - Accent2 6 21" xfId="883"/>
    <cellStyle name="20% - Accent2 6 22" xfId="884"/>
    <cellStyle name="20% - Accent2 6 23" xfId="885"/>
    <cellStyle name="20% - Accent2 6 24" xfId="886"/>
    <cellStyle name="20% - Accent2 6 25" xfId="887"/>
    <cellStyle name="20% - Accent2 6 26" xfId="888"/>
    <cellStyle name="20% - Accent2 6 27" xfId="889"/>
    <cellStyle name="20% - Accent2 6 28" xfId="890"/>
    <cellStyle name="20% - Accent2 6 29" xfId="891"/>
    <cellStyle name="20% - Accent2 6 3" xfId="892"/>
    <cellStyle name="20% - Accent2 6 30" xfId="893"/>
    <cellStyle name="20% - Accent2 6 31" xfId="894"/>
    <cellStyle name="20% - Accent2 6 32" xfId="895"/>
    <cellStyle name="20% - Accent2 6 33" xfId="896"/>
    <cellStyle name="20% - Accent2 6 34" xfId="897"/>
    <cellStyle name="20% - Accent2 6 35" xfId="898"/>
    <cellStyle name="20% - Accent2 6 36" xfId="899"/>
    <cellStyle name="20% - Accent2 6 37" xfId="900"/>
    <cellStyle name="20% - Accent2 6 38" xfId="901"/>
    <cellStyle name="20% - Accent2 6 39" xfId="902"/>
    <cellStyle name="20% - Accent2 6 4" xfId="903"/>
    <cellStyle name="20% - Accent2 6 40" xfId="904"/>
    <cellStyle name="20% - Accent2 6 41" xfId="905"/>
    <cellStyle name="20% - Accent2 6 5" xfId="906"/>
    <cellStyle name="20% - Accent2 6 6" xfId="907"/>
    <cellStyle name="20% - Accent2 6 7" xfId="908"/>
    <cellStyle name="20% - Accent2 6 8" xfId="909"/>
    <cellStyle name="20% - Accent2 6 9" xfId="910"/>
    <cellStyle name="20% - Accent2 7" xfId="911"/>
    <cellStyle name="20% - Accent2 7 10" xfId="912"/>
    <cellStyle name="20% - Accent2 7 11" xfId="913"/>
    <cellStyle name="20% - Accent2 7 12" xfId="914"/>
    <cellStyle name="20% - Accent2 7 13" xfId="915"/>
    <cellStyle name="20% - Accent2 7 14" xfId="916"/>
    <cellStyle name="20% - Accent2 7 15" xfId="917"/>
    <cellStyle name="20% - Accent2 7 16" xfId="918"/>
    <cellStyle name="20% - Accent2 7 17" xfId="919"/>
    <cellStyle name="20% - Accent2 7 18" xfId="920"/>
    <cellStyle name="20% - Accent2 7 19" xfId="921"/>
    <cellStyle name="20% - Accent2 7 2" xfId="922"/>
    <cellStyle name="20% - Accent2 7 20" xfId="923"/>
    <cellStyle name="20% - Accent2 7 21" xfId="924"/>
    <cellStyle name="20% - Accent2 7 22" xfId="925"/>
    <cellStyle name="20% - Accent2 7 23" xfId="926"/>
    <cellStyle name="20% - Accent2 7 24" xfId="927"/>
    <cellStyle name="20% - Accent2 7 25" xfId="928"/>
    <cellStyle name="20% - Accent2 7 26" xfId="929"/>
    <cellStyle name="20% - Accent2 7 27" xfId="930"/>
    <cellStyle name="20% - Accent2 7 28" xfId="931"/>
    <cellStyle name="20% - Accent2 7 29" xfId="932"/>
    <cellStyle name="20% - Accent2 7 3" xfId="933"/>
    <cellStyle name="20% - Accent2 7 30" xfId="934"/>
    <cellStyle name="20% - Accent2 7 31" xfId="935"/>
    <cellStyle name="20% - Accent2 7 32" xfId="936"/>
    <cellStyle name="20% - Accent2 7 33" xfId="937"/>
    <cellStyle name="20% - Accent2 7 34" xfId="938"/>
    <cellStyle name="20% - Accent2 7 35" xfId="939"/>
    <cellStyle name="20% - Accent2 7 36" xfId="940"/>
    <cellStyle name="20% - Accent2 7 37" xfId="941"/>
    <cellStyle name="20% - Accent2 7 38" xfId="942"/>
    <cellStyle name="20% - Accent2 7 39" xfId="943"/>
    <cellStyle name="20% - Accent2 7 4" xfId="944"/>
    <cellStyle name="20% - Accent2 7 40" xfId="945"/>
    <cellStyle name="20% - Accent2 7 41" xfId="946"/>
    <cellStyle name="20% - Accent2 7 5" xfId="947"/>
    <cellStyle name="20% - Accent2 7 6" xfId="948"/>
    <cellStyle name="20% - Accent2 7 7" xfId="949"/>
    <cellStyle name="20% - Accent2 7 8" xfId="950"/>
    <cellStyle name="20% - Accent2 7 9" xfId="951"/>
    <cellStyle name="20% - Accent2 8" xfId="952"/>
    <cellStyle name="20% - Accent2 8 10" xfId="953"/>
    <cellStyle name="20% - Accent2 8 11" xfId="954"/>
    <cellStyle name="20% - Accent2 8 12" xfId="955"/>
    <cellStyle name="20% - Accent2 8 13" xfId="956"/>
    <cellStyle name="20% - Accent2 8 14" xfId="957"/>
    <cellStyle name="20% - Accent2 8 15" xfId="958"/>
    <cellStyle name="20% - Accent2 8 16" xfId="959"/>
    <cellStyle name="20% - Accent2 8 17" xfId="960"/>
    <cellStyle name="20% - Accent2 8 18" xfId="961"/>
    <cellStyle name="20% - Accent2 8 19" xfId="962"/>
    <cellStyle name="20% - Accent2 8 2" xfId="963"/>
    <cellStyle name="20% - Accent2 8 20" xfId="964"/>
    <cellStyle name="20% - Accent2 8 21" xfId="965"/>
    <cellStyle name="20% - Accent2 8 22" xfId="966"/>
    <cellStyle name="20% - Accent2 8 23" xfId="967"/>
    <cellStyle name="20% - Accent2 8 24" xfId="968"/>
    <cellStyle name="20% - Accent2 8 25" xfId="969"/>
    <cellStyle name="20% - Accent2 8 26" xfId="970"/>
    <cellStyle name="20% - Accent2 8 27" xfId="971"/>
    <cellStyle name="20% - Accent2 8 28" xfId="972"/>
    <cellStyle name="20% - Accent2 8 29" xfId="973"/>
    <cellStyle name="20% - Accent2 8 3" xfId="974"/>
    <cellStyle name="20% - Accent2 8 30" xfId="975"/>
    <cellStyle name="20% - Accent2 8 31" xfId="976"/>
    <cellStyle name="20% - Accent2 8 32" xfId="977"/>
    <cellStyle name="20% - Accent2 8 33" xfId="978"/>
    <cellStyle name="20% - Accent2 8 34" xfId="979"/>
    <cellStyle name="20% - Accent2 8 35" xfId="980"/>
    <cellStyle name="20% - Accent2 8 36" xfId="981"/>
    <cellStyle name="20% - Accent2 8 37" xfId="982"/>
    <cellStyle name="20% - Accent2 8 38" xfId="983"/>
    <cellStyle name="20% - Accent2 8 39" xfId="984"/>
    <cellStyle name="20% - Accent2 8 4" xfId="985"/>
    <cellStyle name="20% - Accent2 8 40" xfId="986"/>
    <cellStyle name="20% - Accent2 8 41" xfId="987"/>
    <cellStyle name="20% - Accent2 8 5" xfId="988"/>
    <cellStyle name="20% - Accent2 8 6" xfId="989"/>
    <cellStyle name="20% - Accent2 8 7" xfId="990"/>
    <cellStyle name="20% - Accent2 8 8" xfId="991"/>
    <cellStyle name="20% - Accent2 8 9" xfId="992"/>
    <cellStyle name="20% - Accent2 9" xfId="993"/>
    <cellStyle name="20% - Accent2 9 10" xfId="994"/>
    <cellStyle name="20% - Accent2 9 11" xfId="995"/>
    <cellStyle name="20% - Accent2 9 12" xfId="996"/>
    <cellStyle name="20% - Accent2 9 13" xfId="997"/>
    <cellStyle name="20% - Accent2 9 14" xfId="998"/>
    <cellStyle name="20% - Accent2 9 15" xfId="999"/>
    <cellStyle name="20% - Accent2 9 16" xfId="1000"/>
    <cellStyle name="20% - Accent2 9 17" xfId="1001"/>
    <cellStyle name="20% - Accent2 9 18" xfId="1002"/>
    <cellStyle name="20% - Accent2 9 19" xfId="1003"/>
    <cellStyle name="20% - Accent2 9 2" xfId="1004"/>
    <cellStyle name="20% - Accent2 9 20" xfId="1005"/>
    <cellStyle name="20% - Accent2 9 21" xfId="1006"/>
    <cellStyle name="20% - Accent2 9 22" xfId="1007"/>
    <cellStyle name="20% - Accent2 9 23" xfId="1008"/>
    <cellStyle name="20% - Accent2 9 24" xfId="1009"/>
    <cellStyle name="20% - Accent2 9 25" xfId="1010"/>
    <cellStyle name="20% - Accent2 9 26" xfId="1011"/>
    <cellStyle name="20% - Accent2 9 27" xfId="1012"/>
    <cellStyle name="20% - Accent2 9 28" xfId="1013"/>
    <cellStyle name="20% - Accent2 9 29" xfId="1014"/>
    <cellStyle name="20% - Accent2 9 3" xfId="1015"/>
    <cellStyle name="20% - Accent2 9 30" xfId="1016"/>
    <cellStyle name="20% - Accent2 9 31" xfId="1017"/>
    <cellStyle name="20% - Accent2 9 32" xfId="1018"/>
    <cellStyle name="20% - Accent2 9 33" xfId="1019"/>
    <cellStyle name="20% - Accent2 9 34" xfId="1020"/>
    <cellStyle name="20% - Accent2 9 35" xfId="1021"/>
    <cellStyle name="20% - Accent2 9 36" xfId="1022"/>
    <cellStyle name="20% - Accent2 9 37" xfId="1023"/>
    <cellStyle name="20% - Accent2 9 38" xfId="1024"/>
    <cellStyle name="20% - Accent2 9 39" xfId="1025"/>
    <cellStyle name="20% - Accent2 9 4" xfId="1026"/>
    <cellStyle name="20% - Accent2 9 40" xfId="1027"/>
    <cellStyle name="20% - Accent2 9 41" xfId="1028"/>
    <cellStyle name="20% - Accent2 9 5" xfId="1029"/>
    <cellStyle name="20% - Accent2 9 6" xfId="1030"/>
    <cellStyle name="20% - Accent2 9 7" xfId="1031"/>
    <cellStyle name="20% - Accent2 9 8" xfId="1032"/>
    <cellStyle name="20% - Accent2 9 9" xfId="1033"/>
    <cellStyle name="20% - Accent3" xfId="27" builtinId="38" customBuiltin="1"/>
    <cellStyle name="20% - Accent3 10" xfId="1034"/>
    <cellStyle name="20% - Accent3 10 10" xfId="1035"/>
    <cellStyle name="20% - Accent3 10 11" xfId="1036"/>
    <cellStyle name="20% - Accent3 10 12" xfId="1037"/>
    <cellStyle name="20% - Accent3 10 13" xfId="1038"/>
    <cellStyle name="20% - Accent3 10 14" xfId="1039"/>
    <cellStyle name="20% - Accent3 10 15" xfId="1040"/>
    <cellStyle name="20% - Accent3 10 16" xfId="1041"/>
    <cellStyle name="20% - Accent3 10 17" xfId="1042"/>
    <cellStyle name="20% - Accent3 10 18" xfId="1043"/>
    <cellStyle name="20% - Accent3 10 19" xfId="1044"/>
    <cellStyle name="20% - Accent3 10 2" xfId="1045"/>
    <cellStyle name="20% - Accent3 10 20" xfId="1046"/>
    <cellStyle name="20% - Accent3 10 21" xfId="1047"/>
    <cellStyle name="20% - Accent3 10 22" xfId="1048"/>
    <cellStyle name="20% - Accent3 10 23" xfId="1049"/>
    <cellStyle name="20% - Accent3 10 24" xfId="1050"/>
    <cellStyle name="20% - Accent3 10 25" xfId="1051"/>
    <cellStyle name="20% - Accent3 10 26" xfId="1052"/>
    <cellStyle name="20% - Accent3 10 27" xfId="1053"/>
    <cellStyle name="20% - Accent3 10 28" xfId="1054"/>
    <cellStyle name="20% - Accent3 10 29" xfId="1055"/>
    <cellStyle name="20% - Accent3 10 3" xfId="1056"/>
    <cellStyle name="20% - Accent3 10 30" xfId="1057"/>
    <cellStyle name="20% - Accent3 10 31" xfId="1058"/>
    <cellStyle name="20% - Accent3 10 32" xfId="1059"/>
    <cellStyle name="20% - Accent3 10 33" xfId="1060"/>
    <cellStyle name="20% - Accent3 10 34" xfId="1061"/>
    <cellStyle name="20% - Accent3 10 35" xfId="1062"/>
    <cellStyle name="20% - Accent3 10 36" xfId="1063"/>
    <cellStyle name="20% - Accent3 10 37" xfId="1064"/>
    <cellStyle name="20% - Accent3 10 38" xfId="1065"/>
    <cellStyle name="20% - Accent3 10 39" xfId="1066"/>
    <cellStyle name="20% - Accent3 10 4" xfId="1067"/>
    <cellStyle name="20% - Accent3 10 40" xfId="1068"/>
    <cellStyle name="20% - Accent3 10 41" xfId="1069"/>
    <cellStyle name="20% - Accent3 10 5" xfId="1070"/>
    <cellStyle name="20% - Accent3 10 6" xfId="1071"/>
    <cellStyle name="20% - Accent3 10 7" xfId="1072"/>
    <cellStyle name="20% - Accent3 10 8" xfId="1073"/>
    <cellStyle name="20% - Accent3 10 9" xfId="1074"/>
    <cellStyle name="20% - Accent3 11" xfId="1075"/>
    <cellStyle name="20% - Accent3 11 10" xfId="1076"/>
    <cellStyle name="20% - Accent3 11 11" xfId="1077"/>
    <cellStyle name="20% - Accent3 11 12" xfId="1078"/>
    <cellStyle name="20% - Accent3 11 13" xfId="1079"/>
    <cellStyle name="20% - Accent3 11 14" xfId="1080"/>
    <cellStyle name="20% - Accent3 11 15" xfId="1081"/>
    <cellStyle name="20% - Accent3 11 16" xfId="1082"/>
    <cellStyle name="20% - Accent3 11 17" xfId="1083"/>
    <cellStyle name="20% - Accent3 11 18" xfId="1084"/>
    <cellStyle name="20% - Accent3 11 19" xfId="1085"/>
    <cellStyle name="20% - Accent3 11 2" xfId="1086"/>
    <cellStyle name="20% - Accent3 11 20" xfId="1087"/>
    <cellStyle name="20% - Accent3 11 21" xfId="1088"/>
    <cellStyle name="20% - Accent3 11 22" xfId="1089"/>
    <cellStyle name="20% - Accent3 11 23" xfId="1090"/>
    <cellStyle name="20% - Accent3 11 24" xfId="1091"/>
    <cellStyle name="20% - Accent3 11 25" xfId="1092"/>
    <cellStyle name="20% - Accent3 11 26" xfId="1093"/>
    <cellStyle name="20% - Accent3 11 27" xfId="1094"/>
    <cellStyle name="20% - Accent3 11 28" xfId="1095"/>
    <cellStyle name="20% - Accent3 11 29" xfId="1096"/>
    <cellStyle name="20% - Accent3 11 3" xfId="1097"/>
    <cellStyle name="20% - Accent3 11 30" xfId="1098"/>
    <cellStyle name="20% - Accent3 11 31" xfId="1099"/>
    <cellStyle name="20% - Accent3 11 32" xfId="1100"/>
    <cellStyle name="20% - Accent3 11 33" xfId="1101"/>
    <cellStyle name="20% - Accent3 11 34" xfId="1102"/>
    <cellStyle name="20% - Accent3 11 35" xfId="1103"/>
    <cellStyle name="20% - Accent3 11 36" xfId="1104"/>
    <cellStyle name="20% - Accent3 11 37" xfId="1105"/>
    <cellStyle name="20% - Accent3 11 38" xfId="1106"/>
    <cellStyle name="20% - Accent3 11 39" xfId="1107"/>
    <cellStyle name="20% - Accent3 11 4" xfId="1108"/>
    <cellStyle name="20% - Accent3 11 40" xfId="1109"/>
    <cellStyle name="20% - Accent3 11 41" xfId="1110"/>
    <cellStyle name="20% - Accent3 11 5" xfId="1111"/>
    <cellStyle name="20% - Accent3 11 6" xfId="1112"/>
    <cellStyle name="20% - Accent3 11 7" xfId="1113"/>
    <cellStyle name="20% - Accent3 11 8" xfId="1114"/>
    <cellStyle name="20% - Accent3 11 9" xfId="1115"/>
    <cellStyle name="20% - Accent3 12" xfId="1116"/>
    <cellStyle name="20% - Accent3 12 10" xfId="1117"/>
    <cellStyle name="20% - Accent3 12 11" xfId="1118"/>
    <cellStyle name="20% - Accent3 12 12" xfId="1119"/>
    <cellStyle name="20% - Accent3 12 13" xfId="1120"/>
    <cellStyle name="20% - Accent3 12 14" xfId="1121"/>
    <cellStyle name="20% - Accent3 12 15" xfId="1122"/>
    <cellStyle name="20% - Accent3 12 16" xfId="1123"/>
    <cellStyle name="20% - Accent3 12 17" xfId="1124"/>
    <cellStyle name="20% - Accent3 12 18" xfId="1125"/>
    <cellStyle name="20% - Accent3 12 19" xfId="1126"/>
    <cellStyle name="20% - Accent3 12 2" xfId="1127"/>
    <cellStyle name="20% - Accent3 12 20" xfId="1128"/>
    <cellStyle name="20% - Accent3 12 21" xfId="1129"/>
    <cellStyle name="20% - Accent3 12 22" xfId="1130"/>
    <cellStyle name="20% - Accent3 12 23" xfId="1131"/>
    <cellStyle name="20% - Accent3 12 24" xfId="1132"/>
    <cellStyle name="20% - Accent3 12 25" xfId="1133"/>
    <cellStyle name="20% - Accent3 12 26" xfId="1134"/>
    <cellStyle name="20% - Accent3 12 27" xfId="1135"/>
    <cellStyle name="20% - Accent3 12 28" xfId="1136"/>
    <cellStyle name="20% - Accent3 12 29" xfId="1137"/>
    <cellStyle name="20% - Accent3 12 3" xfId="1138"/>
    <cellStyle name="20% - Accent3 12 30" xfId="1139"/>
    <cellStyle name="20% - Accent3 12 31" xfId="1140"/>
    <cellStyle name="20% - Accent3 12 32" xfId="1141"/>
    <cellStyle name="20% - Accent3 12 33" xfId="1142"/>
    <cellStyle name="20% - Accent3 12 34" xfId="1143"/>
    <cellStyle name="20% - Accent3 12 35" xfId="1144"/>
    <cellStyle name="20% - Accent3 12 36" xfId="1145"/>
    <cellStyle name="20% - Accent3 12 37" xfId="1146"/>
    <cellStyle name="20% - Accent3 12 38" xfId="1147"/>
    <cellStyle name="20% - Accent3 12 39" xfId="1148"/>
    <cellStyle name="20% - Accent3 12 4" xfId="1149"/>
    <cellStyle name="20% - Accent3 12 40" xfId="1150"/>
    <cellStyle name="20% - Accent3 12 41" xfId="1151"/>
    <cellStyle name="20% - Accent3 12 5" xfId="1152"/>
    <cellStyle name="20% - Accent3 12 6" xfId="1153"/>
    <cellStyle name="20% - Accent3 12 7" xfId="1154"/>
    <cellStyle name="20% - Accent3 12 8" xfId="1155"/>
    <cellStyle name="20% - Accent3 12 9" xfId="1156"/>
    <cellStyle name="20% - Accent3 13" xfId="1157"/>
    <cellStyle name="20% - Accent3 14" xfId="1158"/>
    <cellStyle name="20% - Accent3 14 2" xfId="1159"/>
    <cellStyle name="20% - Accent3 15" xfId="1160"/>
    <cellStyle name="20% - Accent3 16" xfId="1161"/>
    <cellStyle name="20% - Accent3 2" xfId="1162"/>
    <cellStyle name="20% - Accent3 2 10" xfId="1163"/>
    <cellStyle name="20% - Accent3 2 11" xfId="1164"/>
    <cellStyle name="20% - Accent3 2 12" xfId="1165"/>
    <cellStyle name="20% - Accent3 2 13" xfId="1166"/>
    <cellStyle name="20% - Accent3 2 14" xfId="1167"/>
    <cellStyle name="20% - Accent3 2 15" xfId="1168"/>
    <cellStyle name="20% - Accent3 2 16" xfId="1169"/>
    <cellStyle name="20% - Accent3 2 17" xfId="1170"/>
    <cellStyle name="20% - Accent3 2 18" xfId="1171"/>
    <cellStyle name="20% - Accent3 2 19" xfId="1172"/>
    <cellStyle name="20% - Accent3 2 2" xfId="1173"/>
    <cellStyle name="20% - Accent3 2 2 2" xfId="1174"/>
    <cellStyle name="20% - Accent3 2 2 2 2" xfId="1175"/>
    <cellStyle name="20% - Accent3 2 2 3" xfId="1176"/>
    <cellStyle name="20% - Accent3 2 2 4" xfId="1177"/>
    <cellStyle name="20% - Accent3 2 2 5" xfId="1178"/>
    <cellStyle name="20% - Accent3 2 20" xfId="1179"/>
    <cellStyle name="20% - Accent3 2 21" xfId="1180"/>
    <cellStyle name="20% - Accent3 2 22" xfId="1181"/>
    <cellStyle name="20% - Accent3 2 23" xfId="1182"/>
    <cellStyle name="20% - Accent3 2 24" xfId="1183"/>
    <cellStyle name="20% - Accent3 2 25" xfId="1184"/>
    <cellStyle name="20% - Accent3 2 26" xfId="1185"/>
    <cellStyle name="20% - Accent3 2 27" xfId="1186"/>
    <cellStyle name="20% - Accent3 2 28" xfId="1187"/>
    <cellStyle name="20% - Accent3 2 29" xfId="1188"/>
    <cellStyle name="20% - Accent3 2 3" xfId="1189"/>
    <cellStyle name="20% - Accent3 2 3 2" xfId="1190"/>
    <cellStyle name="20% - Accent3 2 3 3" xfId="1191"/>
    <cellStyle name="20% - Accent3 2 3 4" xfId="1192"/>
    <cellStyle name="20% - Accent3 2 3 5" xfId="1193"/>
    <cellStyle name="20% - Accent3 2 3 6" xfId="1194"/>
    <cellStyle name="20% - Accent3 2 30" xfId="1195"/>
    <cellStyle name="20% - Accent3 2 31" xfId="1196"/>
    <cellStyle name="20% - Accent3 2 32" xfId="1197"/>
    <cellStyle name="20% - Accent3 2 33" xfId="1198"/>
    <cellStyle name="20% - Accent3 2 34" xfId="1199"/>
    <cellStyle name="20% - Accent3 2 35" xfId="1200"/>
    <cellStyle name="20% - Accent3 2 36" xfId="1201"/>
    <cellStyle name="20% - Accent3 2 37" xfId="1202"/>
    <cellStyle name="20% - Accent3 2 38" xfId="1203"/>
    <cellStyle name="20% - Accent3 2 39" xfId="1204"/>
    <cellStyle name="20% - Accent3 2 4" xfId="1205"/>
    <cellStyle name="20% - Accent3 2 40" xfId="1206"/>
    <cellStyle name="20% - Accent3 2 41" xfId="1207"/>
    <cellStyle name="20% - Accent3 2 42" xfId="1208"/>
    <cellStyle name="20% - Accent3 2 43" xfId="1209"/>
    <cellStyle name="20% - Accent3 2 44" xfId="1210"/>
    <cellStyle name="20% - Accent3 2 45" xfId="1211"/>
    <cellStyle name="20% - Accent3 2 5" xfId="1212"/>
    <cellStyle name="20% - Accent3 2 6" xfId="1213"/>
    <cellStyle name="20% - Accent3 2 7" xfId="1214"/>
    <cellStyle name="20% - Accent3 2 8" xfId="1215"/>
    <cellStyle name="20% - Accent3 2 9" xfId="1216"/>
    <cellStyle name="20% - Accent3 3" xfId="1217"/>
    <cellStyle name="20% - Accent3 3 10" xfId="1218"/>
    <cellStyle name="20% - Accent3 3 11" xfId="1219"/>
    <cellStyle name="20% - Accent3 3 12" xfId="1220"/>
    <cellStyle name="20% - Accent3 3 13" xfId="1221"/>
    <cellStyle name="20% - Accent3 3 14" xfId="1222"/>
    <cellStyle name="20% - Accent3 3 15" xfId="1223"/>
    <cellStyle name="20% - Accent3 3 16" xfId="1224"/>
    <cellStyle name="20% - Accent3 3 17" xfId="1225"/>
    <cellStyle name="20% - Accent3 3 18" xfId="1226"/>
    <cellStyle name="20% - Accent3 3 19" xfId="1227"/>
    <cellStyle name="20% - Accent3 3 2" xfId="1228"/>
    <cellStyle name="20% - Accent3 3 20" xfId="1229"/>
    <cellStyle name="20% - Accent3 3 21" xfId="1230"/>
    <cellStyle name="20% - Accent3 3 22" xfId="1231"/>
    <cellStyle name="20% - Accent3 3 23" xfId="1232"/>
    <cellStyle name="20% - Accent3 3 24" xfId="1233"/>
    <cellStyle name="20% - Accent3 3 25" xfId="1234"/>
    <cellStyle name="20% - Accent3 3 26" xfId="1235"/>
    <cellStyle name="20% - Accent3 3 27" xfId="1236"/>
    <cellStyle name="20% - Accent3 3 28" xfId="1237"/>
    <cellStyle name="20% - Accent3 3 29" xfId="1238"/>
    <cellStyle name="20% - Accent3 3 3" xfId="1239"/>
    <cellStyle name="20% - Accent3 3 30" xfId="1240"/>
    <cellStyle name="20% - Accent3 3 31" xfId="1241"/>
    <cellStyle name="20% - Accent3 3 32" xfId="1242"/>
    <cellStyle name="20% - Accent3 3 33" xfId="1243"/>
    <cellStyle name="20% - Accent3 3 34" xfId="1244"/>
    <cellStyle name="20% - Accent3 3 35" xfId="1245"/>
    <cellStyle name="20% - Accent3 3 36" xfId="1246"/>
    <cellStyle name="20% - Accent3 3 37" xfId="1247"/>
    <cellStyle name="20% - Accent3 3 38" xfId="1248"/>
    <cellStyle name="20% - Accent3 3 39" xfId="1249"/>
    <cellStyle name="20% - Accent3 3 4" xfId="1250"/>
    <cellStyle name="20% - Accent3 3 40" xfId="1251"/>
    <cellStyle name="20% - Accent3 3 41" xfId="1252"/>
    <cellStyle name="20% - Accent3 3 42" xfId="1253"/>
    <cellStyle name="20% - Accent3 3 43" xfId="1254"/>
    <cellStyle name="20% - Accent3 3 44" xfId="1255"/>
    <cellStyle name="20% - Accent3 3 45" xfId="1256"/>
    <cellStyle name="20% - Accent3 3 5" xfId="1257"/>
    <cellStyle name="20% - Accent3 3 6" xfId="1258"/>
    <cellStyle name="20% - Accent3 3 7" xfId="1259"/>
    <cellStyle name="20% - Accent3 3 8" xfId="1260"/>
    <cellStyle name="20% - Accent3 3 9" xfId="1261"/>
    <cellStyle name="20% - Accent3 4" xfId="1262"/>
    <cellStyle name="20% - Accent3 4 10" xfId="1263"/>
    <cellStyle name="20% - Accent3 4 11" xfId="1264"/>
    <cellStyle name="20% - Accent3 4 12" xfId="1265"/>
    <cellStyle name="20% - Accent3 4 13" xfId="1266"/>
    <cellStyle name="20% - Accent3 4 14" xfId="1267"/>
    <cellStyle name="20% - Accent3 4 15" xfId="1268"/>
    <cellStyle name="20% - Accent3 4 16" xfId="1269"/>
    <cellStyle name="20% - Accent3 4 17" xfId="1270"/>
    <cellStyle name="20% - Accent3 4 18" xfId="1271"/>
    <cellStyle name="20% - Accent3 4 19" xfId="1272"/>
    <cellStyle name="20% - Accent3 4 2" xfId="1273"/>
    <cellStyle name="20% - Accent3 4 20" xfId="1274"/>
    <cellStyle name="20% - Accent3 4 21" xfId="1275"/>
    <cellStyle name="20% - Accent3 4 22" xfId="1276"/>
    <cellStyle name="20% - Accent3 4 23" xfId="1277"/>
    <cellStyle name="20% - Accent3 4 24" xfId="1278"/>
    <cellStyle name="20% - Accent3 4 25" xfId="1279"/>
    <cellStyle name="20% - Accent3 4 26" xfId="1280"/>
    <cellStyle name="20% - Accent3 4 27" xfId="1281"/>
    <cellStyle name="20% - Accent3 4 28" xfId="1282"/>
    <cellStyle name="20% - Accent3 4 29" xfId="1283"/>
    <cellStyle name="20% - Accent3 4 3" xfId="1284"/>
    <cellStyle name="20% - Accent3 4 30" xfId="1285"/>
    <cellStyle name="20% - Accent3 4 31" xfId="1286"/>
    <cellStyle name="20% - Accent3 4 32" xfId="1287"/>
    <cellStyle name="20% - Accent3 4 33" xfId="1288"/>
    <cellStyle name="20% - Accent3 4 34" xfId="1289"/>
    <cellStyle name="20% - Accent3 4 35" xfId="1290"/>
    <cellStyle name="20% - Accent3 4 36" xfId="1291"/>
    <cellStyle name="20% - Accent3 4 37" xfId="1292"/>
    <cellStyle name="20% - Accent3 4 38" xfId="1293"/>
    <cellStyle name="20% - Accent3 4 39" xfId="1294"/>
    <cellStyle name="20% - Accent3 4 4" xfId="1295"/>
    <cellStyle name="20% - Accent3 4 40" xfId="1296"/>
    <cellStyle name="20% - Accent3 4 41" xfId="1297"/>
    <cellStyle name="20% - Accent3 4 5" xfId="1298"/>
    <cellStyle name="20% - Accent3 4 6" xfId="1299"/>
    <cellStyle name="20% - Accent3 4 7" xfId="1300"/>
    <cellStyle name="20% - Accent3 4 8" xfId="1301"/>
    <cellStyle name="20% - Accent3 4 9" xfId="1302"/>
    <cellStyle name="20% - Accent3 5" xfId="1303"/>
    <cellStyle name="20% - Accent3 5 10" xfId="1304"/>
    <cellStyle name="20% - Accent3 5 11" xfId="1305"/>
    <cellStyle name="20% - Accent3 5 12" xfId="1306"/>
    <cellStyle name="20% - Accent3 5 13" xfId="1307"/>
    <cellStyle name="20% - Accent3 5 14" xfId="1308"/>
    <cellStyle name="20% - Accent3 5 15" xfId="1309"/>
    <cellStyle name="20% - Accent3 5 16" xfId="1310"/>
    <cellStyle name="20% - Accent3 5 17" xfId="1311"/>
    <cellStyle name="20% - Accent3 5 18" xfId="1312"/>
    <cellStyle name="20% - Accent3 5 19" xfId="1313"/>
    <cellStyle name="20% - Accent3 5 2" xfId="1314"/>
    <cellStyle name="20% - Accent3 5 20" xfId="1315"/>
    <cellStyle name="20% - Accent3 5 21" xfId="1316"/>
    <cellStyle name="20% - Accent3 5 22" xfId="1317"/>
    <cellStyle name="20% - Accent3 5 23" xfId="1318"/>
    <cellStyle name="20% - Accent3 5 24" xfId="1319"/>
    <cellStyle name="20% - Accent3 5 25" xfId="1320"/>
    <cellStyle name="20% - Accent3 5 26" xfId="1321"/>
    <cellStyle name="20% - Accent3 5 27" xfId="1322"/>
    <cellStyle name="20% - Accent3 5 28" xfId="1323"/>
    <cellStyle name="20% - Accent3 5 29" xfId="1324"/>
    <cellStyle name="20% - Accent3 5 3" xfId="1325"/>
    <cellStyle name="20% - Accent3 5 30" xfId="1326"/>
    <cellStyle name="20% - Accent3 5 31" xfId="1327"/>
    <cellStyle name="20% - Accent3 5 32" xfId="1328"/>
    <cellStyle name="20% - Accent3 5 33" xfId="1329"/>
    <cellStyle name="20% - Accent3 5 34" xfId="1330"/>
    <cellStyle name="20% - Accent3 5 35" xfId="1331"/>
    <cellStyle name="20% - Accent3 5 36" xfId="1332"/>
    <cellStyle name="20% - Accent3 5 37" xfId="1333"/>
    <cellStyle name="20% - Accent3 5 38" xfId="1334"/>
    <cellStyle name="20% - Accent3 5 39" xfId="1335"/>
    <cellStyle name="20% - Accent3 5 4" xfId="1336"/>
    <cellStyle name="20% - Accent3 5 40" xfId="1337"/>
    <cellStyle name="20% - Accent3 5 41" xfId="1338"/>
    <cellStyle name="20% - Accent3 5 5" xfId="1339"/>
    <cellStyle name="20% - Accent3 5 6" xfId="1340"/>
    <cellStyle name="20% - Accent3 5 7" xfId="1341"/>
    <cellStyle name="20% - Accent3 5 8" xfId="1342"/>
    <cellStyle name="20% - Accent3 5 9" xfId="1343"/>
    <cellStyle name="20% - Accent3 6" xfId="1344"/>
    <cellStyle name="20% - Accent3 6 10" xfId="1345"/>
    <cellStyle name="20% - Accent3 6 11" xfId="1346"/>
    <cellStyle name="20% - Accent3 6 12" xfId="1347"/>
    <cellStyle name="20% - Accent3 6 13" xfId="1348"/>
    <cellStyle name="20% - Accent3 6 14" xfId="1349"/>
    <cellStyle name="20% - Accent3 6 15" xfId="1350"/>
    <cellStyle name="20% - Accent3 6 16" xfId="1351"/>
    <cellStyle name="20% - Accent3 6 17" xfId="1352"/>
    <cellStyle name="20% - Accent3 6 18" xfId="1353"/>
    <cellStyle name="20% - Accent3 6 19" xfId="1354"/>
    <cellStyle name="20% - Accent3 6 2" xfId="1355"/>
    <cellStyle name="20% - Accent3 6 20" xfId="1356"/>
    <cellStyle name="20% - Accent3 6 21" xfId="1357"/>
    <cellStyle name="20% - Accent3 6 22" xfId="1358"/>
    <cellStyle name="20% - Accent3 6 23" xfId="1359"/>
    <cellStyle name="20% - Accent3 6 24" xfId="1360"/>
    <cellStyle name="20% - Accent3 6 25" xfId="1361"/>
    <cellStyle name="20% - Accent3 6 26" xfId="1362"/>
    <cellStyle name="20% - Accent3 6 27" xfId="1363"/>
    <cellStyle name="20% - Accent3 6 28" xfId="1364"/>
    <cellStyle name="20% - Accent3 6 29" xfId="1365"/>
    <cellStyle name="20% - Accent3 6 3" xfId="1366"/>
    <cellStyle name="20% - Accent3 6 30" xfId="1367"/>
    <cellStyle name="20% - Accent3 6 31" xfId="1368"/>
    <cellStyle name="20% - Accent3 6 32" xfId="1369"/>
    <cellStyle name="20% - Accent3 6 33" xfId="1370"/>
    <cellStyle name="20% - Accent3 6 34" xfId="1371"/>
    <cellStyle name="20% - Accent3 6 35" xfId="1372"/>
    <cellStyle name="20% - Accent3 6 36" xfId="1373"/>
    <cellStyle name="20% - Accent3 6 37" xfId="1374"/>
    <cellStyle name="20% - Accent3 6 38" xfId="1375"/>
    <cellStyle name="20% - Accent3 6 39" xfId="1376"/>
    <cellStyle name="20% - Accent3 6 4" xfId="1377"/>
    <cellStyle name="20% - Accent3 6 40" xfId="1378"/>
    <cellStyle name="20% - Accent3 6 41" xfId="1379"/>
    <cellStyle name="20% - Accent3 6 5" xfId="1380"/>
    <cellStyle name="20% - Accent3 6 6" xfId="1381"/>
    <cellStyle name="20% - Accent3 6 7" xfId="1382"/>
    <cellStyle name="20% - Accent3 6 8" xfId="1383"/>
    <cellStyle name="20% - Accent3 6 9" xfId="1384"/>
    <cellStyle name="20% - Accent3 7" xfId="1385"/>
    <cellStyle name="20% - Accent3 7 10" xfId="1386"/>
    <cellStyle name="20% - Accent3 7 11" xfId="1387"/>
    <cellStyle name="20% - Accent3 7 12" xfId="1388"/>
    <cellStyle name="20% - Accent3 7 13" xfId="1389"/>
    <cellStyle name="20% - Accent3 7 14" xfId="1390"/>
    <cellStyle name="20% - Accent3 7 15" xfId="1391"/>
    <cellStyle name="20% - Accent3 7 16" xfId="1392"/>
    <cellStyle name="20% - Accent3 7 17" xfId="1393"/>
    <cellStyle name="20% - Accent3 7 18" xfId="1394"/>
    <cellStyle name="20% - Accent3 7 19" xfId="1395"/>
    <cellStyle name="20% - Accent3 7 2" xfId="1396"/>
    <cellStyle name="20% - Accent3 7 20" xfId="1397"/>
    <cellStyle name="20% - Accent3 7 21" xfId="1398"/>
    <cellStyle name="20% - Accent3 7 22" xfId="1399"/>
    <cellStyle name="20% - Accent3 7 23" xfId="1400"/>
    <cellStyle name="20% - Accent3 7 24" xfId="1401"/>
    <cellStyle name="20% - Accent3 7 25" xfId="1402"/>
    <cellStyle name="20% - Accent3 7 26" xfId="1403"/>
    <cellStyle name="20% - Accent3 7 27" xfId="1404"/>
    <cellStyle name="20% - Accent3 7 28" xfId="1405"/>
    <cellStyle name="20% - Accent3 7 29" xfId="1406"/>
    <cellStyle name="20% - Accent3 7 3" xfId="1407"/>
    <cellStyle name="20% - Accent3 7 30" xfId="1408"/>
    <cellStyle name="20% - Accent3 7 31" xfId="1409"/>
    <cellStyle name="20% - Accent3 7 32" xfId="1410"/>
    <cellStyle name="20% - Accent3 7 33" xfId="1411"/>
    <cellStyle name="20% - Accent3 7 34" xfId="1412"/>
    <cellStyle name="20% - Accent3 7 35" xfId="1413"/>
    <cellStyle name="20% - Accent3 7 36" xfId="1414"/>
    <cellStyle name="20% - Accent3 7 37" xfId="1415"/>
    <cellStyle name="20% - Accent3 7 38" xfId="1416"/>
    <cellStyle name="20% - Accent3 7 39" xfId="1417"/>
    <cellStyle name="20% - Accent3 7 4" xfId="1418"/>
    <cellStyle name="20% - Accent3 7 40" xfId="1419"/>
    <cellStyle name="20% - Accent3 7 41" xfId="1420"/>
    <cellStyle name="20% - Accent3 7 5" xfId="1421"/>
    <cellStyle name="20% - Accent3 7 6" xfId="1422"/>
    <cellStyle name="20% - Accent3 7 7" xfId="1423"/>
    <cellStyle name="20% - Accent3 7 8" xfId="1424"/>
    <cellStyle name="20% - Accent3 7 9" xfId="1425"/>
    <cellStyle name="20% - Accent3 8" xfId="1426"/>
    <cellStyle name="20% - Accent3 8 10" xfId="1427"/>
    <cellStyle name="20% - Accent3 8 11" xfId="1428"/>
    <cellStyle name="20% - Accent3 8 12" xfId="1429"/>
    <cellStyle name="20% - Accent3 8 13" xfId="1430"/>
    <cellStyle name="20% - Accent3 8 14" xfId="1431"/>
    <cellStyle name="20% - Accent3 8 15" xfId="1432"/>
    <cellStyle name="20% - Accent3 8 16" xfId="1433"/>
    <cellStyle name="20% - Accent3 8 17" xfId="1434"/>
    <cellStyle name="20% - Accent3 8 18" xfId="1435"/>
    <cellStyle name="20% - Accent3 8 19" xfId="1436"/>
    <cellStyle name="20% - Accent3 8 2" xfId="1437"/>
    <cellStyle name="20% - Accent3 8 20" xfId="1438"/>
    <cellStyle name="20% - Accent3 8 21" xfId="1439"/>
    <cellStyle name="20% - Accent3 8 22" xfId="1440"/>
    <cellStyle name="20% - Accent3 8 23" xfId="1441"/>
    <cellStyle name="20% - Accent3 8 24" xfId="1442"/>
    <cellStyle name="20% - Accent3 8 25" xfId="1443"/>
    <cellStyle name="20% - Accent3 8 26" xfId="1444"/>
    <cellStyle name="20% - Accent3 8 27" xfId="1445"/>
    <cellStyle name="20% - Accent3 8 28" xfId="1446"/>
    <cellStyle name="20% - Accent3 8 29" xfId="1447"/>
    <cellStyle name="20% - Accent3 8 3" xfId="1448"/>
    <cellStyle name="20% - Accent3 8 30" xfId="1449"/>
    <cellStyle name="20% - Accent3 8 31" xfId="1450"/>
    <cellStyle name="20% - Accent3 8 32" xfId="1451"/>
    <cellStyle name="20% - Accent3 8 33" xfId="1452"/>
    <cellStyle name="20% - Accent3 8 34" xfId="1453"/>
    <cellStyle name="20% - Accent3 8 35" xfId="1454"/>
    <cellStyle name="20% - Accent3 8 36" xfId="1455"/>
    <cellStyle name="20% - Accent3 8 37" xfId="1456"/>
    <cellStyle name="20% - Accent3 8 38" xfId="1457"/>
    <cellStyle name="20% - Accent3 8 39" xfId="1458"/>
    <cellStyle name="20% - Accent3 8 4" xfId="1459"/>
    <cellStyle name="20% - Accent3 8 40" xfId="1460"/>
    <cellStyle name="20% - Accent3 8 41" xfId="1461"/>
    <cellStyle name="20% - Accent3 8 5" xfId="1462"/>
    <cellStyle name="20% - Accent3 8 6" xfId="1463"/>
    <cellStyle name="20% - Accent3 8 7" xfId="1464"/>
    <cellStyle name="20% - Accent3 8 8" xfId="1465"/>
    <cellStyle name="20% - Accent3 8 9" xfId="1466"/>
    <cellStyle name="20% - Accent3 9" xfId="1467"/>
    <cellStyle name="20% - Accent3 9 10" xfId="1468"/>
    <cellStyle name="20% - Accent3 9 11" xfId="1469"/>
    <cellStyle name="20% - Accent3 9 12" xfId="1470"/>
    <cellStyle name="20% - Accent3 9 13" xfId="1471"/>
    <cellStyle name="20% - Accent3 9 14" xfId="1472"/>
    <cellStyle name="20% - Accent3 9 15" xfId="1473"/>
    <cellStyle name="20% - Accent3 9 16" xfId="1474"/>
    <cellStyle name="20% - Accent3 9 17" xfId="1475"/>
    <cellStyle name="20% - Accent3 9 18" xfId="1476"/>
    <cellStyle name="20% - Accent3 9 19" xfId="1477"/>
    <cellStyle name="20% - Accent3 9 2" xfId="1478"/>
    <cellStyle name="20% - Accent3 9 20" xfId="1479"/>
    <cellStyle name="20% - Accent3 9 21" xfId="1480"/>
    <cellStyle name="20% - Accent3 9 22" xfId="1481"/>
    <cellStyle name="20% - Accent3 9 23" xfId="1482"/>
    <cellStyle name="20% - Accent3 9 24" xfId="1483"/>
    <cellStyle name="20% - Accent3 9 25" xfId="1484"/>
    <cellStyle name="20% - Accent3 9 26" xfId="1485"/>
    <cellStyle name="20% - Accent3 9 27" xfId="1486"/>
    <cellStyle name="20% - Accent3 9 28" xfId="1487"/>
    <cellStyle name="20% - Accent3 9 29" xfId="1488"/>
    <cellStyle name="20% - Accent3 9 3" xfId="1489"/>
    <cellStyle name="20% - Accent3 9 30" xfId="1490"/>
    <cellStyle name="20% - Accent3 9 31" xfId="1491"/>
    <cellStyle name="20% - Accent3 9 32" xfId="1492"/>
    <cellStyle name="20% - Accent3 9 33" xfId="1493"/>
    <cellStyle name="20% - Accent3 9 34" xfId="1494"/>
    <cellStyle name="20% - Accent3 9 35" xfId="1495"/>
    <cellStyle name="20% - Accent3 9 36" xfId="1496"/>
    <cellStyle name="20% - Accent3 9 37" xfId="1497"/>
    <cellStyle name="20% - Accent3 9 38" xfId="1498"/>
    <cellStyle name="20% - Accent3 9 39" xfId="1499"/>
    <cellStyle name="20% - Accent3 9 4" xfId="1500"/>
    <cellStyle name="20% - Accent3 9 40" xfId="1501"/>
    <cellStyle name="20% - Accent3 9 41" xfId="1502"/>
    <cellStyle name="20% - Accent3 9 5" xfId="1503"/>
    <cellStyle name="20% - Accent3 9 6" xfId="1504"/>
    <cellStyle name="20% - Accent3 9 7" xfId="1505"/>
    <cellStyle name="20% - Accent3 9 8" xfId="1506"/>
    <cellStyle name="20% - Accent3 9 9" xfId="1507"/>
    <cellStyle name="20% - Accent4" xfId="31" builtinId="42" customBuiltin="1"/>
    <cellStyle name="20% - Accent4 10" xfId="1508"/>
    <cellStyle name="20% - Accent4 10 10" xfId="1509"/>
    <cellStyle name="20% - Accent4 10 11" xfId="1510"/>
    <cellStyle name="20% - Accent4 10 12" xfId="1511"/>
    <cellStyle name="20% - Accent4 10 13" xfId="1512"/>
    <cellStyle name="20% - Accent4 10 14" xfId="1513"/>
    <cellStyle name="20% - Accent4 10 15" xfId="1514"/>
    <cellStyle name="20% - Accent4 10 16" xfId="1515"/>
    <cellStyle name="20% - Accent4 10 17" xfId="1516"/>
    <cellStyle name="20% - Accent4 10 18" xfId="1517"/>
    <cellStyle name="20% - Accent4 10 19" xfId="1518"/>
    <cellStyle name="20% - Accent4 10 2" xfId="1519"/>
    <cellStyle name="20% - Accent4 10 20" xfId="1520"/>
    <cellStyle name="20% - Accent4 10 21" xfId="1521"/>
    <cellStyle name="20% - Accent4 10 22" xfId="1522"/>
    <cellStyle name="20% - Accent4 10 23" xfId="1523"/>
    <cellStyle name="20% - Accent4 10 24" xfId="1524"/>
    <cellStyle name="20% - Accent4 10 25" xfId="1525"/>
    <cellStyle name="20% - Accent4 10 26" xfId="1526"/>
    <cellStyle name="20% - Accent4 10 27" xfId="1527"/>
    <cellStyle name="20% - Accent4 10 28" xfId="1528"/>
    <cellStyle name="20% - Accent4 10 29" xfId="1529"/>
    <cellStyle name="20% - Accent4 10 3" xfId="1530"/>
    <cellStyle name="20% - Accent4 10 30" xfId="1531"/>
    <cellStyle name="20% - Accent4 10 31" xfId="1532"/>
    <cellStyle name="20% - Accent4 10 32" xfId="1533"/>
    <cellStyle name="20% - Accent4 10 33" xfId="1534"/>
    <cellStyle name="20% - Accent4 10 34" xfId="1535"/>
    <cellStyle name="20% - Accent4 10 35" xfId="1536"/>
    <cellStyle name="20% - Accent4 10 36" xfId="1537"/>
    <cellStyle name="20% - Accent4 10 37" xfId="1538"/>
    <cellStyle name="20% - Accent4 10 38" xfId="1539"/>
    <cellStyle name="20% - Accent4 10 39" xfId="1540"/>
    <cellStyle name="20% - Accent4 10 4" xfId="1541"/>
    <cellStyle name="20% - Accent4 10 40" xfId="1542"/>
    <cellStyle name="20% - Accent4 10 41" xfId="1543"/>
    <cellStyle name="20% - Accent4 10 5" xfId="1544"/>
    <cellStyle name="20% - Accent4 10 6" xfId="1545"/>
    <cellStyle name="20% - Accent4 10 7" xfId="1546"/>
    <cellStyle name="20% - Accent4 10 8" xfId="1547"/>
    <cellStyle name="20% - Accent4 10 9" xfId="1548"/>
    <cellStyle name="20% - Accent4 11" xfId="1549"/>
    <cellStyle name="20% - Accent4 11 10" xfId="1550"/>
    <cellStyle name="20% - Accent4 11 11" xfId="1551"/>
    <cellStyle name="20% - Accent4 11 12" xfId="1552"/>
    <cellStyle name="20% - Accent4 11 13" xfId="1553"/>
    <cellStyle name="20% - Accent4 11 14" xfId="1554"/>
    <cellStyle name="20% - Accent4 11 15" xfId="1555"/>
    <cellStyle name="20% - Accent4 11 16" xfId="1556"/>
    <cellStyle name="20% - Accent4 11 17" xfId="1557"/>
    <cellStyle name="20% - Accent4 11 18" xfId="1558"/>
    <cellStyle name="20% - Accent4 11 19" xfId="1559"/>
    <cellStyle name="20% - Accent4 11 2" xfId="1560"/>
    <cellStyle name="20% - Accent4 11 20" xfId="1561"/>
    <cellStyle name="20% - Accent4 11 21" xfId="1562"/>
    <cellStyle name="20% - Accent4 11 22" xfId="1563"/>
    <cellStyle name="20% - Accent4 11 23" xfId="1564"/>
    <cellStyle name="20% - Accent4 11 24" xfId="1565"/>
    <cellStyle name="20% - Accent4 11 25" xfId="1566"/>
    <cellStyle name="20% - Accent4 11 26" xfId="1567"/>
    <cellStyle name="20% - Accent4 11 27" xfId="1568"/>
    <cellStyle name="20% - Accent4 11 28" xfId="1569"/>
    <cellStyle name="20% - Accent4 11 29" xfId="1570"/>
    <cellStyle name="20% - Accent4 11 3" xfId="1571"/>
    <cellStyle name="20% - Accent4 11 30" xfId="1572"/>
    <cellStyle name="20% - Accent4 11 31" xfId="1573"/>
    <cellStyle name="20% - Accent4 11 32" xfId="1574"/>
    <cellStyle name="20% - Accent4 11 33" xfId="1575"/>
    <cellStyle name="20% - Accent4 11 34" xfId="1576"/>
    <cellStyle name="20% - Accent4 11 35" xfId="1577"/>
    <cellStyle name="20% - Accent4 11 36" xfId="1578"/>
    <cellStyle name="20% - Accent4 11 37" xfId="1579"/>
    <cellStyle name="20% - Accent4 11 38" xfId="1580"/>
    <cellStyle name="20% - Accent4 11 39" xfId="1581"/>
    <cellStyle name="20% - Accent4 11 4" xfId="1582"/>
    <cellStyle name="20% - Accent4 11 40" xfId="1583"/>
    <cellStyle name="20% - Accent4 11 41" xfId="1584"/>
    <cellStyle name="20% - Accent4 11 5" xfId="1585"/>
    <cellStyle name="20% - Accent4 11 6" xfId="1586"/>
    <cellStyle name="20% - Accent4 11 7" xfId="1587"/>
    <cellStyle name="20% - Accent4 11 8" xfId="1588"/>
    <cellStyle name="20% - Accent4 11 9" xfId="1589"/>
    <cellStyle name="20% - Accent4 12" xfId="1590"/>
    <cellStyle name="20% - Accent4 12 10" xfId="1591"/>
    <cellStyle name="20% - Accent4 12 11" xfId="1592"/>
    <cellStyle name="20% - Accent4 12 12" xfId="1593"/>
    <cellStyle name="20% - Accent4 12 13" xfId="1594"/>
    <cellStyle name="20% - Accent4 12 14" xfId="1595"/>
    <cellStyle name="20% - Accent4 12 15" xfId="1596"/>
    <cellStyle name="20% - Accent4 12 16" xfId="1597"/>
    <cellStyle name="20% - Accent4 12 17" xfId="1598"/>
    <cellStyle name="20% - Accent4 12 18" xfId="1599"/>
    <cellStyle name="20% - Accent4 12 19" xfId="1600"/>
    <cellStyle name="20% - Accent4 12 2" xfId="1601"/>
    <cellStyle name="20% - Accent4 12 20" xfId="1602"/>
    <cellStyle name="20% - Accent4 12 21" xfId="1603"/>
    <cellStyle name="20% - Accent4 12 22" xfId="1604"/>
    <cellStyle name="20% - Accent4 12 23" xfId="1605"/>
    <cellStyle name="20% - Accent4 12 24" xfId="1606"/>
    <cellStyle name="20% - Accent4 12 25" xfId="1607"/>
    <cellStyle name="20% - Accent4 12 26" xfId="1608"/>
    <cellStyle name="20% - Accent4 12 27" xfId="1609"/>
    <cellStyle name="20% - Accent4 12 28" xfId="1610"/>
    <cellStyle name="20% - Accent4 12 29" xfId="1611"/>
    <cellStyle name="20% - Accent4 12 3" xfId="1612"/>
    <cellStyle name="20% - Accent4 12 30" xfId="1613"/>
    <cellStyle name="20% - Accent4 12 31" xfId="1614"/>
    <cellStyle name="20% - Accent4 12 32" xfId="1615"/>
    <cellStyle name="20% - Accent4 12 33" xfId="1616"/>
    <cellStyle name="20% - Accent4 12 34" xfId="1617"/>
    <cellStyle name="20% - Accent4 12 35" xfId="1618"/>
    <cellStyle name="20% - Accent4 12 36" xfId="1619"/>
    <cellStyle name="20% - Accent4 12 37" xfId="1620"/>
    <cellStyle name="20% - Accent4 12 38" xfId="1621"/>
    <cellStyle name="20% - Accent4 12 39" xfId="1622"/>
    <cellStyle name="20% - Accent4 12 4" xfId="1623"/>
    <cellStyle name="20% - Accent4 12 40" xfId="1624"/>
    <cellStyle name="20% - Accent4 12 41" xfId="1625"/>
    <cellStyle name="20% - Accent4 12 5" xfId="1626"/>
    <cellStyle name="20% - Accent4 12 6" xfId="1627"/>
    <cellStyle name="20% - Accent4 12 7" xfId="1628"/>
    <cellStyle name="20% - Accent4 12 8" xfId="1629"/>
    <cellStyle name="20% - Accent4 12 9" xfId="1630"/>
    <cellStyle name="20% - Accent4 13" xfId="1631"/>
    <cellStyle name="20% - Accent4 14" xfId="1632"/>
    <cellStyle name="20% - Accent4 14 2" xfId="1633"/>
    <cellStyle name="20% - Accent4 15" xfId="1634"/>
    <cellStyle name="20% - Accent4 16" xfId="1635"/>
    <cellStyle name="20% - Accent4 2" xfId="1636"/>
    <cellStyle name="20% - Accent4 2 10" xfId="1637"/>
    <cellStyle name="20% - Accent4 2 11" xfId="1638"/>
    <cellStyle name="20% - Accent4 2 12" xfId="1639"/>
    <cellStyle name="20% - Accent4 2 13" xfId="1640"/>
    <cellStyle name="20% - Accent4 2 14" xfId="1641"/>
    <cellStyle name="20% - Accent4 2 15" xfId="1642"/>
    <cellStyle name="20% - Accent4 2 16" xfId="1643"/>
    <cellStyle name="20% - Accent4 2 17" xfId="1644"/>
    <cellStyle name="20% - Accent4 2 18" xfId="1645"/>
    <cellStyle name="20% - Accent4 2 19" xfId="1646"/>
    <cellStyle name="20% - Accent4 2 2" xfId="1647"/>
    <cellStyle name="20% - Accent4 2 2 2" xfId="1648"/>
    <cellStyle name="20% - Accent4 2 2 2 2" xfId="1649"/>
    <cellStyle name="20% - Accent4 2 2 3" xfId="1650"/>
    <cellStyle name="20% - Accent4 2 2 4" xfId="1651"/>
    <cellStyle name="20% - Accent4 2 2 5" xfId="1652"/>
    <cellStyle name="20% - Accent4 2 20" xfId="1653"/>
    <cellStyle name="20% - Accent4 2 21" xfId="1654"/>
    <cellStyle name="20% - Accent4 2 22" xfId="1655"/>
    <cellStyle name="20% - Accent4 2 23" xfId="1656"/>
    <cellStyle name="20% - Accent4 2 24" xfId="1657"/>
    <cellStyle name="20% - Accent4 2 25" xfId="1658"/>
    <cellStyle name="20% - Accent4 2 26" xfId="1659"/>
    <cellStyle name="20% - Accent4 2 27" xfId="1660"/>
    <cellStyle name="20% - Accent4 2 28" xfId="1661"/>
    <cellStyle name="20% - Accent4 2 29" xfId="1662"/>
    <cellStyle name="20% - Accent4 2 3" xfId="1663"/>
    <cellStyle name="20% - Accent4 2 3 2" xfId="1664"/>
    <cellStyle name="20% - Accent4 2 3 3" xfId="1665"/>
    <cellStyle name="20% - Accent4 2 3 4" xfId="1666"/>
    <cellStyle name="20% - Accent4 2 3 5" xfId="1667"/>
    <cellStyle name="20% - Accent4 2 3 6" xfId="1668"/>
    <cellStyle name="20% - Accent4 2 30" xfId="1669"/>
    <cellStyle name="20% - Accent4 2 31" xfId="1670"/>
    <cellStyle name="20% - Accent4 2 32" xfId="1671"/>
    <cellStyle name="20% - Accent4 2 33" xfId="1672"/>
    <cellStyle name="20% - Accent4 2 34" xfId="1673"/>
    <cellStyle name="20% - Accent4 2 35" xfId="1674"/>
    <cellStyle name="20% - Accent4 2 36" xfId="1675"/>
    <cellStyle name="20% - Accent4 2 37" xfId="1676"/>
    <cellStyle name="20% - Accent4 2 38" xfId="1677"/>
    <cellStyle name="20% - Accent4 2 39" xfId="1678"/>
    <cellStyle name="20% - Accent4 2 4" xfId="1679"/>
    <cellStyle name="20% - Accent4 2 40" xfId="1680"/>
    <cellStyle name="20% - Accent4 2 41" xfId="1681"/>
    <cellStyle name="20% - Accent4 2 42" xfId="1682"/>
    <cellStyle name="20% - Accent4 2 43" xfId="1683"/>
    <cellStyle name="20% - Accent4 2 44" xfId="1684"/>
    <cellStyle name="20% - Accent4 2 45" xfId="1685"/>
    <cellStyle name="20% - Accent4 2 5" xfId="1686"/>
    <cellStyle name="20% - Accent4 2 6" xfId="1687"/>
    <cellStyle name="20% - Accent4 2 7" xfId="1688"/>
    <cellStyle name="20% - Accent4 2 8" xfId="1689"/>
    <cellStyle name="20% - Accent4 2 9" xfId="1690"/>
    <cellStyle name="20% - Accent4 3" xfId="1691"/>
    <cellStyle name="20% - Accent4 3 10" xfId="1692"/>
    <cellStyle name="20% - Accent4 3 11" xfId="1693"/>
    <cellStyle name="20% - Accent4 3 12" xfId="1694"/>
    <cellStyle name="20% - Accent4 3 13" xfId="1695"/>
    <cellStyle name="20% - Accent4 3 14" xfId="1696"/>
    <cellStyle name="20% - Accent4 3 15" xfId="1697"/>
    <cellStyle name="20% - Accent4 3 16" xfId="1698"/>
    <cellStyle name="20% - Accent4 3 17" xfId="1699"/>
    <cellStyle name="20% - Accent4 3 18" xfId="1700"/>
    <cellStyle name="20% - Accent4 3 19" xfId="1701"/>
    <cellStyle name="20% - Accent4 3 2" xfId="1702"/>
    <cellStyle name="20% - Accent4 3 20" xfId="1703"/>
    <cellStyle name="20% - Accent4 3 21" xfId="1704"/>
    <cellStyle name="20% - Accent4 3 22" xfId="1705"/>
    <cellStyle name="20% - Accent4 3 23" xfId="1706"/>
    <cellStyle name="20% - Accent4 3 24" xfId="1707"/>
    <cellStyle name="20% - Accent4 3 25" xfId="1708"/>
    <cellStyle name="20% - Accent4 3 26" xfId="1709"/>
    <cellStyle name="20% - Accent4 3 27" xfId="1710"/>
    <cellStyle name="20% - Accent4 3 28" xfId="1711"/>
    <cellStyle name="20% - Accent4 3 29" xfId="1712"/>
    <cellStyle name="20% - Accent4 3 3" xfId="1713"/>
    <cellStyle name="20% - Accent4 3 30" xfId="1714"/>
    <cellStyle name="20% - Accent4 3 31" xfId="1715"/>
    <cellStyle name="20% - Accent4 3 32" xfId="1716"/>
    <cellStyle name="20% - Accent4 3 33" xfId="1717"/>
    <cellStyle name="20% - Accent4 3 34" xfId="1718"/>
    <cellStyle name="20% - Accent4 3 35" xfId="1719"/>
    <cellStyle name="20% - Accent4 3 36" xfId="1720"/>
    <cellStyle name="20% - Accent4 3 37" xfId="1721"/>
    <cellStyle name="20% - Accent4 3 38" xfId="1722"/>
    <cellStyle name="20% - Accent4 3 39" xfId="1723"/>
    <cellStyle name="20% - Accent4 3 4" xfId="1724"/>
    <cellStyle name="20% - Accent4 3 40" xfId="1725"/>
    <cellStyle name="20% - Accent4 3 41" xfId="1726"/>
    <cellStyle name="20% - Accent4 3 42" xfId="1727"/>
    <cellStyle name="20% - Accent4 3 43" xfId="1728"/>
    <cellStyle name="20% - Accent4 3 44" xfId="1729"/>
    <cellStyle name="20% - Accent4 3 45" xfId="1730"/>
    <cellStyle name="20% - Accent4 3 5" xfId="1731"/>
    <cellStyle name="20% - Accent4 3 6" xfId="1732"/>
    <cellStyle name="20% - Accent4 3 7" xfId="1733"/>
    <cellStyle name="20% - Accent4 3 8" xfId="1734"/>
    <cellStyle name="20% - Accent4 3 9" xfId="1735"/>
    <cellStyle name="20% - Accent4 4" xfId="1736"/>
    <cellStyle name="20% - Accent4 4 10" xfId="1737"/>
    <cellStyle name="20% - Accent4 4 11" xfId="1738"/>
    <cellStyle name="20% - Accent4 4 12" xfId="1739"/>
    <cellStyle name="20% - Accent4 4 13" xfId="1740"/>
    <cellStyle name="20% - Accent4 4 14" xfId="1741"/>
    <cellStyle name="20% - Accent4 4 15" xfId="1742"/>
    <cellStyle name="20% - Accent4 4 16" xfId="1743"/>
    <cellStyle name="20% - Accent4 4 17" xfId="1744"/>
    <cellStyle name="20% - Accent4 4 18" xfId="1745"/>
    <cellStyle name="20% - Accent4 4 19" xfId="1746"/>
    <cellStyle name="20% - Accent4 4 2" xfId="1747"/>
    <cellStyle name="20% - Accent4 4 20" xfId="1748"/>
    <cellStyle name="20% - Accent4 4 21" xfId="1749"/>
    <cellStyle name="20% - Accent4 4 22" xfId="1750"/>
    <cellStyle name="20% - Accent4 4 23" xfId="1751"/>
    <cellStyle name="20% - Accent4 4 24" xfId="1752"/>
    <cellStyle name="20% - Accent4 4 25" xfId="1753"/>
    <cellStyle name="20% - Accent4 4 26" xfId="1754"/>
    <cellStyle name="20% - Accent4 4 27" xfId="1755"/>
    <cellStyle name="20% - Accent4 4 28" xfId="1756"/>
    <cellStyle name="20% - Accent4 4 29" xfId="1757"/>
    <cellStyle name="20% - Accent4 4 3" xfId="1758"/>
    <cellStyle name="20% - Accent4 4 30" xfId="1759"/>
    <cellStyle name="20% - Accent4 4 31" xfId="1760"/>
    <cellStyle name="20% - Accent4 4 32" xfId="1761"/>
    <cellStyle name="20% - Accent4 4 33" xfId="1762"/>
    <cellStyle name="20% - Accent4 4 34" xfId="1763"/>
    <cellStyle name="20% - Accent4 4 35" xfId="1764"/>
    <cellStyle name="20% - Accent4 4 36" xfId="1765"/>
    <cellStyle name="20% - Accent4 4 37" xfId="1766"/>
    <cellStyle name="20% - Accent4 4 38" xfId="1767"/>
    <cellStyle name="20% - Accent4 4 39" xfId="1768"/>
    <cellStyle name="20% - Accent4 4 4" xfId="1769"/>
    <cellStyle name="20% - Accent4 4 40" xfId="1770"/>
    <cellStyle name="20% - Accent4 4 41" xfId="1771"/>
    <cellStyle name="20% - Accent4 4 5" xfId="1772"/>
    <cellStyle name="20% - Accent4 4 6" xfId="1773"/>
    <cellStyle name="20% - Accent4 4 7" xfId="1774"/>
    <cellStyle name="20% - Accent4 4 8" xfId="1775"/>
    <cellStyle name="20% - Accent4 4 9" xfId="1776"/>
    <cellStyle name="20% - Accent4 5" xfId="1777"/>
    <cellStyle name="20% - Accent4 5 10" xfId="1778"/>
    <cellStyle name="20% - Accent4 5 11" xfId="1779"/>
    <cellStyle name="20% - Accent4 5 12" xfId="1780"/>
    <cellStyle name="20% - Accent4 5 13" xfId="1781"/>
    <cellStyle name="20% - Accent4 5 14" xfId="1782"/>
    <cellStyle name="20% - Accent4 5 15" xfId="1783"/>
    <cellStyle name="20% - Accent4 5 16" xfId="1784"/>
    <cellStyle name="20% - Accent4 5 17" xfId="1785"/>
    <cellStyle name="20% - Accent4 5 18" xfId="1786"/>
    <cellStyle name="20% - Accent4 5 19" xfId="1787"/>
    <cellStyle name="20% - Accent4 5 2" xfId="1788"/>
    <cellStyle name="20% - Accent4 5 20" xfId="1789"/>
    <cellStyle name="20% - Accent4 5 21" xfId="1790"/>
    <cellStyle name="20% - Accent4 5 22" xfId="1791"/>
    <cellStyle name="20% - Accent4 5 23" xfId="1792"/>
    <cellStyle name="20% - Accent4 5 24" xfId="1793"/>
    <cellStyle name="20% - Accent4 5 25" xfId="1794"/>
    <cellStyle name="20% - Accent4 5 26" xfId="1795"/>
    <cellStyle name="20% - Accent4 5 27" xfId="1796"/>
    <cellStyle name="20% - Accent4 5 28" xfId="1797"/>
    <cellStyle name="20% - Accent4 5 29" xfId="1798"/>
    <cellStyle name="20% - Accent4 5 3" xfId="1799"/>
    <cellStyle name="20% - Accent4 5 30" xfId="1800"/>
    <cellStyle name="20% - Accent4 5 31" xfId="1801"/>
    <cellStyle name="20% - Accent4 5 32" xfId="1802"/>
    <cellStyle name="20% - Accent4 5 33" xfId="1803"/>
    <cellStyle name="20% - Accent4 5 34" xfId="1804"/>
    <cellStyle name="20% - Accent4 5 35" xfId="1805"/>
    <cellStyle name="20% - Accent4 5 36" xfId="1806"/>
    <cellStyle name="20% - Accent4 5 37" xfId="1807"/>
    <cellStyle name="20% - Accent4 5 38" xfId="1808"/>
    <cellStyle name="20% - Accent4 5 39" xfId="1809"/>
    <cellStyle name="20% - Accent4 5 4" xfId="1810"/>
    <cellStyle name="20% - Accent4 5 40" xfId="1811"/>
    <cellStyle name="20% - Accent4 5 41" xfId="1812"/>
    <cellStyle name="20% - Accent4 5 5" xfId="1813"/>
    <cellStyle name="20% - Accent4 5 6" xfId="1814"/>
    <cellStyle name="20% - Accent4 5 7" xfId="1815"/>
    <cellStyle name="20% - Accent4 5 8" xfId="1816"/>
    <cellStyle name="20% - Accent4 5 9" xfId="1817"/>
    <cellStyle name="20% - Accent4 6" xfId="1818"/>
    <cellStyle name="20% - Accent4 6 10" xfId="1819"/>
    <cellStyle name="20% - Accent4 6 11" xfId="1820"/>
    <cellStyle name="20% - Accent4 6 12" xfId="1821"/>
    <cellStyle name="20% - Accent4 6 13" xfId="1822"/>
    <cellStyle name="20% - Accent4 6 14" xfId="1823"/>
    <cellStyle name="20% - Accent4 6 15" xfId="1824"/>
    <cellStyle name="20% - Accent4 6 16" xfId="1825"/>
    <cellStyle name="20% - Accent4 6 17" xfId="1826"/>
    <cellStyle name="20% - Accent4 6 18" xfId="1827"/>
    <cellStyle name="20% - Accent4 6 19" xfId="1828"/>
    <cellStyle name="20% - Accent4 6 2" xfId="1829"/>
    <cellStyle name="20% - Accent4 6 20" xfId="1830"/>
    <cellStyle name="20% - Accent4 6 21" xfId="1831"/>
    <cellStyle name="20% - Accent4 6 22" xfId="1832"/>
    <cellStyle name="20% - Accent4 6 23" xfId="1833"/>
    <cellStyle name="20% - Accent4 6 24" xfId="1834"/>
    <cellStyle name="20% - Accent4 6 25" xfId="1835"/>
    <cellStyle name="20% - Accent4 6 26" xfId="1836"/>
    <cellStyle name="20% - Accent4 6 27" xfId="1837"/>
    <cellStyle name="20% - Accent4 6 28" xfId="1838"/>
    <cellStyle name="20% - Accent4 6 29" xfId="1839"/>
    <cellStyle name="20% - Accent4 6 3" xfId="1840"/>
    <cellStyle name="20% - Accent4 6 30" xfId="1841"/>
    <cellStyle name="20% - Accent4 6 31" xfId="1842"/>
    <cellStyle name="20% - Accent4 6 32" xfId="1843"/>
    <cellStyle name="20% - Accent4 6 33" xfId="1844"/>
    <cellStyle name="20% - Accent4 6 34" xfId="1845"/>
    <cellStyle name="20% - Accent4 6 35" xfId="1846"/>
    <cellStyle name="20% - Accent4 6 36" xfId="1847"/>
    <cellStyle name="20% - Accent4 6 37" xfId="1848"/>
    <cellStyle name="20% - Accent4 6 38" xfId="1849"/>
    <cellStyle name="20% - Accent4 6 39" xfId="1850"/>
    <cellStyle name="20% - Accent4 6 4" xfId="1851"/>
    <cellStyle name="20% - Accent4 6 40" xfId="1852"/>
    <cellStyle name="20% - Accent4 6 41" xfId="1853"/>
    <cellStyle name="20% - Accent4 6 5" xfId="1854"/>
    <cellStyle name="20% - Accent4 6 6" xfId="1855"/>
    <cellStyle name="20% - Accent4 6 7" xfId="1856"/>
    <cellStyle name="20% - Accent4 6 8" xfId="1857"/>
    <cellStyle name="20% - Accent4 6 9" xfId="1858"/>
    <cellStyle name="20% - Accent4 7" xfId="1859"/>
    <cellStyle name="20% - Accent4 7 10" xfId="1860"/>
    <cellStyle name="20% - Accent4 7 11" xfId="1861"/>
    <cellStyle name="20% - Accent4 7 12" xfId="1862"/>
    <cellStyle name="20% - Accent4 7 13" xfId="1863"/>
    <cellStyle name="20% - Accent4 7 14" xfId="1864"/>
    <cellStyle name="20% - Accent4 7 15" xfId="1865"/>
    <cellStyle name="20% - Accent4 7 16" xfId="1866"/>
    <cellStyle name="20% - Accent4 7 17" xfId="1867"/>
    <cellStyle name="20% - Accent4 7 18" xfId="1868"/>
    <cellStyle name="20% - Accent4 7 19" xfId="1869"/>
    <cellStyle name="20% - Accent4 7 2" xfId="1870"/>
    <cellStyle name="20% - Accent4 7 20" xfId="1871"/>
    <cellStyle name="20% - Accent4 7 21" xfId="1872"/>
    <cellStyle name="20% - Accent4 7 22" xfId="1873"/>
    <cellStyle name="20% - Accent4 7 23" xfId="1874"/>
    <cellStyle name="20% - Accent4 7 24" xfId="1875"/>
    <cellStyle name="20% - Accent4 7 25" xfId="1876"/>
    <cellStyle name="20% - Accent4 7 26" xfId="1877"/>
    <cellStyle name="20% - Accent4 7 27" xfId="1878"/>
    <cellStyle name="20% - Accent4 7 28" xfId="1879"/>
    <cellStyle name="20% - Accent4 7 29" xfId="1880"/>
    <cellStyle name="20% - Accent4 7 3" xfId="1881"/>
    <cellStyle name="20% - Accent4 7 30" xfId="1882"/>
    <cellStyle name="20% - Accent4 7 31" xfId="1883"/>
    <cellStyle name="20% - Accent4 7 32" xfId="1884"/>
    <cellStyle name="20% - Accent4 7 33" xfId="1885"/>
    <cellStyle name="20% - Accent4 7 34" xfId="1886"/>
    <cellStyle name="20% - Accent4 7 35" xfId="1887"/>
    <cellStyle name="20% - Accent4 7 36" xfId="1888"/>
    <cellStyle name="20% - Accent4 7 37" xfId="1889"/>
    <cellStyle name="20% - Accent4 7 38" xfId="1890"/>
    <cellStyle name="20% - Accent4 7 39" xfId="1891"/>
    <cellStyle name="20% - Accent4 7 4" xfId="1892"/>
    <cellStyle name="20% - Accent4 7 40" xfId="1893"/>
    <cellStyle name="20% - Accent4 7 41" xfId="1894"/>
    <cellStyle name="20% - Accent4 7 5" xfId="1895"/>
    <cellStyle name="20% - Accent4 7 6" xfId="1896"/>
    <cellStyle name="20% - Accent4 7 7" xfId="1897"/>
    <cellStyle name="20% - Accent4 7 8" xfId="1898"/>
    <cellStyle name="20% - Accent4 7 9" xfId="1899"/>
    <cellStyle name="20% - Accent4 8" xfId="1900"/>
    <cellStyle name="20% - Accent4 8 10" xfId="1901"/>
    <cellStyle name="20% - Accent4 8 11" xfId="1902"/>
    <cellStyle name="20% - Accent4 8 12" xfId="1903"/>
    <cellStyle name="20% - Accent4 8 13" xfId="1904"/>
    <cellStyle name="20% - Accent4 8 14" xfId="1905"/>
    <cellStyle name="20% - Accent4 8 15" xfId="1906"/>
    <cellStyle name="20% - Accent4 8 16" xfId="1907"/>
    <cellStyle name="20% - Accent4 8 17" xfId="1908"/>
    <cellStyle name="20% - Accent4 8 18" xfId="1909"/>
    <cellStyle name="20% - Accent4 8 19" xfId="1910"/>
    <cellStyle name="20% - Accent4 8 2" xfId="1911"/>
    <cellStyle name="20% - Accent4 8 20" xfId="1912"/>
    <cellStyle name="20% - Accent4 8 21" xfId="1913"/>
    <cellStyle name="20% - Accent4 8 22" xfId="1914"/>
    <cellStyle name="20% - Accent4 8 23" xfId="1915"/>
    <cellStyle name="20% - Accent4 8 24" xfId="1916"/>
    <cellStyle name="20% - Accent4 8 25" xfId="1917"/>
    <cellStyle name="20% - Accent4 8 26" xfId="1918"/>
    <cellStyle name="20% - Accent4 8 27" xfId="1919"/>
    <cellStyle name="20% - Accent4 8 28" xfId="1920"/>
    <cellStyle name="20% - Accent4 8 29" xfId="1921"/>
    <cellStyle name="20% - Accent4 8 3" xfId="1922"/>
    <cellStyle name="20% - Accent4 8 30" xfId="1923"/>
    <cellStyle name="20% - Accent4 8 31" xfId="1924"/>
    <cellStyle name="20% - Accent4 8 32" xfId="1925"/>
    <cellStyle name="20% - Accent4 8 33" xfId="1926"/>
    <cellStyle name="20% - Accent4 8 34" xfId="1927"/>
    <cellStyle name="20% - Accent4 8 35" xfId="1928"/>
    <cellStyle name="20% - Accent4 8 36" xfId="1929"/>
    <cellStyle name="20% - Accent4 8 37" xfId="1930"/>
    <cellStyle name="20% - Accent4 8 38" xfId="1931"/>
    <cellStyle name="20% - Accent4 8 39" xfId="1932"/>
    <cellStyle name="20% - Accent4 8 4" xfId="1933"/>
    <cellStyle name="20% - Accent4 8 40" xfId="1934"/>
    <cellStyle name="20% - Accent4 8 41" xfId="1935"/>
    <cellStyle name="20% - Accent4 8 5" xfId="1936"/>
    <cellStyle name="20% - Accent4 8 6" xfId="1937"/>
    <cellStyle name="20% - Accent4 8 7" xfId="1938"/>
    <cellStyle name="20% - Accent4 8 8" xfId="1939"/>
    <cellStyle name="20% - Accent4 8 9" xfId="1940"/>
    <cellStyle name="20% - Accent4 9" xfId="1941"/>
    <cellStyle name="20% - Accent4 9 10" xfId="1942"/>
    <cellStyle name="20% - Accent4 9 11" xfId="1943"/>
    <cellStyle name="20% - Accent4 9 12" xfId="1944"/>
    <cellStyle name="20% - Accent4 9 13" xfId="1945"/>
    <cellStyle name="20% - Accent4 9 14" xfId="1946"/>
    <cellStyle name="20% - Accent4 9 15" xfId="1947"/>
    <cellStyle name="20% - Accent4 9 16" xfId="1948"/>
    <cellStyle name="20% - Accent4 9 17" xfId="1949"/>
    <cellStyle name="20% - Accent4 9 18" xfId="1950"/>
    <cellStyle name="20% - Accent4 9 19" xfId="1951"/>
    <cellStyle name="20% - Accent4 9 2" xfId="1952"/>
    <cellStyle name="20% - Accent4 9 20" xfId="1953"/>
    <cellStyle name="20% - Accent4 9 21" xfId="1954"/>
    <cellStyle name="20% - Accent4 9 22" xfId="1955"/>
    <cellStyle name="20% - Accent4 9 23" xfId="1956"/>
    <cellStyle name="20% - Accent4 9 24" xfId="1957"/>
    <cellStyle name="20% - Accent4 9 25" xfId="1958"/>
    <cellStyle name="20% - Accent4 9 26" xfId="1959"/>
    <cellStyle name="20% - Accent4 9 27" xfId="1960"/>
    <cellStyle name="20% - Accent4 9 28" xfId="1961"/>
    <cellStyle name="20% - Accent4 9 29" xfId="1962"/>
    <cellStyle name="20% - Accent4 9 3" xfId="1963"/>
    <cellStyle name="20% - Accent4 9 30" xfId="1964"/>
    <cellStyle name="20% - Accent4 9 31" xfId="1965"/>
    <cellStyle name="20% - Accent4 9 32" xfId="1966"/>
    <cellStyle name="20% - Accent4 9 33" xfId="1967"/>
    <cellStyle name="20% - Accent4 9 34" xfId="1968"/>
    <cellStyle name="20% - Accent4 9 35" xfId="1969"/>
    <cellStyle name="20% - Accent4 9 36" xfId="1970"/>
    <cellStyle name="20% - Accent4 9 37" xfId="1971"/>
    <cellStyle name="20% - Accent4 9 38" xfId="1972"/>
    <cellStyle name="20% - Accent4 9 39" xfId="1973"/>
    <cellStyle name="20% - Accent4 9 4" xfId="1974"/>
    <cellStyle name="20% - Accent4 9 40" xfId="1975"/>
    <cellStyle name="20% - Accent4 9 41" xfId="1976"/>
    <cellStyle name="20% - Accent4 9 5" xfId="1977"/>
    <cellStyle name="20% - Accent4 9 6" xfId="1978"/>
    <cellStyle name="20% - Accent4 9 7" xfId="1979"/>
    <cellStyle name="20% - Accent4 9 8" xfId="1980"/>
    <cellStyle name="20% - Accent4 9 9" xfId="1981"/>
    <cellStyle name="20% - Accent5" xfId="35" builtinId="46" customBuiltin="1"/>
    <cellStyle name="20% - Accent5 10" xfId="1982"/>
    <cellStyle name="20% - Accent5 10 10" xfId="1983"/>
    <cellStyle name="20% - Accent5 10 11" xfId="1984"/>
    <cellStyle name="20% - Accent5 10 12" xfId="1985"/>
    <cellStyle name="20% - Accent5 10 13" xfId="1986"/>
    <cellStyle name="20% - Accent5 10 14" xfId="1987"/>
    <cellStyle name="20% - Accent5 10 15" xfId="1988"/>
    <cellStyle name="20% - Accent5 10 16" xfId="1989"/>
    <cellStyle name="20% - Accent5 10 17" xfId="1990"/>
    <cellStyle name="20% - Accent5 10 18" xfId="1991"/>
    <cellStyle name="20% - Accent5 10 19" xfId="1992"/>
    <cellStyle name="20% - Accent5 10 2" xfId="1993"/>
    <cellStyle name="20% - Accent5 10 20" xfId="1994"/>
    <cellStyle name="20% - Accent5 10 21" xfId="1995"/>
    <cellStyle name="20% - Accent5 10 22" xfId="1996"/>
    <cellStyle name="20% - Accent5 10 23" xfId="1997"/>
    <cellStyle name="20% - Accent5 10 24" xfId="1998"/>
    <cellStyle name="20% - Accent5 10 25" xfId="1999"/>
    <cellStyle name="20% - Accent5 10 26" xfId="2000"/>
    <cellStyle name="20% - Accent5 10 27" xfId="2001"/>
    <cellStyle name="20% - Accent5 10 28" xfId="2002"/>
    <cellStyle name="20% - Accent5 10 29" xfId="2003"/>
    <cellStyle name="20% - Accent5 10 3" xfId="2004"/>
    <cellStyle name="20% - Accent5 10 30" xfId="2005"/>
    <cellStyle name="20% - Accent5 10 31" xfId="2006"/>
    <cellStyle name="20% - Accent5 10 32" xfId="2007"/>
    <cellStyle name="20% - Accent5 10 33" xfId="2008"/>
    <cellStyle name="20% - Accent5 10 34" xfId="2009"/>
    <cellStyle name="20% - Accent5 10 35" xfId="2010"/>
    <cellStyle name="20% - Accent5 10 36" xfId="2011"/>
    <cellStyle name="20% - Accent5 10 37" xfId="2012"/>
    <cellStyle name="20% - Accent5 10 38" xfId="2013"/>
    <cellStyle name="20% - Accent5 10 39" xfId="2014"/>
    <cellStyle name="20% - Accent5 10 4" xfId="2015"/>
    <cellStyle name="20% - Accent5 10 40" xfId="2016"/>
    <cellStyle name="20% - Accent5 10 41" xfId="2017"/>
    <cellStyle name="20% - Accent5 10 5" xfId="2018"/>
    <cellStyle name="20% - Accent5 10 6" xfId="2019"/>
    <cellStyle name="20% - Accent5 10 7" xfId="2020"/>
    <cellStyle name="20% - Accent5 10 8" xfId="2021"/>
    <cellStyle name="20% - Accent5 10 9" xfId="2022"/>
    <cellStyle name="20% - Accent5 11" xfId="2023"/>
    <cellStyle name="20% - Accent5 11 10" xfId="2024"/>
    <cellStyle name="20% - Accent5 11 11" xfId="2025"/>
    <cellStyle name="20% - Accent5 11 12" xfId="2026"/>
    <cellStyle name="20% - Accent5 11 13" xfId="2027"/>
    <cellStyle name="20% - Accent5 11 14" xfId="2028"/>
    <cellStyle name="20% - Accent5 11 15" xfId="2029"/>
    <cellStyle name="20% - Accent5 11 16" xfId="2030"/>
    <cellStyle name="20% - Accent5 11 17" xfId="2031"/>
    <cellStyle name="20% - Accent5 11 18" xfId="2032"/>
    <cellStyle name="20% - Accent5 11 19" xfId="2033"/>
    <cellStyle name="20% - Accent5 11 2" xfId="2034"/>
    <cellStyle name="20% - Accent5 11 20" xfId="2035"/>
    <cellStyle name="20% - Accent5 11 21" xfId="2036"/>
    <cellStyle name="20% - Accent5 11 22" xfId="2037"/>
    <cellStyle name="20% - Accent5 11 23" xfId="2038"/>
    <cellStyle name="20% - Accent5 11 24" xfId="2039"/>
    <cellStyle name="20% - Accent5 11 25" xfId="2040"/>
    <cellStyle name="20% - Accent5 11 26" xfId="2041"/>
    <cellStyle name="20% - Accent5 11 27" xfId="2042"/>
    <cellStyle name="20% - Accent5 11 28" xfId="2043"/>
    <cellStyle name="20% - Accent5 11 29" xfId="2044"/>
    <cellStyle name="20% - Accent5 11 3" xfId="2045"/>
    <cellStyle name="20% - Accent5 11 30" xfId="2046"/>
    <cellStyle name="20% - Accent5 11 31" xfId="2047"/>
    <cellStyle name="20% - Accent5 11 32" xfId="2048"/>
    <cellStyle name="20% - Accent5 11 33" xfId="2049"/>
    <cellStyle name="20% - Accent5 11 34" xfId="2050"/>
    <cellStyle name="20% - Accent5 11 35" xfId="2051"/>
    <cellStyle name="20% - Accent5 11 36" xfId="2052"/>
    <cellStyle name="20% - Accent5 11 37" xfId="2053"/>
    <cellStyle name="20% - Accent5 11 38" xfId="2054"/>
    <cellStyle name="20% - Accent5 11 39" xfId="2055"/>
    <cellStyle name="20% - Accent5 11 4" xfId="2056"/>
    <cellStyle name="20% - Accent5 11 40" xfId="2057"/>
    <cellStyle name="20% - Accent5 11 41" xfId="2058"/>
    <cellStyle name="20% - Accent5 11 5" xfId="2059"/>
    <cellStyle name="20% - Accent5 11 6" xfId="2060"/>
    <cellStyle name="20% - Accent5 11 7" xfId="2061"/>
    <cellStyle name="20% - Accent5 11 8" xfId="2062"/>
    <cellStyle name="20% - Accent5 11 9" xfId="2063"/>
    <cellStyle name="20% - Accent5 12" xfId="2064"/>
    <cellStyle name="20% - Accent5 12 10" xfId="2065"/>
    <cellStyle name="20% - Accent5 12 11" xfId="2066"/>
    <cellStyle name="20% - Accent5 12 12" xfId="2067"/>
    <cellStyle name="20% - Accent5 12 13" xfId="2068"/>
    <cellStyle name="20% - Accent5 12 14" xfId="2069"/>
    <cellStyle name="20% - Accent5 12 15" xfId="2070"/>
    <cellStyle name="20% - Accent5 12 16" xfId="2071"/>
    <cellStyle name="20% - Accent5 12 17" xfId="2072"/>
    <cellStyle name="20% - Accent5 12 18" xfId="2073"/>
    <cellStyle name="20% - Accent5 12 19" xfId="2074"/>
    <cellStyle name="20% - Accent5 12 2" xfId="2075"/>
    <cellStyle name="20% - Accent5 12 20" xfId="2076"/>
    <cellStyle name="20% - Accent5 12 21" xfId="2077"/>
    <cellStyle name="20% - Accent5 12 22" xfId="2078"/>
    <cellStyle name="20% - Accent5 12 23" xfId="2079"/>
    <cellStyle name="20% - Accent5 12 24" xfId="2080"/>
    <cellStyle name="20% - Accent5 12 25" xfId="2081"/>
    <cellStyle name="20% - Accent5 12 26" xfId="2082"/>
    <cellStyle name="20% - Accent5 12 27" xfId="2083"/>
    <cellStyle name="20% - Accent5 12 28" xfId="2084"/>
    <cellStyle name="20% - Accent5 12 29" xfId="2085"/>
    <cellStyle name="20% - Accent5 12 3" xfId="2086"/>
    <cellStyle name="20% - Accent5 12 30" xfId="2087"/>
    <cellStyle name="20% - Accent5 12 31" xfId="2088"/>
    <cellStyle name="20% - Accent5 12 32" xfId="2089"/>
    <cellStyle name="20% - Accent5 12 33" xfId="2090"/>
    <cellStyle name="20% - Accent5 12 34" xfId="2091"/>
    <cellStyle name="20% - Accent5 12 35" xfId="2092"/>
    <cellStyle name="20% - Accent5 12 36" xfId="2093"/>
    <cellStyle name="20% - Accent5 12 37" xfId="2094"/>
    <cellStyle name="20% - Accent5 12 38" xfId="2095"/>
    <cellStyle name="20% - Accent5 12 39" xfId="2096"/>
    <cellStyle name="20% - Accent5 12 4" xfId="2097"/>
    <cellStyle name="20% - Accent5 12 40" xfId="2098"/>
    <cellStyle name="20% - Accent5 12 41" xfId="2099"/>
    <cellStyle name="20% - Accent5 12 5" xfId="2100"/>
    <cellStyle name="20% - Accent5 12 6" xfId="2101"/>
    <cellStyle name="20% - Accent5 12 7" xfId="2102"/>
    <cellStyle name="20% - Accent5 12 8" xfId="2103"/>
    <cellStyle name="20% - Accent5 12 9" xfId="2104"/>
    <cellStyle name="20% - Accent5 13" xfId="2105"/>
    <cellStyle name="20% - Accent5 14" xfId="2106"/>
    <cellStyle name="20% - Accent5 14 2" xfId="2107"/>
    <cellStyle name="20% - Accent5 15" xfId="2108"/>
    <cellStyle name="20% - Accent5 16" xfId="2109"/>
    <cellStyle name="20% - Accent5 2" xfId="2110"/>
    <cellStyle name="20% - Accent5 2 10" xfId="2111"/>
    <cellStyle name="20% - Accent5 2 11" xfId="2112"/>
    <cellStyle name="20% - Accent5 2 12" xfId="2113"/>
    <cellStyle name="20% - Accent5 2 13" xfId="2114"/>
    <cellStyle name="20% - Accent5 2 14" xfId="2115"/>
    <cellStyle name="20% - Accent5 2 15" xfId="2116"/>
    <cellStyle name="20% - Accent5 2 16" xfId="2117"/>
    <cellStyle name="20% - Accent5 2 17" xfId="2118"/>
    <cellStyle name="20% - Accent5 2 18" xfId="2119"/>
    <cellStyle name="20% - Accent5 2 19" xfId="2120"/>
    <cellStyle name="20% - Accent5 2 2" xfId="2121"/>
    <cellStyle name="20% - Accent5 2 2 2" xfId="2122"/>
    <cellStyle name="20% - Accent5 2 2 2 2" xfId="2123"/>
    <cellStyle name="20% - Accent5 2 2 3" xfId="2124"/>
    <cellStyle name="20% - Accent5 2 2 4" xfId="2125"/>
    <cellStyle name="20% - Accent5 2 2 5" xfId="2126"/>
    <cellStyle name="20% - Accent5 2 20" xfId="2127"/>
    <cellStyle name="20% - Accent5 2 21" xfId="2128"/>
    <cellStyle name="20% - Accent5 2 22" xfId="2129"/>
    <cellStyle name="20% - Accent5 2 23" xfId="2130"/>
    <cellStyle name="20% - Accent5 2 24" xfId="2131"/>
    <cellStyle name="20% - Accent5 2 25" xfId="2132"/>
    <cellStyle name="20% - Accent5 2 26" xfId="2133"/>
    <cellStyle name="20% - Accent5 2 27" xfId="2134"/>
    <cellStyle name="20% - Accent5 2 28" xfId="2135"/>
    <cellStyle name="20% - Accent5 2 29" xfId="2136"/>
    <cellStyle name="20% - Accent5 2 3" xfId="2137"/>
    <cellStyle name="20% - Accent5 2 3 2" xfId="2138"/>
    <cellStyle name="20% - Accent5 2 3 3" xfId="2139"/>
    <cellStyle name="20% - Accent5 2 3 4" xfId="2140"/>
    <cellStyle name="20% - Accent5 2 3 5" xfId="2141"/>
    <cellStyle name="20% - Accent5 2 3 6" xfId="2142"/>
    <cellStyle name="20% - Accent5 2 30" xfId="2143"/>
    <cellStyle name="20% - Accent5 2 31" xfId="2144"/>
    <cellStyle name="20% - Accent5 2 32" xfId="2145"/>
    <cellStyle name="20% - Accent5 2 33" xfId="2146"/>
    <cellStyle name="20% - Accent5 2 34" xfId="2147"/>
    <cellStyle name="20% - Accent5 2 35" xfId="2148"/>
    <cellStyle name="20% - Accent5 2 36" xfId="2149"/>
    <cellStyle name="20% - Accent5 2 37" xfId="2150"/>
    <cellStyle name="20% - Accent5 2 38" xfId="2151"/>
    <cellStyle name="20% - Accent5 2 39" xfId="2152"/>
    <cellStyle name="20% - Accent5 2 4" xfId="2153"/>
    <cellStyle name="20% - Accent5 2 40" xfId="2154"/>
    <cellStyle name="20% - Accent5 2 41" xfId="2155"/>
    <cellStyle name="20% - Accent5 2 42" xfId="2156"/>
    <cellStyle name="20% - Accent5 2 43" xfId="2157"/>
    <cellStyle name="20% - Accent5 2 44" xfId="2158"/>
    <cellStyle name="20% - Accent5 2 45" xfId="2159"/>
    <cellStyle name="20% - Accent5 2 5" xfId="2160"/>
    <cellStyle name="20% - Accent5 2 6" xfId="2161"/>
    <cellStyle name="20% - Accent5 2 7" xfId="2162"/>
    <cellStyle name="20% - Accent5 2 8" xfId="2163"/>
    <cellStyle name="20% - Accent5 2 9" xfId="2164"/>
    <cellStyle name="20% - Accent5 3" xfId="2165"/>
    <cellStyle name="20% - Accent5 3 10" xfId="2166"/>
    <cellStyle name="20% - Accent5 3 11" xfId="2167"/>
    <cellStyle name="20% - Accent5 3 12" xfId="2168"/>
    <cellStyle name="20% - Accent5 3 13" xfId="2169"/>
    <cellStyle name="20% - Accent5 3 14" xfId="2170"/>
    <cellStyle name="20% - Accent5 3 15" xfId="2171"/>
    <cellStyle name="20% - Accent5 3 16" xfId="2172"/>
    <cellStyle name="20% - Accent5 3 17" xfId="2173"/>
    <cellStyle name="20% - Accent5 3 18" xfId="2174"/>
    <cellStyle name="20% - Accent5 3 19" xfId="2175"/>
    <cellStyle name="20% - Accent5 3 2" xfId="2176"/>
    <cellStyle name="20% - Accent5 3 20" xfId="2177"/>
    <cellStyle name="20% - Accent5 3 21" xfId="2178"/>
    <cellStyle name="20% - Accent5 3 22" xfId="2179"/>
    <cellStyle name="20% - Accent5 3 23" xfId="2180"/>
    <cellStyle name="20% - Accent5 3 24" xfId="2181"/>
    <cellStyle name="20% - Accent5 3 25" xfId="2182"/>
    <cellStyle name="20% - Accent5 3 26" xfId="2183"/>
    <cellStyle name="20% - Accent5 3 27" xfId="2184"/>
    <cellStyle name="20% - Accent5 3 28" xfId="2185"/>
    <cellStyle name="20% - Accent5 3 29" xfId="2186"/>
    <cellStyle name="20% - Accent5 3 3" xfId="2187"/>
    <cellStyle name="20% - Accent5 3 30" xfId="2188"/>
    <cellStyle name="20% - Accent5 3 31" xfId="2189"/>
    <cellStyle name="20% - Accent5 3 32" xfId="2190"/>
    <cellStyle name="20% - Accent5 3 33" xfId="2191"/>
    <cellStyle name="20% - Accent5 3 34" xfId="2192"/>
    <cellStyle name="20% - Accent5 3 35" xfId="2193"/>
    <cellStyle name="20% - Accent5 3 36" xfId="2194"/>
    <cellStyle name="20% - Accent5 3 37" xfId="2195"/>
    <cellStyle name="20% - Accent5 3 38" xfId="2196"/>
    <cellStyle name="20% - Accent5 3 39" xfId="2197"/>
    <cellStyle name="20% - Accent5 3 4" xfId="2198"/>
    <cellStyle name="20% - Accent5 3 40" xfId="2199"/>
    <cellStyle name="20% - Accent5 3 41" xfId="2200"/>
    <cellStyle name="20% - Accent5 3 42" xfId="2201"/>
    <cellStyle name="20% - Accent5 3 43" xfId="2202"/>
    <cellStyle name="20% - Accent5 3 44" xfId="2203"/>
    <cellStyle name="20% - Accent5 3 45" xfId="2204"/>
    <cellStyle name="20% - Accent5 3 5" xfId="2205"/>
    <cellStyle name="20% - Accent5 3 6" xfId="2206"/>
    <cellStyle name="20% - Accent5 3 7" xfId="2207"/>
    <cellStyle name="20% - Accent5 3 8" xfId="2208"/>
    <cellStyle name="20% - Accent5 3 9" xfId="2209"/>
    <cellStyle name="20% - Accent5 4" xfId="2210"/>
    <cellStyle name="20% - Accent5 4 10" xfId="2211"/>
    <cellStyle name="20% - Accent5 4 11" xfId="2212"/>
    <cellStyle name="20% - Accent5 4 12" xfId="2213"/>
    <cellStyle name="20% - Accent5 4 13" xfId="2214"/>
    <cellStyle name="20% - Accent5 4 14" xfId="2215"/>
    <cellStyle name="20% - Accent5 4 15" xfId="2216"/>
    <cellStyle name="20% - Accent5 4 16" xfId="2217"/>
    <cellStyle name="20% - Accent5 4 17" xfId="2218"/>
    <cellStyle name="20% - Accent5 4 18" xfId="2219"/>
    <cellStyle name="20% - Accent5 4 19" xfId="2220"/>
    <cellStyle name="20% - Accent5 4 2" xfId="2221"/>
    <cellStyle name="20% - Accent5 4 20" xfId="2222"/>
    <cellStyle name="20% - Accent5 4 21" xfId="2223"/>
    <cellStyle name="20% - Accent5 4 22" xfId="2224"/>
    <cellStyle name="20% - Accent5 4 23" xfId="2225"/>
    <cellStyle name="20% - Accent5 4 24" xfId="2226"/>
    <cellStyle name="20% - Accent5 4 25" xfId="2227"/>
    <cellStyle name="20% - Accent5 4 26" xfId="2228"/>
    <cellStyle name="20% - Accent5 4 27" xfId="2229"/>
    <cellStyle name="20% - Accent5 4 28" xfId="2230"/>
    <cellStyle name="20% - Accent5 4 29" xfId="2231"/>
    <cellStyle name="20% - Accent5 4 3" xfId="2232"/>
    <cellStyle name="20% - Accent5 4 30" xfId="2233"/>
    <cellStyle name="20% - Accent5 4 31" xfId="2234"/>
    <cellStyle name="20% - Accent5 4 32" xfId="2235"/>
    <cellStyle name="20% - Accent5 4 33" xfId="2236"/>
    <cellStyle name="20% - Accent5 4 34" xfId="2237"/>
    <cellStyle name="20% - Accent5 4 35" xfId="2238"/>
    <cellStyle name="20% - Accent5 4 36" xfId="2239"/>
    <cellStyle name="20% - Accent5 4 37" xfId="2240"/>
    <cellStyle name="20% - Accent5 4 38" xfId="2241"/>
    <cellStyle name="20% - Accent5 4 39" xfId="2242"/>
    <cellStyle name="20% - Accent5 4 4" xfId="2243"/>
    <cellStyle name="20% - Accent5 4 40" xfId="2244"/>
    <cellStyle name="20% - Accent5 4 41" xfId="2245"/>
    <cellStyle name="20% - Accent5 4 5" xfId="2246"/>
    <cellStyle name="20% - Accent5 4 6" xfId="2247"/>
    <cellStyle name="20% - Accent5 4 7" xfId="2248"/>
    <cellStyle name="20% - Accent5 4 8" xfId="2249"/>
    <cellStyle name="20% - Accent5 4 9" xfId="2250"/>
    <cellStyle name="20% - Accent5 5" xfId="2251"/>
    <cellStyle name="20% - Accent5 5 10" xfId="2252"/>
    <cellStyle name="20% - Accent5 5 11" xfId="2253"/>
    <cellStyle name="20% - Accent5 5 12" xfId="2254"/>
    <cellStyle name="20% - Accent5 5 13" xfId="2255"/>
    <cellStyle name="20% - Accent5 5 14" xfId="2256"/>
    <cellStyle name="20% - Accent5 5 15" xfId="2257"/>
    <cellStyle name="20% - Accent5 5 16" xfId="2258"/>
    <cellStyle name="20% - Accent5 5 17" xfId="2259"/>
    <cellStyle name="20% - Accent5 5 18" xfId="2260"/>
    <cellStyle name="20% - Accent5 5 19" xfId="2261"/>
    <cellStyle name="20% - Accent5 5 2" xfId="2262"/>
    <cellStyle name="20% - Accent5 5 20" xfId="2263"/>
    <cellStyle name="20% - Accent5 5 21" xfId="2264"/>
    <cellStyle name="20% - Accent5 5 22" xfId="2265"/>
    <cellStyle name="20% - Accent5 5 23" xfId="2266"/>
    <cellStyle name="20% - Accent5 5 24" xfId="2267"/>
    <cellStyle name="20% - Accent5 5 25" xfId="2268"/>
    <cellStyle name="20% - Accent5 5 26" xfId="2269"/>
    <cellStyle name="20% - Accent5 5 27" xfId="2270"/>
    <cellStyle name="20% - Accent5 5 28" xfId="2271"/>
    <cellStyle name="20% - Accent5 5 29" xfId="2272"/>
    <cellStyle name="20% - Accent5 5 3" xfId="2273"/>
    <cellStyle name="20% - Accent5 5 30" xfId="2274"/>
    <cellStyle name="20% - Accent5 5 31" xfId="2275"/>
    <cellStyle name="20% - Accent5 5 32" xfId="2276"/>
    <cellStyle name="20% - Accent5 5 33" xfId="2277"/>
    <cellStyle name="20% - Accent5 5 34" xfId="2278"/>
    <cellStyle name="20% - Accent5 5 35" xfId="2279"/>
    <cellStyle name="20% - Accent5 5 36" xfId="2280"/>
    <cellStyle name="20% - Accent5 5 37" xfId="2281"/>
    <cellStyle name="20% - Accent5 5 38" xfId="2282"/>
    <cellStyle name="20% - Accent5 5 39" xfId="2283"/>
    <cellStyle name="20% - Accent5 5 4" xfId="2284"/>
    <cellStyle name="20% - Accent5 5 40" xfId="2285"/>
    <cellStyle name="20% - Accent5 5 41" xfId="2286"/>
    <cellStyle name="20% - Accent5 5 5" xfId="2287"/>
    <cellStyle name="20% - Accent5 5 6" xfId="2288"/>
    <cellStyle name="20% - Accent5 5 7" xfId="2289"/>
    <cellStyle name="20% - Accent5 5 8" xfId="2290"/>
    <cellStyle name="20% - Accent5 5 9" xfId="2291"/>
    <cellStyle name="20% - Accent5 6" xfId="2292"/>
    <cellStyle name="20% - Accent5 6 10" xfId="2293"/>
    <cellStyle name="20% - Accent5 6 11" xfId="2294"/>
    <cellStyle name="20% - Accent5 6 12" xfId="2295"/>
    <cellStyle name="20% - Accent5 6 13" xfId="2296"/>
    <cellStyle name="20% - Accent5 6 14" xfId="2297"/>
    <cellStyle name="20% - Accent5 6 15" xfId="2298"/>
    <cellStyle name="20% - Accent5 6 16" xfId="2299"/>
    <cellStyle name="20% - Accent5 6 17" xfId="2300"/>
    <cellStyle name="20% - Accent5 6 18" xfId="2301"/>
    <cellStyle name="20% - Accent5 6 19" xfId="2302"/>
    <cellStyle name="20% - Accent5 6 2" xfId="2303"/>
    <cellStyle name="20% - Accent5 6 20" xfId="2304"/>
    <cellStyle name="20% - Accent5 6 21" xfId="2305"/>
    <cellStyle name="20% - Accent5 6 22" xfId="2306"/>
    <cellStyle name="20% - Accent5 6 23" xfId="2307"/>
    <cellStyle name="20% - Accent5 6 24" xfId="2308"/>
    <cellStyle name="20% - Accent5 6 25" xfId="2309"/>
    <cellStyle name="20% - Accent5 6 26" xfId="2310"/>
    <cellStyle name="20% - Accent5 6 27" xfId="2311"/>
    <cellStyle name="20% - Accent5 6 28" xfId="2312"/>
    <cellStyle name="20% - Accent5 6 29" xfId="2313"/>
    <cellStyle name="20% - Accent5 6 3" xfId="2314"/>
    <cellStyle name="20% - Accent5 6 30" xfId="2315"/>
    <cellStyle name="20% - Accent5 6 31" xfId="2316"/>
    <cellStyle name="20% - Accent5 6 32" xfId="2317"/>
    <cellStyle name="20% - Accent5 6 33" xfId="2318"/>
    <cellStyle name="20% - Accent5 6 34" xfId="2319"/>
    <cellStyle name="20% - Accent5 6 35" xfId="2320"/>
    <cellStyle name="20% - Accent5 6 36" xfId="2321"/>
    <cellStyle name="20% - Accent5 6 37" xfId="2322"/>
    <cellStyle name="20% - Accent5 6 38" xfId="2323"/>
    <cellStyle name="20% - Accent5 6 39" xfId="2324"/>
    <cellStyle name="20% - Accent5 6 4" xfId="2325"/>
    <cellStyle name="20% - Accent5 6 40" xfId="2326"/>
    <cellStyle name="20% - Accent5 6 41" xfId="2327"/>
    <cellStyle name="20% - Accent5 6 5" xfId="2328"/>
    <cellStyle name="20% - Accent5 6 6" xfId="2329"/>
    <cellStyle name="20% - Accent5 6 7" xfId="2330"/>
    <cellStyle name="20% - Accent5 6 8" xfId="2331"/>
    <cellStyle name="20% - Accent5 6 9" xfId="2332"/>
    <cellStyle name="20% - Accent5 7" xfId="2333"/>
    <cellStyle name="20% - Accent5 7 10" xfId="2334"/>
    <cellStyle name="20% - Accent5 7 11" xfId="2335"/>
    <cellStyle name="20% - Accent5 7 12" xfId="2336"/>
    <cellStyle name="20% - Accent5 7 13" xfId="2337"/>
    <cellStyle name="20% - Accent5 7 14" xfId="2338"/>
    <cellStyle name="20% - Accent5 7 15" xfId="2339"/>
    <cellStyle name="20% - Accent5 7 16" xfId="2340"/>
    <cellStyle name="20% - Accent5 7 17" xfId="2341"/>
    <cellStyle name="20% - Accent5 7 18" xfId="2342"/>
    <cellStyle name="20% - Accent5 7 19" xfId="2343"/>
    <cellStyle name="20% - Accent5 7 2" xfId="2344"/>
    <cellStyle name="20% - Accent5 7 20" xfId="2345"/>
    <cellStyle name="20% - Accent5 7 21" xfId="2346"/>
    <cellStyle name="20% - Accent5 7 22" xfId="2347"/>
    <cellStyle name="20% - Accent5 7 23" xfId="2348"/>
    <cellStyle name="20% - Accent5 7 24" xfId="2349"/>
    <cellStyle name="20% - Accent5 7 25" xfId="2350"/>
    <cellStyle name="20% - Accent5 7 26" xfId="2351"/>
    <cellStyle name="20% - Accent5 7 27" xfId="2352"/>
    <cellStyle name="20% - Accent5 7 28" xfId="2353"/>
    <cellStyle name="20% - Accent5 7 29" xfId="2354"/>
    <cellStyle name="20% - Accent5 7 3" xfId="2355"/>
    <cellStyle name="20% - Accent5 7 30" xfId="2356"/>
    <cellStyle name="20% - Accent5 7 31" xfId="2357"/>
    <cellStyle name="20% - Accent5 7 32" xfId="2358"/>
    <cellStyle name="20% - Accent5 7 33" xfId="2359"/>
    <cellStyle name="20% - Accent5 7 34" xfId="2360"/>
    <cellStyle name="20% - Accent5 7 35" xfId="2361"/>
    <cellStyle name="20% - Accent5 7 36" xfId="2362"/>
    <cellStyle name="20% - Accent5 7 37" xfId="2363"/>
    <cellStyle name="20% - Accent5 7 38" xfId="2364"/>
    <cellStyle name="20% - Accent5 7 39" xfId="2365"/>
    <cellStyle name="20% - Accent5 7 4" xfId="2366"/>
    <cellStyle name="20% - Accent5 7 40" xfId="2367"/>
    <cellStyle name="20% - Accent5 7 41" xfId="2368"/>
    <cellStyle name="20% - Accent5 7 5" xfId="2369"/>
    <cellStyle name="20% - Accent5 7 6" xfId="2370"/>
    <cellStyle name="20% - Accent5 7 7" xfId="2371"/>
    <cellStyle name="20% - Accent5 7 8" xfId="2372"/>
    <cellStyle name="20% - Accent5 7 9" xfId="2373"/>
    <cellStyle name="20% - Accent5 8" xfId="2374"/>
    <cellStyle name="20% - Accent5 8 10" xfId="2375"/>
    <cellStyle name="20% - Accent5 8 11" xfId="2376"/>
    <cellStyle name="20% - Accent5 8 12" xfId="2377"/>
    <cellStyle name="20% - Accent5 8 13" xfId="2378"/>
    <cellStyle name="20% - Accent5 8 14" xfId="2379"/>
    <cellStyle name="20% - Accent5 8 15" xfId="2380"/>
    <cellStyle name="20% - Accent5 8 16" xfId="2381"/>
    <cellStyle name="20% - Accent5 8 17" xfId="2382"/>
    <cellStyle name="20% - Accent5 8 18" xfId="2383"/>
    <cellStyle name="20% - Accent5 8 19" xfId="2384"/>
    <cellStyle name="20% - Accent5 8 2" xfId="2385"/>
    <cellStyle name="20% - Accent5 8 20" xfId="2386"/>
    <cellStyle name="20% - Accent5 8 21" xfId="2387"/>
    <cellStyle name="20% - Accent5 8 22" xfId="2388"/>
    <cellStyle name="20% - Accent5 8 23" xfId="2389"/>
    <cellStyle name="20% - Accent5 8 24" xfId="2390"/>
    <cellStyle name="20% - Accent5 8 25" xfId="2391"/>
    <cellStyle name="20% - Accent5 8 26" xfId="2392"/>
    <cellStyle name="20% - Accent5 8 27" xfId="2393"/>
    <cellStyle name="20% - Accent5 8 28" xfId="2394"/>
    <cellStyle name="20% - Accent5 8 29" xfId="2395"/>
    <cellStyle name="20% - Accent5 8 3" xfId="2396"/>
    <cellStyle name="20% - Accent5 8 30" xfId="2397"/>
    <cellStyle name="20% - Accent5 8 31" xfId="2398"/>
    <cellStyle name="20% - Accent5 8 32" xfId="2399"/>
    <cellStyle name="20% - Accent5 8 33" xfId="2400"/>
    <cellStyle name="20% - Accent5 8 34" xfId="2401"/>
    <cellStyle name="20% - Accent5 8 35" xfId="2402"/>
    <cellStyle name="20% - Accent5 8 36" xfId="2403"/>
    <cellStyle name="20% - Accent5 8 37" xfId="2404"/>
    <cellStyle name="20% - Accent5 8 38" xfId="2405"/>
    <cellStyle name="20% - Accent5 8 39" xfId="2406"/>
    <cellStyle name="20% - Accent5 8 4" xfId="2407"/>
    <cellStyle name="20% - Accent5 8 40" xfId="2408"/>
    <cellStyle name="20% - Accent5 8 41" xfId="2409"/>
    <cellStyle name="20% - Accent5 8 5" xfId="2410"/>
    <cellStyle name="20% - Accent5 8 6" xfId="2411"/>
    <cellStyle name="20% - Accent5 8 7" xfId="2412"/>
    <cellStyle name="20% - Accent5 8 8" xfId="2413"/>
    <cellStyle name="20% - Accent5 8 9" xfId="2414"/>
    <cellStyle name="20% - Accent5 9" xfId="2415"/>
    <cellStyle name="20% - Accent5 9 10" xfId="2416"/>
    <cellStyle name="20% - Accent5 9 11" xfId="2417"/>
    <cellStyle name="20% - Accent5 9 12" xfId="2418"/>
    <cellStyle name="20% - Accent5 9 13" xfId="2419"/>
    <cellStyle name="20% - Accent5 9 14" xfId="2420"/>
    <cellStyle name="20% - Accent5 9 15" xfId="2421"/>
    <cellStyle name="20% - Accent5 9 16" xfId="2422"/>
    <cellStyle name="20% - Accent5 9 17" xfId="2423"/>
    <cellStyle name="20% - Accent5 9 18" xfId="2424"/>
    <cellStyle name="20% - Accent5 9 19" xfId="2425"/>
    <cellStyle name="20% - Accent5 9 2" xfId="2426"/>
    <cellStyle name="20% - Accent5 9 20" xfId="2427"/>
    <cellStyle name="20% - Accent5 9 21" xfId="2428"/>
    <cellStyle name="20% - Accent5 9 22" xfId="2429"/>
    <cellStyle name="20% - Accent5 9 23" xfId="2430"/>
    <cellStyle name="20% - Accent5 9 24" xfId="2431"/>
    <cellStyle name="20% - Accent5 9 25" xfId="2432"/>
    <cellStyle name="20% - Accent5 9 26" xfId="2433"/>
    <cellStyle name="20% - Accent5 9 27" xfId="2434"/>
    <cellStyle name="20% - Accent5 9 28" xfId="2435"/>
    <cellStyle name="20% - Accent5 9 29" xfId="2436"/>
    <cellStyle name="20% - Accent5 9 3" xfId="2437"/>
    <cellStyle name="20% - Accent5 9 30" xfId="2438"/>
    <cellStyle name="20% - Accent5 9 31" xfId="2439"/>
    <cellStyle name="20% - Accent5 9 32" xfId="2440"/>
    <cellStyle name="20% - Accent5 9 33" xfId="2441"/>
    <cellStyle name="20% - Accent5 9 34" xfId="2442"/>
    <cellStyle name="20% - Accent5 9 35" xfId="2443"/>
    <cellStyle name="20% - Accent5 9 36" xfId="2444"/>
    <cellStyle name="20% - Accent5 9 37" xfId="2445"/>
    <cellStyle name="20% - Accent5 9 38" xfId="2446"/>
    <cellStyle name="20% - Accent5 9 39" xfId="2447"/>
    <cellStyle name="20% - Accent5 9 4" xfId="2448"/>
    <cellStyle name="20% - Accent5 9 40" xfId="2449"/>
    <cellStyle name="20% - Accent5 9 41" xfId="2450"/>
    <cellStyle name="20% - Accent5 9 5" xfId="2451"/>
    <cellStyle name="20% - Accent5 9 6" xfId="2452"/>
    <cellStyle name="20% - Accent5 9 7" xfId="2453"/>
    <cellStyle name="20% - Accent5 9 8" xfId="2454"/>
    <cellStyle name="20% - Accent5 9 9" xfId="2455"/>
    <cellStyle name="20% - Accent6" xfId="39" builtinId="50" customBuiltin="1"/>
    <cellStyle name="20% - Accent6 10" xfId="2456"/>
    <cellStyle name="20% - Accent6 10 10" xfId="2457"/>
    <cellStyle name="20% - Accent6 10 11" xfId="2458"/>
    <cellStyle name="20% - Accent6 10 12" xfId="2459"/>
    <cellStyle name="20% - Accent6 10 13" xfId="2460"/>
    <cellStyle name="20% - Accent6 10 14" xfId="2461"/>
    <cellStyle name="20% - Accent6 10 15" xfId="2462"/>
    <cellStyle name="20% - Accent6 10 16" xfId="2463"/>
    <cellStyle name="20% - Accent6 10 17" xfId="2464"/>
    <cellStyle name="20% - Accent6 10 18" xfId="2465"/>
    <cellStyle name="20% - Accent6 10 19" xfId="2466"/>
    <cellStyle name="20% - Accent6 10 2" xfId="2467"/>
    <cellStyle name="20% - Accent6 10 20" xfId="2468"/>
    <cellStyle name="20% - Accent6 10 21" xfId="2469"/>
    <cellStyle name="20% - Accent6 10 22" xfId="2470"/>
    <cellStyle name="20% - Accent6 10 23" xfId="2471"/>
    <cellStyle name="20% - Accent6 10 24" xfId="2472"/>
    <cellStyle name="20% - Accent6 10 25" xfId="2473"/>
    <cellStyle name="20% - Accent6 10 26" xfId="2474"/>
    <cellStyle name="20% - Accent6 10 27" xfId="2475"/>
    <cellStyle name="20% - Accent6 10 28" xfId="2476"/>
    <cellStyle name="20% - Accent6 10 29" xfId="2477"/>
    <cellStyle name="20% - Accent6 10 3" xfId="2478"/>
    <cellStyle name="20% - Accent6 10 30" xfId="2479"/>
    <cellStyle name="20% - Accent6 10 31" xfId="2480"/>
    <cellStyle name="20% - Accent6 10 32" xfId="2481"/>
    <cellStyle name="20% - Accent6 10 33" xfId="2482"/>
    <cellStyle name="20% - Accent6 10 34" xfId="2483"/>
    <cellStyle name="20% - Accent6 10 35" xfId="2484"/>
    <cellStyle name="20% - Accent6 10 36" xfId="2485"/>
    <cellStyle name="20% - Accent6 10 37" xfId="2486"/>
    <cellStyle name="20% - Accent6 10 38" xfId="2487"/>
    <cellStyle name="20% - Accent6 10 39" xfId="2488"/>
    <cellStyle name="20% - Accent6 10 4" xfId="2489"/>
    <cellStyle name="20% - Accent6 10 40" xfId="2490"/>
    <cellStyle name="20% - Accent6 10 41" xfId="2491"/>
    <cellStyle name="20% - Accent6 10 5" xfId="2492"/>
    <cellStyle name="20% - Accent6 10 6" xfId="2493"/>
    <cellStyle name="20% - Accent6 10 7" xfId="2494"/>
    <cellStyle name="20% - Accent6 10 8" xfId="2495"/>
    <cellStyle name="20% - Accent6 10 9" xfId="2496"/>
    <cellStyle name="20% - Accent6 11" xfId="2497"/>
    <cellStyle name="20% - Accent6 11 10" xfId="2498"/>
    <cellStyle name="20% - Accent6 11 11" xfId="2499"/>
    <cellStyle name="20% - Accent6 11 12" xfId="2500"/>
    <cellStyle name="20% - Accent6 11 13" xfId="2501"/>
    <cellStyle name="20% - Accent6 11 14" xfId="2502"/>
    <cellStyle name="20% - Accent6 11 15" xfId="2503"/>
    <cellStyle name="20% - Accent6 11 16" xfId="2504"/>
    <cellStyle name="20% - Accent6 11 17" xfId="2505"/>
    <cellStyle name="20% - Accent6 11 18" xfId="2506"/>
    <cellStyle name="20% - Accent6 11 19" xfId="2507"/>
    <cellStyle name="20% - Accent6 11 2" xfId="2508"/>
    <cellStyle name="20% - Accent6 11 20" xfId="2509"/>
    <cellStyle name="20% - Accent6 11 21" xfId="2510"/>
    <cellStyle name="20% - Accent6 11 22" xfId="2511"/>
    <cellStyle name="20% - Accent6 11 23" xfId="2512"/>
    <cellStyle name="20% - Accent6 11 24" xfId="2513"/>
    <cellStyle name="20% - Accent6 11 25" xfId="2514"/>
    <cellStyle name="20% - Accent6 11 26" xfId="2515"/>
    <cellStyle name="20% - Accent6 11 27" xfId="2516"/>
    <cellStyle name="20% - Accent6 11 28" xfId="2517"/>
    <cellStyle name="20% - Accent6 11 29" xfId="2518"/>
    <cellStyle name="20% - Accent6 11 3" xfId="2519"/>
    <cellStyle name="20% - Accent6 11 30" xfId="2520"/>
    <cellStyle name="20% - Accent6 11 31" xfId="2521"/>
    <cellStyle name="20% - Accent6 11 32" xfId="2522"/>
    <cellStyle name="20% - Accent6 11 33" xfId="2523"/>
    <cellStyle name="20% - Accent6 11 34" xfId="2524"/>
    <cellStyle name="20% - Accent6 11 35" xfId="2525"/>
    <cellStyle name="20% - Accent6 11 36" xfId="2526"/>
    <cellStyle name="20% - Accent6 11 37" xfId="2527"/>
    <cellStyle name="20% - Accent6 11 38" xfId="2528"/>
    <cellStyle name="20% - Accent6 11 39" xfId="2529"/>
    <cellStyle name="20% - Accent6 11 4" xfId="2530"/>
    <cellStyle name="20% - Accent6 11 40" xfId="2531"/>
    <cellStyle name="20% - Accent6 11 41" xfId="2532"/>
    <cellStyle name="20% - Accent6 11 5" xfId="2533"/>
    <cellStyle name="20% - Accent6 11 6" xfId="2534"/>
    <cellStyle name="20% - Accent6 11 7" xfId="2535"/>
    <cellStyle name="20% - Accent6 11 8" xfId="2536"/>
    <cellStyle name="20% - Accent6 11 9" xfId="2537"/>
    <cellStyle name="20% - Accent6 12" xfId="2538"/>
    <cellStyle name="20% - Accent6 12 10" xfId="2539"/>
    <cellStyle name="20% - Accent6 12 11" xfId="2540"/>
    <cellStyle name="20% - Accent6 12 12" xfId="2541"/>
    <cellStyle name="20% - Accent6 12 13" xfId="2542"/>
    <cellStyle name="20% - Accent6 12 14" xfId="2543"/>
    <cellStyle name="20% - Accent6 12 15" xfId="2544"/>
    <cellStyle name="20% - Accent6 12 16" xfId="2545"/>
    <cellStyle name="20% - Accent6 12 17" xfId="2546"/>
    <cellStyle name="20% - Accent6 12 18" xfId="2547"/>
    <cellStyle name="20% - Accent6 12 19" xfId="2548"/>
    <cellStyle name="20% - Accent6 12 2" xfId="2549"/>
    <cellStyle name="20% - Accent6 12 20" xfId="2550"/>
    <cellStyle name="20% - Accent6 12 21" xfId="2551"/>
    <cellStyle name="20% - Accent6 12 22" xfId="2552"/>
    <cellStyle name="20% - Accent6 12 23" xfId="2553"/>
    <cellStyle name="20% - Accent6 12 24" xfId="2554"/>
    <cellStyle name="20% - Accent6 12 25" xfId="2555"/>
    <cellStyle name="20% - Accent6 12 26" xfId="2556"/>
    <cellStyle name="20% - Accent6 12 27" xfId="2557"/>
    <cellStyle name="20% - Accent6 12 28" xfId="2558"/>
    <cellStyle name="20% - Accent6 12 29" xfId="2559"/>
    <cellStyle name="20% - Accent6 12 3" xfId="2560"/>
    <cellStyle name="20% - Accent6 12 30" xfId="2561"/>
    <cellStyle name="20% - Accent6 12 31" xfId="2562"/>
    <cellStyle name="20% - Accent6 12 32" xfId="2563"/>
    <cellStyle name="20% - Accent6 12 33" xfId="2564"/>
    <cellStyle name="20% - Accent6 12 34" xfId="2565"/>
    <cellStyle name="20% - Accent6 12 35" xfId="2566"/>
    <cellStyle name="20% - Accent6 12 36" xfId="2567"/>
    <cellStyle name="20% - Accent6 12 37" xfId="2568"/>
    <cellStyle name="20% - Accent6 12 38" xfId="2569"/>
    <cellStyle name="20% - Accent6 12 39" xfId="2570"/>
    <cellStyle name="20% - Accent6 12 4" xfId="2571"/>
    <cellStyle name="20% - Accent6 12 40" xfId="2572"/>
    <cellStyle name="20% - Accent6 12 41" xfId="2573"/>
    <cellStyle name="20% - Accent6 12 5" xfId="2574"/>
    <cellStyle name="20% - Accent6 12 6" xfId="2575"/>
    <cellStyle name="20% - Accent6 12 7" xfId="2576"/>
    <cellStyle name="20% - Accent6 12 8" xfId="2577"/>
    <cellStyle name="20% - Accent6 12 9" xfId="2578"/>
    <cellStyle name="20% - Accent6 13" xfId="2579"/>
    <cellStyle name="20% - Accent6 14" xfId="2580"/>
    <cellStyle name="20% - Accent6 14 2" xfId="2581"/>
    <cellStyle name="20% - Accent6 15" xfId="2582"/>
    <cellStyle name="20% - Accent6 16" xfId="2583"/>
    <cellStyle name="20% - Accent6 2" xfId="2584"/>
    <cellStyle name="20% - Accent6 2 10" xfId="2585"/>
    <cellStyle name="20% - Accent6 2 11" xfId="2586"/>
    <cellStyle name="20% - Accent6 2 12" xfId="2587"/>
    <cellStyle name="20% - Accent6 2 13" xfId="2588"/>
    <cellStyle name="20% - Accent6 2 14" xfId="2589"/>
    <cellStyle name="20% - Accent6 2 15" xfId="2590"/>
    <cellStyle name="20% - Accent6 2 16" xfId="2591"/>
    <cellStyle name="20% - Accent6 2 17" xfId="2592"/>
    <cellStyle name="20% - Accent6 2 18" xfId="2593"/>
    <cellStyle name="20% - Accent6 2 19" xfId="2594"/>
    <cellStyle name="20% - Accent6 2 2" xfId="2595"/>
    <cellStyle name="20% - Accent6 2 2 2" xfId="2596"/>
    <cellStyle name="20% - Accent6 2 2 2 2" xfId="2597"/>
    <cellStyle name="20% - Accent6 2 2 3" xfId="2598"/>
    <cellStyle name="20% - Accent6 2 2 4" xfId="2599"/>
    <cellStyle name="20% - Accent6 2 2 5" xfId="2600"/>
    <cellStyle name="20% - Accent6 2 20" xfId="2601"/>
    <cellStyle name="20% - Accent6 2 21" xfId="2602"/>
    <cellStyle name="20% - Accent6 2 22" xfId="2603"/>
    <cellStyle name="20% - Accent6 2 23" xfId="2604"/>
    <cellStyle name="20% - Accent6 2 24" xfId="2605"/>
    <cellStyle name="20% - Accent6 2 25" xfId="2606"/>
    <cellStyle name="20% - Accent6 2 26" xfId="2607"/>
    <cellStyle name="20% - Accent6 2 27" xfId="2608"/>
    <cellStyle name="20% - Accent6 2 28" xfId="2609"/>
    <cellStyle name="20% - Accent6 2 29" xfId="2610"/>
    <cellStyle name="20% - Accent6 2 3" xfId="2611"/>
    <cellStyle name="20% - Accent6 2 3 2" xfId="2612"/>
    <cellStyle name="20% - Accent6 2 3 3" xfId="2613"/>
    <cellStyle name="20% - Accent6 2 3 4" xfId="2614"/>
    <cellStyle name="20% - Accent6 2 3 5" xfId="2615"/>
    <cellStyle name="20% - Accent6 2 3 6" xfId="2616"/>
    <cellStyle name="20% - Accent6 2 30" xfId="2617"/>
    <cellStyle name="20% - Accent6 2 31" xfId="2618"/>
    <cellStyle name="20% - Accent6 2 32" xfId="2619"/>
    <cellStyle name="20% - Accent6 2 33" xfId="2620"/>
    <cellStyle name="20% - Accent6 2 34" xfId="2621"/>
    <cellStyle name="20% - Accent6 2 35" xfId="2622"/>
    <cellStyle name="20% - Accent6 2 36" xfId="2623"/>
    <cellStyle name="20% - Accent6 2 37" xfId="2624"/>
    <cellStyle name="20% - Accent6 2 38" xfId="2625"/>
    <cellStyle name="20% - Accent6 2 39" xfId="2626"/>
    <cellStyle name="20% - Accent6 2 4" xfId="2627"/>
    <cellStyle name="20% - Accent6 2 40" xfId="2628"/>
    <cellStyle name="20% - Accent6 2 41" xfId="2629"/>
    <cellStyle name="20% - Accent6 2 42" xfId="2630"/>
    <cellStyle name="20% - Accent6 2 43" xfId="2631"/>
    <cellStyle name="20% - Accent6 2 44" xfId="2632"/>
    <cellStyle name="20% - Accent6 2 45" xfId="2633"/>
    <cellStyle name="20% - Accent6 2 5" xfId="2634"/>
    <cellStyle name="20% - Accent6 2 6" xfId="2635"/>
    <cellStyle name="20% - Accent6 2 7" xfId="2636"/>
    <cellStyle name="20% - Accent6 2 8" xfId="2637"/>
    <cellStyle name="20% - Accent6 2 9" xfId="2638"/>
    <cellStyle name="20% - Accent6 3" xfId="2639"/>
    <cellStyle name="20% - Accent6 3 10" xfId="2640"/>
    <cellStyle name="20% - Accent6 3 11" xfId="2641"/>
    <cellStyle name="20% - Accent6 3 12" xfId="2642"/>
    <cellStyle name="20% - Accent6 3 13" xfId="2643"/>
    <cellStyle name="20% - Accent6 3 14" xfId="2644"/>
    <cellStyle name="20% - Accent6 3 15" xfId="2645"/>
    <cellStyle name="20% - Accent6 3 16" xfId="2646"/>
    <cellStyle name="20% - Accent6 3 17" xfId="2647"/>
    <cellStyle name="20% - Accent6 3 18" xfId="2648"/>
    <cellStyle name="20% - Accent6 3 19" xfId="2649"/>
    <cellStyle name="20% - Accent6 3 2" xfId="2650"/>
    <cellStyle name="20% - Accent6 3 20" xfId="2651"/>
    <cellStyle name="20% - Accent6 3 21" xfId="2652"/>
    <cellStyle name="20% - Accent6 3 22" xfId="2653"/>
    <cellStyle name="20% - Accent6 3 23" xfId="2654"/>
    <cellStyle name="20% - Accent6 3 24" xfId="2655"/>
    <cellStyle name="20% - Accent6 3 25" xfId="2656"/>
    <cellStyle name="20% - Accent6 3 26" xfId="2657"/>
    <cellStyle name="20% - Accent6 3 27" xfId="2658"/>
    <cellStyle name="20% - Accent6 3 28" xfId="2659"/>
    <cellStyle name="20% - Accent6 3 29" xfId="2660"/>
    <cellStyle name="20% - Accent6 3 3" xfId="2661"/>
    <cellStyle name="20% - Accent6 3 30" xfId="2662"/>
    <cellStyle name="20% - Accent6 3 31" xfId="2663"/>
    <cellStyle name="20% - Accent6 3 32" xfId="2664"/>
    <cellStyle name="20% - Accent6 3 33" xfId="2665"/>
    <cellStyle name="20% - Accent6 3 34" xfId="2666"/>
    <cellStyle name="20% - Accent6 3 35" xfId="2667"/>
    <cellStyle name="20% - Accent6 3 36" xfId="2668"/>
    <cellStyle name="20% - Accent6 3 37" xfId="2669"/>
    <cellStyle name="20% - Accent6 3 38" xfId="2670"/>
    <cellStyle name="20% - Accent6 3 39" xfId="2671"/>
    <cellStyle name="20% - Accent6 3 4" xfId="2672"/>
    <cellStyle name="20% - Accent6 3 40" xfId="2673"/>
    <cellStyle name="20% - Accent6 3 41" xfId="2674"/>
    <cellStyle name="20% - Accent6 3 42" xfId="2675"/>
    <cellStyle name="20% - Accent6 3 43" xfId="2676"/>
    <cellStyle name="20% - Accent6 3 44" xfId="2677"/>
    <cellStyle name="20% - Accent6 3 45" xfId="2678"/>
    <cellStyle name="20% - Accent6 3 5" xfId="2679"/>
    <cellStyle name="20% - Accent6 3 6" xfId="2680"/>
    <cellStyle name="20% - Accent6 3 7" xfId="2681"/>
    <cellStyle name="20% - Accent6 3 8" xfId="2682"/>
    <cellStyle name="20% - Accent6 3 9" xfId="2683"/>
    <cellStyle name="20% - Accent6 4" xfId="2684"/>
    <cellStyle name="20% - Accent6 4 10" xfId="2685"/>
    <cellStyle name="20% - Accent6 4 11" xfId="2686"/>
    <cellStyle name="20% - Accent6 4 12" xfId="2687"/>
    <cellStyle name="20% - Accent6 4 13" xfId="2688"/>
    <cellStyle name="20% - Accent6 4 14" xfId="2689"/>
    <cellStyle name="20% - Accent6 4 15" xfId="2690"/>
    <cellStyle name="20% - Accent6 4 16" xfId="2691"/>
    <cellStyle name="20% - Accent6 4 17" xfId="2692"/>
    <cellStyle name="20% - Accent6 4 18" xfId="2693"/>
    <cellStyle name="20% - Accent6 4 19" xfId="2694"/>
    <cellStyle name="20% - Accent6 4 2" xfId="2695"/>
    <cellStyle name="20% - Accent6 4 20" xfId="2696"/>
    <cellStyle name="20% - Accent6 4 21" xfId="2697"/>
    <cellStyle name="20% - Accent6 4 22" xfId="2698"/>
    <cellStyle name="20% - Accent6 4 23" xfId="2699"/>
    <cellStyle name="20% - Accent6 4 24" xfId="2700"/>
    <cellStyle name="20% - Accent6 4 25" xfId="2701"/>
    <cellStyle name="20% - Accent6 4 26" xfId="2702"/>
    <cellStyle name="20% - Accent6 4 27" xfId="2703"/>
    <cellStyle name="20% - Accent6 4 28" xfId="2704"/>
    <cellStyle name="20% - Accent6 4 29" xfId="2705"/>
    <cellStyle name="20% - Accent6 4 3" xfId="2706"/>
    <cellStyle name="20% - Accent6 4 30" xfId="2707"/>
    <cellStyle name="20% - Accent6 4 31" xfId="2708"/>
    <cellStyle name="20% - Accent6 4 32" xfId="2709"/>
    <cellStyle name="20% - Accent6 4 33" xfId="2710"/>
    <cellStyle name="20% - Accent6 4 34" xfId="2711"/>
    <cellStyle name="20% - Accent6 4 35" xfId="2712"/>
    <cellStyle name="20% - Accent6 4 36" xfId="2713"/>
    <cellStyle name="20% - Accent6 4 37" xfId="2714"/>
    <cellStyle name="20% - Accent6 4 38" xfId="2715"/>
    <cellStyle name="20% - Accent6 4 39" xfId="2716"/>
    <cellStyle name="20% - Accent6 4 4" xfId="2717"/>
    <cellStyle name="20% - Accent6 4 40" xfId="2718"/>
    <cellStyle name="20% - Accent6 4 41" xfId="2719"/>
    <cellStyle name="20% - Accent6 4 5" xfId="2720"/>
    <cellStyle name="20% - Accent6 4 6" xfId="2721"/>
    <cellStyle name="20% - Accent6 4 7" xfId="2722"/>
    <cellStyle name="20% - Accent6 4 8" xfId="2723"/>
    <cellStyle name="20% - Accent6 4 9" xfId="2724"/>
    <cellStyle name="20% - Accent6 5" xfId="2725"/>
    <cellStyle name="20% - Accent6 5 10" xfId="2726"/>
    <cellStyle name="20% - Accent6 5 11" xfId="2727"/>
    <cellStyle name="20% - Accent6 5 12" xfId="2728"/>
    <cellStyle name="20% - Accent6 5 13" xfId="2729"/>
    <cellStyle name="20% - Accent6 5 14" xfId="2730"/>
    <cellStyle name="20% - Accent6 5 15" xfId="2731"/>
    <cellStyle name="20% - Accent6 5 16" xfId="2732"/>
    <cellStyle name="20% - Accent6 5 17" xfId="2733"/>
    <cellStyle name="20% - Accent6 5 18" xfId="2734"/>
    <cellStyle name="20% - Accent6 5 19" xfId="2735"/>
    <cellStyle name="20% - Accent6 5 2" xfId="2736"/>
    <cellStyle name="20% - Accent6 5 20" xfId="2737"/>
    <cellStyle name="20% - Accent6 5 21" xfId="2738"/>
    <cellStyle name="20% - Accent6 5 22" xfId="2739"/>
    <cellStyle name="20% - Accent6 5 23" xfId="2740"/>
    <cellStyle name="20% - Accent6 5 24" xfId="2741"/>
    <cellStyle name="20% - Accent6 5 25" xfId="2742"/>
    <cellStyle name="20% - Accent6 5 26" xfId="2743"/>
    <cellStyle name="20% - Accent6 5 27" xfId="2744"/>
    <cellStyle name="20% - Accent6 5 28" xfId="2745"/>
    <cellStyle name="20% - Accent6 5 29" xfId="2746"/>
    <cellStyle name="20% - Accent6 5 3" xfId="2747"/>
    <cellStyle name="20% - Accent6 5 30" xfId="2748"/>
    <cellStyle name="20% - Accent6 5 31" xfId="2749"/>
    <cellStyle name="20% - Accent6 5 32" xfId="2750"/>
    <cellStyle name="20% - Accent6 5 33" xfId="2751"/>
    <cellStyle name="20% - Accent6 5 34" xfId="2752"/>
    <cellStyle name="20% - Accent6 5 35" xfId="2753"/>
    <cellStyle name="20% - Accent6 5 36" xfId="2754"/>
    <cellStyle name="20% - Accent6 5 37" xfId="2755"/>
    <cellStyle name="20% - Accent6 5 38" xfId="2756"/>
    <cellStyle name="20% - Accent6 5 39" xfId="2757"/>
    <cellStyle name="20% - Accent6 5 4" xfId="2758"/>
    <cellStyle name="20% - Accent6 5 40" xfId="2759"/>
    <cellStyle name="20% - Accent6 5 41" xfId="2760"/>
    <cellStyle name="20% - Accent6 5 5" xfId="2761"/>
    <cellStyle name="20% - Accent6 5 6" xfId="2762"/>
    <cellStyle name="20% - Accent6 5 7" xfId="2763"/>
    <cellStyle name="20% - Accent6 5 8" xfId="2764"/>
    <cellStyle name="20% - Accent6 5 9" xfId="2765"/>
    <cellStyle name="20% - Accent6 6" xfId="2766"/>
    <cellStyle name="20% - Accent6 6 10" xfId="2767"/>
    <cellStyle name="20% - Accent6 6 11" xfId="2768"/>
    <cellStyle name="20% - Accent6 6 12" xfId="2769"/>
    <cellStyle name="20% - Accent6 6 13" xfId="2770"/>
    <cellStyle name="20% - Accent6 6 14" xfId="2771"/>
    <cellStyle name="20% - Accent6 6 15" xfId="2772"/>
    <cellStyle name="20% - Accent6 6 16" xfId="2773"/>
    <cellStyle name="20% - Accent6 6 17" xfId="2774"/>
    <cellStyle name="20% - Accent6 6 18" xfId="2775"/>
    <cellStyle name="20% - Accent6 6 19" xfId="2776"/>
    <cellStyle name="20% - Accent6 6 2" xfId="2777"/>
    <cellStyle name="20% - Accent6 6 20" xfId="2778"/>
    <cellStyle name="20% - Accent6 6 21" xfId="2779"/>
    <cellStyle name="20% - Accent6 6 22" xfId="2780"/>
    <cellStyle name="20% - Accent6 6 23" xfId="2781"/>
    <cellStyle name="20% - Accent6 6 24" xfId="2782"/>
    <cellStyle name="20% - Accent6 6 25" xfId="2783"/>
    <cellStyle name="20% - Accent6 6 26" xfId="2784"/>
    <cellStyle name="20% - Accent6 6 27" xfId="2785"/>
    <cellStyle name="20% - Accent6 6 28" xfId="2786"/>
    <cellStyle name="20% - Accent6 6 29" xfId="2787"/>
    <cellStyle name="20% - Accent6 6 3" xfId="2788"/>
    <cellStyle name="20% - Accent6 6 30" xfId="2789"/>
    <cellStyle name="20% - Accent6 6 31" xfId="2790"/>
    <cellStyle name="20% - Accent6 6 32" xfId="2791"/>
    <cellStyle name="20% - Accent6 6 33" xfId="2792"/>
    <cellStyle name="20% - Accent6 6 34" xfId="2793"/>
    <cellStyle name="20% - Accent6 6 35" xfId="2794"/>
    <cellStyle name="20% - Accent6 6 36" xfId="2795"/>
    <cellStyle name="20% - Accent6 6 37" xfId="2796"/>
    <cellStyle name="20% - Accent6 6 38" xfId="2797"/>
    <cellStyle name="20% - Accent6 6 39" xfId="2798"/>
    <cellStyle name="20% - Accent6 6 4" xfId="2799"/>
    <cellStyle name="20% - Accent6 6 40" xfId="2800"/>
    <cellStyle name="20% - Accent6 6 41" xfId="2801"/>
    <cellStyle name="20% - Accent6 6 5" xfId="2802"/>
    <cellStyle name="20% - Accent6 6 6" xfId="2803"/>
    <cellStyle name="20% - Accent6 6 7" xfId="2804"/>
    <cellStyle name="20% - Accent6 6 8" xfId="2805"/>
    <cellStyle name="20% - Accent6 6 9" xfId="2806"/>
    <cellStyle name="20% - Accent6 7" xfId="2807"/>
    <cellStyle name="20% - Accent6 7 10" xfId="2808"/>
    <cellStyle name="20% - Accent6 7 11" xfId="2809"/>
    <cellStyle name="20% - Accent6 7 12" xfId="2810"/>
    <cellStyle name="20% - Accent6 7 13" xfId="2811"/>
    <cellStyle name="20% - Accent6 7 14" xfId="2812"/>
    <cellStyle name="20% - Accent6 7 15" xfId="2813"/>
    <cellStyle name="20% - Accent6 7 16" xfId="2814"/>
    <cellStyle name="20% - Accent6 7 17" xfId="2815"/>
    <cellStyle name="20% - Accent6 7 18" xfId="2816"/>
    <cellStyle name="20% - Accent6 7 19" xfId="2817"/>
    <cellStyle name="20% - Accent6 7 2" xfId="2818"/>
    <cellStyle name="20% - Accent6 7 20" xfId="2819"/>
    <cellStyle name="20% - Accent6 7 21" xfId="2820"/>
    <cellStyle name="20% - Accent6 7 22" xfId="2821"/>
    <cellStyle name="20% - Accent6 7 23" xfId="2822"/>
    <cellStyle name="20% - Accent6 7 24" xfId="2823"/>
    <cellStyle name="20% - Accent6 7 25" xfId="2824"/>
    <cellStyle name="20% - Accent6 7 26" xfId="2825"/>
    <cellStyle name="20% - Accent6 7 27" xfId="2826"/>
    <cellStyle name="20% - Accent6 7 28" xfId="2827"/>
    <cellStyle name="20% - Accent6 7 29" xfId="2828"/>
    <cellStyle name="20% - Accent6 7 3" xfId="2829"/>
    <cellStyle name="20% - Accent6 7 30" xfId="2830"/>
    <cellStyle name="20% - Accent6 7 31" xfId="2831"/>
    <cellStyle name="20% - Accent6 7 32" xfId="2832"/>
    <cellStyle name="20% - Accent6 7 33" xfId="2833"/>
    <cellStyle name="20% - Accent6 7 34" xfId="2834"/>
    <cellStyle name="20% - Accent6 7 35" xfId="2835"/>
    <cellStyle name="20% - Accent6 7 36" xfId="2836"/>
    <cellStyle name="20% - Accent6 7 37" xfId="2837"/>
    <cellStyle name="20% - Accent6 7 38" xfId="2838"/>
    <cellStyle name="20% - Accent6 7 39" xfId="2839"/>
    <cellStyle name="20% - Accent6 7 4" xfId="2840"/>
    <cellStyle name="20% - Accent6 7 40" xfId="2841"/>
    <cellStyle name="20% - Accent6 7 41" xfId="2842"/>
    <cellStyle name="20% - Accent6 7 5" xfId="2843"/>
    <cellStyle name="20% - Accent6 7 6" xfId="2844"/>
    <cellStyle name="20% - Accent6 7 7" xfId="2845"/>
    <cellStyle name="20% - Accent6 7 8" xfId="2846"/>
    <cellStyle name="20% - Accent6 7 9" xfId="2847"/>
    <cellStyle name="20% - Accent6 8" xfId="2848"/>
    <cellStyle name="20% - Accent6 8 10" xfId="2849"/>
    <cellStyle name="20% - Accent6 8 11" xfId="2850"/>
    <cellStyle name="20% - Accent6 8 12" xfId="2851"/>
    <cellStyle name="20% - Accent6 8 13" xfId="2852"/>
    <cellStyle name="20% - Accent6 8 14" xfId="2853"/>
    <cellStyle name="20% - Accent6 8 15" xfId="2854"/>
    <cellStyle name="20% - Accent6 8 16" xfId="2855"/>
    <cellStyle name="20% - Accent6 8 17" xfId="2856"/>
    <cellStyle name="20% - Accent6 8 18" xfId="2857"/>
    <cellStyle name="20% - Accent6 8 19" xfId="2858"/>
    <cellStyle name="20% - Accent6 8 2" xfId="2859"/>
    <cellStyle name="20% - Accent6 8 20" xfId="2860"/>
    <cellStyle name="20% - Accent6 8 21" xfId="2861"/>
    <cellStyle name="20% - Accent6 8 22" xfId="2862"/>
    <cellStyle name="20% - Accent6 8 23" xfId="2863"/>
    <cellStyle name="20% - Accent6 8 24" xfId="2864"/>
    <cellStyle name="20% - Accent6 8 25" xfId="2865"/>
    <cellStyle name="20% - Accent6 8 26" xfId="2866"/>
    <cellStyle name="20% - Accent6 8 27" xfId="2867"/>
    <cellStyle name="20% - Accent6 8 28" xfId="2868"/>
    <cellStyle name="20% - Accent6 8 29" xfId="2869"/>
    <cellStyle name="20% - Accent6 8 3" xfId="2870"/>
    <cellStyle name="20% - Accent6 8 30" xfId="2871"/>
    <cellStyle name="20% - Accent6 8 31" xfId="2872"/>
    <cellStyle name="20% - Accent6 8 32" xfId="2873"/>
    <cellStyle name="20% - Accent6 8 33" xfId="2874"/>
    <cellStyle name="20% - Accent6 8 34" xfId="2875"/>
    <cellStyle name="20% - Accent6 8 35" xfId="2876"/>
    <cellStyle name="20% - Accent6 8 36" xfId="2877"/>
    <cellStyle name="20% - Accent6 8 37" xfId="2878"/>
    <cellStyle name="20% - Accent6 8 38" xfId="2879"/>
    <cellStyle name="20% - Accent6 8 39" xfId="2880"/>
    <cellStyle name="20% - Accent6 8 4" xfId="2881"/>
    <cellStyle name="20% - Accent6 8 40" xfId="2882"/>
    <cellStyle name="20% - Accent6 8 41" xfId="2883"/>
    <cellStyle name="20% - Accent6 8 5" xfId="2884"/>
    <cellStyle name="20% - Accent6 8 6" xfId="2885"/>
    <cellStyle name="20% - Accent6 8 7" xfId="2886"/>
    <cellStyle name="20% - Accent6 8 8" xfId="2887"/>
    <cellStyle name="20% - Accent6 8 9" xfId="2888"/>
    <cellStyle name="20% - Accent6 9" xfId="2889"/>
    <cellStyle name="20% - Accent6 9 10" xfId="2890"/>
    <cellStyle name="20% - Accent6 9 11" xfId="2891"/>
    <cellStyle name="20% - Accent6 9 12" xfId="2892"/>
    <cellStyle name="20% - Accent6 9 13" xfId="2893"/>
    <cellStyle name="20% - Accent6 9 14" xfId="2894"/>
    <cellStyle name="20% - Accent6 9 15" xfId="2895"/>
    <cellStyle name="20% - Accent6 9 16" xfId="2896"/>
    <cellStyle name="20% - Accent6 9 17" xfId="2897"/>
    <cellStyle name="20% - Accent6 9 18" xfId="2898"/>
    <cellStyle name="20% - Accent6 9 19" xfId="2899"/>
    <cellStyle name="20% - Accent6 9 2" xfId="2900"/>
    <cellStyle name="20% - Accent6 9 20" xfId="2901"/>
    <cellStyle name="20% - Accent6 9 21" xfId="2902"/>
    <cellStyle name="20% - Accent6 9 22" xfId="2903"/>
    <cellStyle name="20% - Accent6 9 23" xfId="2904"/>
    <cellStyle name="20% - Accent6 9 24" xfId="2905"/>
    <cellStyle name="20% - Accent6 9 25" xfId="2906"/>
    <cellStyle name="20% - Accent6 9 26" xfId="2907"/>
    <cellStyle name="20% - Accent6 9 27" xfId="2908"/>
    <cellStyle name="20% - Accent6 9 28" xfId="2909"/>
    <cellStyle name="20% - Accent6 9 29" xfId="2910"/>
    <cellStyle name="20% - Accent6 9 3" xfId="2911"/>
    <cellStyle name="20% - Accent6 9 30" xfId="2912"/>
    <cellStyle name="20% - Accent6 9 31" xfId="2913"/>
    <cellStyle name="20% - Accent6 9 32" xfId="2914"/>
    <cellStyle name="20% - Accent6 9 33" xfId="2915"/>
    <cellStyle name="20% - Accent6 9 34" xfId="2916"/>
    <cellStyle name="20% - Accent6 9 35" xfId="2917"/>
    <cellStyle name="20% - Accent6 9 36" xfId="2918"/>
    <cellStyle name="20% - Accent6 9 37" xfId="2919"/>
    <cellStyle name="20% - Accent6 9 38" xfId="2920"/>
    <cellStyle name="20% - Accent6 9 39" xfId="2921"/>
    <cellStyle name="20% - Accent6 9 4" xfId="2922"/>
    <cellStyle name="20% - Accent6 9 40" xfId="2923"/>
    <cellStyle name="20% - Accent6 9 41" xfId="2924"/>
    <cellStyle name="20% - Accent6 9 5" xfId="2925"/>
    <cellStyle name="20% - Accent6 9 6" xfId="2926"/>
    <cellStyle name="20% - Accent6 9 7" xfId="2927"/>
    <cellStyle name="20% - Accent6 9 8" xfId="2928"/>
    <cellStyle name="20% - Accent6 9 9" xfId="2929"/>
    <cellStyle name="40% - Accent1" xfId="20" builtinId="31" customBuiltin="1"/>
    <cellStyle name="40% - Accent1 10" xfId="2930"/>
    <cellStyle name="40% - Accent1 10 10" xfId="2931"/>
    <cellStyle name="40% - Accent1 10 11" xfId="2932"/>
    <cellStyle name="40% - Accent1 10 12" xfId="2933"/>
    <cellStyle name="40% - Accent1 10 13" xfId="2934"/>
    <cellStyle name="40% - Accent1 10 14" xfId="2935"/>
    <cellStyle name="40% - Accent1 10 15" xfId="2936"/>
    <cellStyle name="40% - Accent1 10 16" xfId="2937"/>
    <cellStyle name="40% - Accent1 10 17" xfId="2938"/>
    <cellStyle name="40% - Accent1 10 18" xfId="2939"/>
    <cellStyle name="40% - Accent1 10 19" xfId="2940"/>
    <cellStyle name="40% - Accent1 10 2" xfId="2941"/>
    <cellStyle name="40% - Accent1 10 20" xfId="2942"/>
    <cellStyle name="40% - Accent1 10 21" xfId="2943"/>
    <cellStyle name="40% - Accent1 10 22" xfId="2944"/>
    <cellStyle name="40% - Accent1 10 23" xfId="2945"/>
    <cellStyle name="40% - Accent1 10 24" xfId="2946"/>
    <cellStyle name="40% - Accent1 10 25" xfId="2947"/>
    <cellStyle name="40% - Accent1 10 26" xfId="2948"/>
    <cellStyle name="40% - Accent1 10 27" xfId="2949"/>
    <cellStyle name="40% - Accent1 10 28" xfId="2950"/>
    <cellStyle name="40% - Accent1 10 29" xfId="2951"/>
    <cellStyle name="40% - Accent1 10 3" xfId="2952"/>
    <cellStyle name="40% - Accent1 10 30" xfId="2953"/>
    <cellStyle name="40% - Accent1 10 31" xfId="2954"/>
    <cellStyle name="40% - Accent1 10 32" xfId="2955"/>
    <cellStyle name="40% - Accent1 10 33" xfId="2956"/>
    <cellStyle name="40% - Accent1 10 34" xfId="2957"/>
    <cellStyle name="40% - Accent1 10 35" xfId="2958"/>
    <cellStyle name="40% - Accent1 10 36" xfId="2959"/>
    <cellStyle name="40% - Accent1 10 37" xfId="2960"/>
    <cellStyle name="40% - Accent1 10 38" xfId="2961"/>
    <cellStyle name="40% - Accent1 10 39" xfId="2962"/>
    <cellStyle name="40% - Accent1 10 4" xfId="2963"/>
    <cellStyle name="40% - Accent1 10 40" xfId="2964"/>
    <cellStyle name="40% - Accent1 10 41" xfId="2965"/>
    <cellStyle name="40% - Accent1 10 5" xfId="2966"/>
    <cellStyle name="40% - Accent1 10 6" xfId="2967"/>
    <cellStyle name="40% - Accent1 10 7" xfId="2968"/>
    <cellStyle name="40% - Accent1 10 8" xfId="2969"/>
    <cellStyle name="40% - Accent1 10 9" xfId="2970"/>
    <cellStyle name="40% - Accent1 11" xfId="2971"/>
    <cellStyle name="40% - Accent1 11 10" xfId="2972"/>
    <cellStyle name="40% - Accent1 11 11" xfId="2973"/>
    <cellStyle name="40% - Accent1 11 12" xfId="2974"/>
    <cellStyle name="40% - Accent1 11 13" xfId="2975"/>
    <cellStyle name="40% - Accent1 11 14" xfId="2976"/>
    <cellStyle name="40% - Accent1 11 15" xfId="2977"/>
    <cellStyle name="40% - Accent1 11 16" xfId="2978"/>
    <cellStyle name="40% - Accent1 11 17" xfId="2979"/>
    <cellStyle name="40% - Accent1 11 18" xfId="2980"/>
    <cellStyle name="40% - Accent1 11 19" xfId="2981"/>
    <cellStyle name="40% - Accent1 11 2" xfId="2982"/>
    <cellStyle name="40% - Accent1 11 20" xfId="2983"/>
    <cellStyle name="40% - Accent1 11 21" xfId="2984"/>
    <cellStyle name="40% - Accent1 11 22" xfId="2985"/>
    <cellStyle name="40% - Accent1 11 23" xfId="2986"/>
    <cellStyle name="40% - Accent1 11 24" xfId="2987"/>
    <cellStyle name="40% - Accent1 11 25" xfId="2988"/>
    <cellStyle name="40% - Accent1 11 26" xfId="2989"/>
    <cellStyle name="40% - Accent1 11 27" xfId="2990"/>
    <cellStyle name="40% - Accent1 11 28" xfId="2991"/>
    <cellStyle name="40% - Accent1 11 29" xfId="2992"/>
    <cellStyle name="40% - Accent1 11 3" xfId="2993"/>
    <cellStyle name="40% - Accent1 11 30" xfId="2994"/>
    <cellStyle name="40% - Accent1 11 31" xfId="2995"/>
    <cellStyle name="40% - Accent1 11 32" xfId="2996"/>
    <cellStyle name="40% - Accent1 11 33" xfId="2997"/>
    <cellStyle name="40% - Accent1 11 34" xfId="2998"/>
    <cellStyle name="40% - Accent1 11 35" xfId="2999"/>
    <cellStyle name="40% - Accent1 11 36" xfId="3000"/>
    <cellStyle name="40% - Accent1 11 37" xfId="3001"/>
    <cellStyle name="40% - Accent1 11 38" xfId="3002"/>
    <cellStyle name="40% - Accent1 11 39" xfId="3003"/>
    <cellStyle name="40% - Accent1 11 4" xfId="3004"/>
    <cellStyle name="40% - Accent1 11 40" xfId="3005"/>
    <cellStyle name="40% - Accent1 11 41" xfId="3006"/>
    <cellStyle name="40% - Accent1 11 5" xfId="3007"/>
    <cellStyle name="40% - Accent1 11 6" xfId="3008"/>
    <cellStyle name="40% - Accent1 11 7" xfId="3009"/>
    <cellStyle name="40% - Accent1 11 8" xfId="3010"/>
    <cellStyle name="40% - Accent1 11 9" xfId="3011"/>
    <cellStyle name="40% - Accent1 12" xfId="3012"/>
    <cellStyle name="40% - Accent1 12 10" xfId="3013"/>
    <cellStyle name="40% - Accent1 12 11" xfId="3014"/>
    <cellStyle name="40% - Accent1 12 12" xfId="3015"/>
    <cellStyle name="40% - Accent1 12 13" xfId="3016"/>
    <cellStyle name="40% - Accent1 12 14" xfId="3017"/>
    <cellStyle name="40% - Accent1 12 15" xfId="3018"/>
    <cellStyle name="40% - Accent1 12 16" xfId="3019"/>
    <cellStyle name="40% - Accent1 12 17" xfId="3020"/>
    <cellStyle name="40% - Accent1 12 18" xfId="3021"/>
    <cellStyle name="40% - Accent1 12 19" xfId="3022"/>
    <cellStyle name="40% - Accent1 12 2" xfId="3023"/>
    <cellStyle name="40% - Accent1 12 20" xfId="3024"/>
    <cellStyle name="40% - Accent1 12 21" xfId="3025"/>
    <cellStyle name="40% - Accent1 12 22" xfId="3026"/>
    <cellStyle name="40% - Accent1 12 23" xfId="3027"/>
    <cellStyle name="40% - Accent1 12 24" xfId="3028"/>
    <cellStyle name="40% - Accent1 12 25" xfId="3029"/>
    <cellStyle name="40% - Accent1 12 26" xfId="3030"/>
    <cellStyle name="40% - Accent1 12 27" xfId="3031"/>
    <cellStyle name="40% - Accent1 12 28" xfId="3032"/>
    <cellStyle name="40% - Accent1 12 29" xfId="3033"/>
    <cellStyle name="40% - Accent1 12 3" xfId="3034"/>
    <cellStyle name="40% - Accent1 12 30" xfId="3035"/>
    <cellStyle name="40% - Accent1 12 31" xfId="3036"/>
    <cellStyle name="40% - Accent1 12 32" xfId="3037"/>
    <cellStyle name="40% - Accent1 12 33" xfId="3038"/>
    <cellStyle name="40% - Accent1 12 34" xfId="3039"/>
    <cellStyle name="40% - Accent1 12 35" xfId="3040"/>
    <cellStyle name="40% - Accent1 12 36" xfId="3041"/>
    <cellStyle name="40% - Accent1 12 37" xfId="3042"/>
    <cellStyle name="40% - Accent1 12 38" xfId="3043"/>
    <cellStyle name="40% - Accent1 12 39" xfId="3044"/>
    <cellStyle name="40% - Accent1 12 4" xfId="3045"/>
    <cellStyle name="40% - Accent1 12 40" xfId="3046"/>
    <cellStyle name="40% - Accent1 12 41" xfId="3047"/>
    <cellStyle name="40% - Accent1 12 5" xfId="3048"/>
    <cellStyle name="40% - Accent1 12 6" xfId="3049"/>
    <cellStyle name="40% - Accent1 12 7" xfId="3050"/>
    <cellStyle name="40% - Accent1 12 8" xfId="3051"/>
    <cellStyle name="40% - Accent1 12 9" xfId="3052"/>
    <cellStyle name="40% - Accent1 13" xfId="3053"/>
    <cellStyle name="40% - Accent1 14" xfId="3054"/>
    <cellStyle name="40% - Accent1 14 2" xfId="3055"/>
    <cellStyle name="40% - Accent1 15" xfId="3056"/>
    <cellStyle name="40% - Accent1 2" xfId="3057"/>
    <cellStyle name="40% - Accent1 2 10" xfId="3058"/>
    <cellStyle name="40% - Accent1 2 11" xfId="3059"/>
    <cellStyle name="40% - Accent1 2 12" xfId="3060"/>
    <cellStyle name="40% - Accent1 2 13" xfId="3061"/>
    <cellStyle name="40% - Accent1 2 14" xfId="3062"/>
    <cellStyle name="40% - Accent1 2 15" xfId="3063"/>
    <cellStyle name="40% - Accent1 2 16" xfId="3064"/>
    <cellStyle name="40% - Accent1 2 17" xfId="3065"/>
    <cellStyle name="40% - Accent1 2 18" xfId="3066"/>
    <cellStyle name="40% - Accent1 2 19" xfId="3067"/>
    <cellStyle name="40% - Accent1 2 2" xfId="3068"/>
    <cellStyle name="40% - Accent1 2 2 2" xfId="3069"/>
    <cellStyle name="40% - Accent1 2 2 2 2" xfId="3070"/>
    <cellStyle name="40% - Accent1 2 2 3" xfId="3071"/>
    <cellStyle name="40% - Accent1 2 2 4" xfId="3072"/>
    <cellStyle name="40% - Accent1 2 2 5" xfId="3073"/>
    <cellStyle name="40% - Accent1 2 20" xfId="3074"/>
    <cellStyle name="40% - Accent1 2 21" xfId="3075"/>
    <cellStyle name="40% - Accent1 2 22" xfId="3076"/>
    <cellStyle name="40% - Accent1 2 23" xfId="3077"/>
    <cellStyle name="40% - Accent1 2 24" xfId="3078"/>
    <cellStyle name="40% - Accent1 2 25" xfId="3079"/>
    <cellStyle name="40% - Accent1 2 26" xfId="3080"/>
    <cellStyle name="40% - Accent1 2 27" xfId="3081"/>
    <cellStyle name="40% - Accent1 2 28" xfId="3082"/>
    <cellStyle name="40% - Accent1 2 29" xfId="3083"/>
    <cellStyle name="40% - Accent1 2 3" xfId="3084"/>
    <cellStyle name="40% - Accent1 2 3 2" xfId="3085"/>
    <cellStyle name="40% - Accent1 2 3 3" xfId="3086"/>
    <cellStyle name="40% - Accent1 2 3 4" xfId="3087"/>
    <cellStyle name="40% - Accent1 2 3 5" xfId="3088"/>
    <cellStyle name="40% - Accent1 2 3 6" xfId="3089"/>
    <cellStyle name="40% - Accent1 2 30" xfId="3090"/>
    <cellStyle name="40% - Accent1 2 31" xfId="3091"/>
    <cellStyle name="40% - Accent1 2 32" xfId="3092"/>
    <cellStyle name="40% - Accent1 2 33" xfId="3093"/>
    <cellStyle name="40% - Accent1 2 34" xfId="3094"/>
    <cellStyle name="40% - Accent1 2 35" xfId="3095"/>
    <cellStyle name="40% - Accent1 2 36" xfId="3096"/>
    <cellStyle name="40% - Accent1 2 37" xfId="3097"/>
    <cellStyle name="40% - Accent1 2 38" xfId="3098"/>
    <cellStyle name="40% - Accent1 2 39" xfId="3099"/>
    <cellStyle name="40% - Accent1 2 4" xfId="3100"/>
    <cellStyle name="40% - Accent1 2 40" xfId="3101"/>
    <cellStyle name="40% - Accent1 2 41" xfId="3102"/>
    <cellStyle name="40% - Accent1 2 42" xfId="3103"/>
    <cellStyle name="40% - Accent1 2 43" xfId="3104"/>
    <cellStyle name="40% - Accent1 2 44" xfId="3105"/>
    <cellStyle name="40% - Accent1 2 45" xfId="3106"/>
    <cellStyle name="40% - Accent1 2 5" xfId="3107"/>
    <cellStyle name="40% - Accent1 2 6" xfId="3108"/>
    <cellStyle name="40% - Accent1 2 7" xfId="3109"/>
    <cellStyle name="40% - Accent1 2 8" xfId="3110"/>
    <cellStyle name="40% - Accent1 2 9" xfId="3111"/>
    <cellStyle name="40% - Accent1 3" xfId="3112"/>
    <cellStyle name="40% - Accent1 3 10" xfId="3113"/>
    <cellStyle name="40% - Accent1 3 11" xfId="3114"/>
    <cellStyle name="40% - Accent1 3 12" xfId="3115"/>
    <cellStyle name="40% - Accent1 3 13" xfId="3116"/>
    <cellStyle name="40% - Accent1 3 14" xfId="3117"/>
    <cellStyle name="40% - Accent1 3 15" xfId="3118"/>
    <cellStyle name="40% - Accent1 3 16" xfId="3119"/>
    <cellStyle name="40% - Accent1 3 17" xfId="3120"/>
    <cellStyle name="40% - Accent1 3 18" xfId="3121"/>
    <cellStyle name="40% - Accent1 3 19" xfId="3122"/>
    <cellStyle name="40% - Accent1 3 2" xfId="3123"/>
    <cellStyle name="40% - Accent1 3 20" xfId="3124"/>
    <cellStyle name="40% - Accent1 3 21" xfId="3125"/>
    <cellStyle name="40% - Accent1 3 22" xfId="3126"/>
    <cellStyle name="40% - Accent1 3 23" xfId="3127"/>
    <cellStyle name="40% - Accent1 3 24" xfId="3128"/>
    <cellStyle name="40% - Accent1 3 25" xfId="3129"/>
    <cellStyle name="40% - Accent1 3 26" xfId="3130"/>
    <cellStyle name="40% - Accent1 3 27" xfId="3131"/>
    <cellStyle name="40% - Accent1 3 28" xfId="3132"/>
    <cellStyle name="40% - Accent1 3 29" xfId="3133"/>
    <cellStyle name="40% - Accent1 3 3" xfId="3134"/>
    <cellStyle name="40% - Accent1 3 30" xfId="3135"/>
    <cellStyle name="40% - Accent1 3 31" xfId="3136"/>
    <cellStyle name="40% - Accent1 3 32" xfId="3137"/>
    <cellStyle name="40% - Accent1 3 33" xfId="3138"/>
    <cellStyle name="40% - Accent1 3 34" xfId="3139"/>
    <cellStyle name="40% - Accent1 3 35" xfId="3140"/>
    <cellStyle name="40% - Accent1 3 36" xfId="3141"/>
    <cellStyle name="40% - Accent1 3 37" xfId="3142"/>
    <cellStyle name="40% - Accent1 3 38" xfId="3143"/>
    <cellStyle name="40% - Accent1 3 39" xfId="3144"/>
    <cellStyle name="40% - Accent1 3 4" xfId="3145"/>
    <cellStyle name="40% - Accent1 3 40" xfId="3146"/>
    <cellStyle name="40% - Accent1 3 41" xfId="3147"/>
    <cellStyle name="40% - Accent1 3 42" xfId="3148"/>
    <cellStyle name="40% - Accent1 3 43" xfId="3149"/>
    <cellStyle name="40% - Accent1 3 44" xfId="3150"/>
    <cellStyle name="40% - Accent1 3 45" xfId="3151"/>
    <cellStyle name="40% - Accent1 3 5" xfId="3152"/>
    <cellStyle name="40% - Accent1 3 6" xfId="3153"/>
    <cellStyle name="40% - Accent1 3 7" xfId="3154"/>
    <cellStyle name="40% - Accent1 3 8" xfId="3155"/>
    <cellStyle name="40% - Accent1 3 9" xfId="3156"/>
    <cellStyle name="40% - Accent1 4" xfId="3157"/>
    <cellStyle name="40% - Accent1 4 10" xfId="3158"/>
    <cellStyle name="40% - Accent1 4 11" xfId="3159"/>
    <cellStyle name="40% - Accent1 4 12" xfId="3160"/>
    <cellStyle name="40% - Accent1 4 13" xfId="3161"/>
    <cellStyle name="40% - Accent1 4 14" xfId="3162"/>
    <cellStyle name="40% - Accent1 4 15" xfId="3163"/>
    <cellStyle name="40% - Accent1 4 16" xfId="3164"/>
    <cellStyle name="40% - Accent1 4 17" xfId="3165"/>
    <cellStyle name="40% - Accent1 4 18" xfId="3166"/>
    <cellStyle name="40% - Accent1 4 19" xfId="3167"/>
    <cellStyle name="40% - Accent1 4 2" xfId="3168"/>
    <cellStyle name="40% - Accent1 4 20" xfId="3169"/>
    <cellStyle name="40% - Accent1 4 21" xfId="3170"/>
    <cellStyle name="40% - Accent1 4 22" xfId="3171"/>
    <cellStyle name="40% - Accent1 4 23" xfId="3172"/>
    <cellStyle name="40% - Accent1 4 24" xfId="3173"/>
    <cellStyle name="40% - Accent1 4 25" xfId="3174"/>
    <cellStyle name="40% - Accent1 4 26" xfId="3175"/>
    <cellStyle name="40% - Accent1 4 27" xfId="3176"/>
    <cellStyle name="40% - Accent1 4 28" xfId="3177"/>
    <cellStyle name="40% - Accent1 4 29" xfId="3178"/>
    <cellStyle name="40% - Accent1 4 3" xfId="3179"/>
    <cellStyle name="40% - Accent1 4 30" xfId="3180"/>
    <cellStyle name="40% - Accent1 4 31" xfId="3181"/>
    <cellStyle name="40% - Accent1 4 32" xfId="3182"/>
    <cellStyle name="40% - Accent1 4 33" xfId="3183"/>
    <cellStyle name="40% - Accent1 4 34" xfId="3184"/>
    <cellStyle name="40% - Accent1 4 35" xfId="3185"/>
    <cellStyle name="40% - Accent1 4 36" xfId="3186"/>
    <cellStyle name="40% - Accent1 4 37" xfId="3187"/>
    <cellStyle name="40% - Accent1 4 38" xfId="3188"/>
    <cellStyle name="40% - Accent1 4 39" xfId="3189"/>
    <cellStyle name="40% - Accent1 4 4" xfId="3190"/>
    <cellStyle name="40% - Accent1 4 40" xfId="3191"/>
    <cellStyle name="40% - Accent1 4 41" xfId="3192"/>
    <cellStyle name="40% - Accent1 4 5" xfId="3193"/>
    <cellStyle name="40% - Accent1 4 6" xfId="3194"/>
    <cellStyle name="40% - Accent1 4 7" xfId="3195"/>
    <cellStyle name="40% - Accent1 4 8" xfId="3196"/>
    <cellStyle name="40% - Accent1 4 9" xfId="3197"/>
    <cellStyle name="40% - Accent1 5" xfId="3198"/>
    <cellStyle name="40% - Accent1 5 10" xfId="3199"/>
    <cellStyle name="40% - Accent1 5 11" xfId="3200"/>
    <cellStyle name="40% - Accent1 5 12" xfId="3201"/>
    <cellStyle name="40% - Accent1 5 13" xfId="3202"/>
    <cellStyle name="40% - Accent1 5 14" xfId="3203"/>
    <cellStyle name="40% - Accent1 5 15" xfId="3204"/>
    <cellStyle name="40% - Accent1 5 16" xfId="3205"/>
    <cellStyle name="40% - Accent1 5 17" xfId="3206"/>
    <cellStyle name="40% - Accent1 5 18" xfId="3207"/>
    <cellStyle name="40% - Accent1 5 19" xfId="3208"/>
    <cellStyle name="40% - Accent1 5 2" xfId="3209"/>
    <cellStyle name="40% - Accent1 5 20" xfId="3210"/>
    <cellStyle name="40% - Accent1 5 21" xfId="3211"/>
    <cellStyle name="40% - Accent1 5 22" xfId="3212"/>
    <cellStyle name="40% - Accent1 5 23" xfId="3213"/>
    <cellStyle name="40% - Accent1 5 24" xfId="3214"/>
    <cellStyle name="40% - Accent1 5 25" xfId="3215"/>
    <cellStyle name="40% - Accent1 5 26" xfId="3216"/>
    <cellStyle name="40% - Accent1 5 27" xfId="3217"/>
    <cellStyle name="40% - Accent1 5 28" xfId="3218"/>
    <cellStyle name="40% - Accent1 5 29" xfId="3219"/>
    <cellStyle name="40% - Accent1 5 3" xfId="3220"/>
    <cellStyle name="40% - Accent1 5 30" xfId="3221"/>
    <cellStyle name="40% - Accent1 5 31" xfId="3222"/>
    <cellStyle name="40% - Accent1 5 32" xfId="3223"/>
    <cellStyle name="40% - Accent1 5 33" xfId="3224"/>
    <cellStyle name="40% - Accent1 5 34" xfId="3225"/>
    <cellStyle name="40% - Accent1 5 35" xfId="3226"/>
    <cellStyle name="40% - Accent1 5 36" xfId="3227"/>
    <cellStyle name="40% - Accent1 5 37" xfId="3228"/>
    <cellStyle name="40% - Accent1 5 38" xfId="3229"/>
    <cellStyle name="40% - Accent1 5 39" xfId="3230"/>
    <cellStyle name="40% - Accent1 5 4" xfId="3231"/>
    <cellStyle name="40% - Accent1 5 40" xfId="3232"/>
    <cellStyle name="40% - Accent1 5 41" xfId="3233"/>
    <cellStyle name="40% - Accent1 5 5" xfId="3234"/>
    <cellStyle name="40% - Accent1 5 6" xfId="3235"/>
    <cellStyle name="40% - Accent1 5 7" xfId="3236"/>
    <cellStyle name="40% - Accent1 5 8" xfId="3237"/>
    <cellStyle name="40% - Accent1 5 9" xfId="3238"/>
    <cellStyle name="40% - Accent1 6" xfId="3239"/>
    <cellStyle name="40% - Accent1 6 10" xfId="3240"/>
    <cellStyle name="40% - Accent1 6 11" xfId="3241"/>
    <cellStyle name="40% - Accent1 6 12" xfId="3242"/>
    <cellStyle name="40% - Accent1 6 13" xfId="3243"/>
    <cellStyle name="40% - Accent1 6 14" xfId="3244"/>
    <cellStyle name="40% - Accent1 6 15" xfId="3245"/>
    <cellStyle name="40% - Accent1 6 16" xfId="3246"/>
    <cellStyle name="40% - Accent1 6 17" xfId="3247"/>
    <cellStyle name="40% - Accent1 6 18" xfId="3248"/>
    <cellStyle name="40% - Accent1 7" xfId="3249"/>
    <cellStyle name="40% - Accent2" xfId="24" builtinId="35" customBuiltin="1"/>
    <cellStyle name="40% - Accent2 2" xfId="3250"/>
    <cellStyle name="40% - Accent2 3" xfId="3251"/>
    <cellStyle name="40% - Accent2 4" xfId="3252"/>
    <cellStyle name="40% - Accent2 5" xfId="3253"/>
    <cellStyle name="40% - Accent2 6" xfId="3254"/>
    <cellStyle name="40% - Accent3" xfId="28" builtinId="39" customBuiltin="1"/>
    <cellStyle name="40% - Accent3 2" xfId="3255"/>
    <cellStyle name="40% - Accent3 3" xfId="3256"/>
    <cellStyle name="40% - Accent3 4" xfId="3257"/>
    <cellStyle name="40% - Accent3 5" xfId="3258"/>
    <cellStyle name="40% - Accent3 6" xfId="3259"/>
    <cellStyle name="40% - Accent4" xfId="32" builtinId="43" customBuiltin="1"/>
    <cellStyle name="40% - Accent4 2" xfId="3260"/>
    <cellStyle name="40% - Accent4 3" xfId="3261"/>
    <cellStyle name="40% - Accent4 4" xfId="3262"/>
    <cellStyle name="40% - Accent4 5" xfId="3263"/>
    <cellStyle name="40% - Accent4 6" xfId="3264"/>
    <cellStyle name="40% - Accent5" xfId="36" builtinId="47" customBuiltin="1"/>
    <cellStyle name="40% - Accent5 2" xfId="3265"/>
    <cellStyle name="40% - Accent5 3" xfId="3266"/>
    <cellStyle name="40% - Accent5 4" xfId="3267"/>
    <cellStyle name="40% - Accent5 5" xfId="3268"/>
    <cellStyle name="40% - Accent5 6" xfId="3269"/>
    <cellStyle name="40% - Accent6" xfId="40" builtinId="51" customBuiltin="1"/>
    <cellStyle name="40% - Accent6 2" xfId="3270"/>
    <cellStyle name="40% - Accent6 3" xfId="3271"/>
    <cellStyle name="40% - Accent6 4" xfId="3272"/>
    <cellStyle name="40% - Accent6 5" xfId="3273"/>
    <cellStyle name="40% - Accent6 6" xfId="3274"/>
    <cellStyle name="60% - Accent1" xfId="21" builtinId="32" customBuiltin="1"/>
    <cellStyle name="60% - Accent1 2" xfId="3275"/>
    <cellStyle name="60% - Accent1 3" xfId="3276"/>
    <cellStyle name="60% - Accent1 4" xfId="3277"/>
    <cellStyle name="60% - Accent1 5" xfId="3278"/>
    <cellStyle name="60% - Accent1 6" xfId="3279"/>
    <cellStyle name="60% - Accent2" xfId="25" builtinId="36" customBuiltin="1"/>
    <cellStyle name="60% - Accent2 2" xfId="3280"/>
    <cellStyle name="60% - Accent2 3" xfId="3281"/>
    <cellStyle name="60% - Accent2 4" xfId="3282"/>
    <cellStyle name="60% - Accent2 5" xfId="3283"/>
    <cellStyle name="60% - Accent2 6" xfId="3284"/>
    <cellStyle name="60% - Accent3" xfId="29" builtinId="40" customBuiltin="1"/>
    <cellStyle name="60% - Accent3 2" xfId="3285"/>
    <cellStyle name="60% - Accent3 3" xfId="3286"/>
    <cellStyle name="60% - Accent3 4" xfId="3287"/>
    <cellStyle name="60% - Accent3 5" xfId="3288"/>
    <cellStyle name="60% - Accent3 6" xfId="3289"/>
    <cellStyle name="60% - Accent4" xfId="33" builtinId="44" customBuiltin="1"/>
    <cellStyle name="60% - Accent4 2" xfId="3290"/>
    <cellStyle name="60% - Accent4 3" xfId="3291"/>
    <cellStyle name="60% - Accent4 4" xfId="3292"/>
    <cellStyle name="60% - Accent4 5" xfId="3293"/>
    <cellStyle name="60% - Accent4 6" xfId="3294"/>
    <cellStyle name="60% - Accent5" xfId="37" builtinId="48" customBuiltin="1"/>
    <cellStyle name="60% - Accent5 2" xfId="3295"/>
    <cellStyle name="60% - Accent5 3" xfId="3296"/>
    <cellStyle name="60% - Accent5 4" xfId="3297"/>
    <cellStyle name="60% - Accent5 5" xfId="3298"/>
    <cellStyle name="60% - Accent5 6" xfId="3299"/>
    <cellStyle name="60% - Accent6" xfId="41" builtinId="52" customBuiltin="1"/>
    <cellStyle name="60% - Accent6 2" xfId="3300"/>
    <cellStyle name="60% - Accent6 3" xfId="3301"/>
    <cellStyle name="60% - Accent6 4" xfId="3302"/>
    <cellStyle name="60% - Accent6 5" xfId="3303"/>
    <cellStyle name="60% - Accent6 6" xfId="3304"/>
    <cellStyle name="Accent1" xfId="18" builtinId="29" customBuiltin="1"/>
    <cellStyle name="Accent1 2" xfId="3305"/>
    <cellStyle name="Accent1 3" xfId="3306"/>
    <cellStyle name="Accent1 4" xfId="3307"/>
    <cellStyle name="Accent1 5" xfId="3308"/>
    <cellStyle name="Accent1 6" xfId="3309"/>
    <cellStyle name="Accent2" xfId="22" builtinId="33" customBuiltin="1"/>
    <cellStyle name="Accent2 2" xfId="3310"/>
    <cellStyle name="Accent2 3" xfId="3311"/>
    <cellStyle name="Accent2 4" xfId="3312"/>
    <cellStyle name="Accent2 5" xfId="3313"/>
    <cellStyle name="Accent2 6" xfId="3314"/>
    <cellStyle name="Accent3" xfId="26" builtinId="37" customBuiltin="1"/>
    <cellStyle name="Accent3 2" xfId="3315"/>
    <cellStyle name="Accent3 3" xfId="3316"/>
    <cellStyle name="Accent3 4" xfId="3317"/>
    <cellStyle name="Accent3 5" xfId="3318"/>
    <cellStyle name="Accent3 6" xfId="3319"/>
    <cellStyle name="Accent4" xfId="30" builtinId="41" customBuiltin="1"/>
    <cellStyle name="Accent4 2" xfId="3320"/>
    <cellStyle name="Accent4 3" xfId="3321"/>
    <cellStyle name="Accent4 4" xfId="3322"/>
    <cellStyle name="Accent4 5" xfId="3323"/>
    <cellStyle name="Accent4 6" xfId="3324"/>
    <cellStyle name="Accent5" xfId="34" builtinId="45" customBuiltin="1"/>
    <cellStyle name="Accent5 2" xfId="3325"/>
    <cellStyle name="Accent5 3" xfId="3326"/>
    <cellStyle name="Accent5 4" xfId="3327"/>
    <cellStyle name="Accent5 5" xfId="3328"/>
    <cellStyle name="Accent5 6" xfId="3329"/>
    <cellStyle name="Accent6" xfId="38" builtinId="49" customBuiltin="1"/>
    <cellStyle name="Accent6 2" xfId="3330"/>
    <cellStyle name="Accent6 3" xfId="3331"/>
    <cellStyle name="Accent6 4" xfId="3332"/>
    <cellStyle name="Accent6 5" xfId="3333"/>
    <cellStyle name="Accent6 6" xfId="3334"/>
    <cellStyle name="alternate1" xfId="3335"/>
    <cellStyle name="Bad" xfId="7" builtinId="27" customBuiltin="1"/>
    <cellStyle name="Bad 2" xfId="3336"/>
    <cellStyle name="Bad 3" xfId="3337"/>
    <cellStyle name="Bad 4" xfId="3338"/>
    <cellStyle name="Bad 5" xfId="3339"/>
    <cellStyle name="Bad 6" xfId="3340"/>
    <cellStyle name="Body: normal cell" xfId="3341"/>
    <cellStyle name="Body: normal cell 2" xfId="3342"/>
    <cellStyle name="BuffetDate162" xfId="3343"/>
    <cellStyle name="BuffetValue2" xfId="3344"/>
    <cellStyle name="Calculation" xfId="11" builtinId="22" customBuiltin="1"/>
    <cellStyle name="Calculation 2" xfId="3345"/>
    <cellStyle name="Calculation 2 2" xfId="3346"/>
    <cellStyle name="Calculation 2 3" xfId="3347"/>
    <cellStyle name="Calculation 3" xfId="3348"/>
    <cellStyle name="Calculation 3 2" xfId="3349"/>
    <cellStyle name="Calculation 3 3" xfId="3350"/>
    <cellStyle name="Calculation 4" xfId="3351"/>
    <cellStyle name="Calculation 4 2" xfId="3352"/>
    <cellStyle name="Calculation 4 3" xfId="3353"/>
    <cellStyle name="Calculation 5" xfId="3354"/>
    <cellStyle name="Calculation 5 2" xfId="3355"/>
    <cellStyle name="Calculation 5 3" xfId="3356"/>
    <cellStyle name="Calculation 6" xfId="3357"/>
    <cellStyle name="Calculation 6 2" xfId="3358"/>
    <cellStyle name="Calculation 6 3" xfId="3359"/>
    <cellStyle name="Check Cell" xfId="13" builtinId="23" customBuiltin="1"/>
    <cellStyle name="Check Cell 2" xfId="3360"/>
    <cellStyle name="Check Cell 3" xfId="3361"/>
    <cellStyle name="Check Cell 4" xfId="3362"/>
    <cellStyle name="Check Cell 5" xfId="3363"/>
    <cellStyle name="Check Cell 6" xfId="3364"/>
    <cellStyle name="Comma 10" xfId="3365"/>
    <cellStyle name="Comma 11" xfId="3366"/>
    <cellStyle name="Comma 2" xfId="3367"/>
    <cellStyle name="Comma 2 2" xfId="3368"/>
    <cellStyle name="Comma 2 3" xfId="3369"/>
    <cellStyle name="Comma 2 4" xfId="3370"/>
    <cellStyle name="Comma 2 5" xfId="3371"/>
    <cellStyle name="Comma 2 6" xfId="3372"/>
    <cellStyle name="Comma 3" xfId="3373"/>
    <cellStyle name="Comma 3 2" xfId="3374"/>
    <cellStyle name="Comma 3 3" xfId="3375"/>
    <cellStyle name="Comma 3 4" xfId="3376"/>
    <cellStyle name="Comma 3 5" xfId="3377"/>
    <cellStyle name="Comma 3 6" xfId="3378"/>
    <cellStyle name="Comma 4" xfId="3379"/>
    <cellStyle name="Comma 4 2" xfId="3380"/>
    <cellStyle name="Comma 4 3" xfId="3381"/>
    <cellStyle name="Comma 4 4" xfId="3382"/>
    <cellStyle name="Comma 4 5" xfId="3383"/>
    <cellStyle name="Comma 5" xfId="3384"/>
    <cellStyle name="Comma 6" xfId="3385"/>
    <cellStyle name="Comma 7" xfId="3386"/>
    <cellStyle name="Comma 7 2" xfId="3387"/>
    <cellStyle name="Comma 8" xfId="3388"/>
    <cellStyle name="Comma 9" xfId="3389"/>
    <cellStyle name="Comma0" xfId="3390"/>
    <cellStyle name="Currency 10" xfId="3391"/>
    <cellStyle name="Currency 11" xfId="3392"/>
    <cellStyle name="Currency 2" xfId="3393"/>
    <cellStyle name="Currency 2 2" xfId="3394"/>
    <cellStyle name="Currency 2 2 2" xfId="3395"/>
    <cellStyle name="Currency 2 3" xfId="3396"/>
    <cellStyle name="Currency 2 4" xfId="3397"/>
    <cellStyle name="Currency 2 5" xfId="3398"/>
    <cellStyle name="Currency 2 6" xfId="3399"/>
    <cellStyle name="Currency 3" xfId="3400"/>
    <cellStyle name="Currency 3 2" xfId="3401"/>
    <cellStyle name="Currency 4" xfId="3402"/>
    <cellStyle name="Currency 4 2" xfId="3403"/>
    <cellStyle name="Currency 5" xfId="3404"/>
    <cellStyle name="Currency 6" xfId="3405"/>
    <cellStyle name="Currency 7" xfId="3406"/>
    <cellStyle name="Currency 8" xfId="3407"/>
    <cellStyle name="Currency 9" xfId="3408"/>
    <cellStyle name="Currency0" xfId="3409"/>
    <cellStyle name="Custom - Style8" xfId="3410"/>
    <cellStyle name="Data   - Style2" xfId="3411"/>
    <cellStyle name="Data   - Style2 2" xfId="3412"/>
    <cellStyle name="Date" xfId="3413"/>
    <cellStyle name="Euro" xfId="3414"/>
    <cellStyle name="Exhibits" xfId="3415"/>
    <cellStyle name="Explanatory Text" xfId="16" builtinId="53" customBuiltin="1"/>
    <cellStyle name="Explanatory Text 2" xfId="3416"/>
    <cellStyle name="Explanatory Text 3" xfId="3417"/>
    <cellStyle name="Explanatory Text 4" xfId="3418"/>
    <cellStyle name="Explanatory Text 5" xfId="3419"/>
    <cellStyle name="Explanatory Text 6" xfId="3420"/>
    <cellStyle name="F2" xfId="3421"/>
    <cellStyle name="F3" xfId="3422"/>
    <cellStyle name="F4" xfId="3423"/>
    <cellStyle name="F5" xfId="3424"/>
    <cellStyle name="F6" xfId="3425"/>
    <cellStyle name="F7" xfId="3426"/>
    <cellStyle name="F8" xfId="3427"/>
    <cellStyle name="Fixed" xfId="3428"/>
    <cellStyle name="Font: Calibri, 9pt regular" xfId="3429"/>
    <cellStyle name="Footnotes: top row" xfId="3430"/>
    <cellStyle name="Good" xfId="6" builtinId="26" customBuiltin="1"/>
    <cellStyle name="Good 2" xfId="3431"/>
    <cellStyle name="Good 3" xfId="3432"/>
    <cellStyle name="Good 4" xfId="3433"/>
    <cellStyle name="Good 5" xfId="3434"/>
    <cellStyle name="Good 6" xfId="3435"/>
    <cellStyle name="Header: bottom row" xfId="3436"/>
    <cellStyle name="HeaderText" xfId="3437"/>
    <cellStyle name="Heading 1" xfId="2" builtinId="16" customBuiltin="1"/>
    <cellStyle name="Heading 1 2" xfId="3438"/>
    <cellStyle name="Heading 1 3" xfId="3439"/>
    <cellStyle name="Heading 1 4" xfId="3440"/>
    <cellStyle name="Heading 1 5" xfId="3441"/>
    <cellStyle name="Heading 1 6" xfId="3442"/>
    <cellStyle name="Heading 2" xfId="3" builtinId="17" customBuiltin="1"/>
    <cellStyle name="Heading 2 2" xfId="3443"/>
    <cellStyle name="Heading 2 3" xfId="3444"/>
    <cellStyle name="Heading 2 4" xfId="3445"/>
    <cellStyle name="Heading 2 5" xfId="3446"/>
    <cellStyle name="Heading 2 6" xfId="3447"/>
    <cellStyle name="Heading 3" xfId="4" builtinId="18" customBuiltin="1"/>
    <cellStyle name="Heading 3 2" xfId="3448"/>
    <cellStyle name="Heading 3 3" xfId="3449"/>
    <cellStyle name="Heading 3 4" xfId="3450"/>
    <cellStyle name="Heading 3 5" xfId="3451"/>
    <cellStyle name="Heading 3 6" xfId="3452"/>
    <cellStyle name="Heading 4" xfId="5" builtinId="19" customBuiltin="1"/>
    <cellStyle name="Heading 4 2" xfId="3453"/>
    <cellStyle name="Heading 4 3" xfId="3454"/>
    <cellStyle name="Heading 4 4" xfId="3455"/>
    <cellStyle name="Heading 4 5" xfId="3456"/>
    <cellStyle name="Heading 4 6" xfId="3457"/>
    <cellStyle name="HEADING1" xfId="3458"/>
    <cellStyle name="HEADING2" xfId="3459"/>
    <cellStyle name="HeadlineStyle" xfId="3460"/>
    <cellStyle name="HeadlineStyle 2" xfId="3461"/>
    <cellStyle name="HeadlineStyleJustified" xfId="3462"/>
    <cellStyle name="Hyperlink 2" xfId="3463"/>
    <cellStyle name="Hyperlink 3" xfId="3464"/>
    <cellStyle name="Hyperlink 4" xfId="3465"/>
    <cellStyle name="Hyperlink 5" xfId="3466"/>
    <cellStyle name="Input" xfId="9" builtinId="20" customBuiltin="1"/>
    <cellStyle name="Input 2" xfId="3467"/>
    <cellStyle name="Input 2 2" xfId="3468"/>
    <cellStyle name="Input 2 3" xfId="3469"/>
    <cellStyle name="Input 3" xfId="3470"/>
    <cellStyle name="Input 3 2" xfId="3471"/>
    <cellStyle name="Input 3 3" xfId="3472"/>
    <cellStyle name="Input 4" xfId="3473"/>
    <cellStyle name="Input 4 2" xfId="3474"/>
    <cellStyle name="Input 4 3" xfId="3475"/>
    <cellStyle name="Input 5" xfId="3476"/>
    <cellStyle name="Input 5 2" xfId="3477"/>
    <cellStyle name="Input 5 3" xfId="3478"/>
    <cellStyle name="Input 6" xfId="3479"/>
    <cellStyle name="Input 6 2" xfId="3480"/>
    <cellStyle name="Input 6 3" xfId="3481"/>
    <cellStyle name="Lines" xfId="3482"/>
    <cellStyle name="Linked Cell" xfId="12" builtinId="24" customBuiltin="1"/>
    <cellStyle name="Linked Cell 2" xfId="3483"/>
    <cellStyle name="Linked Cell 3" xfId="3484"/>
    <cellStyle name="Linked Cell 4" xfId="3485"/>
    <cellStyle name="Linked Cell 5" xfId="3486"/>
    <cellStyle name="Linked Cell 6" xfId="3487"/>
    <cellStyle name="Neutral" xfId="8" builtinId="28" customBuiltin="1"/>
    <cellStyle name="Neutral 2" xfId="3488"/>
    <cellStyle name="Neutral 3" xfId="3489"/>
    <cellStyle name="Neutral 4" xfId="3490"/>
    <cellStyle name="Neutral 5" xfId="3491"/>
    <cellStyle name="Neutral 6" xfId="3492"/>
    <cellStyle name="NewStyle" xfId="3493"/>
    <cellStyle name="Normal" xfId="0" builtinId="0"/>
    <cellStyle name="Normal - Style1" xfId="3494"/>
    <cellStyle name="Normal - Style2" xfId="3495"/>
    <cellStyle name="Normal - Style3" xfId="3496"/>
    <cellStyle name="Normal - Style4" xfId="3497"/>
    <cellStyle name="Normal - Style5" xfId="3498"/>
    <cellStyle name="Normal - Style6" xfId="3499"/>
    <cellStyle name="Normal - Style7" xfId="3500"/>
    <cellStyle name="Normal - Style8" xfId="3501"/>
    <cellStyle name="Normal 10" xfId="42"/>
    <cellStyle name="Normal 10 2" xfId="3502"/>
    <cellStyle name="Normal 10 3" xfId="3503"/>
    <cellStyle name="Normal 10 70" xfId="3504"/>
    <cellStyle name="Normal 10_Avera Rebuttal Analyses" xfId="3505"/>
    <cellStyle name="Normal 11" xfId="3506"/>
    <cellStyle name="Normal 11 2" xfId="3507"/>
    <cellStyle name="Normal 11 3" xfId="3508"/>
    <cellStyle name="Normal 11_Avera Rebuttal Analyses" xfId="3509"/>
    <cellStyle name="Normal 12" xfId="3510"/>
    <cellStyle name="Normal 12 2" xfId="3511"/>
    <cellStyle name="Normal 12_Avera Rebuttal Analyses" xfId="3512"/>
    <cellStyle name="Normal 13" xfId="3513"/>
    <cellStyle name="Normal 13 2" xfId="3514"/>
    <cellStyle name="Normal 13_Avera Rebuttal Analyses" xfId="3515"/>
    <cellStyle name="Normal 14" xfId="3516"/>
    <cellStyle name="Normal 14 2" xfId="3517"/>
    <cellStyle name="Normal 14 2 2" xfId="3518"/>
    <cellStyle name="Normal 15" xfId="3519"/>
    <cellStyle name="Normal 16" xfId="3520"/>
    <cellStyle name="Normal 16 2" xfId="3521"/>
    <cellStyle name="Normal 17" xfId="3522"/>
    <cellStyle name="Normal 18" xfId="3523"/>
    <cellStyle name="Normal 19" xfId="3524"/>
    <cellStyle name="Normal 2" xfId="43"/>
    <cellStyle name="Normal 2 10" xfId="3525"/>
    <cellStyle name="Normal 2 10 2" xfId="3526"/>
    <cellStyle name="Normal 2 11" xfId="3527"/>
    <cellStyle name="Normal 2 12" xfId="3528"/>
    <cellStyle name="Normal 2 13" xfId="3529"/>
    <cellStyle name="Normal 2 2" xfId="3530"/>
    <cellStyle name="Normal 2 2 2" xfId="3531"/>
    <cellStyle name="Normal 2 2 2 2" xfId="3532"/>
    <cellStyle name="Normal 2 2 2 2 2" xfId="3533"/>
    <cellStyle name="Normal 2 2 2 3" xfId="3534"/>
    <cellStyle name="Normal 2 2 2 4" xfId="3535"/>
    <cellStyle name="Normal 2 2 3" xfId="3536"/>
    <cellStyle name="Normal 2 2 3 2" xfId="3537"/>
    <cellStyle name="Normal 2 2 3 2 2" xfId="3538"/>
    <cellStyle name="Normal 2 2 3 3" xfId="3539"/>
    <cellStyle name="Normal 2 2 4" xfId="3540"/>
    <cellStyle name="Normal 2 2 4 2" xfId="3541"/>
    <cellStyle name="Normal 2 2 4 2 2" xfId="3542"/>
    <cellStyle name="Normal 2 2 4 3" xfId="3543"/>
    <cellStyle name="Normal 2 2 5" xfId="3544"/>
    <cellStyle name="Normal 2 2 5 2" xfId="3545"/>
    <cellStyle name="Normal 2 2 5 2 2" xfId="3546"/>
    <cellStyle name="Normal 2 2 5 3" xfId="3547"/>
    <cellStyle name="Normal 2 2 6" xfId="3548"/>
    <cellStyle name="Normal 2 2 6 2" xfId="3549"/>
    <cellStyle name="Normal 2 2 7" xfId="3550"/>
    <cellStyle name="Normal 2 2 7 2" xfId="3551"/>
    <cellStyle name="Normal 2 2 8" xfId="3552"/>
    <cellStyle name="Normal 2 2 9" xfId="3553"/>
    <cellStyle name="Normal 2 3" xfId="3554"/>
    <cellStyle name="Normal 2 3 2" xfId="3555"/>
    <cellStyle name="Normal 2 3 2 2" xfId="3556"/>
    <cellStyle name="Normal 2 3 2 2 2" xfId="3557"/>
    <cellStyle name="Normal 2 3 2 3" xfId="3558"/>
    <cellStyle name="Normal 2 3 2 4" xfId="3559"/>
    <cellStyle name="Normal 2 3 3" xfId="3560"/>
    <cellStyle name="Normal 2 3 4" xfId="3561"/>
    <cellStyle name="Normal 2 3 4 2" xfId="3562"/>
    <cellStyle name="Normal 2 3 5" xfId="3563"/>
    <cellStyle name="Normal 2 4" xfId="3564"/>
    <cellStyle name="Normal 2 4 2" xfId="3565"/>
    <cellStyle name="Normal 2 4 2 2" xfId="3566"/>
    <cellStyle name="Normal 2 4 2_Avera Analyses - Black Hills CO" xfId="3567"/>
    <cellStyle name="Normal 2 4 3" xfId="3568"/>
    <cellStyle name="Normal 2 4 4" xfId="3569"/>
    <cellStyle name="Normal 2 4_Avera Analyses - Black Hills CO" xfId="3570"/>
    <cellStyle name="Normal 2 5" xfId="3571"/>
    <cellStyle name="Normal 2 5 2" xfId="3572"/>
    <cellStyle name="Normal 2 5 2 2" xfId="3573"/>
    <cellStyle name="Normal 2 5 3" xfId="3574"/>
    <cellStyle name="Normal 2 5_Avera Analyses - Black Hills CO" xfId="3575"/>
    <cellStyle name="Normal 2 6" xfId="3576"/>
    <cellStyle name="Normal 2 6 2" xfId="3577"/>
    <cellStyle name="Normal 2 6 2 2" xfId="3578"/>
    <cellStyle name="Normal 2 6 3" xfId="3579"/>
    <cellStyle name="Normal 2 7" xfId="3580"/>
    <cellStyle name="Normal 2 7 2" xfId="3581"/>
    <cellStyle name="Normal 2 7 2 2" xfId="3582"/>
    <cellStyle name="Normal 2 7 3" xfId="3583"/>
    <cellStyle name="Normal 2 8" xfId="3584"/>
    <cellStyle name="Normal 2 8 2" xfId="3585"/>
    <cellStyle name="Normal 2 8 2 2" xfId="3586"/>
    <cellStyle name="Normal 2 8 3" xfId="3587"/>
    <cellStyle name="Normal 2 9" xfId="3588"/>
    <cellStyle name="Normal 2 9 2" xfId="3589"/>
    <cellStyle name="Normal 2_Atmos Rebuttal Analyses" xfId="3590"/>
    <cellStyle name="Normal 20" xfId="3591"/>
    <cellStyle name="Normal 21" xfId="3592"/>
    <cellStyle name="Normal 22" xfId="3593"/>
    <cellStyle name="Normal 22 2" xfId="3594"/>
    <cellStyle name="Normal 22 2 2" xfId="3595"/>
    <cellStyle name="Normal 23" xfId="3596"/>
    <cellStyle name="Normal 24" xfId="3597"/>
    <cellStyle name="Normal 24 2" xfId="3598"/>
    <cellStyle name="Normal 3" xfId="3599"/>
    <cellStyle name="Normal 3 10" xfId="3600"/>
    <cellStyle name="Normal 3 2" xfId="3601"/>
    <cellStyle name="Normal 3 2 10" xfId="3602"/>
    <cellStyle name="Normal 3 2 2" xfId="3603"/>
    <cellStyle name="Normal 3 2 2 2" xfId="3604"/>
    <cellStyle name="Normal 3 2 2 3" xfId="3605"/>
    <cellStyle name="Normal 3 2 3" xfId="3606"/>
    <cellStyle name="Normal 3 2 3 2" xfId="3607"/>
    <cellStyle name="Normal 3 2 4" xfId="3608"/>
    <cellStyle name="Normal 3 2 5" xfId="3609"/>
    <cellStyle name="Normal 3 2_Avera Rebuttal Analyses" xfId="3610"/>
    <cellStyle name="Normal 3 3" xfId="3611"/>
    <cellStyle name="Normal 3 3 2" xfId="3612"/>
    <cellStyle name="Normal 3 3 2 2" xfId="3613"/>
    <cellStyle name="Normal 3 3 3" xfId="3614"/>
    <cellStyle name="Normal 3 3 4" xfId="3615"/>
    <cellStyle name="Normal 3 4" xfId="3616"/>
    <cellStyle name="Normal 3 4 2" xfId="3617"/>
    <cellStyle name="Normal 3 4 2 2" xfId="3618"/>
    <cellStyle name="Normal 3 4 3" xfId="3619"/>
    <cellStyle name="Normal 3 5" xfId="3620"/>
    <cellStyle name="Normal 3 5 2" xfId="3621"/>
    <cellStyle name="Normal 3 5 2 2" xfId="3622"/>
    <cellStyle name="Normal 3 5 3" xfId="3623"/>
    <cellStyle name="Normal 3 6" xfId="3624"/>
    <cellStyle name="Normal 3 6 2" xfId="3625"/>
    <cellStyle name="Normal 3 6 2 2" xfId="3626"/>
    <cellStyle name="Normal 3 6 3" xfId="3627"/>
    <cellStyle name="Normal 3 7" xfId="3628"/>
    <cellStyle name="Normal 3 7 2" xfId="3629"/>
    <cellStyle name="Normal 3 8" xfId="3630"/>
    <cellStyle name="Normal 3 8 2" xfId="3631"/>
    <cellStyle name="Normal 3 9" xfId="3632"/>
    <cellStyle name="Normal 3_Atmos Rebuttal Analyses" xfId="3633"/>
    <cellStyle name="Normal 4" xfId="3634"/>
    <cellStyle name="Normal 4 10" xfId="3635"/>
    <cellStyle name="Normal 4 10 2" xfId="3636"/>
    <cellStyle name="Normal 4 11" xfId="3637"/>
    <cellStyle name="Normal 4 2" xfId="3638"/>
    <cellStyle name="Normal 4 2 2" xfId="3639"/>
    <cellStyle name="Normal 4 2 2 2" xfId="3640"/>
    <cellStyle name="Normal 4 2 2 3" xfId="3641"/>
    <cellStyle name="Normal 4 2 3" xfId="3642"/>
    <cellStyle name="Normal 4 2 3 2" xfId="3643"/>
    <cellStyle name="Normal 4 2 4" xfId="3644"/>
    <cellStyle name="Normal 4 2 5" xfId="3645"/>
    <cellStyle name="Normal 4 2 6" xfId="3646"/>
    <cellStyle name="Normal 4 3" xfId="3647"/>
    <cellStyle name="Normal 4 3 2" xfId="3648"/>
    <cellStyle name="Normal 4 3 2 2" xfId="3649"/>
    <cellStyle name="Normal 4 3 3" xfId="3650"/>
    <cellStyle name="Normal 4 3 4" xfId="3651"/>
    <cellStyle name="Normal 4 3 5" xfId="3652"/>
    <cellStyle name="Normal 4 4" xfId="3653"/>
    <cellStyle name="Normal 4 4 2" xfId="3654"/>
    <cellStyle name="Normal 4 4 2 2" xfId="3655"/>
    <cellStyle name="Normal 4 4 3" xfId="3656"/>
    <cellStyle name="Normal 4 5" xfId="3657"/>
    <cellStyle name="Normal 4 5 2" xfId="3658"/>
    <cellStyle name="Normal 4 5 2 2" xfId="3659"/>
    <cellStyle name="Normal 4 5 3" xfId="3660"/>
    <cellStyle name="Normal 4 6" xfId="3661"/>
    <cellStyle name="Normal 4 6 2" xfId="3662"/>
    <cellStyle name="Normal 4 6 2 2" xfId="3663"/>
    <cellStyle name="Normal 4 6 3" xfId="3664"/>
    <cellStyle name="Normal 4 7" xfId="3665"/>
    <cellStyle name="Normal 4 7 2" xfId="3666"/>
    <cellStyle name="Normal 4 8" xfId="3667"/>
    <cellStyle name="Normal 4 8 2" xfId="3668"/>
    <cellStyle name="Normal 4 9" xfId="3669"/>
    <cellStyle name="Normal 4_Exhibits MPG-5 thru 18, 22" xfId="3670"/>
    <cellStyle name="Normal 5" xfId="3671"/>
    <cellStyle name="Normal 5 10" xfId="3672"/>
    <cellStyle name="Normal 5 2" xfId="3673"/>
    <cellStyle name="Normal 5 2 2" xfId="3674"/>
    <cellStyle name="Normal 5 2 2 2" xfId="3675"/>
    <cellStyle name="Normal 5 2 2 3" xfId="3676"/>
    <cellStyle name="Normal 5 2 3" xfId="3677"/>
    <cellStyle name="Normal 5 2 3 2" xfId="3678"/>
    <cellStyle name="Normal 5 2 4" xfId="3679"/>
    <cellStyle name="Normal 5 2 5" xfId="3680"/>
    <cellStyle name="Normal 5 3" xfId="3681"/>
    <cellStyle name="Normal 5 3 2" xfId="3682"/>
    <cellStyle name="Normal 5 3 2 2" xfId="3683"/>
    <cellStyle name="Normal 5 3 3" xfId="3684"/>
    <cellStyle name="Normal 5 3 4" xfId="3685"/>
    <cellStyle name="Normal 5 4" xfId="3686"/>
    <cellStyle name="Normal 5 4 2" xfId="3687"/>
    <cellStyle name="Normal 5 4 2 2" xfId="3688"/>
    <cellStyle name="Normal 5 4 3" xfId="3689"/>
    <cellStyle name="Normal 5 5" xfId="3690"/>
    <cellStyle name="Normal 5 5 2" xfId="3691"/>
    <cellStyle name="Normal 5 5 2 2" xfId="3692"/>
    <cellStyle name="Normal 5 5 3" xfId="3693"/>
    <cellStyle name="Normal 5 6" xfId="3694"/>
    <cellStyle name="Normal 5 6 2" xfId="3695"/>
    <cellStyle name="Normal 5 6 2 2" xfId="3696"/>
    <cellStyle name="Normal 5 6 3" xfId="3697"/>
    <cellStyle name="Normal 5 7" xfId="3698"/>
    <cellStyle name="Normal 5 7 2" xfId="3699"/>
    <cellStyle name="Normal 5 8" xfId="3700"/>
    <cellStyle name="Normal 5 8 2" xfId="3701"/>
    <cellStyle name="Normal 5 9" xfId="3702"/>
    <cellStyle name="Normal 5_Atmos Rebuttal Analyses" xfId="3703"/>
    <cellStyle name="Normal 6" xfId="3704"/>
    <cellStyle name="Normal 6 2" xfId="3705"/>
    <cellStyle name="Normal 6 3" xfId="3706"/>
    <cellStyle name="Normal 6 4" xfId="3707"/>
    <cellStyle name="Normal 6 5" xfId="3708"/>
    <cellStyle name="Normal 6 6" xfId="3709"/>
    <cellStyle name="Normal 6_Atmos Rebuttal Analyses" xfId="3710"/>
    <cellStyle name="Normal 7" xfId="3711"/>
    <cellStyle name="Normal 7 2" xfId="3712"/>
    <cellStyle name="Normal 7 2 2" xfId="3713"/>
    <cellStyle name="Normal 7 2 2 2" xfId="3714"/>
    <cellStyle name="Normal 7 2 3" xfId="3715"/>
    <cellStyle name="Normal 7 2 4" xfId="3716"/>
    <cellStyle name="Normal 7 3" xfId="3717"/>
    <cellStyle name="Normal 7 3 2" xfId="3718"/>
    <cellStyle name="Normal 7 3 2 2" xfId="3719"/>
    <cellStyle name="Normal 7 3 3" xfId="3720"/>
    <cellStyle name="Normal 7 4" xfId="3721"/>
    <cellStyle name="Normal 7 4 2" xfId="3722"/>
    <cellStyle name="Normal 7 4 2 2" xfId="3723"/>
    <cellStyle name="Normal 7 4 3" xfId="3724"/>
    <cellStyle name="Normal 7 5" xfId="3725"/>
    <cellStyle name="Normal 7 5 2" xfId="3726"/>
    <cellStyle name="Normal 7 5 2 2" xfId="3727"/>
    <cellStyle name="Normal 7 5 3" xfId="3728"/>
    <cellStyle name="Normal 7 6" xfId="3729"/>
    <cellStyle name="Normal 7 6 2" xfId="3730"/>
    <cellStyle name="Normal 7 7" xfId="3731"/>
    <cellStyle name="Normal 7 7 2" xfId="3732"/>
    <cellStyle name="Normal 7 8" xfId="3733"/>
    <cellStyle name="Normal 7 9" xfId="3734"/>
    <cellStyle name="Normal 7_Avera Rebuttal Analyses" xfId="3735"/>
    <cellStyle name="Normal 8" xfId="3736"/>
    <cellStyle name="Normal 8 2" xfId="3737"/>
    <cellStyle name="Normal 8 2 2" xfId="3738"/>
    <cellStyle name="Normal 8 2 2 2" xfId="3739"/>
    <cellStyle name="Normal 8 2 3" xfId="3740"/>
    <cellStyle name="Normal 8 3" xfId="3741"/>
    <cellStyle name="Normal 8 3 2" xfId="3742"/>
    <cellStyle name="Normal 8 3 2 2" xfId="3743"/>
    <cellStyle name="Normal 8 3 3" xfId="3744"/>
    <cellStyle name="Normal 8 4" xfId="3745"/>
    <cellStyle name="Normal 8 4 2" xfId="3746"/>
    <cellStyle name="Normal 8 4 2 2" xfId="3747"/>
    <cellStyle name="Normal 8 4 3" xfId="3748"/>
    <cellStyle name="Normal 8 5" xfId="3749"/>
    <cellStyle name="Normal 8 5 2" xfId="3750"/>
    <cellStyle name="Normal 8 6" xfId="3751"/>
    <cellStyle name="Normal 8_Avera Rebuttal Analyses" xfId="3752"/>
    <cellStyle name="Normal 9" xfId="3753"/>
    <cellStyle name="Normal 9 2" xfId="3754"/>
    <cellStyle name="Normal 9 3" xfId="3755"/>
    <cellStyle name="Normal 9 4" xfId="3756"/>
    <cellStyle name="Normal 9_Avera Rebuttal Analyses" xfId="3757"/>
    <cellStyle name="Note" xfId="15" builtinId="10" customBuiltin="1"/>
    <cellStyle name="Note 2" xfId="3758"/>
    <cellStyle name="Note 2 2" xfId="3759"/>
    <cellStyle name="Note 2 3" xfId="3760"/>
    <cellStyle name="Note 3" xfId="3761"/>
    <cellStyle name="Note 3 2" xfId="3762"/>
    <cellStyle name="Note 3 3" xfId="3763"/>
    <cellStyle name="Note 4" xfId="3764"/>
    <cellStyle name="Note 4 2" xfId="3765"/>
    <cellStyle name="Note 4 3" xfId="3766"/>
    <cellStyle name="Note 5" xfId="3767"/>
    <cellStyle name="Note 5 2" xfId="3768"/>
    <cellStyle name="Note 5 3" xfId="3769"/>
    <cellStyle name="Note 6" xfId="3770"/>
    <cellStyle name="Note 6 2" xfId="3771"/>
    <cellStyle name="Note 6 3" xfId="3772"/>
    <cellStyle name="Output" xfId="10" builtinId="21" customBuiltin="1"/>
    <cellStyle name="Output 2" xfId="3773"/>
    <cellStyle name="Output 2 2" xfId="3774"/>
    <cellStyle name="Output 2 3" xfId="3775"/>
    <cellStyle name="Output 3" xfId="3776"/>
    <cellStyle name="Output 3 2" xfId="3777"/>
    <cellStyle name="Output 3 3" xfId="3778"/>
    <cellStyle name="Output 4" xfId="3779"/>
    <cellStyle name="Output 4 2" xfId="3780"/>
    <cellStyle name="Output 4 3" xfId="3781"/>
    <cellStyle name="Output 5" xfId="3782"/>
    <cellStyle name="Output 5 2" xfId="3783"/>
    <cellStyle name="Output 5 3" xfId="3784"/>
    <cellStyle name="Output 6" xfId="3785"/>
    <cellStyle name="Output 6 2" xfId="3786"/>
    <cellStyle name="Output 6 3" xfId="3787"/>
    <cellStyle name="Output Amounts" xfId="3788"/>
    <cellStyle name="Output Column Headings" xfId="3789"/>
    <cellStyle name="Output Line Items" xfId="3790"/>
    <cellStyle name="Output Report Heading" xfId="3791"/>
    <cellStyle name="Output Report Title" xfId="3792"/>
    <cellStyle name="Parent row" xfId="3793"/>
    <cellStyle name="Percent" xfId="44" builtinId="5"/>
    <cellStyle name="Percent 10" xfId="3794"/>
    <cellStyle name="Percent 11" xfId="3795"/>
    <cellStyle name="Percent 12" xfId="3796"/>
    <cellStyle name="Percent 13" xfId="3797"/>
    <cellStyle name="Percent 2" xfId="3798"/>
    <cellStyle name="Percent 2 10" xfId="3799"/>
    <cellStyle name="Percent 2 2" xfId="3800"/>
    <cellStyle name="Percent 2 2 2" xfId="3801"/>
    <cellStyle name="Percent 2 2 2 2" xfId="3802"/>
    <cellStyle name="Percent 2 2 2 3" xfId="3803"/>
    <cellStyle name="Percent 2 2 3" xfId="3804"/>
    <cellStyle name="Percent 2 2 3 2" xfId="3805"/>
    <cellStyle name="Percent 2 2 4" xfId="3806"/>
    <cellStyle name="Percent 2 2 5" xfId="3807"/>
    <cellStyle name="Percent 2 3" xfId="3808"/>
    <cellStyle name="Percent 2 3 2" xfId="3809"/>
    <cellStyle name="Percent 2 3 2 2" xfId="3810"/>
    <cellStyle name="Percent 2 3 3" xfId="3811"/>
    <cellStyle name="Percent 2 3 4" xfId="3812"/>
    <cellStyle name="Percent 2 4" xfId="3813"/>
    <cellStyle name="Percent 2 4 2" xfId="3814"/>
    <cellStyle name="Percent 2 4 2 2" xfId="3815"/>
    <cellStyle name="Percent 2 4 3" xfId="3816"/>
    <cellStyle name="Percent 2 5" xfId="3817"/>
    <cellStyle name="Percent 2 5 2" xfId="3818"/>
    <cellStyle name="Percent 2 5 2 2" xfId="3819"/>
    <cellStyle name="Percent 2 5 3" xfId="3820"/>
    <cellStyle name="Percent 2 6" xfId="3821"/>
    <cellStyle name="Percent 2 6 2" xfId="3822"/>
    <cellStyle name="Percent 2 6 2 2" xfId="3823"/>
    <cellStyle name="Percent 2 6 3" xfId="3824"/>
    <cellStyle name="Percent 2 7" xfId="3825"/>
    <cellStyle name="Percent 2 7 2" xfId="3826"/>
    <cellStyle name="Percent 2 8" xfId="3827"/>
    <cellStyle name="Percent 2 8 2" xfId="3828"/>
    <cellStyle name="Percent 2 9" xfId="3829"/>
    <cellStyle name="Percent 2_Atmos Rebuttal Analyses" xfId="3830"/>
    <cellStyle name="Percent 3" xfId="3831"/>
    <cellStyle name="Percent 3 10" xfId="3832"/>
    <cellStyle name="Percent 3 2" xfId="3833"/>
    <cellStyle name="Percent 3 2 2" xfId="3834"/>
    <cellStyle name="Percent 3 2 2 2" xfId="3835"/>
    <cellStyle name="Percent 3 2 2 3" xfId="3836"/>
    <cellStyle name="Percent 3 2 3" xfId="3837"/>
    <cellStyle name="Percent 3 2 3 2" xfId="3838"/>
    <cellStyle name="Percent 3 2 4" xfId="3839"/>
    <cellStyle name="Percent 3 2 5" xfId="3840"/>
    <cellStyle name="Percent 3 3" xfId="3841"/>
    <cellStyle name="Percent 3 3 2" xfId="3842"/>
    <cellStyle name="Percent 3 3 2 2" xfId="3843"/>
    <cellStyle name="Percent 3 3 3" xfId="3844"/>
    <cellStyle name="Percent 3 3 4" xfId="3845"/>
    <cellStyle name="Percent 3 4" xfId="3846"/>
    <cellStyle name="Percent 3 4 2" xfId="3847"/>
    <cellStyle name="Percent 3 4 2 2" xfId="3848"/>
    <cellStyle name="Percent 3 4 3" xfId="3849"/>
    <cellStyle name="Percent 3 5" xfId="3850"/>
    <cellStyle name="Percent 3 5 2" xfId="3851"/>
    <cellStyle name="Percent 3 5 2 2" xfId="3852"/>
    <cellStyle name="Percent 3 5 3" xfId="3853"/>
    <cellStyle name="Percent 3 6" xfId="3854"/>
    <cellStyle name="Percent 3 6 2" xfId="3855"/>
    <cellStyle name="Percent 3 6 2 2" xfId="3856"/>
    <cellStyle name="Percent 3 6 3" xfId="3857"/>
    <cellStyle name="Percent 3 7" xfId="3858"/>
    <cellStyle name="Percent 3 7 2" xfId="3859"/>
    <cellStyle name="Percent 3 8" xfId="3860"/>
    <cellStyle name="Percent 3 8 2" xfId="3861"/>
    <cellStyle name="Percent 3 9" xfId="3862"/>
    <cellStyle name="Percent 4" xfId="3863"/>
    <cellStyle name="Percent 4 10" xfId="3864"/>
    <cellStyle name="Percent 4 2" xfId="3865"/>
    <cellStyle name="Percent 4 2 2" xfId="3866"/>
    <cellStyle name="Percent 4 2 2 2" xfId="3867"/>
    <cellStyle name="Percent 4 2 2 3" xfId="3868"/>
    <cellStyle name="Percent 4 2 3" xfId="3869"/>
    <cellStyle name="Percent 4 2 3 2" xfId="3870"/>
    <cellStyle name="Percent 4 2 4" xfId="3871"/>
    <cellStyle name="Percent 4 2 5" xfId="3872"/>
    <cellStyle name="Percent 4 3" xfId="3873"/>
    <cellStyle name="Percent 4 3 2" xfId="3874"/>
    <cellStyle name="Percent 4 3 2 2" xfId="3875"/>
    <cellStyle name="Percent 4 3 3" xfId="3876"/>
    <cellStyle name="Percent 4 3 4" xfId="3877"/>
    <cellStyle name="Percent 4 4" xfId="3878"/>
    <cellStyle name="Percent 4 4 2" xfId="3879"/>
    <cellStyle name="Percent 4 4 2 2" xfId="3880"/>
    <cellStyle name="Percent 4 4 3" xfId="3881"/>
    <cellStyle name="Percent 4 5" xfId="3882"/>
    <cellStyle name="Percent 4 5 2" xfId="3883"/>
    <cellStyle name="Percent 4 5 2 2" xfId="3884"/>
    <cellStyle name="Percent 4 5 3" xfId="3885"/>
    <cellStyle name="Percent 4 6" xfId="3886"/>
    <cellStyle name="Percent 4 6 2" xfId="3887"/>
    <cellStyle name="Percent 4 6 2 2" xfId="3888"/>
    <cellStyle name="Percent 4 6 3" xfId="3889"/>
    <cellStyle name="Percent 4 7" xfId="3890"/>
    <cellStyle name="Percent 4 7 2" xfId="3891"/>
    <cellStyle name="Percent 4 8" xfId="3892"/>
    <cellStyle name="Percent 4 8 2" xfId="3893"/>
    <cellStyle name="Percent 4 9" xfId="3894"/>
    <cellStyle name="Percent 5" xfId="3895"/>
    <cellStyle name="Percent 5 2" xfId="3896"/>
    <cellStyle name="Percent 5 2 2" xfId="3897"/>
    <cellStyle name="Percent 5 2 2 2" xfId="3898"/>
    <cellStyle name="Percent 5 2 3" xfId="3899"/>
    <cellStyle name="Percent 5 2 4" xfId="3900"/>
    <cellStyle name="Percent 5 3" xfId="3901"/>
    <cellStyle name="Percent 5 3 2" xfId="3902"/>
    <cellStyle name="Percent 5 3 2 2" xfId="3903"/>
    <cellStyle name="Percent 5 3 3" xfId="3904"/>
    <cellStyle name="Percent 5 4" xfId="3905"/>
    <cellStyle name="Percent 5 4 2" xfId="3906"/>
    <cellStyle name="Percent 5 4 2 2" xfId="3907"/>
    <cellStyle name="Percent 5 4 3" xfId="3908"/>
    <cellStyle name="Percent 5 5" xfId="3909"/>
    <cellStyle name="Percent 5 5 2" xfId="3910"/>
    <cellStyle name="Percent 5 5 2 2" xfId="3911"/>
    <cellStyle name="Percent 5 5 3" xfId="3912"/>
    <cellStyle name="Percent 5 6" xfId="3913"/>
    <cellStyle name="Percent 5 6 2" xfId="3914"/>
    <cellStyle name="Percent 5 7" xfId="3915"/>
    <cellStyle name="Percent 5 7 2" xfId="3916"/>
    <cellStyle name="Percent 5 8" xfId="3917"/>
    <cellStyle name="Percent 5 9" xfId="3918"/>
    <cellStyle name="Percent 6" xfId="3919"/>
    <cellStyle name="Percent 7" xfId="3920"/>
    <cellStyle name="Percent 8" xfId="3921"/>
    <cellStyle name="Percent 8 2" xfId="3922"/>
    <cellStyle name="Percent 9" xfId="3923"/>
    <cellStyle name="PSChar" xfId="3924"/>
    <cellStyle name="PSDate" xfId="3925"/>
    <cellStyle name="PSDec" xfId="3926"/>
    <cellStyle name="PSHeading" xfId="3927"/>
    <cellStyle name="PSInt" xfId="3928"/>
    <cellStyle name="PSSpacer" xfId="3929"/>
    <cellStyle name="Reset  - Style7" xfId="3930"/>
    <cellStyle name="SAPBEXaggData" xfId="3931"/>
    <cellStyle name="SAPBEXaggData 2" xfId="3932"/>
    <cellStyle name="SAPBEXaggData 3" xfId="3933"/>
    <cellStyle name="SAPBEXaggData 4" xfId="3934"/>
    <cellStyle name="SAPBEXaggDataEmph" xfId="3935"/>
    <cellStyle name="SAPBEXaggDataEmph 2" xfId="3936"/>
    <cellStyle name="SAPBEXaggDataEmph 3" xfId="3937"/>
    <cellStyle name="SAPBEXaggDataEmph 4" xfId="3938"/>
    <cellStyle name="SAPBEXaggItem" xfId="3939"/>
    <cellStyle name="SAPBEXaggItem 2" xfId="3940"/>
    <cellStyle name="SAPBEXaggItem 3" xfId="3941"/>
    <cellStyle name="SAPBEXaggItem 4" xfId="3942"/>
    <cellStyle name="SAPBEXaggItemX" xfId="3943"/>
    <cellStyle name="SAPBEXaggItemX 2" xfId="3944"/>
    <cellStyle name="SAPBEXaggItemX 3" xfId="3945"/>
    <cellStyle name="SAPBEXaggItemX 4" xfId="3946"/>
    <cellStyle name="SAPBEXchaText" xfId="3947"/>
    <cellStyle name="SAPBEXexcBad7" xfId="3948"/>
    <cellStyle name="SAPBEXexcBad7 2" xfId="3949"/>
    <cellStyle name="SAPBEXexcBad7 3" xfId="3950"/>
    <cellStyle name="SAPBEXexcBad7 4" xfId="3951"/>
    <cellStyle name="SAPBEXexcBad8" xfId="3952"/>
    <cellStyle name="SAPBEXexcBad8 2" xfId="3953"/>
    <cellStyle name="SAPBEXexcBad8 3" xfId="3954"/>
    <cellStyle name="SAPBEXexcBad8 4" xfId="3955"/>
    <cellStyle name="SAPBEXexcBad9" xfId="3956"/>
    <cellStyle name="SAPBEXexcBad9 2" xfId="3957"/>
    <cellStyle name="SAPBEXexcBad9 3" xfId="3958"/>
    <cellStyle name="SAPBEXexcBad9 4" xfId="3959"/>
    <cellStyle name="SAPBEXexcCritical4" xfId="3960"/>
    <cellStyle name="SAPBEXexcCritical4 2" xfId="3961"/>
    <cellStyle name="SAPBEXexcCritical4 3" xfId="3962"/>
    <cellStyle name="SAPBEXexcCritical4 4" xfId="3963"/>
    <cellStyle name="SAPBEXexcCritical5" xfId="3964"/>
    <cellStyle name="SAPBEXexcCritical5 2" xfId="3965"/>
    <cellStyle name="SAPBEXexcCritical5 3" xfId="3966"/>
    <cellStyle name="SAPBEXexcCritical5 4" xfId="3967"/>
    <cellStyle name="SAPBEXexcCritical6" xfId="3968"/>
    <cellStyle name="SAPBEXexcCritical6 2" xfId="3969"/>
    <cellStyle name="SAPBEXexcCritical6 3" xfId="3970"/>
    <cellStyle name="SAPBEXexcCritical6 4" xfId="3971"/>
    <cellStyle name="SAPBEXexcGood1" xfId="3972"/>
    <cellStyle name="SAPBEXexcGood1 2" xfId="3973"/>
    <cellStyle name="SAPBEXexcGood1 3" xfId="3974"/>
    <cellStyle name="SAPBEXexcGood1 4" xfId="3975"/>
    <cellStyle name="SAPBEXexcGood2" xfId="3976"/>
    <cellStyle name="SAPBEXexcGood2 2" xfId="3977"/>
    <cellStyle name="SAPBEXexcGood2 3" xfId="3978"/>
    <cellStyle name="SAPBEXexcGood2 4" xfId="3979"/>
    <cellStyle name="SAPBEXexcGood3" xfId="3980"/>
    <cellStyle name="SAPBEXexcGood3 2" xfId="3981"/>
    <cellStyle name="SAPBEXexcGood3 3" xfId="3982"/>
    <cellStyle name="SAPBEXexcGood3 4" xfId="3983"/>
    <cellStyle name="SAPBEXfilterDrill" xfId="3984"/>
    <cellStyle name="SAPBEXfilterItem" xfId="3985"/>
    <cellStyle name="SAPBEXfilterText" xfId="3986"/>
    <cellStyle name="SAPBEXformats" xfId="3987"/>
    <cellStyle name="SAPBEXformats 2" xfId="3988"/>
    <cellStyle name="SAPBEXformats 3" xfId="3989"/>
    <cellStyle name="SAPBEXformats 4" xfId="3990"/>
    <cellStyle name="SAPBEXheaderItem" xfId="3991"/>
    <cellStyle name="SAPBEXheaderText" xfId="3992"/>
    <cellStyle name="SAPBEXHLevel0" xfId="3993"/>
    <cellStyle name="SAPBEXHLevel0 2" xfId="3994"/>
    <cellStyle name="SAPBEXHLevel0 3" xfId="3995"/>
    <cellStyle name="SAPBEXHLevel0 4" xfId="3996"/>
    <cellStyle name="SAPBEXHLevel0X" xfId="3997"/>
    <cellStyle name="SAPBEXHLevel0X 2" xfId="3998"/>
    <cellStyle name="SAPBEXHLevel0X 3" xfId="3999"/>
    <cellStyle name="SAPBEXHLevel0X 4" xfId="4000"/>
    <cellStyle name="SAPBEXHLevel1" xfId="4001"/>
    <cellStyle name="SAPBEXHLevel1 2" xfId="4002"/>
    <cellStyle name="SAPBEXHLevel1 3" xfId="4003"/>
    <cellStyle name="SAPBEXHLevel1 4" xfId="4004"/>
    <cellStyle name="SAPBEXHLevel1X" xfId="4005"/>
    <cellStyle name="SAPBEXHLevel1X 2" xfId="4006"/>
    <cellStyle name="SAPBEXHLevel1X 3" xfId="4007"/>
    <cellStyle name="SAPBEXHLevel1X 4" xfId="4008"/>
    <cellStyle name="SAPBEXHLevel2" xfId="4009"/>
    <cellStyle name="SAPBEXHLevel2 2" xfId="4010"/>
    <cellStyle name="SAPBEXHLevel2 3" xfId="4011"/>
    <cellStyle name="SAPBEXHLevel2 4" xfId="4012"/>
    <cellStyle name="SAPBEXHLevel2X" xfId="4013"/>
    <cellStyle name="SAPBEXHLevel2X 2" xfId="4014"/>
    <cellStyle name="SAPBEXHLevel2X 3" xfId="4015"/>
    <cellStyle name="SAPBEXHLevel2X 4" xfId="4016"/>
    <cellStyle name="SAPBEXHLevel3" xfId="4017"/>
    <cellStyle name="SAPBEXHLevel3 2" xfId="4018"/>
    <cellStyle name="SAPBEXHLevel3 3" xfId="4019"/>
    <cellStyle name="SAPBEXHLevel3 4" xfId="4020"/>
    <cellStyle name="SAPBEXHLevel3X" xfId="4021"/>
    <cellStyle name="SAPBEXHLevel3X 2" xfId="4022"/>
    <cellStyle name="SAPBEXHLevel3X 3" xfId="4023"/>
    <cellStyle name="SAPBEXHLevel3X 4" xfId="4024"/>
    <cellStyle name="SAPBEXresData" xfId="4025"/>
    <cellStyle name="SAPBEXresData 2" xfId="4026"/>
    <cellStyle name="SAPBEXresData 3" xfId="4027"/>
    <cellStyle name="SAPBEXresData 4" xfId="4028"/>
    <cellStyle name="SAPBEXresDataEmph" xfId="4029"/>
    <cellStyle name="SAPBEXresDataEmph 2" xfId="4030"/>
    <cellStyle name="SAPBEXresDataEmph 3" xfId="4031"/>
    <cellStyle name="SAPBEXresDataEmph 4" xfId="4032"/>
    <cellStyle name="SAPBEXresItem" xfId="4033"/>
    <cellStyle name="SAPBEXresItem 2" xfId="4034"/>
    <cellStyle name="SAPBEXresItem 3" xfId="4035"/>
    <cellStyle name="SAPBEXresItem 4" xfId="4036"/>
    <cellStyle name="SAPBEXresItemX" xfId="4037"/>
    <cellStyle name="SAPBEXresItemX 2" xfId="4038"/>
    <cellStyle name="SAPBEXresItemX 3" xfId="4039"/>
    <cellStyle name="SAPBEXresItemX 4" xfId="4040"/>
    <cellStyle name="SAPBEXstdData" xfId="4041"/>
    <cellStyle name="SAPBEXstdData 2" xfId="4042"/>
    <cellStyle name="SAPBEXstdData 3" xfId="4043"/>
    <cellStyle name="SAPBEXstdData 4" xfId="4044"/>
    <cellStyle name="SAPBEXstdDataEmph" xfId="4045"/>
    <cellStyle name="SAPBEXstdDataEmph 2" xfId="4046"/>
    <cellStyle name="SAPBEXstdDataEmph 3" xfId="4047"/>
    <cellStyle name="SAPBEXstdDataEmph 4" xfId="4048"/>
    <cellStyle name="SAPBEXstdItem" xfId="4049"/>
    <cellStyle name="SAPBEXstdItem 2" xfId="4050"/>
    <cellStyle name="SAPBEXstdItem 3" xfId="4051"/>
    <cellStyle name="SAPBEXstdItem 4" xfId="4052"/>
    <cellStyle name="SAPBEXstdItemX" xfId="4053"/>
    <cellStyle name="SAPBEXstdItemX 2" xfId="4054"/>
    <cellStyle name="SAPBEXstdItemX 3" xfId="4055"/>
    <cellStyle name="SAPBEXstdItemX 4" xfId="4056"/>
    <cellStyle name="SAPBEXtitle" xfId="4057"/>
    <cellStyle name="SAPBEXundefined" xfId="4058"/>
    <cellStyle name="SAPBEXundefined 2" xfId="4059"/>
    <cellStyle name="SAPBEXundefined 3" xfId="4060"/>
    <cellStyle name="SAPBEXundefined 4" xfId="4061"/>
    <cellStyle name="Style 1" xfId="4062"/>
    <cellStyle name="Style 105" xfId="4063"/>
    <cellStyle name="Style 109" xfId="4064"/>
    <cellStyle name="Style 113" xfId="4065"/>
    <cellStyle name="Style 117" xfId="4066"/>
    <cellStyle name="Style 121" xfId="4067"/>
    <cellStyle name="Style 129" xfId="4068"/>
    <cellStyle name="Style 133" xfId="4069"/>
    <cellStyle name="Style 136" xfId="4070"/>
    <cellStyle name="Style 137" xfId="4071"/>
    <cellStyle name="Style 140" xfId="4072"/>
    <cellStyle name="Style 141" xfId="4073"/>
    <cellStyle name="Style 144" xfId="4074"/>
    <cellStyle name="Style 148" xfId="4075"/>
    <cellStyle name="Style 152" xfId="4076"/>
    <cellStyle name="Style 153" xfId="4077"/>
    <cellStyle name="Style 156" xfId="4078"/>
    <cellStyle name="Style 160" xfId="4079"/>
    <cellStyle name="Style 161" xfId="4080"/>
    <cellStyle name="Style 165" xfId="4081"/>
    <cellStyle name="Style 168" xfId="4082"/>
    <cellStyle name="Style 172" xfId="4083"/>
    <cellStyle name="Style 173" xfId="4084"/>
    <cellStyle name="Style 177" xfId="4085"/>
    <cellStyle name="Style 180" xfId="4086"/>
    <cellStyle name="Style 181" xfId="4087"/>
    <cellStyle name="Style 182" xfId="4088"/>
    <cellStyle name="Style 189" xfId="4089"/>
    <cellStyle name="Style 191" xfId="4090"/>
    <cellStyle name="Style 21" xfId="4091"/>
    <cellStyle name="Style 21 2" xfId="4092"/>
    <cellStyle name="Style 22" xfId="4093"/>
    <cellStyle name="Style 22 2" xfId="4094"/>
    <cellStyle name="Style 22 2 2" xfId="4095"/>
    <cellStyle name="Style 22 2_Avera Rebuttal Analyses" xfId="4096"/>
    <cellStyle name="Style 23" xfId="4097"/>
    <cellStyle name="Style 24" xfId="4098"/>
    <cellStyle name="Style 24 2" xfId="4099"/>
    <cellStyle name="Style 24 2 2" xfId="4100"/>
    <cellStyle name="Style 24 2_Avera Rebuttal Analyses" xfId="4101"/>
    <cellStyle name="Style 25" xfId="4102"/>
    <cellStyle name="Style 26" xfId="4103"/>
    <cellStyle name="Style 26 2" xfId="4104"/>
    <cellStyle name="Style 26 2 2" xfId="4105"/>
    <cellStyle name="Style 26 2_Avera Rebuttal Analyses" xfId="4106"/>
    <cellStyle name="Style 26 3" xfId="4107"/>
    <cellStyle name="Style 26 4" xfId="4108"/>
    <cellStyle name="Style 27" xfId="4109"/>
    <cellStyle name="Style 28" xfId="4110"/>
    <cellStyle name="Style 29" xfId="4111"/>
    <cellStyle name="Style 30" xfId="4112"/>
    <cellStyle name="Style 31" xfId="4113"/>
    <cellStyle name="Style 32" xfId="4114"/>
    <cellStyle name="Style 33" xfId="4115"/>
    <cellStyle name="Style 34" xfId="4116"/>
    <cellStyle name="Style 35" xfId="4117"/>
    <cellStyle name="Style 36" xfId="4118"/>
    <cellStyle name="Style 37" xfId="4119"/>
    <cellStyle name="Style 38" xfId="4120"/>
    <cellStyle name="Style 39" xfId="4121"/>
    <cellStyle name="STYLE1" xfId="4122"/>
    <cellStyle name="STYLE2" xfId="4123"/>
    <cellStyle name="STYLE3" xfId="4124"/>
    <cellStyle name="STYLE4" xfId="4125"/>
    <cellStyle name="Table  - Style6" xfId="4126"/>
    <cellStyle name="Table  - Style6 2" xfId="4127"/>
    <cellStyle name="Table title" xfId="4128"/>
    <cellStyle name="Title" xfId="1" builtinId="15" customBuiltin="1"/>
    <cellStyle name="Title  - Style1" xfId="4129"/>
    <cellStyle name="Title 2" xfId="4130"/>
    <cellStyle name="Title 3" xfId="4131"/>
    <cellStyle name="Title 4" xfId="4132"/>
    <cellStyle name="Title 5" xfId="4133"/>
    <cellStyle name="Title 6" xfId="4134"/>
    <cellStyle name="Total" xfId="17" builtinId="25" customBuiltin="1"/>
    <cellStyle name="Total 2" xfId="4135"/>
    <cellStyle name="Total 2 2" xfId="4136"/>
    <cellStyle name="Total 2 3" xfId="4137"/>
    <cellStyle name="Total 3" xfId="4138"/>
    <cellStyle name="Total 3 2" xfId="4139"/>
    <cellStyle name="Total 3 3" xfId="4140"/>
    <cellStyle name="Total 4" xfId="4141"/>
    <cellStyle name="Total 4 2" xfId="4142"/>
    <cellStyle name="Total 4 3" xfId="4143"/>
    <cellStyle name="Total 5" xfId="4144"/>
    <cellStyle name="Total 5 2" xfId="4145"/>
    <cellStyle name="Total 5 3" xfId="4146"/>
    <cellStyle name="Total 6" xfId="4147"/>
    <cellStyle name="Total 6 2" xfId="4148"/>
    <cellStyle name="Total 6 3" xfId="4149"/>
    <cellStyle name="TotCol - Style5" xfId="4150"/>
    <cellStyle name="TotRow - Style4" xfId="4151"/>
    <cellStyle name="TotRow - Style4 2" xfId="4152"/>
    <cellStyle name="Warning Text" xfId="14" builtinId="11" customBuiltin="1"/>
    <cellStyle name="Warning Text 2" xfId="4153"/>
    <cellStyle name="Warning Text 3" xfId="4154"/>
    <cellStyle name="Warning Text 4" xfId="4155"/>
    <cellStyle name="Warning Text 5" xfId="4156"/>
    <cellStyle name="Warning Text 6" xfId="4157"/>
    <cellStyle name="Обычный_RTS_select_issues" xfId="4158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Trends in Dividend Yield and "A" Rated Utility Bond Yield</a:t>
            </a:r>
          </a:p>
        </c:rich>
      </c:tx>
      <c:layout>
        <c:manualLayout>
          <c:xMode val="edge"/>
          <c:yMode val="edge"/>
          <c:x val="0.24133735707605541"/>
          <c:y val="5.6423611111111674E-2"/>
        </c:manualLayout>
      </c:layout>
    </c:title>
    <c:plotArea>
      <c:layout>
        <c:manualLayout>
          <c:layoutTarget val="inner"/>
          <c:xMode val="edge"/>
          <c:yMode val="edge"/>
          <c:x val="8.2700734606449999E-2"/>
          <c:y val="0.17896007627952756"/>
          <c:w val="0.90412876730925851"/>
          <c:h val="0.5939355725065617"/>
        </c:manualLayout>
      </c:layout>
      <c:lineChart>
        <c:grouping val="standard"/>
        <c:ser>
          <c:idx val="0"/>
          <c:order val="0"/>
          <c:tx>
            <c:v>"A" Rated Utility Bond Yield</c:v>
          </c:tx>
          <c:spPr>
            <a:ln w="44450"/>
          </c:spPr>
          <c:marker>
            <c:symbol val="triangle"/>
            <c:size val="8"/>
          </c:marker>
          <c:cat>
            <c:numRef>
              <c:f>('MPG-4 pg 4'!$G$10,'MPG-4 pg 4'!$H$11:$R$11)</c:f>
              <c:numCache>
                <c:formatCode>General</c:formatCode>
                <c:ptCount val="12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</c:numCache>
            </c:numRef>
          </c:cat>
          <c:val>
            <c:numRef>
              <c:f>'MPG-4 pg 4'!$G$63:$R$63</c:f>
              <c:numCache>
                <c:formatCode>0.00%</c:formatCode>
                <c:ptCount val="12"/>
                <c:pt idx="0">
                  <c:v>4.0725393956729763E-2</c:v>
                </c:pt>
                <c:pt idx="1">
                  <c:v>3.930199127182251E-2</c:v>
                </c:pt>
                <c:pt idx="2">
                  <c:v>4.1153967589428117E-2</c:v>
                </c:pt>
                <c:pt idx="3">
                  <c:v>4.2774094021446961E-2</c:v>
                </c:pt>
                <c:pt idx="4">
                  <c:v>4.4759707479483019E-2</c:v>
                </c:pt>
                <c:pt idx="5">
                  <c:v>4.1308564221010043E-2</c:v>
                </c:pt>
                <c:pt idx="6">
                  <c:v>5.0407157265811221E-2</c:v>
                </c:pt>
                <c:pt idx="7">
                  <c:v>5.4644377733549555E-2</c:v>
                </c:pt>
                <c:pt idx="8">
                  <c:v>6.0391666666666656E-2</c:v>
                </c:pt>
                <c:pt idx="9">
                  <c:v>6.5283333333333332E-2</c:v>
                </c:pt>
                <c:pt idx="10">
                  <c:v>6.0733333333333334E-2</c:v>
                </c:pt>
                <c:pt idx="11">
                  <c:v>6.0683333333333332E-2</c:v>
                </c:pt>
              </c:numCache>
            </c:numRef>
          </c:val>
        </c:ser>
        <c:ser>
          <c:idx val="1"/>
          <c:order val="1"/>
          <c:tx>
            <c:v>Average Dividend Yield</c:v>
          </c:tx>
          <c:spPr>
            <a:ln w="44450">
              <a:prstDash val="lgDash"/>
            </a:ln>
          </c:spPr>
          <c:marker>
            <c:symbol val="square"/>
            <c:size val="8"/>
          </c:marker>
          <c:cat>
            <c:numRef>
              <c:f>('MPG-4 pg 4'!$G$10,'MPG-4 pg 4'!$H$11:$R$11)</c:f>
              <c:numCache>
                <c:formatCode>General</c:formatCode>
                <c:ptCount val="12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</c:numCache>
            </c:numRef>
          </c:cat>
          <c:val>
            <c:numRef>
              <c:f>'MPG-4 pg 4'!$G$60:$R$60</c:f>
              <c:numCache>
                <c:formatCode>0.00%</c:formatCode>
                <c:ptCount val="12"/>
                <c:pt idx="0">
                  <c:v>3.4824077541393952E-2</c:v>
                </c:pt>
                <c:pt idx="1">
                  <c:v>3.4857080408313895E-2</c:v>
                </c:pt>
                <c:pt idx="2">
                  <c:v>3.7132383606324655E-2</c:v>
                </c:pt>
                <c:pt idx="3">
                  <c:v>3.6626497766093294E-2</c:v>
                </c:pt>
                <c:pt idx="4">
                  <c:v>3.87024111281771E-2</c:v>
                </c:pt>
                <c:pt idx="5">
                  <c:v>4.1798480891185888E-2</c:v>
                </c:pt>
                <c:pt idx="6">
                  <c:v>4.3018938310111818E-2</c:v>
                </c:pt>
                <c:pt idx="7">
                  <c:v>4.6277642879546561E-2</c:v>
                </c:pt>
                <c:pt idx="8">
                  <c:v>5.0911191944417351E-2</c:v>
                </c:pt>
                <c:pt idx="9">
                  <c:v>4.211628756261266E-2</c:v>
                </c:pt>
                <c:pt idx="10">
                  <c:v>3.5076999115169927E-2</c:v>
                </c:pt>
                <c:pt idx="11">
                  <c:v>3.7091701469498785E-2</c:v>
                </c:pt>
              </c:numCache>
            </c:numRef>
          </c:val>
        </c:ser>
        <c:ser>
          <c:idx val="2"/>
          <c:order val="2"/>
          <c:tx>
            <c:strRef>
              <c:f>'MPG-4 pg 4'!$D$65</c:f>
              <c:strCache>
                <c:ptCount val="1"/>
                <c:pt idx="0">
                  <c:v>Spread</c:v>
                </c:pt>
              </c:strCache>
            </c:strRef>
          </c:tx>
          <c:spPr>
            <a:ln w="44450">
              <a:prstDash val="sysDash"/>
            </a:ln>
          </c:spPr>
          <c:marker>
            <c:symbol val="circle"/>
            <c:size val="8"/>
          </c:marker>
          <c:cat>
            <c:numRef>
              <c:f>('MPG-4 pg 4'!$G$10,'MPG-4 pg 4'!$H$11:$R$11)</c:f>
              <c:numCache>
                <c:formatCode>General</c:formatCode>
                <c:ptCount val="12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</c:numCache>
            </c:numRef>
          </c:cat>
          <c:val>
            <c:numRef>
              <c:f>'MPG-4 pg 4'!$G$65:$R$65</c:f>
              <c:numCache>
                <c:formatCode>0.00%</c:formatCode>
                <c:ptCount val="12"/>
                <c:pt idx="0">
                  <c:v>5.9013164153358111E-3</c:v>
                </c:pt>
                <c:pt idx="1">
                  <c:v>4.4449108635086151E-3</c:v>
                </c:pt>
                <c:pt idx="2">
                  <c:v>4.0215839831034619E-3</c:v>
                </c:pt>
                <c:pt idx="3">
                  <c:v>6.147596255353667E-3</c:v>
                </c:pt>
                <c:pt idx="4">
                  <c:v>6.0572963513059186E-3</c:v>
                </c:pt>
                <c:pt idx="5">
                  <c:v>-4.8991667017584534E-4</c:v>
                </c:pt>
                <c:pt idx="6">
                  <c:v>7.3882189556994035E-3</c:v>
                </c:pt>
                <c:pt idx="7">
                  <c:v>8.366734854002994E-3</c:v>
                </c:pt>
                <c:pt idx="8">
                  <c:v>9.4804747222493047E-3</c:v>
                </c:pt>
                <c:pt idx="9">
                  <c:v>2.3167045770720672E-2</c:v>
                </c:pt>
                <c:pt idx="10">
                  <c:v>2.5656334218163407E-2</c:v>
                </c:pt>
                <c:pt idx="11">
                  <c:v>2.3591631863834547E-2</c:v>
                </c:pt>
              </c:numCache>
            </c:numRef>
          </c:val>
        </c:ser>
        <c:marker val="1"/>
        <c:axId val="514235392"/>
        <c:axId val="514233472"/>
      </c:lineChart>
      <c:lineChart>
        <c:grouping val="standard"/>
        <c:ser>
          <c:idx val="3"/>
          <c:order val="3"/>
          <c:tx>
            <c:v>blank</c:v>
          </c:tx>
          <c:val>
            <c:numRef>
              <c:f>'MPG-4 pg 4'!$G$62:$R$62</c:f>
              <c:numCache>
                <c:formatCode>General</c:formatCode>
                <c:ptCount val="12"/>
              </c:numCache>
            </c:numRef>
          </c:val>
        </c:ser>
        <c:marker val="1"/>
        <c:axId val="86718720"/>
        <c:axId val="86717184"/>
      </c:lineChart>
      <c:valAx>
        <c:axId val="514233472"/>
        <c:scaling>
          <c:orientation val="minMax"/>
          <c:max val="7.0000000000000021E-2"/>
          <c:min val="0"/>
        </c:scaling>
        <c:axPos val="r"/>
        <c:numFmt formatCode="0.00%" sourceLinked="1"/>
        <c:majorTickMark val="none"/>
        <c:tickLblPos val="none"/>
        <c:spPr>
          <a:ln>
            <a:noFill/>
          </a:ln>
        </c:spPr>
        <c:crossAx val="514235392"/>
        <c:crosses val="autoZero"/>
        <c:crossBetween val="between"/>
        <c:majorUnit val="1.0000000000000005E-2"/>
      </c:valAx>
      <c:catAx>
        <c:axId val="514235392"/>
        <c:scaling>
          <c:orientation val="maxMin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14233472"/>
        <c:crosses val="autoZero"/>
        <c:auto val="1"/>
        <c:lblAlgn val="ctr"/>
        <c:lblOffset val="100"/>
      </c:catAx>
      <c:valAx>
        <c:axId val="86717184"/>
        <c:scaling>
          <c:orientation val="minMax"/>
          <c:max val="7.0000000000000021E-2"/>
          <c:min val="0"/>
        </c:scaling>
        <c:axPos val="l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6718720"/>
        <c:crosses val="autoZero"/>
        <c:crossBetween val="between"/>
        <c:majorUnit val="1.0000000000000005E-2"/>
      </c:valAx>
      <c:catAx>
        <c:axId val="86718720"/>
        <c:scaling>
          <c:orientation val="minMax"/>
        </c:scaling>
        <c:delete val="1"/>
        <c:axPos val="b"/>
        <c:numFmt formatCode="General" sourceLinked="1"/>
        <c:tickLblPos val="none"/>
        <c:crossAx val="86717184"/>
        <c:crosses val="autoZero"/>
        <c:auto val="1"/>
        <c:lblAlgn val="ctr"/>
        <c:lblOffset val="10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8235891937166726"/>
          <c:y val="0.90052527613735778"/>
          <c:w val="0.63413580781769563"/>
          <c:h val="8.6453890529308838E-2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Trends in Dividend Yield and "A" Rated Utility Bond Yield</a:t>
            </a:r>
          </a:p>
        </c:rich>
      </c:tx>
      <c:layout>
        <c:manualLayout>
          <c:xMode val="edge"/>
          <c:yMode val="edge"/>
          <c:x val="0.24133735707605541"/>
          <c:y val="5.6423611111111625E-2"/>
        </c:manualLayout>
      </c:layout>
    </c:title>
    <c:plotArea>
      <c:layout>
        <c:manualLayout>
          <c:layoutTarget val="inner"/>
          <c:xMode val="edge"/>
          <c:yMode val="edge"/>
          <c:x val="8.2700734606449999E-2"/>
          <c:y val="0.17896007627952756"/>
          <c:w val="0.90412876730925851"/>
          <c:h val="0.5939355725065617"/>
        </c:manualLayout>
      </c:layout>
      <c:lineChart>
        <c:grouping val="standard"/>
        <c:ser>
          <c:idx val="0"/>
          <c:order val="0"/>
          <c:tx>
            <c:v>"A" Rated Utility Bond Yield</c:v>
          </c:tx>
          <c:spPr>
            <a:ln w="44450"/>
          </c:spPr>
          <c:marker>
            <c:symbol val="triangle"/>
            <c:size val="8"/>
          </c:marker>
          <c:cat>
            <c:numRef>
              <c:f>('Gas -2'!$G$9,'Gas -2'!$H$10:$R$10)</c:f>
              <c:numCache>
                <c:formatCode>General</c:formatCode>
                <c:ptCount val="12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</c:numCache>
            </c:numRef>
          </c:cat>
          <c:val>
            <c:numRef>
              <c:f>'Gas -2'!$G$63:$R$63</c:f>
              <c:numCache>
                <c:formatCode>0.00%</c:formatCode>
                <c:ptCount val="12"/>
                <c:pt idx="0">
                  <c:v>4.0725393956729763E-2</c:v>
                </c:pt>
                <c:pt idx="1">
                  <c:v>3.930199127182251E-2</c:v>
                </c:pt>
                <c:pt idx="2">
                  <c:v>4.1153967589428117E-2</c:v>
                </c:pt>
                <c:pt idx="3">
                  <c:v>4.2774094021446961E-2</c:v>
                </c:pt>
                <c:pt idx="4">
                  <c:v>4.4759707479483019E-2</c:v>
                </c:pt>
                <c:pt idx="5">
                  <c:v>4.1308564221010043E-2</c:v>
                </c:pt>
                <c:pt idx="6">
                  <c:v>5.0407157265811221E-2</c:v>
                </c:pt>
                <c:pt idx="7">
                  <c:v>5.4644377733549555E-2</c:v>
                </c:pt>
                <c:pt idx="8">
                  <c:v>6.0391666666666656E-2</c:v>
                </c:pt>
                <c:pt idx="9">
                  <c:v>6.5283333333333332E-2</c:v>
                </c:pt>
                <c:pt idx="10">
                  <c:v>6.0733333333333334E-2</c:v>
                </c:pt>
                <c:pt idx="11">
                  <c:v>6.0683333333333332E-2</c:v>
                </c:pt>
              </c:numCache>
            </c:numRef>
          </c:val>
        </c:ser>
        <c:ser>
          <c:idx val="1"/>
          <c:order val="1"/>
          <c:tx>
            <c:v>Average Dividend Yield</c:v>
          </c:tx>
          <c:spPr>
            <a:ln w="44450">
              <a:prstDash val="lgDash"/>
            </a:ln>
          </c:spPr>
          <c:marker>
            <c:symbol val="square"/>
            <c:size val="8"/>
          </c:marker>
          <c:cat>
            <c:numRef>
              <c:f>('Gas -2'!$G$9,'Gas -2'!$H$10:$R$10)</c:f>
              <c:numCache>
                <c:formatCode>General</c:formatCode>
                <c:ptCount val="12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</c:numCache>
            </c:numRef>
          </c:cat>
          <c:val>
            <c:numRef>
              <c:f>'Gas -2'!$G$59:$R$59</c:f>
              <c:numCache>
                <c:formatCode>0.00%</c:formatCode>
                <c:ptCount val="12"/>
                <c:pt idx="0">
                  <c:v>2.5590029470422146E-2</c:v>
                </c:pt>
                <c:pt idx="1">
                  <c:v>2.7417139418435713E-2</c:v>
                </c:pt>
                <c:pt idx="2">
                  <c:v>3.1550639408428428E-2</c:v>
                </c:pt>
                <c:pt idx="3">
                  <c:v>3.1723094191662436E-2</c:v>
                </c:pt>
                <c:pt idx="4">
                  <c:v>3.437456128923632E-2</c:v>
                </c:pt>
                <c:pt idx="5">
                  <c:v>3.6066386611707892E-2</c:v>
                </c:pt>
                <c:pt idx="6">
                  <c:v>3.6516233047539218E-2</c:v>
                </c:pt>
                <c:pt idx="7">
                  <c:v>4.0294955003973051E-2</c:v>
                </c:pt>
                <c:pt idx="8">
                  <c:v>4.3467237180520833E-2</c:v>
                </c:pt>
                <c:pt idx="9">
                  <c:v>3.8480261045568287E-2</c:v>
                </c:pt>
                <c:pt idx="10">
                  <c:v>3.4876329602697771E-2</c:v>
                </c:pt>
                <c:pt idx="11">
                  <c:v>3.7095266776903557E-2</c:v>
                </c:pt>
              </c:numCache>
            </c:numRef>
          </c:val>
        </c:ser>
        <c:ser>
          <c:idx val="2"/>
          <c:order val="2"/>
          <c:tx>
            <c:strRef>
              <c:f>'Gas -2'!$D$66</c:f>
              <c:strCache>
                <c:ptCount val="1"/>
                <c:pt idx="0">
                  <c:v>Spread</c:v>
                </c:pt>
              </c:strCache>
            </c:strRef>
          </c:tx>
          <c:spPr>
            <a:ln w="44450">
              <a:prstDash val="sysDash"/>
            </a:ln>
          </c:spPr>
          <c:marker>
            <c:symbol val="circle"/>
            <c:size val="8"/>
          </c:marker>
          <c:cat>
            <c:numRef>
              <c:f>('Gas -2'!$G$9,'Gas -2'!$H$10:$R$10)</c:f>
              <c:numCache>
                <c:formatCode>General</c:formatCode>
                <c:ptCount val="12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</c:numCache>
            </c:numRef>
          </c:cat>
          <c:val>
            <c:numRef>
              <c:f>'Gas -2'!$G$66:$R$66</c:f>
              <c:numCache>
                <c:formatCode>0.00%</c:formatCode>
                <c:ptCount val="12"/>
                <c:pt idx="0">
                  <c:v>1.5135364486307618E-2</c:v>
                </c:pt>
                <c:pt idx="1">
                  <c:v>1.1884851853386797E-2</c:v>
                </c:pt>
                <c:pt idx="2">
                  <c:v>9.6033281809996887E-3</c:v>
                </c:pt>
                <c:pt idx="3">
                  <c:v>1.1050999829784525E-2</c:v>
                </c:pt>
                <c:pt idx="4">
                  <c:v>1.0385146190246698E-2</c:v>
                </c:pt>
                <c:pt idx="5">
                  <c:v>5.242177609302151E-3</c:v>
                </c:pt>
                <c:pt idx="6">
                  <c:v>1.3890924218272004E-2</c:v>
                </c:pt>
                <c:pt idx="7">
                  <c:v>1.4349422729576504E-2</c:v>
                </c:pt>
                <c:pt idx="8">
                  <c:v>1.6924429486145823E-2</c:v>
                </c:pt>
                <c:pt idx="9">
                  <c:v>2.6803072287765045E-2</c:v>
                </c:pt>
                <c:pt idx="10">
                  <c:v>2.5857003730635562E-2</c:v>
                </c:pt>
                <c:pt idx="11">
                  <c:v>2.3588066556429775E-2</c:v>
                </c:pt>
              </c:numCache>
            </c:numRef>
          </c:val>
        </c:ser>
        <c:marker val="1"/>
        <c:axId val="214627840"/>
        <c:axId val="214626304"/>
      </c:lineChart>
      <c:lineChart>
        <c:grouping val="standard"/>
        <c:ser>
          <c:idx val="3"/>
          <c:order val="3"/>
          <c:val>
            <c:numRef>
              <c:f>'Gas -2'!$G$61:$R$61</c:f>
              <c:numCache>
                <c:formatCode>0.00</c:formatCode>
                <c:ptCount val="12"/>
              </c:numCache>
            </c:numRef>
          </c:val>
        </c:ser>
        <c:marker val="1"/>
        <c:axId val="214631168"/>
        <c:axId val="214629376"/>
      </c:lineChart>
      <c:valAx>
        <c:axId val="214626304"/>
        <c:scaling>
          <c:orientation val="minMax"/>
          <c:max val="7.0000000000000021E-2"/>
          <c:min val="0"/>
        </c:scaling>
        <c:axPos val="r"/>
        <c:numFmt formatCode="0.00%" sourceLinked="1"/>
        <c:majorTickMark val="none"/>
        <c:tickLblPos val="none"/>
        <c:spPr>
          <a:ln>
            <a:noFill/>
          </a:ln>
        </c:spPr>
        <c:crossAx val="214627840"/>
        <c:crosses val="autoZero"/>
        <c:crossBetween val="between"/>
        <c:majorUnit val="1.0000000000000005E-2"/>
      </c:valAx>
      <c:catAx>
        <c:axId val="214627840"/>
        <c:scaling>
          <c:orientation val="maxMin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626304"/>
        <c:crosses val="autoZero"/>
        <c:auto val="1"/>
        <c:lblAlgn val="ctr"/>
        <c:lblOffset val="100"/>
      </c:catAx>
      <c:valAx>
        <c:axId val="214629376"/>
        <c:scaling>
          <c:orientation val="minMax"/>
          <c:max val="7.0000000000000021E-2"/>
          <c:min val="0"/>
        </c:scaling>
        <c:axPos val="l"/>
        <c:numFmt formatCode="0.00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631168"/>
        <c:crosses val="autoZero"/>
        <c:crossBetween val="between"/>
        <c:majorUnit val="1.0000000000000005E-2"/>
      </c:valAx>
      <c:catAx>
        <c:axId val="214631168"/>
        <c:scaling>
          <c:orientation val="minMax"/>
        </c:scaling>
        <c:delete val="1"/>
        <c:axPos val="b"/>
        <c:numFmt formatCode="General" sourceLinked="1"/>
        <c:tickLblPos val="none"/>
        <c:crossAx val="214629376"/>
        <c:crosses val="autoZero"/>
        <c:auto val="1"/>
        <c:lblAlgn val="ctr"/>
        <c:lblOffset val="10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8235891937166726"/>
          <c:y val="0.90052527613735778"/>
          <c:w val="0.63413580781769563"/>
          <c:h val="8.6453890529308838E-2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Trends in Dividend Yield and "A" Rated Utility Bond Yield</a:t>
            </a:r>
          </a:p>
        </c:rich>
      </c:tx>
      <c:layout>
        <c:manualLayout>
          <c:xMode val="edge"/>
          <c:yMode val="edge"/>
          <c:x val="0.24133735707605541"/>
          <c:y val="5.6423611111111674E-2"/>
        </c:manualLayout>
      </c:layout>
    </c:title>
    <c:plotArea>
      <c:layout>
        <c:manualLayout>
          <c:layoutTarget val="inner"/>
          <c:xMode val="edge"/>
          <c:yMode val="edge"/>
          <c:x val="8.2700734606449999E-2"/>
          <c:y val="0.17896007627952756"/>
          <c:w val="0.90412876730925851"/>
          <c:h val="0.5939355725065617"/>
        </c:manualLayout>
      </c:layout>
      <c:lineChart>
        <c:grouping val="standard"/>
        <c:ser>
          <c:idx val="0"/>
          <c:order val="0"/>
          <c:tx>
            <c:strRef>
              <c:f>'Water -2'!$D$63</c:f>
              <c:strCache>
                <c:ptCount val="1"/>
                <c:pt idx="0">
                  <c:v>"A" Rated Utility
Bond Yield3</c:v>
                </c:pt>
              </c:strCache>
            </c:strRef>
          </c:tx>
          <c:spPr>
            <a:ln w="44450"/>
          </c:spPr>
          <c:marker>
            <c:symbol val="triangle"/>
            <c:size val="8"/>
          </c:marker>
          <c:cat>
            <c:numRef>
              <c:f>('Water -2'!$G$9,'Water -2'!$H$10:$R$10)</c:f>
              <c:numCache>
                <c:formatCode>General</c:formatCode>
                <c:ptCount val="12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</c:numCache>
            </c:numRef>
          </c:cat>
          <c:val>
            <c:numRef>
              <c:f>'Water -2'!$G$63:$R$63</c:f>
              <c:numCache>
                <c:formatCode>0.00%</c:formatCode>
                <c:ptCount val="12"/>
                <c:pt idx="0">
                  <c:v>4.0725393956729763E-2</c:v>
                </c:pt>
                <c:pt idx="1">
                  <c:v>3.930199127182251E-2</c:v>
                </c:pt>
                <c:pt idx="2">
                  <c:v>4.1153967589428117E-2</c:v>
                </c:pt>
                <c:pt idx="3">
                  <c:v>4.2774094021446961E-2</c:v>
                </c:pt>
                <c:pt idx="4">
                  <c:v>4.4759707479483019E-2</c:v>
                </c:pt>
                <c:pt idx="5">
                  <c:v>4.1308564221010043E-2</c:v>
                </c:pt>
                <c:pt idx="6">
                  <c:v>5.0407157265811221E-2</c:v>
                </c:pt>
                <c:pt idx="7">
                  <c:v>5.4644377733549555E-2</c:v>
                </c:pt>
                <c:pt idx="8">
                  <c:v>6.0391666666666656E-2</c:v>
                </c:pt>
                <c:pt idx="9">
                  <c:v>6.5283333333333332E-2</c:v>
                </c:pt>
                <c:pt idx="10">
                  <c:v>6.0733333333333334E-2</c:v>
                </c:pt>
                <c:pt idx="11">
                  <c:v>6.0683333333333332E-2</c:v>
                </c:pt>
              </c:numCache>
            </c:numRef>
          </c:val>
        </c:ser>
        <c:ser>
          <c:idx val="1"/>
          <c:order val="1"/>
          <c:tx>
            <c:v>Average Dividend Yield</c:v>
          </c:tx>
          <c:spPr>
            <a:ln w="44450">
              <a:prstDash val="lgDash"/>
            </a:ln>
          </c:spPr>
          <c:marker>
            <c:symbol val="square"/>
            <c:size val="8"/>
          </c:marker>
          <c:cat>
            <c:numRef>
              <c:f>('Water -2'!$G$9,'Water -2'!$H$10:$R$10)</c:f>
              <c:numCache>
                <c:formatCode>General</c:formatCode>
                <c:ptCount val="12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</c:numCache>
            </c:numRef>
          </c:cat>
          <c:val>
            <c:numRef>
              <c:f>'Water -2'!$G$59:$R$59</c:f>
              <c:numCache>
                <c:formatCode>0.00%</c:formatCode>
                <c:ptCount val="12"/>
                <c:pt idx="0">
                  <c:v>2.1377549827041722E-2</c:v>
                </c:pt>
                <c:pt idx="1">
                  <c:v>2.2286898874404347E-2</c:v>
                </c:pt>
                <c:pt idx="2">
                  <c:v>2.6810471653402723E-2</c:v>
                </c:pt>
                <c:pt idx="3">
                  <c:v>2.7856958423553253E-2</c:v>
                </c:pt>
                <c:pt idx="4">
                  <c:v>2.807287587307495E-2</c:v>
                </c:pt>
                <c:pt idx="5">
                  <c:v>3.3146107822262336E-2</c:v>
                </c:pt>
                <c:pt idx="6">
                  <c:v>3.2653088758506539E-2</c:v>
                </c:pt>
                <c:pt idx="7">
                  <c:v>3.3576814509595383E-2</c:v>
                </c:pt>
                <c:pt idx="8">
                  <c:v>3.3967849104112588E-2</c:v>
                </c:pt>
                <c:pt idx="9">
                  <c:v>2.8601574866936128E-2</c:v>
                </c:pt>
                <c:pt idx="10">
                  <c:v>2.5030619381372805E-2</c:v>
                </c:pt>
                <c:pt idx="11">
                  <c:v>2.4990696107897593E-2</c:v>
                </c:pt>
              </c:numCache>
            </c:numRef>
          </c:val>
        </c:ser>
        <c:ser>
          <c:idx val="2"/>
          <c:order val="2"/>
          <c:tx>
            <c:strRef>
              <c:f>'Water -2'!$D$66</c:f>
              <c:strCache>
                <c:ptCount val="1"/>
                <c:pt idx="0">
                  <c:v>Spread</c:v>
                </c:pt>
              </c:strCache>
            </c:strRef>
          </c:tx>
          <c:spPr>
            <a:ln w="44450">
              <a:prstDash val="sysDash"/>
            </a:ln>
          </c:spPr>
          <c:marker>
            <c:symbol val="circle"/>
            <c:size val="8"/>
          </c:marker>
          <c:cat>
            <c:numRef>
              <c:f>('Water -2'!$G$9,'Water -2'!$H$10:$R$10)</c:f>
              <c:numCache>
                <c:formatCode>General</c:formatCode>
                <c:ptCount val="12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</c:numCache>
            </c:numRef>
          </c:cat>
          <c:val>
            <c:numRef>
              <c:f>'Water -2'!$G$66:$R$66</c:f>
              <c:numCache>
                <c:formatCode>0.00%</c:formatCode>
                <c:ptCount val="12"/>
                <c:pt idx="0">
                  <c:v>1.9347844129688041E-2</c:v>
                </c:pt>
                <c:pt idx="1">
                  <c:v>1.7015092397418163E-2</c:v>
                </c:pt>
                <c:pt idx="2">
                  <c:v>1.4343495936025394E-2</c:v>
                </c:pt>
                <c:pt idx="3">
                  <c:v>1.4917135597893708E-2</c:v>
                </c:pt>
                <c:pt idx="4">
                  <c:v>1.6686831606408069E-2</c:v>
                </c:pt>
                <c:pt idx="5">
                  <c:v>8.162456398747707E-3</c:v>
                </c:pt>
                <c:pt idx="6">
                  <c:v>1.7754068507304682E-2</c:v>
                </c:pt>
                <c:pt idx="7">
                  <c:v>2.1067563223954172E-2</c:v>
                </c:pt>
                <c:pt idx="8">
                  <c:v>2.6423817562554068E-2</c:v>
                </c:pt>
                <c:pt idx="9">
                  <c:v>3.6681758466397207E-2</c:v>
                </c:pt>
                <c:pt idx="10">
                  <c:v>3.5702713951960528E-2</c:v>
                </c:pt>
                <c:pt idx="11">
                  <c:v>3.5692637225435739E-2</c:v>
                </c:pt>
              </c:numCache>
            </c:numRef>
          </c:val>
        </c:ser>
        <c:marker val="1"/>
        <c:axId val="321797120"/>
        <c:axId val="321795584"/>
      </c:lineChart>
      <c:lineChart>
        <c:grouping val="standard"/>
        <c:ser>
          <c:idx val="3"/>
          <c:order val="3"/>
          <c:val>
            <c:numRef>
              <c:f>'Water -2'!$G$61:$R$61</c:f>
              <c:numCache>
                <c:formatCode>0.00</c:formatCode>
                <c:ptCount val="12"/>
              </c:numCache>
            </c:numRef>
          </c:val>
        </c:ser>
        <c:marker val="1"/>
        <c:axId val="321800448"/>
        <c:axId val="321798912"/>
      </c:lineChart>
      <c:valAx>
        <c:axId val="321795584"/>
        <c:scaling>
          <c:orientation val="minMax"/>
          <c:max val="7.0000000000000021E-2"/>
          <c:min val="0"/>
        </c:scaling>
        <c:axPos val="r"/>
        <c:numFmt formatCode="0.00%" sourceLinked="1"/>
        <c:majorTickMark val="none"/>
        <c:tickLblPos val="none"/>
        <c:spPr>
          <a:ln>
            <a:noFill/>
          </a:ln>
        </c:spPr>
        <c:crossAx val="321797120"/>
        <c:crosses val="autoZero"/>
        <c:crossBetween val="between"/>
        <c:majorUnit val="1.0000000000000005E-2"/>
      </c:valAx>
      <c:catAx>
        <c:axId val="321797120"/>
        <c:scaling>
          <c:orientation val="maxMin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1795584"/>
        <c:crosses val="autoZero"/>
        <c:auto val="1"/>
        <c:lblAlgn val="ctr"/>
        <c:lblOffset val="100"/>
      </c:catAx>
      <c:valAx>
        <c:axId val="321798912"/>
        <c:scaling>
          <c:orientation val="minMax"/>
          <c:max val="7.0000000000000021E-2"/>
          <c:min val="0"/>
        </c:scaling>
        <c:axPos val="l"/>
        <c:numFmt formatCode="0.00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21800448"/>
        <c:crosses val="autoZero"/>
        <c:crossBetween val="between"/>
        <c:majorUnit val="1.0000000000000005E-2"/>
      </c:valAx>
      <c:catAx>
        <c:axId val="321800448"/>
        <c:scaling>
          <c:orientation val="minMax"/>
        </c:scaling>
        <c:delete val="1"/>
        <c:axPos val="b"/>
        <c:numFmt formatCode="General" sourceLinked="1"/>
        <c:tickLblPos val="none"/>
        <c:crossAx val="321798912"/>
        <c:crosses val="autoZero"/>
        <c:auto val="1"/>
        <c:lblAlgn val="ctr"/>
        <c:lblOffset val="10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8235891937166726"/>
          <c:y val="0.90052527613735778"/>
          <c:w val="0.63413580781769563"/>
          <c:h val="8.6453890529308838E-2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220980</xdr:colOff>
      <xdr:row>66</xdr:row>
      <xdr:rowOff>35560</xdr:rowOff>
    </xdr:from>
    <xdr:to>
      <xdr:col>17</xdr:col>
      <xdr:colOff>502920</xdr:colOff>
      <xdr:row>85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220980</xdr:colOff>
      <xdr:row>69</xdr:row>
      <xdr:rowOff>137160</xdr:rowOff>
    </xdr:from>
    <xdr:to>
      <xdr:col>17</xdr:col>
      <xdr:colOff>502920</xdr:colOff>
      <xdr:row>138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220980</xdr:colOff>
      <xdr:row>69</xdr:row>
      <xdr:rowOff>137160</xdr:rowOff>
    </xdr:from>
    <xdr:to>
      <xdr:col>17</xdr:col>
      <xdr:colOff>502920</xdr:colOff>
      <xdr:row>108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awDocs/DEB/0718.1/Exhibit/32708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ctric -1"/>
      <sheetName val="Electric -2"/>
      <sheetName val="Gas -1"/>
      <sheetName val="Gas -2"/>
      <sheetName val="P-E Ratio (WP)"/>
      <sheetName val="MP-CF (WP)"/>
      <sheetName val="MP-BV (WP)"/>
      <sheetName val="DIV-BV (WP)"/>
      <sheetName val="DIV-Earnings (WP)"/>
      <sheetName val="CF-Cap Spend (WP)"/>
      <sheetName val="2017 Data (WP)"/>
      <sheetName val="2016"/>
      <sheetName val="MP"/>
      <sheetName val="CF"/>
      <sheetName val="EPS"/>
      <sheetName val="DIV"/>
      <sheetName val="CapS"/>
      <sheetName val="B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2" t="str">
            <v>June 2, 2017.</v>
          </cell>
        </row>
        <row r="9">
          <cell r="C9" t="str">
            <v>Electric Util. (Central)</v>
          </cell>
          <cell r="D9" t="str">
            <v>ALE</v>
          </cell>
        </row>
        <row r="10">
          <cell r="C10" t="str">
            <v>Electric Util. (Central)</v>
          </cell>
          <cell r="D10" t="str">
            <v>LNT</v>
          </cell>
        </row>
        <row r="11">
          <cell r="C11" t="str">
            <v>Water Utility</v>
          </cell>
          <cell r="D11" t="str">
            <v>AWR</v>
          </cell>
        </row>
        <row r="12">
          <cell r="C12" t="str">
            <v>Water Utility</v>
          </cell>
          <cell r="D12" t="str">
            <v>AWK</v>
          </cell>
        </row>
        <row r="13">
          <cell r="C13" t="str">
            <v>Electric Util. (Central)</v>
          </cell>
          <cell r="D13" t="str">
            <v>AEE</v>
          </cell>
        </row>
        <row r="14">
          <cell r="C14" t="str">
            <v>Electric Util. (Central)</v>
          </cell>
          <cell r="D14" t="str">
            <v>AEP</v>
          </cell>
        </row>
        <row r="15">
          <cell r="C15" t="str">
            <v>Water Utility</v>
          </cell>
          <cell r="D15" t="str">
            <v>WTR</v>
          </cell>
        </row>
        <row r="16">
          <cell r="C16" t="str">
            <v>Natural Gas Utility</v>
          </cell>
          <cell r="D16" t="str">
            <v>ATO</v>
          </cell>
        </row>
        <row r="17">
          <cell r="C17" t="str">
            <v>Electric Utility (East)</v>
          </cell>
          <cell r="D17" t="str">
            <v>AGR</v>
          </cell>
        </row>
        <row r="18">
          <cell r="C18" t="str">
            <v>Electric Utility (West)</v>
          </cell>
          <cell r="D18" t="str">
            <v>AVA</v>
          </cell>
        </row>
        <row r="19">
          <cell r="C19" t="str">
            <v>Electric Utility (West)</v>
          </cell>
          <cell r="D19" t="str">
            <v>BKH</v>
          </cell>
        </row>
        <row r="20">
          <cell r="C20" t="str">
            <v>Water Utility</v>
          </cell>
          <cell r="D20" t="str">
            <v>CWT</v>
          </cell>
        </row>
        <row r="21">
          <cell r="C21" t="str">
            <v>Electric Util. (Central)</v>
          </cell>
          <cell r="D21" t="str">
            <v>CNP</v>
          </cell>
        </row>
        <row r="22">
          <cell r="C22" t="str">
            <v>Natural Gas Utility</v>
          </cell>
          <cell r="D22" t="str">
            <v>CPK</v>
          </cell>
        </row>
        <row r="23">
          <cell r="C23" t="str">
            <v>Electric Util. (Central)</v>
          </cell>
          <cell r="D23" t="str">
            <v>CMS</v>
          </cell>
        </row>
        <row r="24">
          <cell r="C24" t="str">
            <v>Water Utility</v>
          </cell>
          <cell r="D24" t="str">
            <v>CTWS</v>
          </cell>
        </row>
        <row r="25">
          <cell r="C25" t="str">
            <v>Electric Utility (East)</v>
          </cell>
          <cell r="D25" t="str">
            <v>ED</v>
          </cell>
        </row>
        <row r="26">
          <cell r="C26" t="str">
            <v>Water Utility</v>
          </cell>
          <cell r="D26" t="str">
            <v>CWCO</v>
          </cell>
        </row>
        <row r="27">
          <cell r="C27" t="str">
            <v>Electric Utility (East)</v>
          </cell>
          <cell r="D27" t="str">
            <v>D</v>
          </cell>
        </row>
        <row r="28">
          <cell r="C28" t="str">
            <v>Electric Util. (Central)</v>
          </cell>
          <cell r="D28" t="str">
            <v>DTE</v>
          </cell>
        </row>
        <row r="29">
          <cell r="C29" t="str">
            <v>Electric Utility (East)</v>
          </cell>
          <cell r="D29" t="str">
            <v>DUK</v>
          </cell>
        </row>
        <row r="30">
          <cell r="C30" t="str">
            <v>Electric Utility (West)</v>
          </cell>
          <cell r="D30" t="str">
            <v>EIX</v>
          </cell>
        </row>
        <row r="31">
          <cell r="C31" t="str">
            <v>Electric Utility (West)</v>
          </cell>
          <cell r="D31" t="str">
            <v>EE</v>
          </cell>
        </row>
        <row r="32">
          <cell r="D32">
            <v>0</v>
          </cell>
        </row>
        <row r="33">
          <cell r="C33" t="str">
            <v>Electric Util. (Central)</v>
          </cell>
          <cell r="D33" t="str">
            <v>ETR</v>
          </cell>
        </row>
        <row r="34">
          <cell r="C34" t="str">
            <v>Electric Utility (East)</v>
          </cell>
          <cell r="D34" t="str">
            <v>ES</v>
          </cell>
        </row>
        <row r="35">
          <cell r="C35" t="str">
            <v>Electric Utility (East)</v>
          </cell>
          <cell r="D35" t="str">
            <v>EXC</v>
          </cell>
        </row>
        <row r="36">
          <cell r="C36" t="str">
            <v>Electric Utility (East)</v>
          </cell>
          <cell r="D36" t="str">
            <v>FE</v>
          </cell>
        </row>
        <row r="37">
          <cell r="C37" t="str">
            <v>Electric Util. (Central)</v>
          </cell>
          <cell r="D37" t="str">
            <v>FTS.TO</v>
          </cell>
        </row>
        <row r="38">
          <cell r="C38" t="str">
            <v>Electric Util. (Central)</v>
          </cell>
          <cell r="D38" t="str">
            <v>GXP</v>
          </cell>
        </row>
        <row r="39">
          <cell r="C39" t="str">
            <v>Electric Utility (West)</v>
          </cell>
          <cell r="D39" t="str">
            <v>HE</v>
          </cell>
        </row>
        <row r="40">
          <cell r="C40" t="str">
            <v>Electric Utility (West)</v>
          </cell>
          <cell r="D40" t="str">
            <v>IDA</v>
          </cell>
        </row>
        <row r="41">
          <cell r="C41" t="str">
            <v>Electric Util. (Central)</v>
          </cell>
          <cell r="D41" t="str">
            <v>MGEE</v>
          </cell>
        </row>
        <row r="42">
          <cell r="C42" t="str">
            <v>Water Utility</v>
          </cell>
          <cell r="D42" t="str">
            <v>MSEX</v>
          </cell>
        </row>
        <row r="43">
          <cell r="C43" t="str">
            <v>Natural Gas Utility</v>
          </cell>
          <cell r="D43" t="str">
            <v>NJR</v>
          </cell>
        </row>
        <row r="44">
          <cell r="C44" t="str">
            <v>Electric Utility (East)</v>
          </cell>
          <cell r="D44" t="str">
            <v>NEE</v>
          </cell>
        </row>
        <row r="45">
          <cell r="C45" t="str">
            <v>Natural Gas Utility</v>
          </cell>
          <cell r="D45" t="str">
            <v>NI</v>
          </cell>
        </row>
        <row r="46">
          <cell r="C46" t="str">
            <v>Natural Gas Utility</v>
          </cell>
          <cell r="D46" t="str">
            <v>NWN</v>
          </cell>
        </row>
        <row r="47">
          <cell r="C47" t="str">
            <v>Electric Utility (West)</v>
          </cell>
          <cell r="D47" t="str">
            <v>NWE</v>
          </cell>
        </row>
        <row r="48">
          <cell r="C48" t="str">
            <v>Natural Gas Utility</v>
          </cell>
          <cell r="D48" t="str">
            <v>OGS</v>
          </cell>
        </row>
        <row r="49">
          <cell r="C49" t="str">
            <v>Electric Util. (Central)</v>
          </cell>
          <cell r="D49" t="str">
            <v>OGE</v>
          </cell>
        </row>
        <row r="50">
          <cell r="C50" t="str">
            <v>Electric Util. (Central)</v>
          </cell>
          <cell r="D50" t="str">
            <v>OTTR</v>
          </cell>
        </row>
        <row r="51">
          <cell r="C51" t="str">
            <v>Electric Utility (West)</v>
          </cell>
          <cell r="D51" t="str">
            <v>PCG</v>
          </cell>
        </row>
        <row r="52">
          <cell r="C52" t="str">
            <v>Electric Utility (West)</v>
          </cell>
          <cell r="D52" t="str">
            <v>PNW</v>
          </cell>
        </row>
        <row r="53">
          <cell r="C53" t="str">
            <v>Electric Utility (West)</v>
          </cell>
          <cell r="D53" t="str">
            <v>PNM</v>
          </cell>
        </row>
        <row r="54">
          <cell r="C54" t="str">
            <v>Electric Utility (West)</v>
          </cell>
          <cell r="D54" t="str">
            <v>POR</v>
          </cell>
        </row>
        <row r="55">
          <cell r="C55" t="str">
            <v>Electric Utility (East)</v>
          </cell>
          <cell r="D55" t="str">
            <v>PPL</v>
          </cell>
        </row>
        <row r="56">
          <cell r="C56" t="str">
            <v>Electric Utility (East)</v>
          </cell>
          <cell r="D56" t="str">
            <v>PEG</v>
          </cell>
        </row>
        <row r="57">
          <cell r="C57" t="str">
            <v>Electric Utility (East)</v>
          </cell>
          <cell r="D57" t="str">
            <v>SCG</v>
          </cell>
        </row>
        <row r="58">
          <cell r="C58" t="str">
            <v>Electric Utility (West)</v>
          </cell>
          <cell r="D58" t="str">
            <v>SRE</v>
          </cell>
        </row>
        <row r="59">
          <cell r="C59" t="str">
            <v>Water Utility</v>
          </cell>
          <cell r="D59" t="str">
            <v>SJW</v>
          </cell>
        </row>
        <row r="60">
          <cell r="C60" t="str">
            <v>Natural Gas Utility</v>
          </cell>
          <cell r="D60" t="str">
            <v>SJI</v>
          </cell>
        </row>
        <row r="61">
          <cell r="C61" t="str">
            <v>Electric Utility (East)</v>
          </cell>
          <cell r="D61" t="str">
            <v>SO</v>
          </cell>
        </row>
        <row r="62">
          <cell r="C62" t="str">
            <v>Natural Gas Utility</v>
          </cell>
          <cell r="D62" t="str">
            <v>SWX</v>
          </cell>
        </row>
        <row r="63">
          <cell r="C63" t="str">
            <v>Natural Gas Utility</v>
          </cell>
          <cell r="D63" t="str">
            <v>SR</v>
          </cell>
        </row>
        <row r="64">
          <cell r="C64" t="str">
            <v>Natural Gas Utility</v>
          </cell>
          <cell r="D64" t="str">
            <v>UGI</v>
          </cell>
        </row>
        <row r="65">
          <cell r="C65" t="str">
            <v>Electric Util. (Central)</v>
          </cell>
          <cell r="D65" t="str">
            <v>VVC</v>
          </cell>
        </row>
        <row r="66">
          <cell r="C66" t="str">
            <v>Electric Util. (Central)</v>
          </cell>
          <cell r="D66" t="str">
            <v>WEC</v>
          </cell>
        </row>
        <row r="67">
          <cell r="C67" t="str">
            <v>Electric Util. (Central)</v>
          </cell>
          <cell r="D67" t="str">
            <v>WR</v>
          </cell>
        </row>
        <row r="68">
          <cell r="C68" t="str">
            <v>Natural Gas Utility</v>
          </cell>
          <cell r="D68" t="str">
            <v>WGL</v>
          </cell>
        </row>
        <row r="69">
          <cell r="C69" t="str">
            <v>Electric Utility (West)</v>
          </cell>
          <cell r="D69" t="str">
            <v>XEL</v>
          </cell>
        </row>
        <row r="70">
          <cell r="C70" t="str">
            <v>Water Utility</v>
          </cell>
          <cell r="D70" t="str">
            <v>YORW</v>
          </cell>
        </row>
        <row r="71">
          <cell r="D71">
            <v>0</v>
          </cell>
        </row>
        <row r="72">
          <cell r="D72">
            <v>0</v>
          </cell>
        </row>
      </sheetData>
      <sheetData sheetId="11" refreshError="1">
        <row r="1">
          <cell r="A1">
            <v>42907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V190"/>
  <sheetViews>
    <sheetView zoomScale="60" zoomScaleNormal="60" workbookViewId="0"/>
  </sheetViews>
  <sheetFormatPr defaultRowHeight="14.25"/>
  <cols>
    <col min="1" max="2" width="8" customWidth="1"/>
    <col min="3" max="3" width="4.75" bestFit="1" customWidth="1"/>
    <col min="4" max="4" width="2.125" customWidth="1"/>
    <col min="5" max="5" width="21.5" customWidth="1"/>
    <col min="6" max="19" width="9" customWidth="1"/>
    <col min="20" max="22" width="8.75" customWidth="1"/>
  </cols>
  <sheetData>
    <row r="2" spans="1:22" ht="27.75">
      <c r="C2" s="140" t="s">
        <v>406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22"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</row>
    <row r="4" spans="1:22"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</row>
    <row r="5" spans="1:22" ht="20.25">
      <c r="C5" s="141" t="s">
        <v>273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</row>
    <row r="6" spans="1:22" ht="18">
      <c r="C6" s="142" t="s">
        <v>275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</row>
    <row r="7" spans="1:22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7.25">
      <c r="C9" s="6"/>
      <c r="D9" s="7"/>
      <c r="E9" s="7"/>
      <c r="F9" s="143" t="s">
        <v>95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</row>
    <row r="10" spans="1:22" ht="15">
      <c r="A10" s="42" t="s">
        <v>99</v>
      </c>
      <c r="B10" s="42" t="s">
        <v>241</v>
      </c>
      <c r="C10" s="6"/>
      <c r="D10" s="7"/>
      <c r="E10" s="7"/>
      <c r="F10" s="8" t="s">
        <v>329</v>
      </c>
      <c r="G10" s="8"/>
      <c r="H10" s="8"/>
      <c r="I10" s="8"/>
      <c r="J10" s="8"/>
      <c r="K10" s="8"/>
      <c r="L10" s="8"/>
      <c r="M10" s="7"/>
      <c r="N10" s="7"/>
      <c r="O10" s="7"/>
      <c r="P10" s="7"/>
      <c r="Q10" s="7"/>
      <c r="R10" s="7"/>
      <c r="S10" s="7"/>
      <c r="T10" s="7"/>
      <c r="U10" s="7"/>
    </row>
    <row r="11" spans="1:22" ht="17.25">
      <c r="A11" s="42" t="s">
        <v>100</v>
      </c>
      <c r="B11" s="42" t="s">
        <v>242</v>
      </c>
      <c r="C11" s="9" t="s">
        <v>96</v>
      </c>
      <c r="D11" s="138" t="s">
        <v>97</v>
      </c>
      <c r="E11" s="138"/>
      <c r="F11" s="10" t="s">
        <v>98</v>
      </c>
      <c r="G11" s="41" t="s">
        <v>318</v>
      </c>
      <c r="H11" s="41">
        <v>2016</v>
      </c>
      <c r="I11" s="41">
        <v>2015</v>
      </c>
      <c r="J11" s="41">
        <v>2014</v>
      </c>
      <c r="K11" s="41">
        <v>2013</v>
      </c>
      <c r="L11" s="41">
        <v>2012</v>
      </c>
      <c r="M11" s="41">
        <v>2011</v>
      </c>
      <c r="N11" s="41">
        <v>2010</v>
      </c>
      <c r="O11" s="41">
        <v>2009</v>
      </c>
      <c r="P11" s="41">
        <v>2008</v>
      </c>
      <c r="Q11" s="41">
        <v>2007</v>
      </c>
      <c r="R11" s="41">
        <v>2006</v>
      </c>
      <c r="S11" s="41">
        <v>2005</v>
      </c>
      <c r="T11" s="41">
        <v>2004</v>
      </c>
      <c r="U11" s="41">
        <v>2003</v>
      </c>
      <c r="V11" s="41">
        <v>2002</v>
      </c>
    </row>
    <row r="12" spans="1:22" ht="15">
      <c r="A12" s="42"/>
      <c r="B12" s="42"/>
      <c r="C12" s="9"/>
      <c r="D12" s="85"/>
      <c r="E12" s="85"/>
      <c r="F12" s="12">
        <v>-1</v>
      </c>
      <c r="G12" s="12">
        <f>+F12-1</f>
        <v>-2</v>
      </c>
      <c r="H12" s="12">
        <f>+G12-1</f>
        <v>-3</v>
      </c>
      <c r="I12" s="12">
        <f>+H12-1</f>
        <v>-4</v>
      </c>
      <c r="J12" s="12">
        <f>+I12-1</f>
        <v>-5</v>
      </c>
      <c r="K12" s="12">
        <f t="shared" ref="K12:V12" si="0">+J12-1</f>
        <v>-6</v>
      </c>
      <c r="L12" s="12">
        <f t="shared" si="0"/>
        <v>-7</v>
      </c>
      <c r="M12" s="12">
        <f t="shared" si="0"/>
        <v>-8</v>
      </c>
      <c r="N12" s="12">
        <f t="shared" si="0"/>
        <v>-9</v>
      </c>
      <c r="O12" s="12">
        <f t="shared" si="0"/>
        <v>-10</v>
      </c>
      <c r="P12" s="12">
        <f t="shared" si="0"/>
        <v>-11</v>
      </c>
      <c r="Q12" s="12">
        <f t="shared" si="0"/>
        <v>-12</v>
      </c>
      <c r="R12" s="12">
        <f t="shared" si="0"/>
        <v>-13</v>
      </c>
      <c r="S12" s="12">
        <f t="shared" si="0"/>
        <v>-14</v>
      </c>
      <c r="T12" s="12">
        <f t="shared" si="0"/>
        <v>-15</v>
      </c>
      <c r="U12" s="12">
        <f t="shared" si="0"/>
        <v>-16</v>
      </c>
      <c r="V12" s="12">
        <f t="shared" si="0"/>
        <v>-17</v>
      </c>
    </row>
    <row r="13" spans="1:22" ht="15">
      <c r="A13" s="43"/>
      <c r="B13" s="44"/>
      <c r="C13" s="9"/>
      <c r="D13" s="14" t="s">
        <v>101</v>
      </c>
      <c r="E13" s="11"/>
      <c r="F13" s="90"/>
      <c r="G13" s="90"/>
      <c r="H13" s="16">
        <f ca="1">MATCH(H11,OFFSET(PE_WP,-1,0,1,),0)</f>
        <v>4</v>
      </c>
      <c r="I13" s="16">
        <f ca="1">MATCH(I11,OFFSET(PE_WP,-1,0,1,),0)</f>
        <v>5</v>
      </c>
      <c r="J13" s="16">
        <f ca="1">MATCH(J11,OFFSET(PE_WP,-1,0,1,),0)</f>
        <v>6</v>
      </c>
      <c r="K13" s="16">
        <f t="shared" ref="K13:R13" ca="1" si="1">MATCH(K11,OFFSET(PE_WP,-1,0,1,),0)</f>
        <v>7</v>
      </c>
      <c r="L13" s="16">
        <f t="shared" ca="1" si="1"/>
        <v>8</v>
      </c>
      <c r="M13" s="16">
        <f t="shared" ca="1" si="1"/>
        <v>9</v>
      </c>
      <c r="N13" s="16">
        <f t="shared" ca="1" si="1"/>
        <v>10</v>
      </c>
      <c r="O13" s="16">
        <f t="shared" ca="1" si="1"/>
        <v>11</v>
      </c>
      <c r="P13" s="16">
        <f t="shared" ca="1" si="1"/>
        <v>12</v>
      </c>
      <c r="Q13" s="16">
        <f t="shared" ca="1" si="1"/>
        <v>13</v>
      </c>
      <c r="R13" s="16">
        <f t="shared" ca="1" si="1"/>
        <v>14</v>
      </c>
      <c r="S13" s="16">
        <f t="shared" ref="S13:V13" ca="1" si="2">MATCH(S11,OFFSET(PE_WP,-1,0,1,),0)</f>
        <v>15</v>
      </c>
      <c r="T13" s="16">
        <f t="shared" ca="1" si="2"/>
        <v>16</v>
      </c>
      <c r="U13" s="16">
        <f t="shared" ca="1" si="2"/>
        <v>17</v>
      </c>
      <c r="V13" s="16">
        <f t="shared" ca="1" si="2"/>
        <v>18</v>
      </c>
    </row>
    <row r="14" spans="1:22">
      <c r="A14" s="45" t="s">
        <v>0</v>
      </c>
      <c r="B14" s="46">
        <f t="shared" ref="B14:B58" ca="1" si="3">IFERROR(MATCH(A14,OFFSET(PE_WP,0,0,,1),0),"")</f>
        <v>1</v>
      </c>
      <c r="C14" s="1">
        <f>IF(ISERROR(D14),"",IF(D14="","",MAX($C$13:C13)+1))</f>
        <v>1</v>
      </c>
      <c r="D14" t="str">
        <f t="shared" ref="D14:D58" si="4">VLOOKUP(A14,LUCurYr,2,FALSE)</f>
        <v xml:space="preserve">ALLETE                        </v>
      </c>
      <c r="E14" s="15"/>
      <c r="F14" s="63">
        <f ca="1">IFERROR(AVERAGE(G14:V14),"N/A")</f>
        <v>17.421642857142857</v>
      </c>
      <c r="G14" s="63">
        <f>IFERROR(IF(VLOOKUP(A14,LUCurYr,3,FALSE)=0,"",VLOOKUP(A14,LUCurYr,3,FALSE)),"N/A")</f>
        <v>23.4</v>
      </c>
      <c r="H14" s="63">
        <f ca="1">IFERROR(VLOOKUP($A14,LASTYR,'2016'!$C$3,FALSE),"N/A")</f>
        <v>18.632000000000001</v>
      </c>
      <c r="I14" s="63">
        <f t="shared" ref="I14:V32" ca="1" si="5">IFERROR(INDEX(PE_WP,$B14,I$13),"N/A")</f>
        <v>15.055999999999999</v>
      </c>
      <c r="J14" s="63">
        <f t="shared" ca="1" si="5"/>
        <v>17.228999999999999</v>
      </c>
      <c r="K14" s="63">
        <f t="shared" ca="1" si="5"/>
        <v>18.594000000000001</v>
      </c>
      <c r="L14" s="63">
        <f t="shared" ca="1" si="5"/>
        <v>15.881</v>
      </c>
      <c r="M14" s="63">
        <f t="shared" ca="1" si="5"/>
        <v>14.662000000000001</v>
      </c>
      <c r="N14" s="63">
        <f t="shared" ca="1" si="5"/>
        <v>15.976000000000001</v>
      </c>
      <c r="O14" s="63">
        <f t="shared" ca="1" si="5"/>
        <v>16.079999999999998</v>
      </c>
      <c r="P14" s="63">
        <f t="shared" ca="1" si="5"/>
        <v>13.948</v>
      </c>
      <c r="Q14" s="63">
        <f t="shared" ca="1" si="5"/>
        <v>14.781000000000001</v>
      </c>
      <c r="R14" s="63">
        <f ca="1">IFERROR(INDEX(PE_WP,$B14,R$13),"N/A")</f>
        <v>16.545000000000002</v>
      </c>
      <c r="S14" s="63">
        <f ca="1">IFERROR(INDEX(PE_WP,$B14,S$13),"N/A")</f>
        <v>17.905999999999999</v>
      </c>
      <c r="T14" s="63">
        <f ca="1">IFERROR(INDEX(PE_WP,$B14,T$13),"N/A")</f>
        <v>25.213000000000001</v>
      </c>
      <c r="U14" s="63" t="str">
        <f ca="1">IFERROR(INDEX(PE_WP,$B14,U$13),"N/A")</f>
        <v>N/A</v>
      </c>
      <c r="V14" s="63" t="str">
        <f ca="1">IFERROR(INDEX(PE_WP,$B14,V$13),"N/A")</f>
        <v>N/A</v>
      </c>
    </row>
    <row r="15" spans="1:22">
      <c r="A15" s="45" t="s">
        <v>1</v>
      </c>
      <c r="B15" s="46">
        <f t="shared" ca="1" si="3"/>
        <v>2</v>
      </c>
      <c r="C15" s="1">
        <f>IF(ISERROR(D15),"",IF(D15="","",MAX($C$13:C14)+1))</f>
        <v>2</v>
      </c>
      <c r="D15" t="str">
        <f t="shared" si="4"/>
        <v xml:space="preserve">Alliant Energy                </v>
      </c>
      <c r="E15" s="15"/>
      <c r="F15" s="63">
        <f t="shared" ref="F15:F58" ca="1" si="6">IFERROR(AVERAGE(G15:V15),"N/A")</f>
        <v>15.824</v>
      </c>
      <c r="G15" s="63">
        <f t="shared" ref="G15:G58" si="7">IFERROR(IF(VLOOKUP(A15,LUCurYr,3,FALSE)=0,"",VLOOKUP(A15,LUCurYr,3,FALSE)),"N/A")</f>
        <v>21.1</v>
      </c>
      <c r="H15" s="63">
        <f ca="1">IFERROR(VLOOKUP($A15,LASTYR,'2016'!$C$3,FALSE),"N/A")</f>
        <v>22.303999999999998</v>
      </c>
      <c r="I15" s="63">
        <f t="shared" ca="1" si="5"/>
        <v>18.071999999999999</v>
      </c>
      <c r="J15" s="63">
        <f t="shared" ca="1" si="5"/>
        <v>16.603000000000002</v>
      </c>
      <c r="K15" s="63">
        <f t="shared" ca="1" si="5"/>
        <v>15.276</v>
      </c>
      <c r="L15" s="63">
        <f t="shared" ca="1" si="5"/>
        <v>14.497999999999999</v>
      </c>
      <c r="M15" s="63">
        <f t="shared" ca="1" si="5"/>
        <v>14.451000000000001</v>
      </c>
      <c r="N15" s="63">
        <f t="shared" ca="1" si="5"/>
        <v>12.473000000000001</v>
      </c>
      <c r="O15" s="63">
        <f t="shared" ca="1" si="5"/>
        <v>13.861000000000001</v>
      </c>
      <c r="P15" s="63">
        <f t="shared" ca="1" si="5"/>
        <v>13.433</v>
      </c>
      <c r="Q15" s="63">
        <f t="shared" ca="1" si="5"/>
        <v>15.077</v>
      </c>
      <c r="R15" s="63">
        <f t="shared" ca="1" si="5"/>
        <v>16.82</v>
      </c>
      <c r="S15" s="63">
        <f t="shared" ca="1" si="5"/>
        <v>12.587999999999999</v>
      </c>
      <c r="T15" s="63">
        <f t="shared" ca="1" si="5"/>
        <v>14.002000000000001</v>
      </c>
      <c r="U15" s="63">
        <f t="shared" ca="1" si="5"/>
        <v>12.692</v>
      </c>
      <c r="V15" s="63">
        <f t="shared" ca="1" si="5"/>
        <v>19.934000000000001</v>
      </c>
    </row>
    <row r="16" spans="1:22">
      <c r="A16" s="45" t="s">
        <v>3</v>
      </c>
      <c r="B16" s="46">
        <f t="shared" ca="1" si="3"/>
        <v>5</v>
      </c>
      <c r="C16" s="1">
        <f>IF(ISERROR(D16),"",IF(D16="","",MAX($C$13:C15)+1))</f>
        <v>3</v>
      </c>
      <c r="D16" t="str">
        <f t="shared" si="4"/>
        <v xml:space="preserve">Ameren Corp.                  </v>
      </c>
      <c r="E16" s="15"/>
      <c r="F16" s="63">
        <f t="shared" ca="1" si="6"/>
        <v>15.461187499999999</v>
      </c>
      <c r="G16" s="63">
        <f t="shared" si="7"/>
        <v>20.8</v>
      </c>
      <c r="H16" s="63">
        <f ca="1">IFERROR(VLOOKUP($A16,LASTYR,'2016'!$C$3,FALSE),"N/A")</f>
        <v>18.294</v>
      </c>
      <c r="I16" s="63">
        <f t="shared" ca="1" si="5"/>
        <v>17.545000000000002</v>
      </c>
      <c r="J16" s="63">
        <f t="shared" ca="1" si="5"/>
        <v>16.706</v>
      </c>
      <c r="K16" s="63">
        <f t="shared" ca="1" si="5"/>
        <v>16.516999999999999</v>
      </c>
      <c r="L16" s="63">
        <f t="shared" ca="1" si="5"/>
        <v>13.351000000000001</v>
      </c>
      <c r="M16" s="63">
        <f t="shared" ca="1" si="5"/>
        <v>11.933999999999999</v>
      </c>
      <c r="N16" s="63">
        <f t="shared" ca="1" si="5"/>
        <v>9.6549999999999994</v>
      </c>
      <c r="O16" s="63">
        <f t="shared" ca="1" si="5"/>
        <v>9.2609999999999992</v>
      </c>
      <c r="P16" s="63">
        <f t="shared" ca="1" si="5"/>
        <v>14.205</v>
      </c>
      <c r="Q16" s="63">
        <f t="shared" ca="1" si="5"/>
        <v>17.45</v>
      </c>
      <c r="R16" s="63">
        <f t="shared" ca="1" si="5"/>
        <v>19.385000000000002</v>
      </c>
      <c r="S16" s="63">
        <f t="shared" ca="1" si="5"/>
        <v>16.716000000000001</v>
      </c>
      <c r="T16" s="63">
        <f t="shared" ca="1" si="5"/>
        <v>16.276</v>
      </c>
      <c r="U16" s="63">
        <f t="shared" ca="1" si="5"/>
        <v>13.505000000000001</v>
      </c>
      <c r="V16" s="63">
        <f t="shared" ca="1" si="5"/>
        <v>15.779</v>
      </c>
    </row>
    <row r="17" spans="1:22">
      <c r="A17" s="45" t="s">
        <v>2</v>
      </c>
      <c r="B17" s="46">
        <f t="shared" ca="1" si="3"/>
        <v>6</v>
      </c>
      <c r="C17" s="1">
        <f>IF(ISERROR(D17),"",IF(D17="","",MAX($C$13:C16)+1))</f>
        <v>4</v>
      </c>
      <c r="D17" t="str">
        <f t="shared" si="4"/>
        <v>American Electric Power</v>
      </c>
      <c r="E17" s="15"/>
      <c r="F17" s="63">
        <f t="shared" ca="1" si="6"/>
        <v>13.851125</v>
      </c>
      <c r="G17" s="63">
        <f t="shared" si="7"/>
        <v>19.5</v>
      </c>
      <c r="H17" s="63">
        <f ca="1">IFERROR(VLOOKUP($A17,LASTYR,'2016'!$C$3,FALSE),"N/A")</f>
        <v>15.157</v>
      </c>
      <c r="I17" s="63">
        <f t="shared" ca="1" si="5"/>
        <v>15.769</v>
      </c>
      <c r="J17" s="63">
        <f t="shared" ca="1" si="5"/>
        <v>15.875999999999999</v>
      </c>
      <c r="K17" s="63">
        <f t="shared" ca="1" si="5"/>
        <v>14.494</v>
      </c>
      <c r="L17" s="63">
        <f t="shared" ca="1" si="5"/>
        <v>13.766999999999999</v>
      </c>
      <c r="M17" s="63">
        <f t="shared" ca="1" si="5"/>
        <v>11.917999999999999</v>
      </c>
      <c r="N17" s="63">
        <f t="shared" ca="1" si="5"/>
        <v>13.416</v>
      </c>
      <c r="O17" s="63">
        <f t="shared" ca="1" si="5"/>
        <v>10.032</v>
      </c>
      <c r="P17" s="63">
        <f t="shared" ca="1" si="5"/>
        <v>13.061</v>
      </c>
      <c r="Q17" s="63">
        <f t="shared" ca="1" si="5"/>
        <v>16.268000000000001</v>
      </c>
      <c r="R17" s="63">
        <f t="shared" ca="1" si="5"/>
        <v>12.906000000000001</v>
      </c>
      <c r="S17" s="63">
        <f t="shared" ca="1" si="5"/>
        <v>13.695</v>
      </c>
      <c r="T17" s="63">
        <f t="shared" ca="1" si="5"/>
        <v>12.420999999999999</v>
      </c>
      <c r="U17" s="63">
        <f t="shared" ca="1" si="5"/>
        <v>10.662000000000001</v>
      </c>
      <c r="V17" s="63">
        <f t="shared" ca="1" si="5"/>
        <v>12.676</v>
      </c>
    </row>
    <row r="18" spans="1:22">
      <c r="A18" s="45" t="s">
        <v>261</v>
      </c>
      <c r="B18" s="46">
        <f t="shared" ca="1" si="3"/>
        <v>9</v>
      </c>
      <c r="C18" s="1">
        <f>IF(ISERROR(D18),"",IF(D18="","",MAX($C$13:C17)+1))</f>
        <v>5</v>
      </c>
      <c r="D18" t="str">
        <f t="shared" si="4"/>
        <v>Avangrid, Inc.</v>
      </c>
      <c r="E18" s="15"/>
      <c r="F18" s="63">
        <f t="shared" ca="1" si="6"/>
        <v>27.475999999999999</v>
      </c>
      <c r="G18" s="63">
        <f t="shared" si="7"/>
        <v>21</v>
      </c>
      <c r="H18" s="63">
        <f ca="1">IFERROR(VLOOKUP($A18,LASTYR,'2016'!$C$3,FALSE),"N/A")</f>
        <v>20.492000000000001</v>
      </c>
      <c r="I18" s="63">
        <f t="shared" ca="1" si="5"/>
        <v>40.936</v>
      </c>
      <c r="J18" s="63" t="str">
        <f t="shared" ca="1" si="5"/>
        <v>N/A</v>
      </c>
      <c r="K18" s="63" t="str">
        <f t="shared" ca="1" si="5"/>
        <v>N/A</v>
      </c>
      <c r="L18" s="63" t="str">
        <f t="shared" ca="1" si="5"/>
        <v>N/A</v>
      </c>
      <c r="M18" s="63" t="str">
        <f t="shared" ca="1" si="5"/>
        <v>N/A</v>
      </c>
      <c r="N18" s="63" t="str">
        <f t="shared" ca="1" si="5"/>
        <v>N/A</v>
      </c>
      <c r="O18" s="63" t="str">
        <f t="shared" ca="1" si="5"/>
        <v>N/A</v>
      </c>
      <c r="P18" s="63" t="str">
        <f t="shared" ca="1" si="5"/>
        <v>N/A</v>
      </c>
      <c r="Q18" s="63" t="str">
        <f t="shared" ca="1" si="5"/>
        <v>N/A</v>
      </c>
      <c r="R18" s="63" t="str">
        <f t="shared" ca="1" si="5"/>
        <v>N/A</v>
      </c>
      <c r="S18" s="63" t="str">
        <f t="shared" ca="1" si="5"/>
        <v>N/A</v>
      </c>
      <c r="T18" s="63" t="str">
        <f t="shared" ca="1" si="5"/>
        <v>N/A</v>
      </c>
      <c r="U18" s="63" t="str">
        <f t="shared" ca="1" si="5"/>
        <v>N/A</v>
      </c>
      <c r="V18" s="63" t="str">
        <f t="shared" ca="1" si="5"/>
        <v>N/A</v>
      </c>
    </row>
    <row r="19" spans="1:22">
      <c r="A19" s="45" t="s">
        <v>4</v>
      </c>
      <c r="B19" s="46">
        <f t="shared" ca="1" si="3"/>
        <v>10</v>
      </c>
      <c r="C19" s="1">
        <f>IF(ISERROR(D19),"",IF(D19="","",MAX($C$13:C18)+1))</f>
        <v>6</v>
      </c>
      <c r="D19" t="str">
        <f t="shared" si="4"/>
        <v xml:space="preserve">Avista Corp.                  </v>
      </c>
      <c r="E19" s="15"/>
      <c r="F19" s="63">
        <f t="shared" ca="1" si="6"/>
        <v>18.098312499999999</v>
      </c>
      <c r="G19" s="63">
        <f t="shared" si="7"/>
        <v>25.5</v>
      </c>
      <c r="H19" s="63">
        <f ca="1">IFERROR(VLOOKUP($A19,LASTYR,'2016'!$C$3,FALSE),"N/A")</f>
        <v>18.795000000000002</v>
      </c>
      <c r="I19" s="63">
        <f t="shared" ca="1" si="5"/>
        <v>17.603000000000002</v>
      </c>
      <c r="J19" s="63">
        <f t="shared" ca="1" si="5"/>
        <v>17.282</v>
      </c>
      <c r="K19" s="63">
        <f t="shared" ca="1" si="5"/>
        <v>14.635</v>
      </c>
      <c r="L19" s="63">
        <f t="shared" ca="1" si="5"/>
        <v>19.297000000000001</v>
      </c>
      <c r="M19" s="63">
        <f t="shared" ca="1" si="5"/>
        <v>14.077999999999999</v>
      </c>
      <c r="N19" s="63">
        <f t="shared" ca="1" si="5"/>
        <v>12.739000000000001</v>
      </c>
      <c r="O19" s="63">
        <f t="shared" ca="1" si="5"/>
        <v>11.416</v>
      </c>
      <c r="P19" s="63">
        <f t="shared" ca="1" si="5"/>
        <v>14.972</v>
      </c>
      <c r="Q19" s="63">
        <f t="shared" ca="1" si="5"/>
        <v>30.875</v>
      </c>
      <c r="R19" s="63">
        <f t="shared" ca="1" si="5"/>
        <v>15.39</v>
      </c>
      <c r="S19" s="63">
        <f t="shared" ca="1" si="5"/>
        <v>19.446999999999999</v>
      </c>
      <c r="T19" s="63">
        <f t="shared" ca="1" si="5"/>
        <v>24.431999999999999</v>
      </c>
      <c r="U19" s="63">
        <f t="shared" ca="1" si="5"/>
        <v>13.842000000000001</v>
      </c>
      <c r="V19" s="63">
        <f t="shared" ca="1" si="5"/>
        <v>19.27</v>
      </c>
    </row>
    <row r="20" spans="1:22">
      <c r="A20" s="45" t="s">
        <v>5</v>
      </c>
      <c r="B20" s="46">
        <f t="shared" ca="1" si="3"/>
        <v>11</v>
      </c>
      <c r="C20" s="1">
        <f>IF(ISERROR(D20),"",IF(D20="","",MAX($C$13:C19)+1))</f>
        <v>7</v>
      </c>
      <c r="D20" t="str">
        <f t="shared" si="4"/>
        <v xml:space="preserve">Black Hills                   </v>
      </c>
      <c r="E20" s="15"/>
      <c r="F20" s="63">
        <f t="shared" ca="1" si="6"/>
        <v>17.661533333333335</v>
      </c>
      <c r="G20" s="63">
        <f t="shared" si="7"/>
        <v>19.3</v>
      </c>
      <c r="H20" s="63">
        <f ca="1">IFERROR(VLOOKUP($A20,LASTYR,'2016'!$C$3,FALSE),"N/A")</f>
        <v>22.289000000000001</v>
      </c>
      <c r="I20" s="63">
        <f t="shared" ca="1" si="5"/>
        <v>16.137</v>
      </c>
      <c r="J20" s="63">
        <f t="shared" ca="1" si="5"/>
        <v>19.029</v>
      </c>
      <c r="K20" s="63">
        <f t="shared" ca="1" si="5"/>
        <v>18.238</v>
      </c>
      <c r="L20" s="63">
        <f t="shared" ca="1" si="5"/>
        <v>17.131</v>
      </c>
      <c r="M20" s="63">
        <f t="shared" ca="1" si="5"/>
        <v>31.129000000000001</v>
      </c>
      <c r="N20" s="63">
        <f t="shared" ca="1" si="5"/>
        <v>18.096</v>
      </c>
      <c r="O20" s="63">
        <f t="shared" ca="1" si="5"/>
        <v>9.9260000000000002</v>
      </c>
      <c r="P20" s="63" t="str">
        <f t="shared" ca="1" si="5"/>
        <v>N/A</v>
      </c>
      <c r="Q20" s="63">
        <f t="shared" ca="1" si="5"/>
        <v>15.023</v>
      </c>
      <c r="R20" s="63">
        <f t="shared" ca="1" si="5"/>
        <v>15.766999999999999</v>
      </c>
      <c r="S20" s="63">
        <f t="shared" ca="1" si="5"/>
        <v>17.265000000000001</v>
      </c>
      <c r="T20" s="63">
        <f t="shared" ca="1" si="5"/>
        <v>17.129000000000001</v>
      </c>
      <c r="U20" s="63">
        <f t="shared" ca="1" si="5"/>
        <v>15.949</v>
      </c>
      <c r="V20" s="63">
        <f t="shared" ca="1" si="5"/>
        <v>12.515000000000001</v>
      </c>
    </row>
    <row r="21" spans="1:22">
      <c r="A21" s="45" t="s">
        <v>6</v>
      </c>
      <c r="B21" s="46">
        <f t="shared" ca="1" si="3"/>
        <v>13</v>
      </c>
      <c r="C21" s="1">
        <f>IF(ISERROR(D21),"",IF(D21="","",MAX($C$13:C20)+1))</f>
        <v>8</v>
      </c>
      <c r="D21" t="str">
        <f t="shared" si="4"/>
        <v xml:space="preserve">CenterPoint Energy            </v>
      </c>
      <c r="E21" s="15"/>
      <c r="F21" s="63">
        <f t="shared" ca="1" si="6"/>
        <v>14.8560625</v>
      </c>
      <c r="G21" s="63">
        <f t="shared" si="7"/>
        <v>21.9</v>
      </c>
      <c r="H21" s="63">
        <f ca="1">IFERROR(VLOOKUP($A21,LASTYR,'2016'!$C$3,FALSE),"N/A")</f>
        <v>21.91</v>
      </c>
      <c r="I21" s="63">
        <f t="shared" ca="1" si="5"/>
        <v>18.097999999999999</v>
      </c>
      <c r="J21" s="63">
        <f t="shared" ca="1" si="5"/>
        <v>16.96</v>
      </c>
      <c r="K21" s="63">
        <f t="shared" ca="1" si="5"/>
        <v>18.747</v>
      </c>
      <c r="L21" s="63">
        <f t="shared" ca="1" si="5"/>
        <v>14.847</v>
      </c>
      <c r="M21" s="63">
        <f t="shared" ca="1" si="5"/>
        <v>14.574999999999999</v>
      </c>
      <c r="N21" s="63">
        <f t="shared" ca="1" si="5"/>
        <v>13.781000000000001</v>
      </c>
      <c r="O21" s="63">
        <f t="shared" ca="1" si="5"/>
        <v>11.807</v>
      </c>
      <c r="P21" s="63">
        <f t="shared" ca="1" si="5"/>
        <v>11.272</v>
      </c>
      <c r="Q21" s="63">
        <f t="shared" ca="1" si="5"/>
        <v>15.002000000000001</v>
      </c>
      <c r="R21" s="63">
        <f t="shared" ca="1" si="5"/>
        <v>10.265000000000001</v>
      </c>
      <c r="S21" s="63">
        <f t="shared" ca="1" si="5"/>
        <v>19.055</v>
      </c>
      <c r="T21" s="63">
        <f t="shared" ca="1" si="5"/>
        <v>17.841000000000001</v>
      </c>
      <c r="U21" s="63">
        <f t="shared" ca="1" si="5"/>
        <v>6.0469999999999997</v>
      </c>
      <c r="V21" s="63">
        <f t="shared" ca="1" si="5"/>
        <v>5.59</v>
      </c>
    </row>
    <row r="22" spans="1:22">
      <c r="A22" s="45" t="s">
        <v>9</v>
      </c>
      <c r="B22" s="46">
        <f t="shared" ca="1" si="3"/>
        <v>17</v>
      </c>
      <c r="C22" s="1">
        <f>IF(ISERROR(D22),"",IF(D22="","",MAX($C$13:C21)+1))</f>
        <v>9</v>
      </c>
      <c r="D22" t="str">
        <f t="shared" si="4"/>
        <v xml:space="preserve">CMS Energy Corp.              </v>
      </c>
      <c r="E22" s="15"/>
      <c r="F22" s="63">
        <f t="shared" ca="1" si="6"/>
        <v>16.715857142857143</v>
      </c>
      <c r="G22" s="63">
        <f t="shared" si="7"/>
        <v>21.6</v>
      </c>
      <c r="H22" s="63">
        <f ca="1">IFERROR(VLOOKUP($A22,LASTYR,'2016'!$C$3,FALSE),"N/A")</f>
        <v>20.943000000000001</v>
      </c>
      <c r="I22" s="63">
        <f t="shared" ca="1" si="5"/>
        <v>18.291</v>
      </c>
      <c r="J22" s="63">
        <f t="shared" ca="1" si="5"/>
        <v>17.298999999999999</v>
      </c>
      <c r="K22" s="63">
        <f t="shared" ca="1" si="5"/>
        <v>16.323</v>
      </c>
      <c r="L22" s="63">
        <f t="shared" ca="1" si="5"/>
        <v>15.069000000000001</v>
      </c>
      <c r="M22" s="63">
        <f t="shared" ca="1" si="5"/>
        <v>13.615</v>
      </c>
      <c r="N22" s="63">
        <f t="shared" ca="1" si="5"/>
        <v>12.456</v>
      </c>
      <c r="O22" s="63">
        <f t="shared" ca="1" si="5"/>
        <v>13.555999999999999</v>
      </c>
      <c r="P22" s="63">
        <f t="shared" ca="1" si="5"/>
        <v>10.866</v>
      </c>
      <c r="Q22" s="63">
        <f t="shared" ca="1" si="5"/>
        <v>26.837</v>
      </c>
      <c r="R22" s="63">
        <f t="shared" ca="1" si="5"/>
        <v>22.181000000000001</v>
      </c>
      <c r="S22" s="63">
        <f t="shared" ca="1" si="5"/>
        <v>12.601000000000001</v>
      </c>
      <c r="T22" s="63">
        <f t="shared" ca="1" si="5"/>
        <v>12.385</v>
      </c>
      <c r="U22" s="63" t="str">
        <f t="shared" ca="1" si="5"/>
        <v>N/A</v>
      </c>
      <c r="V22" s="63" t="str">
        <f t="shared" ca="1" si="5"/>
        <v>N/A</v>
      </c>
    </row>
    <row r="23" spans="1:22">
      <c r="A23" s="45" t="s">
        <v>10</v>
      </c>
      <c r="B23" s="46">
        <f t="shared" ca="1" si="3"/>
        <v>19</v>
      </c>
      <c r="C23" s="1">
        <f>IF(ISERROR(D23),"",IF(D23="","",MAX($C$13:C22)+1))</f>
        <v>10</v>
      </c>
      <c r="D23" t="str">
        <f t="shared" si="4"/>
        <v xml:space="preserve">Consol. Edison                </v>
      </c>
      <c r="E23" s="15"/>
      <c r="F23" s="63">
        <f t="shared" ca="1" si="6"/>
        <v>15.274437500000001</v>
      </c>
      <c r="G23" s="63">
        <f t="shared" si="7"/>
        <v>20.6</v>
      </c>
      <c r="H23" s="63">
        <f ca="1">IFERROR(VLOOKUP($A23,LASTYR,'2016'!$C$3,FALSE),"N/A")</f>
        <v>18.802</v>
      </c>
      <c r="I23" s="63">
        <f t="shared" ca="1" si="5"/>
        <v>15.589</v>
      </c>
      <c r="J23" s="63">
        <f t="shared" ca="1" si="5"/>
        <v>15.901</v>
      </c>
      <c r="K23" s="63">
        <f t="shared" ca="1" si="5"/>
        <v>14.723000000000001</v>
      </c>
      <c r="L23" s="63">
        <f t="shared" ca="1" si="5"/>
        <v>15.39</v>
      </c>
      <c r="M23" s="63">
        <f t="shared" ca="1" si="5"/>
        <v>15.074999999999999</v>
      </c>
      <c r="N23" s="63">
        <f t="shared" ca="1" si="5"/>
        <v>13.297000000000001</v>
      </c>
      <c r="O23" s="63">
        <f t="shared" ca="1" si="5"/>
        <v>12.545999999999999</v>
      </c>
      <c r="P23" s="63">
        <f t="shared" ca="1" si="5"/>
        <v>12.285</v>
      </c>
      <c r="Q23" s="63">
        <f t="shared" ca="1" si="5"/>
        <v>13.782</v>
      </c>
      <c r="R23" s="63">
        <f t="shared" ca="1" si="5"/>
        <v>15.484999999999999</v>
      </c>
      <c r="S23" s="63">
        <f t="shared" ca="1" si="5"/>
        <v>15.129</v>
      </c>
      <c r="T23" s="63">
        <f t="shared" ca="1" si="5"/>
        <v>18.209</v>
      </c>
      <c r="U23" s="63">
        <f t="shared" ca="1" si="5"/>
        <v>14.3</v>
      </c>
      <c r="V23" s="63">
        <f t="shared" ca="1" si="5"/>
        <v>13.278</v>
      </c>
    </row>
    <row r="24" spans="1:22">
      <c r="A24" s="45" t="s">
        <v>11</v>
      </c>
      <c r="B24" s="46">
        <f t="shared" ca="1" si="3"/>
        <v>21</v>
      </c>
      <c r="C24" s="1">
        <f>IF(ISERROR(D24),"",IF(D24="","",MAX($C$13:C23)+1))</f>
        <v>11</v>
      </c>
      <c r="D24" t="str">
        <f t="shared" si="4"/>
        <v xml:space="preserve">Dominion Resources            </v>
      </c>
      <c r="E24" s="15"/>
      <c r="F24" s="63">
        <f t="shared" ca="1" si="6"/>
        <v>18.080312500000002</v>
      </c>
      <c r="G24" s="63">
        <f t="shared" si="7"/>
        <v>22.7</v>
      </c>
      <c r="H24" s="63">
        <f ca="1">IFERROR(VLOOKUP($A24,LASTYR,'2016'!$C$3,FALSE),"N/A")</f>
        <v>21.324999999999999</v>
      </c>
      <c r="I24" s="63">
        <f t="shared" ca="1" si="5"/>
        <v>22.137</v>
      </c>
      <c r="J24" s="63">
        <f t="shared" ca="1" si="5"/>
        <v>22.972000000000001</v>
      </c>
      <c r="K24" s="63">
        <f t="shared" ca="1" si="5"/>
        <v>19.245000000000001</v>
      </c>
      <c r="L24" s="63">
        <f t="shared" ca="1" si="5"/>
        <v>18.911999999999999</v>
      </c>
      <c r="M24" s="63">
        <f t="shared" ca="1" si="5"/>
        <v>17.27</v>
      </c>
      <c r="N24" s="63">
        <f t="shared" ca="1" si="5"/>
        <v>14.348000000000001</v>
      </c>
      <c r="O24" s="63">
        <f t="shared" ca="1" si="5"/>
        <v>12.742000000000001</v>
      </c>
      <c r="P24" s="63">
        <f t="shared" ca="1" si="5"/>
        <v>13.78</v>
      </c>
      <c r="Q24" s="63">
        <f t="shared" ca="1" si="5"/>
        <v>20.626000000000001</v>
      </c>
      <c r="R24" s="63">
        <f t="shared" ca="1" si="5"/>
        <v>15.976000000000001</v>
      </c>
      <c r="S24" s="63">
        <f t="shared" ca="1" si="5"/>
        <v>24.893999999999998</v>
      </c>
      <c r="T24" s="63">
        <f t="shared" ca="1" si="5"/>
        <v>15.071999999999999</v>
      </c>
      <c r="U24" s="63">
        <f t="shared" ca="1" si="5"/>
        <v>15.241</v>
      </c>
      <c r="V24" s="63">
        <f t="shared" ca="1" si="5"/>
        <v>12.045</v>
      </c>
    </row>
    <row r="25" spans="1:22">
      <c r="A25" s="45" t="s">
        <v>12</v>
      </c>
      <c r="B25" s="46">
        <f t="shared" ca="1" si="3"/>
        <v>22</v>
      </c>
      <c r="C25" s="1">
        <f>IF(ISERROR(D25),"",IF(D25="","",MAX($C$13:C24)+1))</f>
        <v>12</v>
      </c>
      <c r="D25" t="str">
        <f t="shared" si="4"/>
        <v xml:space="preserve">DTE Energy                    </v>
      </c>
      <c r="E25" s="15"/>
      <c r="F25" s="63">
        <f t="shared" ca="1" si="6"/>
        <v>15.430937500000001</v>
      </c>
      <c r="G25" s="63">
        <f t="shared" si="7"/>
        <v>20.6</v>
      </c>
      <c r="H25" s="63">
        <f ca="1">IFERROR(VLOOKUP($A25,LASTYR,'2016'!$C$3,FALSE),"N/A")</f>
        <v>18.966000000000001</v>
      </c>
      <c r="I25" s="63">
        <f t="shared" ca="1" si="5"/>
        <v>18.113</v>
      </c>
      <c r="J25" s="63">
        <f t="shared" ca="1" si="5"/>
        <v>14.912000000000001</v>
      </c>
      <c r="K25" s="63">
        <f t="shared" ca="1" si="5"/>
        <v>17.914999999999999</v>
      </c>
      <c r="L25" s="63">
        <f t="shared" ca="1" si="5"/>
        <v>14.888999999999999</v>
      </c>
      <c r="M25" s="63">
        <f t="shared" ca="1" si="5"/>
        <v>13.509</v>
      </c>
      <c r="N25" s="63">
        <f t="shared" ca="1" si="5"/>
        <v>12.266</v>
      </c>
      <c r="O25" s="63">
        <f t="shared" ca="1" si="5"/>
        <v>10.41</v>
      </c>
      <c r="P25" s="63">
        <f t="shared" ca="1" si="5"/>
        <v>14.811</v>
      </c>
      <c r="Q25" s="63">
        <f t="shared" ca="1" si="5"/>
        <v>18.265000000000001</v>
      </c>
      <c r="R25" s="63">
        <f t="shared" ca="1" si="5"/>
        <v>17.431000000000001</v>
      </c>
      <c r="S25" s="63">
        <f t="shared" ca="1" si="5"/>
        <v>13.797000000000001</v>
      </c>
      <c r="T25" s="63">
        <f t="shared" ca="1" si="5"/>
        <v>16.042999999999999</v>
      </c>
      <c r="U25" s="63">
        <f t="shared" ca="1" si="5"/>
        <v>13.689</v>
      </c>
      <c r="V25" s="63">
        <f t="shared" ca="1" si="5"/>
        <v>11.279</v>
      </c>
    </row>
    <row r="26" spans="1:22">
      <c r="A26" s="45" t="s">
        <v>13</v>
      </c>
      <c r="B26" s="46">
        <f t="shared" ca="1" si="3"/>
        <v>23</v>
      </c>
      <c r="C26" s="1">
        <f>IF(ISERROR(D26),"",IF(D26="","",MAX($C$13:C25)+1))</f>
        <v>13</v>
      </c>
      <c r="D26" t="str">
        <f t="shared" si="4"/>
        <v xml:space="preserve">Duke Energy                   </v>
      </c>
      <c r="E26" s="15"/>
      <c r="F26" s="63">
        <f t="shared" ca="1" si="6"/>
        <v>16.742909090909091</v>
      </c>
      <c r="G26" s="63">
        <f t="shared" si="7"/>
        <v>18.7</v>
      </c>
      <c r="H26" s="63">
        <f ca="1">IFERROR(VLOOKUP($A26,LASTYR,'2016'!$C$3,FALSE),"N/A")</f>
        <v>21.251000000000001</v>
      </c>
      <c r="I26" s="63">
        <f t="shared" ca="1" si="5"/>
        <v>18.218</v>
      </c>
      <c r="J26" s="63">
        <f t="shared" ca="1" si="5"/>
        <v>17.913</v>
      </c>
      <c r="K26" s="63">
        <f t="shared" ca="1" si="5"/>
        <v>17.449000000000002</v>
      </c>
      <c r="L26" s="63">
        <f t="shared" ca="1" si="5"/>
        <v>17.463999999999999</v>
      </c>
      <c r="M26" s="63">
        <f t="shared" ca="1" si="5"/>
        <v>13.763</v>
      </c>
      <c r="N26" s="63">
        <f t="shared" ca="1" si="5"/>
        <v>12.685</v>
      </c>
      <c r="O26" s="63">
        <f t="shared" ca="1" si="5"/>
        <v>13.317</v>
      </c>
      <c r="P26" s="63">
        <f t="shared" ca="1" si="5"/>
        <v>17.283000000000001</v>
      </c>
      <c r="Q26" s="63">
        <f t="shared" ca="1" si="5"/>
        <v>16.129000000000001</v>
      </c>
      <c r="R26" s="63" t="str">
        <f t="shared" ca="1" si="5"/>
        <v>N/A</v>
      </c>
      <c r="S26" s="63" t="str">
        <f t="shared" ca="1" si="5"/>
        <v>N/A</v>
      </c>
      <c r="T26" s="63" t="str">
        <f t="shared" ca="1" si="5"/>
        <v>N/A</v>
      </c>
      <c r="U26" s="63" t="str">
        <f t="shared" ca="1" si="5"/>
        <v>N/A</v>
      </c>
      <c r="V26" s="63" t="str">
        <f t="shared" ca="1" si="5"/>
        <v>N/A</v>
      </c>
    </row>
    <row r="27" spans="1:22">
      <c r="A27" s="45" t="s">
        <v>14</v>
      </c>
      <c r="B27" s="46">
        <f t="shared" ca="1" si="3"/>
        <v>24</v>
      </c>
      <c r="C27" s="1">
        <f>IF(ISERROR(D27),"",IF(D27="","",MAX($C$13:C26)+1))</f>
        <v>14</v>
      </c>
      <c r="D27" t="str">
        <f t="shared" si="4"/>
        <v xml:space="preserve">Edison Int'l                  </v>
      </c>
      <c r="E27" s="15"/>
      <c r="F27" s="63">
        <f t="shared" ca="1" si="6"/>
        <v>13.983999999999998</v>
      </c>
      <c r="G27" s="63">
        <f t="shared" si="7"/>
        <v>18.3</v>
      </c>
      <c r="H27" s="63">
        <f ca="1">IFERROR(VLOOKUP($A27,LASTYR,'2016'!$C$3,FALSE),"N/A")</f>
        <v>17.920000000000002</v>
      </c>
      <c r="I27" s="63">
        <f t="shared" ca="1" si="5"/>
        <v>14.766999999999999</v>
      </c>
      <c r="J27" s="63">
        <f t="shared" ca="1" si="5"/>
        <v>13.05</v>
      </c>
      <c r="K27" s="63">
        <f t="shared" ca="1" si="5"/>
        <v>12.699</v>
      </c>
      <c r="L27" s="63">
        <f t="shared" ca="1" si="5"/>
        <v>9.7070000000000007</v>
      </c>
      <c r="M27" s="63">
        <f t="shared" ca="1" si="5"/>
        <v>11.808</v>
      </c>
      <c r="N27" s="63">
        <f t="shared" ca="1" si="5"/>
        <v>10.319000000000001</v>
      </c>
      <c r="O27" s="63">
        <f t="shared" ca="1" si="5"/>
        <v>9.718</v>
      </c>
      <c r="P27" s="63">
        <f t="shared" ca="1" si="5"/>
        <v>12.356999999999999</v>
      </c>
      <c r="Q27" s="63">
        <f t="shared" ca="1" si="5"/>
        <v>16.027999999999999</v>
      </c>
      <c r="R27" s="63">
        <f t="shared" ca="1" si="5"/>
        <v>12.988</v>
      </c>
      <c r="S27" s="63">
        <f t="shared" ca="1" si="5"/>
        <v>11.74</v>
      </c>
      <c r="T27" s="63">
        <f t="shared" ca="1" si="5"/>
        <v>37.591000000000001</v>
      </c>
      <c r="U27" s="63">
        <f t="shared" ca="1" si="5"/>
        <v>6.968</v>
      </c>
      <c r="V27" s="63">
        <f t="shared" ca="1" si="5"/>
        <v>7.7839999999999998</v>
      </c>
    </row>
    <row r="28" spans="1:22">
      <c r="A28" s="45" t="s">
        <v>15</v>
      </c>
      <c r="B28" s="46">
        <f t="shared" ca="1" si="3"/>
        <v>25</v>
      </c>
      <c r="C28" s="1">
        <f>IF(ISERROR(D28),"",IF(D28="","",MAX($C$13:C27)+1))</f>
        <v>15</v>
      </c>
      <c r="D28" t="str">
        <f t="shared" si="4"/>
        <v xml:space="preserve">El Paso Electric              </v>
      </c>
      <c r="E28" s="15"/>
      <c r="F28" s="63">
        <f t="shared" ca="1" si="6"/>
        <v>17.051000000000002</v>
      </c>
      <c r="G28" s="63">
        <f t="shared" si="7"/>
        <v>20.9</v>
      </c>
      <c r="H28" s="63">
        <f ca="1">IFERROR(VLOOKUP($A28,LASTYR,'2016'!$C$3,FALSE),"N/A")</f>
        <v>18.657</v>
      </c>
      <c r="I28" s="63">
        <f t="shared" ca="1" si="5"/>
        <v>18.329000000000001</v>
      </c>
      <c r="J28" s="63">
        <f t="shared" ca="1" si="5"/>
        <v>16.382999999999999</v>
      </c>
      <c r="K28" s="63">
        <f t="shared" ca="1" si="5"/>
        <v>15.879</v>
      </c>
      <c r="L28" s="63">
        <f t="shared" ca="1" si="5"/>
        <v>14.473000000000001</v>
      </c>
      <c r="M28" s="63">
        <f t="shared" ca="1" si="5"/>
        <v>12.595000000000001</v>
      </c>
      <c r="N28" s="63">
        <f t="shared" ca="1" si="5"/>
        <v>10.72</v>
      </c>
      <c r="O28" s="63">
        <f t="shared" ca="1" si="5"/>
        <v>10.792999999999999</v>
      </c>
      <c r="P28" s="63">
        <f t="shared" ca="1" si="5"/>
        <v>11.894</v>
      </c>
      <c r="Q28" s="63">
        <f t="shared" ca="1" si="5"/>
        <v>15.26</v>
      </c>
      <c r="R28" s="63">
        <f t="shared" ca="1" si="5"/>
        <v>16.920000000000002</v>
      </c>
      <c r="S28" s="63">
        <f t="shared" ca="1" si="5"/>
        <v>26.724</v>
      </c>
      <c r="T28" s="63">
        <f t="shared" ca="1" si="5"/>
        <v>22.033000000000001</v>
      </c>
      <c r="U28" s="63">
        <f t="shared" ca="1" si="5"/>
        <v>18.263000000000002</v>
      </c>
      <c r="V28" s="63">
        <f t="shared" ca="1" si="5"/>
        <v>22.992999999999999</v>
      </c>
    </row>
    <row r="29" spans="1:22">
      <c r="A29" s="45" t="s">
        <v>17</v>
      </c>
      <c r="B29" s="46">
        <f t="shared" ca="1" si="3"/>
        <v>27</v>
      </c>
      <c r="C29" s="1">
        <f>IF(ISERROR(D29),"",IF(D29="","",MAX($C$13:C28)+1))</f>
        <v>16</v>
      </c>
      <c r="D29" t="str">
        <f t="shared" si="4"/>
        <v xml:space="preserve">Entergy Corp.                 </v>
      </c>
      <c r="E29" s="15"/>
      <c r="F29" s="63">
        <f t="shared" ca="1" si="6"/>
        <v>13.268062500000001</v>
      </c>
      <c r="G29" s="63">
        <f t="shared" si="7"/>
        <v>12.1</v>
      </c>
      <c r="H29" s="63">
        <f ca="1">IFERROR(VLOOKUP($A29,LASTYR,'2016'!$C$3,FALSE),"N/A")</f>
        <v>10.922000000000001</v>
      </c>
      <c r="I29" s="63">
        <f t="shared" ca="1" si="5"/>
        <v>12.529</v>
      </c>
      <c r="J29" s="63">
        <f t="shared" ca="1" si="5"/>
        <v>12.885999999999999</v>
      </c>
      <c r="K29" s="63">
        <f t="shared" ca="1" si="5"/>
        <v>13.214</v>
      </c>
      <c r="L29" s="63">
        <f t="shared" ca="1" si="5"/>
        <v>11.224</v>
      </c>
      <c r="M29" s="63">
        <f t="shared" ca="1" si="5"/>
        <v>9.0619999999999994</v>
      </c>
      <c r="N29" s="63">
        <f t="shared" ca="1" si="5"/>
        <v>11.571</v>
      </c>
      <c r="O29" s="63">
        <f t="shared" ca="1" si="5"/>
        <v>11.981</v>
      </c>
      <c r="P29" s="63">
        <f t="shared" ca="1" si="5"/>
        <v>16.556000000000001</v>
      </c>
      <c r="Q29" s="63">
        <f t="shared" ca="1" si="5"/>
        <v>19.303000000000001</v>
      </c>
      <c r="R29" s="63">
        <f t="shared" ca="1" si="5"/>
        <v>14.276</v>
      </c>
      <c r="S29" s="63">
        <f t="shared" ca="1" si="5"/>
        <v>16.282</v>
      </c>
      <c r="T29" s="63">
        <f t="shared" ca="1" si="5"/>
        <v>15.087</v>
      </c>
      <c r="U29" s="63">
        <f t="shared" ca="1" si="5"/>
        <v>13.771000000000001</v>
      </c>
      <c r="V29" s="63">
        <f t="shared" ca="1" si="5"/>
        <v>11.525</v>
      </c>
    </row>
    <row r="30" spans="1:22">
      <c r="A30" s="45" t="s">
        <v>211</v>
      </c>
      <c r="B30" s="46">
        <f t="shared" ca="1" si="3"/>
        <v>28</v>
      </c>
      <c r="C30" s="1">
        <f>IF(ISERROR(D30),"",IF(D30="","",MAX($C$13:C29)+1))</f>
        <v>17</v>
      </c>
      <c r="D30" t="str">
        <f t="shared" si="4"/>
        <v xml:space="preserve">Eversource Energy    </v>
      </c>
      <c r="E30" s="15"/>
      <c r="F30" s="63">
        <f t="shared" ca="1" si="6"/>
        <v>17.5793125</v>
      </c>
      <c r="G30" s="63">
        <f t="shared" si="7"/>
        <v>19.600000000000001</v>
      </c>
      <c r="H30" s="63">
        <f ca="1">IFERROR(VLOOKUP($A30,LASTYR,'2016'!$C$3,FALSE),"N/A")</f>
        <v>18.692</v>
      </c>
      <c r="I30" s="63">
        <f t="shared" ca="1" si="5"/>
        <v>18.11</v>
      </c>
      <c r="J30" s="63">
        <f t="shared" ca="1" si="5"/>
        <v>17.920000000000002</v>
      </c>
      <c r="K30" s="63">
        <f t="shared" ca="1" si="5"/>
        <v>16.940999999999999</v>
      </c>
      <c r="L30" s="63">
        <f t="shared" ca="1" si="5"/>
        <v>19.855</v>
      </c>
      <c r="M30" s="63">
        <f t="shared" ca="1" si="5"/>
        <v>15.35</v>
      </c>
      <c r="N30" s="63">
        <f t="shared" ca="1" si="5"/>
        <v>13.423</v>
      </c>
      <c r="O30" s="63">
        <f t="shared" ca="1" si="5"/>
        <v>11.96</v>
      </c>
      <c r="P30" s="63">
        <f t="shared" ca="1" si="5"/>
        <v>13.662000000000001</v>
      </c>
      <c r="Q30" s="63">
        <f t="shared" ca="1" si="5"/>
        <v>18.745999999999999</v>
      </c>
      <c r="R30" s="63">
        <f t="shared" ca="1" si="5"/>
        <v>27.065000000000001</v>
      </c>
      <c r="S30" s="63">
        <f t="shared" ca="1" si="5"/>
        <v>19.757000000000001</v>
      </c>
      <c r="T30" s="63">
        <f t="shared" ca="1" si="5"/>
        <v>20.768000000000001</v>
      </c>
      <c r="U30" s="63">
        <f t="shared" ca="1" si="5"/>
        <v>13.353999999999999</v>
      </c>
      <c r="V30" s="63">
        <f t="shared" ca="1" si="5"/>
        <v>16.065999999999999</v>
      </c>
    </row>
    <row r="31" spans="1:22">
      <c r="A31" s="45" t="s">
        <v>18</v>
      </c>
      <c r="B31" s="46">
        <f t="shared" ca="1" si="3"/>
        <v>29</v>
      </c>
      <c r="C31" s="1">
        <f>IF(ISERROR(D31),"",IF(D31="","",MAX($C$13:C30)+1))</f>
        <v>18</v>
      </c>
      <c r="D31" t="str">
        <f t="shared" si="4"/>
        <v xml:space="preserve">Exelon Corp.                  </v>
      </c>
      <c r="E31" s="15"/>
      <c r="F31" s="63">
        <f t="shared" ca="1" si="6"/>
        <v>14.503187500000003</v>
      </c>
      <c r="G31" s="63">
        <f t="shared" si="7"/>
        <v>15.2</v>
      </c>
      <c r="H31" s="63">
        <f ca="1">IFERROR(VLOOKUP($A31,LASTYR,'2016'!$C$3,FALSE),"N/A")</f>
        <v>18.681000000000001</v>
      </c>
      <c r="I31" s="63">
        <f t="shared" ca="1" si="5"/>
        <v>12.576000000000001</v>
      </c>
      <c r="J31" s="63">
        <f t="shared" ca="1" si="5"/>
        <v>16.018000000000001</v>
      </c>
      <c r="K31" s="63">
        <f t="shared" ca="1" si="5"/>
        <v>13.433</v>
      </c>
      <c r="L31" s="63">
        <f t="shared" ca="1" si="5"/>
        <v>19.077999999999999</v>
      </c>
      <c r="M31" s="63">
        <f t="shared" ca="1" si="5"/>
        <v>11.301</v>
      </c>
      <c r="N31" s="63">
        <f t="shared" ca="1" si="5"/>
        <v>10.97</v>
      </c>
      <c r="O31" s="63">
        <f t="shared" ca="1" si="5"/>
        <v>11.488</v>
      </c>
      <c r="P31" s="63">
        <f t="shared" ca="1" si="5"/>
        <v>17.972000000000001</v>
      </c>
      <c r="Q31" s="63">
        <f t="shared" ca="1" si="5"/>
        <v>18.222000000000001</v>
      </c>
      <c r="R31" s="63">
        <f t="shared" ca="1" si="5"/>
        <v>16.529</v>
      </c>
      <c r="S31" s="63">
        <f t="shared" ca="1" si="5"/>
        <v>15.371</v>
      </c>
      <c r="T31" s="63">
        <f t="shared" ref="S31:V32" ca="1" si="8">IFERROR(INDEX(PE_WP,$B31,T$13),"N/A")</f>
        <v>12.99</v>
      </c>
      <c r="U31" s="63">
        <f t="shared" ca="1" si="8"/>
        <v>11.765000000000001</v>
      </c>
      <c r="V31" s="63">
        <f t="shared" ca="1" si="8"/>
        <v>10.457000000000001</v>
      </c>
    </row>
    <row r="32" spans="1:22">
      <c r="A32" s="45" t="s">
        <v>19</v>
      </c>
      <c r="B32" s="46">
        <f t="shared" ca="1" si="3"/>
        <v>30</v>
      </c>
      <c r="C32" s="1">
        <f>IF(ISERROR(D32),"",IF(D32="","",MAX($C$13:C31)+1))</f>
        <v>19</v>
      </c>
      <c r="D32" t="str">
        <f t="shared" si="4"/>
        <v xml:space="preserve">FirstEnergy Corp.             </v>
      </c>
      <c r="E32" s="15"/>
      <c r="F32" s="63">
        <f t="shared" ca="1" si="6"/>
        <v>17.332062500000003</v>
      </c>
      <c r="G32" s="63">
        <f t="shared" si="7"/>
        <v>12.2</v>
      </c>
      <c r="H32" s="63">
        <f ca="1">IFERROR(VLOOKUP($A32,LASTYR,'2016'!$C$3,FALSE),"N/A")</f>
        <v>15.914</v>
      </c>
      <c r="I32" s="63">
        <f t="shared" ca="1" si="5"/>
        <v>17.023</v>
      </c>
      <c r="J32" s="63">
        <f t="shared" ca="1" si="5"/>
        <v>39.789000000000001</v>
      </c>
      <c r="K32" s="63">
        <f t="shared" ca="1" si="5"/>
        <v>13.055</v>
      </c>
      <c r="L32" s="63">
        <f t="shared" ca="1" si="5"/>
        <v>21.094999999999999</v>
      </c>
      <c r="M32" s="63">
        <f t="shared" ca="1" si="5"/>
        <v>22.39</v>
      </c>
      <c r="N32" s="63">
        <f t="shared" ca="1" si="5"/>
        <v>11.747999999999999</v>
      </c>
      <c r="O32" s="63">
        <f t="shared" ca="1" si="5"/>
        <v>13.023999999999999</v>
      </c>
      <c r="P32" s="63">
        <f t="shared" ca="1" si="5"/>
        <v>15.643000000000001</v>
      </c>
      <c r="Q32" s="63">
        <f t="shared" ca="1" si="5"/>
        <v>15.587</v>
      </c>
      <c r="R32" s="63">
        <f t="shared" ca="1" si="5"/>
        <v>14.228999999999999</v>
      </c>
      <c r="S32" s="63">
        <f t="shared" ca="1" si="8"/>
        <v>16.065000000000001</v>
      </c>
      <c r="T32" s="63">
        <f t="shared" ca="1" si="8"/>
        <v>14.127000000000001</v>
      </c>
      <c r="U32" s="63">
        <f t="shared" ca="1" si="8"/>
        <v>22.47</v>
      </c>
      <c r="V32" s="63">
        <f t="shared" ca="1" si="8"/>
        <v>12.954000000000001</v>
      </c>
    </row>
    <row r="33" spans="1:22">
      <c r="A33" s="45" t="s">
        <v>267</v>
      </c>
      <c r="B33" s="46">
        <f t="shared" ca="1" si="3"/>
        <v>31</v>
      </c>
      <c r="C33" s="1">
        <f>IF(ISERROR(D33),"",IF(D33="","",MAX($C$13:C32)+1))</f>
        <v>20</v>
      </c>
      <c r="D33" t="str">
        <f t="shared" si="4"/>
        <v>Fortis Inc.</v>
      </c>
      <c r="E33" s="15"/>
      <c r="F33" s="63">
        <f t="shared" ca="1" si="6"/>
        <v>19.230416666666667</v>
      </c>
      <c r="G33" s="63">
        <f t="shared" si="7"/>
        <v>17.100000000000001</v>
      </c>
      <c r="H33" s="63">
        <f ca="1">IFERROR(VLOOKUP($A33,LASTYR,'2016'!$C$3,FALSE),"N/A")</f>
        <v>21.603000000000002</v>
      </c>
      <c r="I33" s="63">
        <f t="shared" ref="I33:V53" ca="1" si="9">IFERROR(INDEX(PE_WP,$B33,I$13),"N/A")</f>
        <v>18.001999999999999</v>
      </c>
      <c r="J33" s="63">
        <f t="shared" ca="1" si="9"/>
        <v>24.286000000000001</v>
      </c>
      <c r="K33" s="63">
        <f t="shared" ca="1" si="9"/>
        <v>19.97</v>
      </c>
      <c r="L33" s="63">
        <f t="shared" ca="1" si="9"/>
        <v>20.122</v>
      </c>
      <c r="M33" s="63">
        <f t="shared" ca="1" si="9"/>
        <v>18.792999999999999</v>
      </c>
      <c r="N33" s="63">
        <f t="shared" ca="1" si="9"/>
        <v>18.215</v>
      </c>
      <c r="O33" s="63">
        <f t="shared" ca="1" si="9"/>
        <v>16.364000000000001</v>
      </c>
      <c r="P33" s="63">
        <f t="shared" ca="1" si="9"/>
        <v>17.481999999999999</v>
      </c>
      <c r="Q33" s="63">
        <f t="shared" ca="1" si="9"/>
        <v>21.143999999999998</v>
      </c>
      <c r="R33" s="63">
        <f t="shared" ca="1" si="9"/>
        <v>17.684000000000001</v>
      </c>
      <c r="S33" s="63" t="str">
        <f t="shared" ca="1" si="9"/>
        <v>N/A</v>
      </c>
      <c r="T33" s="63" t="str">
        <f t="shared" ca="1" si="9"/>
        <v>N/A</v>
      </c>
      <c r="U33" s="63" t="str">
        <f t="shared" ca="1" si="9"/>
        <v>N/A</v>
      </c>
      <c r="V33" s="63" t="str">
        <f t="shared" ca="1" si="9"/>
        <v>N/A</v>
      </c>
    </row>
    <row r="34" spans="1:22">
      <c r="A34" s="45" t="s">
        <v>20</v>
      </c>
      <c r="B34" s="46">
        <f t="shared" ca="1" si="3"/>
        <v>33</v>
      </c>
      <c r="C34" s="1">
        <f>IF(ISERROR(D34),"",IF(D34="","",MAX($C$13:C33)+1))</f>
        <v>21</v>
      </c>
      <c r="D34" t="str">
        <f t="shared" si="4"/>
        <v xml:space="preserve">Great Plains Energy             </v>
      </c>
      <c r="E34" s="15"/>
      <c r="F34" s="63">
        <f t="shared" ca="1" si="6"/>
        <v>16.983624999999996</v>
      </c>
      <c r="G34" s="63">
        <f t="shared" si="7"/>
        <v>38.9</v>
      </c>
      <c r="H34" s="63">
        <f ca="1">IFERROR(VLOOKUP($A34,LASTYR,'2016'!$C$3,FALSE),"N/A")</f>
        <v>17.981000000000002</v>
      </c>
      <c r="I34" s="63">
        <f t="shared" ca="1" si="9"/>
        <v>19.366</v>
      </c>
      <c r="J34" s="63">
        <f t="shared" ca="1" si="9"/>
        <v>16.47</v>
      </c>
      <c r="K34" s="63">
        <f t="shared" ca="1" si="9"/>
        <v>14.186</v>
      </c>
      <c r="L34" s="63">
        <f t="shared" ca="1" si="9"/>
        <v>15.534000000000001</v>
      </c>
      <c r="M34" s="63">
        <f t="shared" ca="1" si="9"/>
        <v>16.105</v>
      </c>
      <c r="N34" s="63">
        <f t="shared" ca="1" si="9"/>
        <v>12.095000000000001</v>
      </c>
      <c r="O34" s="63">
        <f t="shared" ca="1" si="9"/>
        <v>16.033000000000001</v>
      </c>
      <c r="P34" s="63">
        <f t="shared" ca="1" si="9"/>
        <v>20.547000000000001</v>
      </c>
      <c r="Q34" s="63">
        <f t="shared" ca="1" si="9"/>
        <v>16.347999999999999</v>
      </c>
      <c r="R34" s="63">
        <f t="shared" ca="1" si="9"/>
        <v>18.298999999999999</v>
      </c>
      <c r="S34" s="63">
        <f t="shared" ca="1" si="9"/>
        <v>13.962</v>
      </c>
      <c r="T34" s="63">
        <f t="shared" ca="1" si="9"/>
        <v>12.593</v>
      </c>
      <c r="U34" s="63">
        <f t="shared" ca="1" si="9"/>
        <v>12.228999999999999</v>
      </c>
      <c r="V34" s="63">
        <f t="shared" ca="1" si="9"/>
        <v>11.09</v>
      </c>
    </row>
    <row r="35" spans="1:22">
      <c r="A35" s="45" t="s">
        <v>21</v>
      </c>
      <c r="B35" s="46">
        <f t="shared" ca="1" si="3"/>
        <v>34</v>
      </c>
      <c r="C35" s="1">
        <f>IF(ISERROR(D35),"",IF(D35="","",MAX($C$13:C34)+1))</f>
        <v>22</v>
      </c>
      <c r="D35" t="str">
        <f t="shared" si="4"/>
        <v xml:space="preserve">Hawaiian Elec.                </v>
      </c>
      <c r="E35" s="15"/>
      <c r="F35" s="63">
        <f t="shared" ca="1" si="6"/>
        <v>17.936312500000003</v>
      </c>
      <c r="G35" s="63">
        <f t="shared" si="7"/>
        <v>19.899999999999999</v>
      </c>
      <c r="H35" s="63">
        <f ca="1">IFERROR(VLOOKUP($A35,LASTYR,'2016'!$C$3,FALSE),"N/A")</f>
        <v>13.555999999999999</v>
      </c>
      <c r="I35" s="63">
        <f t="shared" ca="1" si="9"/>
        <v>20.402999999999999</v>
      </c>
      <c r="J35" s="63">
        <f t="shared" ca="1" si="9"/>
        <v>15.881</v>
      </c>
      <c r="K35" s="63">
        <f t="shared" ca="1" si="9"/>
        <v>16.213000000000001</v>
      </c>
      <c r="L35" s="63">
        <f t="shared" ca="1" si="9"/>
        <v>15.813000000000001</v>
      </c>
      <c r="M35" s="63">
        <f t="shared" ca="1" si="9"/>
        <v>17.09</v>
      </c>
      <c r="N35" s="63">
        <f t="shared" ca="1" si="9"/>
        <v>18.588000000000001</v>
      </c>
      <c r="O35" s="63">
        <f t="shared" ca="1" si="9"/>
        <v>19.786000000000001</v>
      </c>
      <c r="P35" s="63">
        <f t="shared" ca="1" si="9"/>
        <v>23.161000000000001</v>
      </c>
      <c r="Q35" s="63">
        <f t="shared" ca="1" si="9"/>
        <v>21.574000000000002</v>
      </c>
      <c r="R35" s="63">
        <f t="shared" ca="1" si="9"/>
        <v>20.329000000000001</v>
      </c>
      <c r="S35" s="63">
        <f t="shared" ca="1" si="9"/>
        <v>18.273</v>
      </c>
      <c r="T35" s="63">
        <f t="shared" ca="1" si="9"/>
        <v>19.181000000000001</v>
      </c>
      <c r="U35" s="63">
        <f t="shared" ca="1" si="9"/>
        <v>13.759</v>
      </c>
      <c r="V35" s="63">
        <f t="shared" ca="1" si="9"/>
        <v>13.474</v>
      </c>
    </row>
    <row r="36" spans="1:22">
      <c r="A36" s="45" t="s">
        <v>22</v>
      </c>
      <c r="B36" s="46">
        <f t="shared" ca="1" si="3"/>
        <v>35</v>
      </c>
      <c r="C36" s="1">
        <f>IF(ISERROR(D36),"",IF(D36="","",MAX($C$13:C35)+1))</f>
        <v>23</v>
      </c>
      <c r="D36" t="str">
        <f t="shared" si="4"/>
        <v xml:space="preserve">IDACORP, Inc.                 </v>
      </c>
      <c r="E36" s="15"/>
      <c r="F36" s="63">
        <f t="shared" ca="1" si="6"/>
        <v>15.9326875</v>
      </c>
      <c r="G36" s="63">
        <f t="shared" si="7"/>
        <v>20.8</v>
      </c>
      <c r="H36" s="63">
        <f ca="1">IFERROR(VLOOKUP($A36,LASTYR,'2016'!$C$3,FALSE),"N/A")</f>
        <v>19.059999999999999</v>
      </c>
      <c r="I36" s="63">
        <f t="shared" ca="1" si="9"/>
        <v>16.218</v>
      </c>
      <c r="J36" s="63">
        <f t="shared" ca="1" si="9"/>
        <v>14.664999999999999</v>
      </c>
      <c r="K36" s="63">
        <f t="shared" ca="1" si="9"/>
        <v>13.45</v>
      </c>
      <c r="L36" s="63">
        <f t="shared" ca="1" si="9"/>
        <v>12.409000000000001</v>
      </c>
      <c r="M36" s="63">
        <f t="shared" ca="1" si="9"/>
        <v>11.535</v>
      </c>
      <c r="N36" s="63">
        <f t="shared" ca="1" si="9"/>
        <v>11.827</v>
      </c>
      <c r="O36" s="63">
        <f t="shared" ca="1" si="9"/>
        <v>10.196999999999999</v>
      </c>
      <c r="P36" s="63">
        <f t="shared" ca="1" si="9"/>
        <v>13.925000000000001</v>
      </c>
      <c r="Q36" s="63">
        <f t="shared" ca="1" si="9"/>
        <v>18.193999999999999</v>
      </c>
      <c r="R36" s="63">
        <f t="shared" ca="1" si="9"/>
        <v>15.07</v>
      </c>
      <c r="S36" s="63">
        <f t="shared" ca="1" si="9"/>
        <v>16.699000000000002</v>
      </c>
      <c r="T36" s="63">
        <f t="shared" ca="1" si="9"/>
        <v>15.488</v>
      </c>
      <c r="U36" s="63">
        <f t="shared" ca="1" si="9"/>
        <v>26.510999999999999</v>
      </c>
      <c r="V36" s="63">
        <f t="shared" ca="1" si="9"/>
        <v>18.875</v>
      </c>
    </row>
    <row r="37" spans="1:22">
      <c r="A37" s="45" t="s">
        <v>25</v>
      </c>
      <c r="B37" s="46">
        <f t="shared" ca="1" si="3"/>
        <v>39</v>
      </c>
      <c r="C37" s="1">
        <f>IF(ISERROR(D37),"",IF(D37="","",MAX($C$13:C36)+1))</f>
        <v>24</v>
      </c>
      <c r="D37" t="str">
        <f t="shared" si="4"/>
        <v xml:space="preserve">MGE Energy                    </v>
      </c>
      <c r="E37" s="15"/>
      <c r="F37" s="63">
        <f t="shared" ca="1" si="6"/>
        <v>18.066000000000003</v>
      </c>
      <c r="G37" s="63">
        <f t="shared" si="7"/>
        <v>27.5</v>
      </c>
      <c r="H37" s="63">
        <f ca="1">IFERROR(VLOOKUP($A37,LASTYR,'2016'!$C$3,FALSE),"N/A")</f>
        <v>24.904</v>
      </c>
      <c r="I37" s="63">
        <f t="shared" ca="1" si="9"/>
        <v>20.279</v>
      </c>
      <c r="J37" s="63">
        <f t="shared" ca="1" si="9"/>
        <v>17.190999999999999</v>
      </c>
      <c r="K37" s="63">
        <f t="shared" ca="1" si="9"/>
        <v>17.013999999999999</v>
      </c>
      <c r="L37" s="63">
        <f t="shared" ca="1" si="9"/>
        <v>17.231000000000002</v>
      </c>
      <c r="M37" s="63">
        <f t="shared" ca="1" si="9"/>
        <v>15.823</v>
      </c>
      <c r="N37" s="63">
        <f t="shared" ca="1" si="9"/>
        <v>14.977</v>
      </c>
      <c r="O37" s="63">
        <f t="shared" ca="1" si="9"/>
        <v>15.138999999999999</v>
      </c>
      <c r="P37" s="63">
        <f t="shared" ca="1" si="9"/>
        <v>14.221</v>
      </c>
      <c r="Q37" s="63">
        <f t="shared" ca="1" si="9"/>
        <v>15.007</v>
      </c>
      <c r="R37" s="63">
        <f t="shared" ca="1" si="9"/>
        <v>15.879</v>
      </c>
      <c r="S37" s="63">
        <f t="shared" ca="1" si="9"/>
        <v>22.401</v>
      </c>
      <c r="T37" s="63">
        <f t="shared" ca="1" si="9"/>
        <v>17.983000000000001</v>
      </c>
      <c r="U37" s="63">
        <f t="shared" ca="1" si="9"/>
        <v>17.55</v>
      </c>
      <c r="V37" s="63">
        <f t="shared" ca="1" si="9"/>
        <v>15.957000000000001</v>
      </c>
    </row>
    <row r="38" spans="1:22">
      <c r="A38" s="45" t="s">
        <v>141</v>
      </c>
      <c r="B38" s="46">
        <f t="shared" ca="1" si="3"/>
        <v>42</v>
      </c>
      <c r="C38" s="1">
        <f>IF(ISERROR(D38),"",IF(D38="","",MAX($C$13:C37)+1))</f>
        <v>25</v>
      </c>
      <c r="D38" t="str">
        <f t="shared" si="4"/>
        <v>NextEra Energy, Inc.</v>
      </c>
      <c r="E38" s="15"/>
      <c r="F38" s="63">
        <f t="shared" ca="1" si="6"/>
        <v>15.868562499999998</v>
      </c>
      <c r="G38" s="63">
        <f t="shared" si="7"/>
        <v>22.2</v>
      </c>
      <c r="H38" s="63">
        <f ca="1">IFERROR(VLOOKUP($A38,LASTYR,'2016'!$C$3,FALSE),"N/A")</f>
        <v>20.710999999999999</v>
      </c>
      <c r="I38" s="63">
        <f t="shared" ca="1" si="9"/>
        <v>16.893999999999998</v>
      </c>
      <c r="J38" s="63">
        <f t="shared" ca="1" si="9"/>
        <v>17.254000000000001</v>
      </c>
      <c r="K38" s="63">
        <f t="shared" ca="1" si="9"/>
        <v>16.571000000000002</v>
      </c>
      <c r="L38" s="63">
        <f t="shared" ca="1" si="9"/>
        <v>14.433999999999999</v>
      </c>
      <c r="M38" s="63">
        <f t="shared" ca="1" si="9"/>
        <v>11.536</v>
      </c>
      <c r="N38" s="63">
        <f t="shared" ca="1" si="9"/>
        <v>10.827999999999999</v>
      </c>
      <c r="O38" s="63">
        <f t="shared" ca="1" si="9"/>
        <v>13.416</v>
      </c>
      <c r="P38" s="63">
        <f t="shared" ca="1" si="9"/>
        <v>14.481999999999999</v>
      </c>
      <c r="Q38" s="63">
        <f t="shared" ca="1" si="9"/>
        <v>18.896999999999998</v>
      </c>
      <c r="R38" s="63">
        <f t="shared" ca="1" si="9"/>
        <v>13.651999999999999</v>
      </c>
      <c r="S38" s="63">
        <f t="shared" ca="1" si="9"/>
        <v>17.884</v>
      </c>
      <c r="T38" s="63">
        <f t="shared" ca="1" si="9"/>
        <v>13.651999999999999</v>
      </c>
      <c r="U38" s="63">
        <f t="shared" ca="1" si="9"/>
        <v>17.884</v>
      </c>
      <c r="V38" s="63">
        <f t="shared" ca="1" si="9"/>
        <v>13.602</v>
      </c>
    </row>
    <row r="39" spans="1:22">
      <c r="A39" s="45" t="s">
        <v>144</v>
      </c>
      <c r="B39" s="46">
        <f t="shared" ca="1" si="3"/>
        <v>45</v>
      </c>
      <c r="C39" s="1">
        <f>IF(ISERROR(D39),"",IF(D39="","",MAX($C$13:C38)+1))</f>
        <v>26</v>
      </c>
      <c r="D39" t="str">
        <f t="shared" si="4"/>
        <v xml:space="preserve">NorthWestern Corp             </v>
      </c>
      <c r="E39" s="15"/>
      <c r="F39" s="63">
        <f t="shared" ca="1" si="6"/>
        <v>16.712384615384615</v>
      </c>
      <c r="G39" s="63">
        <f t="shared" si="7"/>
        <v>17.2</v>
      </c>
      <c r="H39" s="63">
        <f ca="1">IFERROR(VLOOKUP($A39,LASTYR,'2016'!$C$3,FALSE),"N/A")</f>
        <v>17.186</v>
      </c>
      <c r="I39" s="63">
        <f t="shared" ca="1" si="9"/>
        <v>18.361999999999998</v>
      </c>
      <c r="J39" s="63">
        <f t="shared" ca="1" si="9"/>
        <v>16.234999999999999</v>
      </c>
      <c r="K39" s="63">
        <f t="shared" ca="1" si="9"/>
        <v>16.86</v>
      </c>
      <c r="L39" s="63">
        <f t="shared" ca="1" si="9"/>
        <v>15.717000000000001</v>
      </c>
      <c r="M39" s="63">
        <f t="shared" ca="1" si="9"/>
        <v>12.622999999999999</v>
      </c>
      <c r="N39" s="63">
        <f t="shared" ca="1" si="9"/>
        <v>12.895</v>
      </c>
      <c r="O39" s="63">
        <f t="shared" ca="1" si="9"/>
        <v>11.538</v>
      </c>
      <c r="P39" s="63">
        <f t="shared" ca="1" si="9"/>
        <v>13.866</v>
      </c>
      <c r="Q39" s="63">
        <f t="shared" ca="1" si="9"/>
        <v>21.734999999999999</v>
      </c>
      <c r="R39" s="63">
        <f t="shared" ca="1" si="9"/>
        <v>25.952999999999999</v>
      </c>
      <c r="S39" s="63">
        <f t="shared" ca="1" si="9"/>
        <v>17.091000000000001</v>
      </c>
      <c r="T39" s="63" t="str">
        <f t="shared" ca="1" si="9"/>
        <v>N/A</v>
      </c>
      <c r="U39" s="63" t="str">
        <f t="shared" ca="1" si="9"/>
        <v>N/A</v>
      </c>
      <c r="V39" s="63" t="str">
        <f t="shared" ca="1" si="9"/>
        <v>N/A</v>
      </c>
    </row>
    <row r="40" spans="1:22">
      <c r="A40" s="45" t="s">
        <v>27</v>
      </c>
      <c r="B40" s="46">
        <f t="shared" ca="1" si="3"/>
        <v>46</v>
      </c>
      <c r="C40" s="1">
        <f>IF(ISERROR(D40),"",IF(D40="","",MAX($C$13:C39)+1))</f>
        <v>27</v>
      </c>
      <c r="D40" t="str">
        <f t="shared" si="4"/>
        <v xml:space="preserve">OGE Energy                    </v>
      </c>
      <c r="E40" s="15"/>
      <c r="F40" s="63">
        <f t="shared" ca="1" si="6"/>
        <v>14.873374999999999</v>
      </c>
      <c r="G40" s="63">
        <f t="shared" si="7"/>
        <v>18.100000000000001</v>
      </c>
      <c r="H40" s="63">
        <f ca="1">IFERROR(VLOOKUP($A40,LASTYR,'2016'!$C$3,FALSE),"N/A")</f>
        <v>17.68</v>
      </c>
      <c r="I40" s="63">
        <f t="shared" ca="1" si="9"/>
        <v>17.689</v>
      </c>
      <c r="J40" s="63">
        <f t="shared" ca="1" si="9"/>
        <v>18.265999999999998</v>
      </c>
      <c r="K40" s="63">
        <f t="shared" ca="1" si="9"/>
        <v>17.693000000000001</v>
      </c>
      <c r="L40" s="63">
        <f t="shared" ca="1" si="9"/>
        <v>15.156000000000001</v>
      </c>
      <c r="M40" s="63">
        <f t="shared" ca="1" si="9"/>
        <v>14.366</v>
      </c>
      <c r="N40" s="63">
        <f t="shared" ca="1" si="9"/>
        <v>13.314</v>
      </c>
      <c r="O40" s="63">
        <f t="shared" ca="1" si="9"/>
        <v>10.834</v>
      </c>
      <c r="P40" s="63">
        <f t="shared" ca="1" si="9"/>
        <v>12.407999999999999</v>
      </c>
      <c r="Q40" s="63">
        <f t="shared" ca="1" si="9"/>
        <v>13.750999999999999</v>
      </c>
      <c r="R40" s="63">
        <f t="shared" ca="1" si="9"/>
        <v>13.675000000000001</v>
      </c>
      <c r="S40" s="63">
        <f t="shared" ca="1" si="9"/>
        <v>14.95</v>
      </c>
      <c r="T40" s="63">
        <f t="shared" ca="1" si="9"/>
        <v>14.131</v>
      </c>
      <c r="U40" s="63">
        <f t="shared" ca="1" si="9"/>
        <v>11.837999999999999</v>
      </c>
      <c r="V40" s="63">
        <f t="shared" ca="1" si="9"/>
        <v>14.122999999999999</v>
      </c>
    </row>
    <row r="41" spans="1:22">
      <c r="A41" s="45" t="s">
        <v>28</v>
      </c>
      <c r="B41" s="46">
        <f t="shared" ca="1" si="3"/>
        <v>48</v>
      </c>
      <c r="C41" s="1">
        <f>IF(ISERROR(D41),"",IF(D41="","",MAX($C$13:C40)+1))</f>
        <v>28</v>
      </c>
      <c r="D41" t="str">
        <f t="shared" si="4"/>
        <v xml:space="preserve">Otter Tail Corp.              </v>
      </c>
      <c r="E41" s="15"/>
      <c r="F41" s="63">
        <f t="shared" ca="1" si="6"/>
        <v>24.410999999999998</v>
      </c>
      <c r="G41" s="63">
        <f t="shared" si="7"/>
        <v>23.8</v>
      </c>
      <c r="H41" s="63">
        <f ca="1">IFERROR(VLOOKUP($A41,LASTYR,'2016'!$C$3,FALSE),"N/A")</f>
        <v>20.193000000000001</v>
      </c>
      <c r="I41" s="63">
        <f t="shared" ca="1" si="9"/>
        <v>18.199000000000002</v>
      </c>
      <c r="J41" s="63">
        <f t="shared" ca="1" si="9"/>
        <v>18.838000000000001</v>
      </c>
      <c r="K41" s="63">
        <f t="shared" ca="1" si="9"/>
        <v>21.12</v>
      </c>
      <c r="L41" s="63">
        <f t="shared" ca="1" si="9"/>
        <v>21.75</v>
      </c>
      <c r="M41" s="63">
        <f t="shared" ca="1" si="9"/>
        <v>47.481999999999999</v>
      </c>
      <c r="N41" s="63">
        <f t="shared" ca="1" si="9"/>
        <v>55.097000000000001</v>
      </c>
      <c r="O41" s="63">
        <f t="shared" ca="1" si="9"/>
        <v>31.158999999999999</v>
      </c>
      <c r="P41" s="63">
        <f t="shared" ca="1" si="9"/>
        <v>30.056000000000001</v>
      </c>
      <c r="Q41" s="63">
        <f t="shared" ca="1" si="9"/>
        <v>19.02</v>
      </c>
      <c r="R41" s="63">
        <f t="shared" ca="1" si="9"/>
        <v>17.349</v>
      </c>
      <c r="S41" s="63">
        <f t="shared" ca="1" si="9"/>
        <v>15.4</v>
      </c>
      <c r="T41" s="63">
        <f t="shared" ca="1" si="9"/>
        <v>17.335000000000001</v>
      </c>
      <c r="U41" s="63">
        <f t="shared" ca="1" si="9"/>
        <v>17.766999999999999</v>
      </c>
      <c r="V41" s="63">
        <f t="shared" ca="1" si="9"/>
        <v>16.010999999999999</v>
      </c>
    </row>
    <row r="42" spans="1:22">
      <c r="A42" s="45" t="s">
        <v>30</v>
      </c>
      <c r="B42" s="46">
        <f t="shared" ca="1" si="3"/>
        <v>50</v>
      </c>
      <c r="C42" s="1">
        <f>IF(ISERROR(D42),"",IF(D42="","",MAX($C$13:C41)+1))</f>
        <v>29</v>
      </c>
      <c r="D42" t="str">
        <f t="shared" si="4"/>
        <v xml:space="preserve">PG&amp;E Corp.                    </v>
      </c>
      <c r="E42" s="15"/>
      <c r="F42" s="63">
        <f t="shared" ca="1" si="6"/>
        <v>16.774266666666666</v>
      </c>
      <c r="G42" s="63">
        <f t="shared" si="7"/>
        <v>18</v>
      </c>
      <c r="H42" s="63">
        <f ca="1">IFERROR(VLOOKUP($A42,LASTYR,'2016'!$C$3,FALSE),"N/A")</f>
        <v>21.126999999999999</v>
      </c>
      <c r="I42" s="63">
        <f t="shared" ca="1" si="9"/>
        <v>26.399000000000001</v>
      </c>
      <c r="J42" s="63">
        <f t="shared" ca="1" si="9"/>
        <v>15.003</v>
      </c>
      <c r="K42" s="63">
        <f t="shared" ca="1" si="9"/>
        <v>23.666</v>
      </c>
      <c r="L42" s="63">
        <f t="shared" ca="1" si="9"/>
        <v>20.702000000000002</v>
      </c>
      <c r="M42" s="63">
        <f t="shared" ca="1" si="9"/>
        <v>15.458</v>
      </c>
      <c r="N42" s="63">
        <f t="shared" ca="1" si="9"/>
        <v>15.803000000000001</v>
      </c>
      <c r="O42" s="63">
        <f t="shared" ca="1" si="9"/>
        <v>13.01</v>
      </c>
      <c r="P42" s="63">
        <f t="shared" ca="1" si="9"/>
        <v>12.084</v>
      </c>
      <c r="Q42" s="63">
        <f t="shared" ca="1" si="9"/>
        <v>16.847000000000001</v>
      </c>
      <c r="R42" s="63">
        <f t="shared" ca="1" si="9"/>
        <v>14.842000000000001</v>
      </c>
      <c r="S42" s="63">
        <f t="shared" ca="1" si="9"/>
        <v>15.366</v>
      </c>
      <c r="T42" s="63">
        <f t="shared" ca="1" si="9"/>
        <v>13.808</v>
      </c>
      <c r="U42" s="63">
        <f t="shared" ca="1" si="9"/>
        <v>9.4990000000000006</v>
      </c>
      <c r="V42" s="63" t="str">
        <f t="shared" ca="1" si="9"/>
        <v>N/A</v>
      </c>
    </row>
    <row r="43" spans="1:22">
      <c r="A43" s="45" t="s">
        <v>31</v>
      </c>
      <c r="B43" s="46">
        <f t="shared" ca="1" si="3"/>
        <v>51</v>
      </c>
      <c r="C43" s="1">
        <f>IF(ISERROR(D43),"",IF(D43="","",MAX($C$13:C42)+1))</f>
        <v>30</v>
      </c>
      <c r="D43" t="str">
        <f t="shared" si="4"/>
        <v xml:space="preserve">Pinnacle West Capital         </v>
      </c>
      <c r="E43" s="15"/>
      <c r="F43" s="63">
        <f t="shared" ca="1" si="6"/>
        <v>15.594062500000001</v>
      </c>
      <c r="G43" s="63">
        <f t="shared" si="7"/>
        <v>20.2</v>
      </c>
      <c r="H43" s="63">
        <f ca="1">IFERROR(VLOOKUP($A43,LASTYR,'2016'!$C$3,FALSE),"N/A")</f>
        <v>18.742999999999999</v>
      </c>
      <c r="I43" s="63">
        <f t="shared" ca="1" si="9"/>
        <v>16.036000000000001</v>
      </c>
      <c r="J43" s="63">
        <f t="shared" ca="1" si="9"/>
        <v>15.885999999999999</v>
      </c>
      <c r="K43" s="63">
        <f t="shared" ca="1" si="9"/>
        <v>15.268000000000001</v>
      </c>
      <c r="L43" s="63">
        <f t="shared" ca="1" si="9"/>
        <v>14.346</v>
      </c>
      <c r="M43" s="63">
        <f t="shared" ca="1" si="9"/>
        <v>14.603999999999999</v>
      </c>
      <c r="N43" s="63">
        <f t="shared" ca="1" si="9"/>
        <v>12.565</v>
      </c>
      <c r="O43" s="63">
        <f t="shared" ca="1" si="9"/>
        <v>13.742000000000001</v>
      </c>
      <c r="P43" s="63">
        <f t="shared" ca="1" si="9"/>
        <v>16.065999999999999</v>
      </c>
      <c r="Q43" s="63">
        <f t="shared" ca="1" si="9"/>
        <v>14.930999999999999</v>
      </c>
      <c r="R43" s="63">
        <f t="shared" ca="1" si="9"/>
        <v>13.691000000000001</v>
      </c>
      <c r="S43" s="63">
        <f t="shared" ca="1" si="9"/>
        <v>19.236000000000001</v>
      </c>
      <c r="T43" s="63">
        <f t="shared" ca="1" si="9"/>
        <v>15.798999999999999</v>
      </c>
      <c r="U43" s="63">
        <f t="shared" ca="1" si="9"/>
        <v>13.961</v>
      </c>
      <c r="V43" s="63">
        <f t="shared" ca="1" si="9"/>
        <v>14.430999999999999</v>
      </c>
    </row>
    <row r="44" spans="1:22">
      <c r="A44" s="45" t="s">
        <v>32</v>
      </c>
      <c r="B44" s="46">
        <f t="shared" ca="1" si="3"/>
        <v>52</v>
      </c>
      <c r="C44" s="1">
        <f>IF(ISERROR(D44),"",IF(D44="","",MAX($C$13:C43)+1))</f>
        <v>31</v>
      </c>
      <c r="D44" t="str">
        <f t="shared" si="4"/>
        <v xml:space="preserve">PNM Resources                 </v>
      </c>
      <c r="E44" s="15"/>
      <c r="F44" s="63">
        <f t="shared" ca="1" si="6"/>
        <v>17.790533333333329</v>
      </c>
      <c r="G44" s="63">
        <f t="shared" si="7"/>
        <v>20.3</v>
      </c>
      <c r="H44" s="63">
        <f ca="1">IFERROR(VLOOKUP($A44,LASTYR,'2016'!$C$3,FALSE),"N/A")</f>
        <v>19.832000000000001</v>
      </c>
      <c r="I44" s="63">
        <f t="shared" ca="1" si="9"/>
        <v>16.847000000000001</v>
      </c>
      <c r="J44" s="63">
        <f t="shared" ca="1" si="9"/>
        <v>18.675999999999998</v>
      </c>
      <c r="K44" s="63">
        <f t="shared" ca="1" si="9"/>
        <v>16.131</v>
      </c>
      <c r="L44" s="63">
        <f t="shared" ca="1" si="9"/>
        <v>14.971</v>
      </c>
      <c r="M44" s="63">
        <f t="shared" ca="1" si="9"/>
        <v>14.532</v>
      </c>
      <c r="N44" s="63">
        <f t="shared" ca="1" si="9"/>
        <v>14.045</v>
      </c>
      <c r="O44" s="63">
        <f t="shared" ca="1" si="9"/>
        <v>18.093</v>
      </c>
      <c r="P44" s="63" t="str">
        <f t="shared" ca="1" si="9"/>
        <v>N/A</v>
      </c>
      <c r="Q44" s="63">
        <f t="shared" ca="1" si="9"/>
        <v>35.649000000000001</v>
      </c>
      <c r="R44" s="63">
        <f t="shared" ca="1" si="9"/>
        <v>15.573</v>
      </c>
      <c r="S44" s="63">
        <f t="shared" ca="1" si="9"/>
        <v>17.379000000000001</v>
      </c>
      <c r="T44" s="63">
        <f t="shared" ref="S44:V53" ca="1" si="10">IFERROR(INDEX(PE_WP,$B44,T$13),"N/A")</f>
        <v>15.021000000000001</v>
      </c>
      <c r="U44" s="63">
        <f t="shared" ca="1" si="10"/>
        <v>14.73</v>
      </c>
      <c r="V44" s="63">
        <f t="shared" ca="1" si="10"/>
        <v>15.079000000000001</v>
      </c>
    </row>
    <row r="45" spans="1:22">
      <c r="A45" s="45" t="s">
        <v>33</v>
      </c>
      <c r="B45" s="46">
        <f t="shared" ca="1" si="3"/>
        <v>53</v>
      </c>
      <c r="C45" s="1">
        <f>IF(ISERROR(D45),"",IF(D45="","",MAX($C$13:C44)+1))</f>
        <v>32</v>
      </c>
      <c r="D45" t="str">
        <f t="shared" si="4"/>
        <v xml:space="preserve">Portland General              </v>
      </c>
      <c r="E45" s="15"/>
      <c r="F45" s="63">
        <f t="shared" ca="1" si="6"/>
        <v>16.100166666666667</v>
      </c>
      <c r="G45" s="63">
        <f t="shared" si="7"/>
        <v>19.899999999999999</v>
      </c>
      <c r="H45" s="63">
        <f ca="1">IFERROR(VLOOKUP($A45,LASTYR,'2016'!$C$3,FALSE),"N/A")</f>
        <v>19.058</v>
      </c>
      <c r="I45" s="63">
        <f t="shared" ca="1" si="9"/>
        <v>17.713999999999999</v>
      </c>
      <c r="J45" s="63">
        <f t="shared" ca="1" si="9"/>
        <v>15.318</v>
      </c>
      <c r="K45" s="63">
        <f t="shared" ca="1" si="9"/>
        <v>16.88</v>
      </c>
      <c r="L45" s="63">
        <f t="shared" ca="1" si="9"/>
        <v>13.978999999999999</v>
      </c>
      <c r="M45" s="63">
        <f t="shared" ca="1" si="9"/>
        <v>12.37</v>
      </c>
      <c r="N45" s="63">
        <f t="shared" ca="1" si="9"/>
        <v>12</v>
      </c>
      <c r="O45" s="63">
        <f t="shared" ca="1" si="9"/>
        <v>14.395</v>
      </c>
      <c r="P45" s="63">
        <f t="shared" ca="1" si="9"/>
        <v>16.295999999999999</v>
      </c>
      <c r="Q45" s="63">
        <f t="shared" ca="1" si="9"/>
        <v>11.942</v>
      </c>
      <c r="R45" s="63">
        <f t="shared" ca="1" si="9"/>
        <v>23.35</v>
      </c>
      <c r="S45" s="63" t="str">
        <f t="shared" ca="1" si="10"/>
        <v>N/A</v>
      </c>
      <c r="T45" s="63" t="str">
        <f t="shared" ca="1" si="10"/>
        <v>N/A</v>
      </c>
      <c r="U45" s="63" t="str">
        <f t="shared" ca="1" si="10"/>
        <v>N/A</v>
      </c>
      <c r="V45" s="63" t="str">
        <f t="shared" ca="1" si="10"/>
        <v>N/A</v>
      </c>
    </row>
    <row r="46" spans="1:22">
      <c r="A46" s="45" t="s">
        <v>34</v>
      </c>
      <c r="B46" s="46">
        <f t="shared" ca="1" si="3"/>
        <v>54</v>
      </c>
      <c r="C46" s="1">
        <f>IF(ISERROR(D46),"",IF(D46="","",MAX($C$13:C45)+1))</f>
        <v>33</v>
      </c>
      <c r="D46" t="str">
        <f t="shared" si="4"/>
        <v xml:space="preserve">PPL Corp.                     </v>
      </c>
      <c r="E46" s="15"/>
      <c r="F46" s="63">
        <f t="shared" ca="1" si="6"/>
        <v>14.334999999999999</v>
      </c>
      <c r="G46" s="63">
        <f t="shared" si="7"/>
        <v>18.399999999999999</v>
      </c>
      <c r="H46" s="63">
        <f ca="1">IFERROR(VLOOKUP($A46,LASTYR,'2016'!$C$3,FALSE),"N/A")</f>
        <v>12.829000000000001</v>
      </c>
      <c r="I46" s="63">
        <f t="shared" ca="1" si="9"/>
        <v>13.914999999999999</v>
      </c>
      <c r="J46" s="63">
        <f t="shared" ca="1" si="9"/>
        <v>14.076000000000001</v>
      </c>
      <c r="K46" s="63">
        <f t="shared" ca="1" si="9"/>
        <v>12.843999999999999</v>
      </c>
      <c r="L46" s="63">
        <f t="shared" ca="1" si="9"/>
        <v>10.882</v>
      </c>
      <c r="M46" s="63">
        <f t="shared" ca="1" si="9"/>
        <v>10.516</v>
      </c>
      <c r="N46" s="63">
        <f t="shared" ca="1" si="9"/>
        <v>11.93</v>
      </c>
      <c r="O46" s="63">
        <f t="shared" ca="1" si="9"/>
        <v>25.687000000000001</v>
      </c>
      <c r="P46" s="63">
        <f t="shared" ca="1" si="9"/>
        <v>17.638000000000002</v>
      </c>
      <c r="Q46" s="63">
        <f t="shared" ca="1" si="9"/>
        <v>17.262</v>
      </c>
      <c r="R46" s="63">
        <f t="shared" ca="1" si="9"/>
        <v>14.1</v>
      </c>
      <c r="S46" s="63">
        <f t="shared" ca="1" si="10"/>
        <v>15.116</v>
      </c>
      <c r="T46" s="63">
        <f t="shared" ca="1" si="10"/>
        <v>12.513</v>
      </c>
      <c r="U46" s="63">
        <f t="shared" ca="1" si="10"/>
        <v>10.587999999999999</v>
      </c>
      <c r="V46" s="63">
        <f t="shared" ca="1" si="10"/>
        <v>11.064</v>
      </c>
    </row>
    <row r="47" spans="1:22">
      <c r="A47" s="45" t="s">
        <v>35</v>
      </c>
      <c r="B47" s="46">
        <f t="shared" ca="1" si="3"/>
        <v>55</v>
      </c>
      <c r="C47" s="1">
        <f>IF(ISERROR(D47),"",IF(D47="","",MAX($C$13:C46)+1))</f>
        <v>34</v>
      </c>
      <c r="D47" t="str">
        <f>VLOOKUP(A47,LUCurYr,2,FALSE)</f>
        <v xml:space="preserve">Public Serv. Enterprise       </v>
      </c>
      <c r="E47" s="15"/>
      <c r="F47" s="63">
        <f t="shared" ca="1" si="6"/>
        <v>13.264062499999998</v>
      </c>
      <c r="G47" s="63">
        <f t="shared" si="7"/>
        <v>15.2</v>
      </c>
      <c r="H47" s="63">
        <f ca="1">IFERROR(VLOOKUP($A47,LASTYR,'2016'!$C$3,FALSE),"N/A")</f>
        <v>15.347</v>
      </c>
      <c r="I47" s="63">
        <f t="shared" ca="1" si="9"/>
        <v>12.412000000000001</v>
      </c>
      <c r="J47" s="63">
        <f t="shared" ca="1" si="9"/>
        <v>12.614000000000001</v>
      </c>
      <c r="K47" s="63">
        <f t="shared" ca="1" si="9"/>
        <v>13.5</v>
      </c>
      <c r="L47" s="63">
        <f t="shared" ca="1" si="9"/>
        <v>12.788</v>
      </c>
      <c r="M47" s="63">
        <f t="shared" ca="1" si="9"/>
        <v>10.395</v>
      </c>
      <c r="N47" s="63">
        <f t="shared" ca="1" si="9"/>
        <v>10.369</v>
      </c>
      <c r="O47" s="63">
        <f t="shared" ca="1" si="9"/>
        <v>10.039</v>
      </c>
      <c r="P47" s="63">
        <f t="shared" ca="1" si="9"/>
        <v>13.646000000000001</v>
      </c>
      <c r="Q47" s="63">
        <f t="shared" ca="1" si="9"/>
        <v>16.542999999999999</v>
      </c>
      <c r="R47" s="63">
        <f t="shared" ca="1" si="9"/>
        <v>17.808</v>
      </c>
      <c r="S47" s="63">
        <f t="shared" ca="1" si="10"/>
        <v>16.738</v>
      </c>
      <c r="T47" s="63">
        <f t="shared" ca="1" si="10"/>
        <v>14.255000000000001</v>
      </c>
      <c r="U47" s="63">
        <f t="shared" ca="1" si="10"/>
        <v>10.576000000000001</v>
      </c>
      <c r="V47" s="63">
        <f t="shared" ca="1" si="10"/>
        <v>9.9949999999999992</v>
      </c>
    </row>
    <row r="48" spans="1:22">
      <c r="A48" s="45" t="s">
        <v>36</v>
      </c>
      <c r="B48" s="46">
        <f t="shared" ca="1" si="3"/>
        <v>56</v>
      </c>
      <c r="C48" s="1">
        <f>IF(ISERROR(D48),"",IF(D48="","",MAX($C$13:C47)+1))</f>
        <v>35</v>
      </c>
      <c r="D48" t="str">
        <f t="shared" si="4"/>
        <v xml:space="preserve">SCANA Corp.                   </v>
      </c>
      <c r="E48" s="15"/>
      <c r="F48" s="63">
        <f t="shared" ca="1" si="6"/>
        <v>13.985187499999999</v>
      </c>
      <c r="G48" s="63">
        <f t="shared" si="7"/>
        <v>14.9</v>
      </c>
      <c r="H48" s="63">
        <f ca="1">IFERROR(VLOOKUP($A48,LASTYR,'2016'!$C$3,FALSE),"N/A")</f>
        <v>16.795999999999999</v>
      </c>
      <c r="I48" s="63">
        <f t="shared" ca="1" si="9"/>
        <v>14.664999999999999</v>
      </c>
      <c r="J48" s="63">
        <f t="shared" ca="1" si="9"/>
        <v>13.677</v>
      </c>
      <c r="K48" s="63">
        <f t="shared" ca="1" si="9"/>
        <v>14.427</v>
      </c>
      <c r="L48" s="63">
        <f t="shared" ca="1" si="9"/>
        <v>14.798999999999999</v>
      </c>
      <c r="M48" s="63">
        <f t="shared" ca="1" si="9"/>
        <v>13.670999999999999</v>
      </c>
      <c r="N48" s="63">
        <f t="shared" ca="1" si="9"/>
        <v>12.933999999999999</v>
      </c>
      <c r="O48" s="63">
        <f t="shared" ca="1" si="9"/>
        <v>11.625999999999999</v>
      </c>
      <c r="P48" s="63">
        <f t="shared" ca="1" si="9"/>
        <v>12.667</v>
      </c>
      <c r="Q48" s="63">
        <f t="shared" ca="1" si="9"/>
        <v>14.957000000000001</v>
      </c>
      <c r="R48" s="63">
        <f t="shared" ca="1" si="9"/>
        <v>15.42</v>
      </c>
      <c r="S48" s="63">
        <f t="shared" ca="1" si="10"/>
        <v>14.444000000000001</v>
      </c>
      <c r="T48" s="63">
        <f t="shared" ca="1" si="10"/>
        <v>13.568</v>
      </c>
      <c r="U48" s="63">
        <f t="shared" ca="1" si="10"/>
        <v>13.045</v>
      </c>
      <c r="V48" s="63">
        <f t="shared" ca="1" si="10"/>
        <v>12.167</v>
      </c>
    </row>
    <row r="49" spans="1:22">
      <c r="A49" s="45" t="s">
        <v>37</v>
      </c>
      <c r="B49" s="46">
        <f t="shared" ca="1" si="3"/>
        <v>57</v>
      </c>
      <c r="C49" s="1">
        <f>IF(ISERROR(D49),"",IF(D49="","",MAX($C$13:C48)+1))</f>
        <v>36</v>
      </c>
      <c r="D49" t="str">
        <f t="shared" si="4"/>
        <v xml:space="preserve">Sempra Energy                 </v>
      </c>
      <c r="E49" s="15"/>
      <c r="F49" s="63">
        <f t="shared" ca="1" si="6"/>
        <v>14.506000000000002</v>
      </c>
      <c r="G49" s="63">
        <f t="shared" si="7"/>
        <v>22.2</v>
      </c>
      <c r="H49" s="63">
        <f ca="1">IFERROR(VLOOKUP($A49,LASTYR,'2016'!$C$3,FALSE),"N/A")</f>
        <v>24.373000000000001</v>
      </c>
      <c r="I49" s="63">
        <f t="shared" ca="1" si="9"/>
        <v>19.725999999999999</v>
      </c>
      <c r="J49" s="63">
        <f t="shared" ca="1" si="9"/>
        <v>21.870999999999999</v>
      </c>
      <c r="K49" s="63">
        <f t="shared" ca="1" si="9"/>
        <v>19.684000000000001</v>
      </c>
      <c r="L49" s="63">
        <f t="shared" ca="1" si="9"/>
        <v>14.888</v>
      </c>
      <c r="M49" s="63">
        <f t="shared" ca="1" si="9"/>
        <v>11.771000000000001</v>
      </c>
      <c r="N49" s="63">
        <f t="shared" ca="1" si="9"/>
        <v>12.595000000000001</v>
      </c>
      <c r="O49" s="63">
        <f t="shared" ca="1" si="9"/>
        <v>10.09</v>
      </c>
      <c r="P49" s="63">
        <f t="shared" ca="1" si="9"/>
        <v>11.8</v>
      </c>
      <c r="Q49" s="63">
        <f t="shared" ca="1" si="9"/>
        <v>14.007</v>
      </c>
      <c r="R49" s="63">
        <f t="shared" ca="1" si="9"/>
        <v>11.500999999999999</v>
      </c>
      <c r="S49" s="63">
        <f t="shared" ca="1" si="10"/>
        <v>11.794</v>
      </c>
      <c r="T49" s="63">
        <f t="shared" ca="1" si="10"/>
        <v>8.6470000000000002</v>
      </c>
      <c r="U49" s="63">
        <f t="shared" ca="1" si="10"/>
        <v>8.9589999999999996</v>
      </c>
      <c r="V49" s="63">
        <f t="shared" ca="1" si="10"/>
        <v>8.19</v>
      </c>
    </row>
    <row r="50" spans="1:22">
      <c r="A50" s="45" t="s">
        <v>38</v>
      </c>
      <c r="B50" s="46">
        <f t="shared" ca="1" si="3"/>
        <v>61</v>
      </c>
      <c r="C50" s="1">
        <f>IF(ISERROR(D50),"",IF(D50="","",MAX($C$13:C49)+1))</f>
        <v>37</v>
      </c>
      <c r="D50" t="str">
        <f t="shared" si="4"/>
        <v xml:space="preserve">Southern Co.                  </v>
      </c>
      <c r="E50" s="15"/>
      <c r="F50" s="63">
        <f t="shared" ca="1" si="6"/>
        <v>15.762625</v>
      </c>
      <c r="G50" s="63">
        <f t="shared" si="7"/>
        <v>16.8</v>
      </c>
      <c r="H50" s="63">
        <f ca="1">IFERROR(VLOOKUP($A50,LASTYR,'2016'!$C$3,FALSE),"N/A")</f>
        <v>17.757999999999999</v>
      </c>
      <c r="I50" s="63">
        <f t="shared" ca="1" si="9"/>
        <v>15.849</v>
      </c>
      <c r="J50" s="63">
        <f t="shared" ca="1" si="9"/>
        <v>16.044</v>
      </c>
      <c r="K50" s="63">
        <f t="shared" ca="1" si="9"/>
        <v>16.186</v>
      </c>
      <c r="L50" s="63">
        <f t="shared" ca="1" si="9"/>
        <v>16.968</v>
      </c>
      <c r="M50" s="63">
        <f t="shared" ca="1" si="9"/>
        <v>15.847</v>
      </c>
      <c r="N50" s="63">
        <f t="shared" ca="1" si="9"/>
        <v>14.897</v>
      </c>
      <c r="O50" s="63">
        <f t="shared" ca="1" si="9"/>
        <v>13.521000000000001</v>
      </c>
      <c r="P50" s="63">
        <f t="shared" ca="1" si="9"/>
        <v>16.126999999999999</v>
      </c>
      <c r="Q50" s="63">
        <f t="shared" ca="1" si="9"/>
        <v>15.952</v>
      </c>
      <c r="R50" s="63">
        <f t="shared" ca="1" si="9"/>
        <v>16.189</v>
      </c>
      <c r="S50" s="63">
        <f t="shared" ca="1" si="10"/>
        <v>15.917</v>
      </c>
      <c r="T50" s="63">
        <f t="shared" ca="1" si="10"/>
        <v>14.683999999999999</v>
      </c>
      <c r="U50" s="63">
        <f t="shared" ca="1" si="10"/>
        <v>14.831</v>
      </c>
      <c r="V50" s="63">
        <f t="shared" ca="1" si="10"/>
        <v>14.632</v>
      </c>
    </row>
    <row r="51" spans="1:22">
      <c r="A51" s="45" t="s">
        <v>42</v>
      </c>
      <c r="B51" s="46">
        <f t="shared" ca="1" si="3"/>
        <v>69</v>
      </c>
      <c r="C51" s="1">
        <f>IF(ISERROR(D51),"",IF(D51="","",MAX($C$13:C50)+1))</f>
        <v>38</v>
      </c>
      <c r="D51" t="str">
        <f t="shared" si="4"/>
        <v xml:space="preserve">Vectren Corp.                 </v>
      </c>
      <c r="E51" s="15"/>
      <c r="F51" s="63">
        <f t="shared" ca="1" si="6"/>
        <v>17.115749999999998</v>
      </c>
      <c r="G51" s="63">
        <f t="shared" si="7"/>
        <v>24.6</v>
      </c>
      <c r="H51" s="63">
        <f ca="1">IFERROR(VLOOKUP($A51,LASTYR,'2016'!$C$3,FALSE),"N/A")</f>
        <v>19.178000000000001</v>
      </c>
      <c r="I51" s="63">
        <f t="shared" ca="1" si="9"/>
        <v>17.922000000000001</v>
      </c>
      <c r="J51" s="63">
        <f t="shared" ca="1" si="9"/>
        <v>19.983000000000001</v>
      </c>
      <c r="K51" s="63">
        <f t="shared" ca="1" si="9"/>
        <v>20.664000000000001</v>
      </c>
      <c r="L51" s="63">
        <f t="shared" ca="1" si="9"/>
        <v>15.018000000000001</v>
      </c>
      <c r="M51" s="63">
        <f t="shared" ca="1" si="9"/>
        <v>15.826000000000001</v>
      </c>
      <c r="N51" s="63">
        <f t="shared" ca="1" si="9"/>
        <v>15.102</v>
      </c>
      <c r="O51" s="63">
        <f t="shared" ca="1" si="9"/>
        <v>12.891</v>
      </c>
      <c r="P51" s="63">
        <f t="shared" ca="1" si="9"/>
        <v>16.788</v>
      </c>
      <c r="Q51" s="63">
        <f t="shared" ca="1" si="9"/>
        <v>15.334</v>
      </c>
      <c r="R51" s="63">
        <f t="shared" ca="1" si="9"/>
        <v>18.917000000000002</v>
      </c>
      <c r="S51" s="63">
        <f t="shared" ca="1" si="10"/>
        <v>15.106</v>
      </c>
      <c r="T51" s="63">
        <f t="shared" ca="1" si="10"/>
        <v>17.57</v>
      </c>
      <c r="U51" s="63">
        <f t="shared" ca="1" si="10"/>
        <v>14.795999999999999</v>
      </c>
      <c r="V51" s="63">
        <f t="shared" ca="1" si="10"/>
        <v>14.157</v>
      </c>
    </row>
    <row r="52" spans="1:22">
      <c r="A52" s="45" t="s">
        <v>44</v>
      </c>
      <c r="B52" s="46">
        <f t="shared" ca="1" si="3"/>
        <v>70</v>
      </c>
      <c r="C52" s="1">
        <f>IF(ISERROR(D52),"",IF(D52="","",MAX($C$13:C51)+1))</f>
        <v>39</v>
      </c>
      <c r="D52" t="str">
        <f t="shared" si="4"/>
        <v>WEC Energy Group</v>
      </c>
      <c r="E52" s="15"/>
      <c r="F52" s="63">
        <f t="shared" ca="1" si="6"/>
        <v>15.989437500000001</v>
      </c>
      <c r="G52" s="63">
        <f t="shared" si="7"/>
        <v>20.9</v>
      </c>
      <c r="H52" s="63">
        <f ca="1">IFERROR(VLOOKUP($A52,LASTYR,'2016'!$C$3,FALSE),"N/A")</f>
        <v>19.946999999999999</v>
      </c>
      <c r="I52" s="63">
        <f t="shared" ca="1" si="9"/>
        <v>21.334</v>
      </c>
      <c r="J52" s="63">
        <f t="shared" ca="1" si="9"/>
        <v>17.71</v>
      </c>
      <c r="K52" s="63">
        <f t="shared" ca="1" si="9"/>
        <v>16.504000000000001</v>
      </c>
      <c r="L52" s="63">
        <f t="shared" ca="1" si="9"/>
        <v>15.757</v>
      </c>
      <c r="M52" s="63">
        <f t="shared" ca="1" si="9"/>
        <v>14.249000000000001</v>
      </c>
      <c r="N52" s="63">
        <f t="shared" ca="1" si="9"/>
        <v>14.01</v>
      </c>
      <c r="O52" s="63">
        <f t="shared" ca="1" si="9"/>
        <v>13.346</v>
      </c>
      <c r="P52" s="63">
        <f t="shared" ca="1" si="9"/>
        <v>14.772</v>
      </c>
      <c r="Q52" s="63">
        <f t="shared" ca="1" si="9"/>
        <v>16.472000000000001</v>
      </c>
      <c r="R52" s="63">
        <f t="shared" ca="1" si="9"/>
        <v>15.967000000000001</v>
      </c>
      <c r="S52" s="63">
        <f t="shared" ca="1" si="10"/>
        <v>14.462999999999999</v>
      </c>
      <c r="T52" s="63">
        <f t="shared" ca="1" si="10"/>
        <v>17.513999999999999</v>
      </c>
      <c r="U52" s="63">
        <f t="shared" ca="1" si="10"/>
        <v>12.427</v>
      </c>
      <c r="V52" s="63">
        <f t="shared" ca="1" si="10"/>
        <v>10.459</v>
      </c>
    </row>
    <row r="53" spans="1:22">
      <c r="A53" s="45" t="s">
        <v>43</v>
      </c>
      <c r="B53" s="46">
        <f t="shared" ca="1" si="3"/>
        <v>71</v>
      </c>
      <c r="C53" s="1">
        <f>IF(ISERROR(D53),"",IF(D53="","",MAX($C$13:C52)+1))</f>
        <v>40</v>
      </c>
      <c r="D53" t="str">
        <f t="shared" si="4"/>
        <v xml:space="preserve">Westar Energy                 </v>
      </c>
      <c r="E53" s="15"/>
      <c r="F53" s="63">
        <f t="shared" ca="1" si="6"/>
        <v>15.400937500000001</v>
      </c>
      <c r="G53" s="63">
        <f t="shared" si="7"/>
        <v>20.6</v>
      </c>
      <c r="H53" s="63">
        <f ca="1">IFERROR(VLOOKUP($A53,LASTYR,'2016'!$C$3,FALSE),"N/A")</f>
        <v>21.585999999999999</v>
      </c>
      <c r="I53" s="63">
        <f t="shared" ca="1" si="9"/>
        <v>18.454000000000001</v>
      </c>
      <c r="J53" s="63">
        <f t="shared" ca="1" si="9"/>
        <v>15.358000000000001</v>
      </c>
      <c r="K53" s="63">
        <f t="shared" ca="1" si="9"/>
        <v>14.037000000000001</v>
      </c>
      <c r="L53" s="63">
        <f t="shared" ca="1" si="9"/>
        <v>13.43</v>
      </c>
      <c r="M53" s="63">
        <f t="shared" ca="1" si="9"/>
        <v>14.778</v>
      </c>
      <c r="N53" s="63">
        <f t="shared" ca="1" si="9"/>
        <v>12.957000000000001</v>
      </c>
      <c r="O53" s="63">
        <f t="shared" ca="1" si="9"/>
        <v>14.946999999999999</v>
      </c>
      <c r="P53" s="63">
        <f t="shared" ca="1" si="9"/>
        <v>16.963000000000001</v>
      </c>
      <c r="Q53" s="63">
        <f t="shared" ca="1" si="9"/>
        <v>14.103</v>
      </c>
      <c r="R53" s="63">
        <f t="shared" ca="1" si="9"/>
        <v>12.177</v>
      </c>
      <c r="S53" s="63">
        <f t="shared" ca="1" si="10"/>
        <v>14.785</v>
      </c>
      <c r="T53" s="63">
        <f t="shared" ca="1" si="10"/>
        <v>17.436</v>
      </c>
      <c r="U53" s="63">
        <f t="shared" ca="1" si="10"/>
        <v>10.781000000000001</v>
      </c>
      <c r="V53" s="63">
        <f t="shared" ca="1" si="10"/>
        <v>14.023</v>
      </c>
    </row>
    <row r="54" spans="1:22">
      <c r="A54" s="45" t="s">
        <v>45</v>
      </c>
      <c r="B54" s="46">
        <f t="shared" ca="1" si="3"/>
        <v>73</v>
      </c>
      <c r="C54" s="1">
        <f>IF(ISERROR(D54),"",IF(D54="","",MAX($C$13:C53)+1))</f>
        <v>41</v>
      </c>
      <c r="D54" t="str">
        <f t="shared" si="4"/>
        <v xml:space="preserve">Xcel Energy Inc.              </v>
      </c>
      <c r="E54" s="15"/>
      <c r="F54" s="63">
        <f t="shared" ca="1" si="6"/>
        <v>16.757187499999997</v>
      </c>
      <c r="G54" s="63">
        <f t="shared" si="7"/>
        <v>20.2</v>
      </c>
      <c r="H54" s="63">
        <f ca="1">IFERROR(VLOOKUP($A54,LASTYR,'2016'!$C$3,FALSE),"N/A")</f>
        <v>18.475000000000001</v>
      </c>
      <c r="I54" s="63">
        <f t="shared" ref="I54:V58" ca="1" si="11">IFERROR(INDEX(PE_WP,$B54,I$13),"N/A")</f>
        <v>16.538</v>
      </c>
      <c r="J54" s="63">
        <f t="shared" ca="1" si="11"/>
        <v>15.44</v>
      </c>
      <c r="K54" s="63">
        <f t="shared" ca="1" si="11"/>
        <v>15.039</v>
      </c>
      <c r="L54" s="63">
        <f t="shared" ca="1" si="11"/>
        <v>14.821999999999999</v>
      </c>
      <c r="M54" s="63">
        <f t="shared" ca="1" si="11"/>
        <v>14.242000000000001</v>
      </c>
      <c r="N54" s="63">
        <f t="shared" ca="1" si="11"/>
        <v>14.129</v>
      </c>
      <c r="O54" s="63">
        <f t="shared" ca="1" si="11"/>
        <v>12.664</v>
      </c>
      <c r="P54" s="63">
        <f t="shared" ca="1" si="11"/>
        <v>13.686</v>
      </c>
      <c r="Q54" s="63">
        <f t="shared" ca="1" si="11"/>
        <v>16.652999999999999</v>
      </c>
      <c r="R54" s="63">
        <f t="shared" ca="1" si="11"/>
        <v>14.801</v>
      </c>
      <c r="S54" s="63">
        <f t="shared" ca="1" si="11"/>
        <v>15.362</v>
      </c>
      <c r="T54" s="63">
        <f t="shared" ca="1" si="11"/>
        <v>13.648</v>
      </c>
      <c r="U54" s="63">
        <f t="shared" ca="1" si="11"/>
        <v>11.616</v>
      </c>
      <c r="V54" s="63">
        <f t="shared" ca="1" si="11"/>
        <v>40.799999999999997</v>
      </c>
    </row>
    <row r="55" spans="1:22" hidden="1">
      <c r="A55" s="45"/>
      <c r="B55" s="46" t="str">
        <f t="shared" ca="1" si="3"/>
        <v/>
      </c>
      <c r="C55" s="1" t="str">
        <f>IF(ISERROR(D55),"",IF(D55="","",MAX($C$13:C54)+1))</f>
        <v/>
      </c>
      <c r="D55" t="e">
        <f t="shared" si="4"/>
        <v>#N/A</v>
      </c>
      <c r="E55" s="15"/>
      <c r="F55" s="63" t="str">
        <f t="shared" ca="1" si="6"/>
        <v>N/A</v>
      </c>
      <c r="G55" s="63" t="str">
        <f t="shared" si="7"/>
        <v>N/A</v>
      </c>
      <c r="H55" s="63" t="str">
        <f ca="1">IFERROR(VLOOKUP($A55,LASTYR,'2016'!$C$3,FALSE),"N/A")</f>
        <v>N/A</v>
      </c>
      <c r="I55" s="63" t="str">
        <f t="shared" ca="1" si="11"/>
        <v>N/A</v>
      </c>
      <c r="J55" s="63" t="str">
        <f t="shared" ca="1" si="11"/>
        <v>N/A</v>
      </c>
      <c r="K55" s="63" t="str">
        <f t="shared" ca="1" si="11"/>
        <v>N/A</v>
      </c>
      <c r="L55" s="63" t="str">
        <f t="shared" ca="1" si="11"/>
        <v>N/A</v>
      </c>
      <c r="M55" s="63" t="str">
        <f t="shared" ca="1" si="11"/>
        <v>N/A</v>
      </c>
      <c r="N55" s="63" t="str">
        <f t="shared" ca="1" si="11"/>
        <v>N/A</v>
      </c>
      <c r="O55" s="63" t="str">
        <f t="shared" ca="1" si="11"/>
        <v>N/A</v>
      </c>
      <c r="P55" s="63" t="str">
        <f t="shared" ca="1" si="11"/>
        <v>N/A</v>
      </c>
      <c r="Q55" s="63" t="str">
        <f t="shared" ca="1" si="11"/>
        <v>N/A</v>
      </c>
      <c r="R55" s="63" t="str">
        <f t="shared" ca="1" si="11"/>
        <v>N/A</v>
      </c>
      <c r="S55" s="63" t="str">
        <f t="shared" ca="1" si="11"/>
        <v>N/A</v>
      </c>
      <c r="T55" s="63" t="str">
        <f t="shared" ca="1" si="11"/>
        <v>N/A</v>
      </c>
      <c r="U55" s="63" t="str">
        <f t="shared" ca="1" si="11"/>
        <v>N/A</v>
      </c>
      <c r="V55" s="63" t="str">
        <f t="shared" ca="1" si="11"/>
        <v>N/A</v>
      </c>
    </row>
    <row r="56" spans="1:22" hidden="1">
      <c r="A56" s="51"/>
      <c r="B56" s="46" t="str">
        <f t="shared" ca="1" si="3"/>
        <v/>
      </c>
      <c r="C56" s="1" t="str">
        <f>IF(ISERROR(D56),"",IF(D56="","",MAX($C$13:C55)+1))</f>
        <v/>
      </c>
      <c r="D56" t="e">
        <f t="shared" si="4"/>
        <v>#N/A</v>
      </c>
      <c r="F56" s="63" t="str">
        <f t="shared" ca="1" si="6"/>
        <v>N/A</v>
      </c>
      <c r="G56" s="63" t="str">
        <f t="shared" si="7"/>
        <v>N/A</v>
      </c>
      <c r="H56" s="63" t="str">
        <f ca="1">IFERROR(VLOOKUP($A56,LASTYR,'2016'!$C$3,FALSE),"N/A")</f>
        <v>N/A</v>
      </c>
      <c r="I56" s="63" t="str">
        <f t="shared" ca="1" si="11"/>
        <v>N/A</v>
      </c>
      <c r="J56" s="63" t="str">
        <f t="shared" ca="1" si="11"/>
        <v>N/A</v>
      </c>
      <c r="K56" s="63" t="str">
        <f t="shared" ca="1" si="11"/>
        <v>N/A</v>
      </c>
      <c r="L56" s="63" t="str">
        <f t="shared" ca="1" si="11"/>
        <v>N/A</v>
      </c>
      <c r="M56" s="63" t="str">
        <f t="shared" ca="1" si="11"/>
        <v>N/A</v>
      </c>
      <c r="N56" s="63" t="str">
        <f t="shared" ca="1" si="11"/>
        <v>N/A</v>
      </c>
      <c r="O56" s="63" t="str">
        <f t="shared" ca="1" si="11"/>
        <v>N/A</v>
      </c>
      <c r="P56" s="63" t="str">
        <f t="shared" ca="1" si="11"/>
        <v>N/A</v>
      </c>
      <c r="Q56" s="63" t="str">
        <f t="shared" ca="1" si="11"/>
        <v>N/A</v>
      </c>
      <c r="R56" s="63" t="str">
        <f t="shared" ca="1" si="11"/>
        <v>N/A</v>
      </c>
      <c r="S56" s="63" t="str">
        <f t="shared" ca="1" si="11"/>
        <v>N/A</v>
      </c>
      <c r="T56" s="63" t="str">
        <f t="shared" ca="1" si="11"/>
        <v>N/A</v>
      </c>
      <c r="U56" s="63" t="str">
        <f t="shared" ca="1" si="11"/>
        <v>N/A</v>
      </c>
      <c r="V56" s="63" t="str">
        <f t="shared" ca="1" si="11"/>
        <v>N/A</v>
      </c>
    </row>
    <row r="57" spans="1:22" hidden="1">
      <c r="A57" s="51"/>
      <c r="B57" s="46" t="str">
        <f t="shared" ca="1" si="3"/>
        <v/>
      </c>
      <c r="C57" s="1" t="str">
        <f>IF(ISERROR(D57),"",IF(D57="","",MAX($C$13:C56)+1))</f>
        <v/>
      </c>
      <c r="D57" t="e">
        <f t="shared" si="4"/>
        <v>#N/A</v>
      </c>
      <c r="F57" s="63" t="str">
        <f t="shared" ca="1" si="6"/>
        <v>N/A</v>
      </c>
      <c r="G57" s="63" t="str">
        <f t="shared" si="7"/>
        <v>N/A</v>
      </c>
      <c r="H57" s="63" t="str">
        <f ca="1">IFERROR(VLOOKUP($A57,LASTYR,'2016'!$C$3,FALSE),"N/A")</f>
        <v>N/A</v>
      </c>
      <c r="I57" s="63" t="str">
        <f t="shared" ca="1" si="11"/>
        <v>N/A</v>
      </c>
      <c r="J57" s="63" t="str">
        <f t="shared" ca="1" si="11"/>
        <v>N/A</v>
      </c>
      <c r="K57" s="63" t="str">
        <f t="shared" ca="1" si="11"/>
        <v>N/A</v>
      </c>
      <c r="L57" s="63" t="str">
        <f t="shared" ca="1" si="11"/>
        <v>N/A</v>
      </c>
      <c r="M57" s="63" t="str">
        <f t="shared" ca="1" si="11"/>
        <v>N/A</v>
      </c>
      <c r="N57" s="63" t="str">
        <f t="shared" ca="1" si="11"/>
        <v>N/A</v>
      </c>
      <c r="O57" s="63" t="str">
        <f t="shared" ca="1" si="11"/>
        <v>N/A</v>
      </c>
      <c r="P57" s="63" t="str">
        <f t="shared" ca="1" si="11"/>
        <v>N/A</v>
      </c>
      <c r="Q57" s="63" t="str">
        <f t="shared" ca="1" si="11"/>
        <v>N/A</v>
      </c>
      <c r="R57" s="63" t="str">
        <f t="shared" ca="1" si="11"/>
        <v>N/A</v>
      </c>
      <c r="S57" s="63" t="str">
        <f t="shared" ca="1" si="11"/>
        <v>N/A</v>
      </c>
      <c r="T57" s="63" t="str">
        <f t="shared" ca="1" si="11"/>
        <v>N/A</v>
      </c>
      <c r="U57" s="63" t="str">
        <f t="shared" ca="1" si="11"/>
        <v>N/A</v>
      </c>
      <c r="V57" s="63" t="str">
        <f t="shared" ca="1" si="11"/>
        <v>N/A</v>
      </c>
    </row>
    <row r="58" spans="1:22" hidden="1">
      <c r="A58" s="51"/>
      <c r="B58" s="46" t="str">
        <f t="shared" ca="1" si="3"/>
        <v/>
      </c>
      <c r="C58" s="1" t="str">
        <f>IF(ISERROR(D58),"",IF(D58="","",MAX($C$13:C57)+1))</f>
        <v/>
      </c>
      <c r="D58" t="e">
        <f t="shared" si="4"/>
        <v>#N/A</v>
      </c>
      <c r="F58" s="63" t="str">
        <f t="shared" ca="1" si="6"/>
        <v>N/A</v>
      </c>
      <c r="G58" s="63" t="str">
        <f t="shared" si="7"/>
        <v>N/A</v>
      </c>
      <c r="H58" s="63" t="str">
        <f ca="1">IFERROR(VLOOKUP($A58,LASTYR,'2016'!$C$3,FALSE),"N/A")</f>
        <v>N/A</v>
      </c>
      <c r="I58" s="63" t="str">
        <f t="shared" ca="1" si="11"/>
        <v>N/A</v>
      </c>
      <c r="J58" s="63" t="str">
        <f t="shared" ca="1" si="11"/>
        <v>N/A</v>
      </c>
      <c r="K58" s="63" t="str">
        <f t="shared" ca="1" si="11"/>
        <v>N/A</v>
      </c>
      <c r="L58" s="63" t="str">
        <f t="shared" ca="1" si="11"/>
        <v>N/A</v>
      </c>
      <c r="M58" s="63" t="str">
        <f t="shared" ca="1" si="11"/>
        <v>N/A</v>
      </c>
      <c r="N58" s="63" t="str">
        <f t="shared" ca="1" si="11"/>
        <v>N/A</v>
      </c>
      <c r="O58" s="63" t="str">
        <f t="shared" ca="1" si="11"/>
        <v>N/A</v>
      </c>
      <c r="P58" s="63" t="str">
        <f t="shared" ca="1" si="11"/>
        <v>N/A</v>
      </c>
      <c r="Q58" s="63" t="str">
        <f t="shared" ca="1" si="11"/>
        <v>N/A</v>
      </c>
      <c r="R58" s="63" t="str">
        <f t="shared" ca="1" si="11"/>
        <v>N/A</v>
      </c>
      <c r="S58" s="63" t="str">
        <f t="shared" ca="1" si="11"/>
        <v>N/A</v>
      </c>
      <c r="T58" s="63" t="str">
        <f t="shared" ca="1" si="11"/>
        <v>N/A</v>
      </c>
      <c r="U58" s="63" t="str">
        <f t="shared" ca="1" si="11"/>
        <v>N/A</v>
      </c>
      <c r="V58" s="63" t="str">
        <f t="shared" ca="1" si="11"/>
        <v>N/A</v>
      </c>
    </row>
    <row r="59" spans="1:22">
      <c r="A59" s="31"/>
      <c r="B59" s="31"/>
      <c r="C59" s="1" t="str">
        <f>IF(ISERROR(D59),"",IF(D59="","",MAX($C$13:C58)+1))</f>
        <v/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</row>
    <row r="60" spans="1:22">
      <c r="A60" s="31"/>
      <c r="B60" s="31"/>
      <c r="C60" s="1">
        <f>IF(ISERROR(D60),"",IF(D60="","",MAX($C$13:C59)+1))</f>
        <v>42</v>
      </c>
      <c r="D60" t="s">
        <v>98</v>
      </c>
      <c r="F60" s="63">
        <f ca="1">AVERAGE(G60:V60)</f>
        <v>16.273334649440876</v>
      </c>
      <c r="G60" s="63">
        <f t="shared" ref="G60:R60" si="12">AVERAGE(G14:G59)</f>
        <v>20.309756097560978</v>
      </c>
      <c r="H60" s="63">
        <f t="shared" ca="1" si="12"/>
        <v>18.972414634146343</v>
      </c>
      <c r="I60" s="63">
        <f t="shared" ca="1" si="12"/>
        <v>18.002951219512195</v>
      </c>
      <c r="J60" s="63">
        <f t="shared" ca="1" si="12"/>
        <v>17.386750000000003</v>
      </c>
      <c r="K60" s="63">
        <f t="shared" ca="1" si="12"/>
        <v>16.382100000000001</v>
      </c>
      <c r="L60" s="63">
        <f t="shared" ca="1" si="12"/>
        <v>15.686099999999996</v>
      </c>
      <c r="M60" s="63">
        <f t="shared" ca="1" si="12"/>
        <v>15.302424999999999</v>
      </c>
      <c r="N60" s="63">
        <f t="shared" ca="1" si="12"/>
        <v>14.277775</v>
      </c>
      <c r="O60" s="63">
        <f t="shared" ca="1" si="12"/>
        <v>13.560874999999999</v>
      </c>
      <c r="P60" s="63">
        <f t="shared" ca="1" si="12"/>
        <v>15.175815789473685</v>
      </c>
      <c r="Q60" s="63">
        <f t="shared" ca="1" si="12"/>
        <v>17.739574999999995</v>
      </c>
      <c r="R60" s="63">
        <f t="shared" ca="1" si="12"/>
        <v>16.471384615384611</v>
      </c>
      <c r="S60" s="63">
        <f t="shared" ref="S60:V60" ca="1" si="13">AVERAGE(S14:S59)</f>
        <v>16.524270270270268</v>
      </c>
      <c r="T60" s="63">
        <f t="shared" ca="1" si="13"/>
        <v>16.567916666666669</v>
      </c>
      <c r="U60" s="63">
        <f t="shared" ca="1" si="13"/>
        <v>13.701911764705885</v>
      </c>
      <c r="V60" s="63">
        <f t="shared" ca="1" si="13"/>
        <v>14.311333333333334</v>
      </c>
    </row>
    <row r="61" spans="1:22">
      <c r="A61" s="31"/>
      <c r="B61" s="31"/>
      <c r="C61" s="1">
        <f>IF(ISERROR(D61),"",IF(D61="","",MAX($C$13:C60)+1))</f>
        <v>43</v>
      </c>
      <c r="D61" t="s">
        <v>257</v>
      </c>
      <c r="F61" s="63">
        <f ca="1">MEDIAN(G61:V61)</f>
        <v>15.58325</v>
      </c>
      <c r="G61" s="63">
        <f>MEDIAN(G14:G59)</f>
        <v>20.3</v>
      </c>
      <c r="H61" s="63">
        <f t="shared" ref="H61:R61" ca="1" si="14">MEDIAN(H14:H59)</f>
        <v>18.802</v>
      </c>
      <c r="I61" s="63">
        <f t="shared" ca="1" si="14"/>
        <v>17.713999999999999</v>
      </c>
      <c r="J61" s="63">
        <f t="shared" ca="1" si="14"/>
        <v>16.5365</v>
      </c>
      <c r="K61" s="63">
        <f t="shared" ca="1" si="14"/>
        <v>16.268000000000001</v>
      </c>
      <c r="L61" s="63">
        <f t="shared" ca="1" si="14"/>
        <v>15.043500000000002</v>
      </c>
      <c r="M61" s="63">
        <f t="shared" ca="1" si="14"/>
        <v>14.307500000000001</v>
      </c>
      <c r="N61" s="63">
        <f t="shared" ca="1" si="14"/>
        <v>12.9145</v>
      </c>
      <c r="O61" s="63">
        <f t="shared" ca="1" si="14"/>
        <v>12.816500000000001</v>
      </c>
      <c r="P61" s="63">
        <f t="shared" ca="1" si="14"/>
        <v>14.213000000000001</v>
      </c>
      <c r="Q61" s="63">
        <f t="shared" ca="1" si="14"/>
        <v>16.41</v>
      </c>
      <c r="R61" s="63">
        <f t="shared" ca="1" si="14"/>
        <v>15.879</v>
      </c>
      <c r="S61" s="63">
        <f t="shared" ref="S61:V61" ca="1" si="15">MEDIAN(S14:S59)</f>
        <v>15.917</v>
      </c>
      <c r="T61" s="63">
        <f t="shared" ca="1" si="15"/>
        <v>15.2875</v>
      </c>
      <c r="U61" s="63">
        <f t="shared" ca="1" si="15"/>
        <v>13.597000000000001</v>
      </c>
      <c r="V61" s="63">
        <f t="shared" ca="1" si="15"/>
        <v>13.474</v>
      </c>
    </row>
    <row r="62" spans="1:22">
      <c r="A62" s="31"/>
      <c r="B62" s="31"/>
      <c r="C62" s="1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>
      <c r="A63" s="31"/>
      <c r="B63" s="31"/>
      <c r="C63" s="1"/>
      <c r="D63" s="18"/>
      <c r="E63" s="91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>
      <c r="A64" s="31"/>
      <c r="B64" s="31"/>
      <c r="C64" s="1"/>
      <c r="D64" s="20" t="s">
        <v>107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ht="16.5">
      <c r="A65" s="31"/>
      <c r="B65" s="31"/>
      <c r="C65" s="1"/>
      <c r="D65" s="79">
        <v>1</v>
      </c>
      <c r="E65" s="21" t="str">
        <f>"The Value Line Investment Survey Investment Analyzer Software, downloaded on "&amp;TEXT('2016'!$A$1,"mmmm d, yyyy.")</f>
        <v>The Value Line Investment Survey Investment Analyzer Software, downloaded on June 21, 2017.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 ht="16.5">
      <c r="A66" s="31"/>
      <c r="B66" s="31"/>
      <c r="C66" s="1"/>
      <c r="D66" s="79">
        <v>2</v>
      </c>
      <c r="E66" s="21" t="str">
        <f>"The Value Line Investment Survey, "&amp;'2017 Data (WP)'!$D$1</f>
        <v>The Value Line Investment Survey, July 28, August 18, and September 15, 2017.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>
      <c r="A67" s="31"/>
      <c r="B67" s="31"/>
      <c r="C67" s="1"/>
    </row>
    <row r="68" spans="1:22" ht="17.25">
      <c r="A68" s="31"/>
      <c r="B68" s="31"/>
      <c r="C68" s="6"/>
      <c r="D68" s="6"/>
      <c r="E68" s="19"/>
      <c r="F68" s="139" t="s">
        <v>109</v>
      </c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</row>
    <row r="69" spans="1:22" ht="15">
      <c r="A69" s="31"/>
      <c r="B69" s="31"/>
      <c r="C69" s="6"/>
      <c r="D69" s="7"/>
      <c r="E69" s="7"/>
      <c r="F69" s="8" t="s">
        <v>329</v>
      </c>
      <c r="G69" s="8"/>
      <c r="H69" s="8"/>
      <c r="I69" s="8"/>
      <c r="J69" s="8"/>
      <c r="K69" s="8"/>
      <c r="L69" s="8"/>
      <c r="M69" s="8"/>
      <c r="N69" s="8"/>
      <c r="O69" s="7"/>
      <c r="P69" s="7"/>
      <c r="Q69" s="7"/>
      <c r="R69" s="7"/>
      <c r="S69" s="7"/>
      <c r="T69" s="7"/>
      <c r="U69" s="7"/>
    </row>
    <row r="70" spans="1:22" ht="17.25">
      <c r="A70" s="31"/>
      <c r="B70" s="31"/>
      <c r="C70" s="9" t="s">
        <v>96</v>
      </c>
      <c r="D70" s="138" t="s">
        <v>97</v>
      </c>
      <c r="E70" s="138"/>
      <c r="F70" s="10" t="s">
        <v>98</v>
      </c>
      <c r="G70" s="10" t="s">
        <v>330</v>
      </c>
      <c r="H70" s="41">
        <v>2016</v>
      </c>
      <c r="I70" s="41">
        <v>2015</v>
      </c>
      <c r="J70" s="41">
        <v>2014</v>
      </c>
      <c r="K70" s="41">
        <v>2013</v>
      </c>
      <c r="L70" s="41">
        <v>2012</v>
      </c>
      <c r="M70" s="41">
        <v>2011</v>
      </c>
      <c r="N70" s="41">
        <v>2010</v>
      </c>
      <c r="O70" s="41">
        <v>2009</v>
      </c>
      <c r="P70" s="41">
        <v>2008</v>
      </c>
      <c r="Q70" s="41">
        <v>2007</v>
      </c>
      <c r="R70" s="41">
        <v>2006</v>
      </c>
      <c r="S70" s="41">
        <v>2005</v>
      </c>
      <c r="T70" s="41">
        <v>2004</v>
      </c>
      <c r="U70" s="41">
        <v>2003</v>
      </c>
      <c r="V70" s="41">
        <v>2002</v>
      </c>
    </row>
    <row r="71" spans="1:22" ht="15">
      <c r="A71" s="42"/>
      <c r="B71" s="42"/>
      <c r="C71" s="9"/>
      <c r="D71" s="11"/>
      <c r="E71" s="11"/>
      <c r="F71" s="12">
        <v>-1</v>
      </c>
      <c r="G71" s="12">
        <f t="shared" ref="G71:V71" si="16">+F71-1</f>
        <v>-2</v>
      </c>
      <c r="H71" s="12">
        <f t="shared" si="16"/>
        <v>-3</v>
      </c>
      <c r="I71" s="12">
        <f t="shared" si="16"/>
        <v>-4</v>
      </c>
      <c r="J71" s="12">
        <f t="shared" si="16"/>
        <v>-5</v>
      </c>
      <c r="K71" s="12">
        <f t="shared" si="16"/>
        <v>-6</v>
      </c>
      <c r="L71" s="12">
        <f t="shared" si="16"/>
        <v>-7</v>
      </c>
      <c r="M71" s="12">
        <f t="shared" si="16"/>
        <v>-8</v>
      </c>
      <c r="N71" s="12">
        <f t="shared" si="16"/>
        <v>-9</v>
      </c>
      <c r="O71" s="12">
        <f t="shared" si="16"/>
        <v>-10</v>
      </c>
      <c r="P71" s="12">
        <f t="shared" si="16"/>
        <v>-11</v>
      </c>
      <c r="Q71" s="12">
        <f t="shared" si="16"/>
        <v>-12</v>
      </c>
      <c r="R71" s="12">
        <f t="shared" si="16"/>
        <v>-13</v>
      </c>
      <c r="S71" s="12">
        <f t="shared" si="16"/>
        <v>-14</v>
      </c>
      <c r="T71" s="12">
        <f t="shared" si="16"/>
        <v>-15</v>
      </c>
      <c r="U71" s="12">
        <f t="shared" si="16"/>
        <v>-16</v>
      </c>
      <c r="V71" s="12">
        <f t="shared" si="16"/>
        <v>-17</v>
      </c>
    </row>
    <row r="72" spans="1:22">
      <c r="A72" s="43"/>
      <c r="B72" s="44"/>
      <c r="C72" s="6"/>
      <c r="E72" s="22"/>
      <c r="F72" s="36"/>
      <c r="G72" s="36"/>
      <c r="H72" s="16">
        <f t="shared" ref="H72:R72" ca="1" si="17">MATCH(VALUE(LEFT(H70,4)),OFFSET(MP_CF_WP,-1,0,1,),0)</f>
        <v>6</v>
      </c>
      <c r="I72" s="16">
        <f t="shared" ca="1" si="17"/>
        <v>7</v>
      </c>
      <c r="J72" s="16">
        <f t="shared" ca="1" si="17"/>
        <v>8</v>
      </c>
      <c r="K72" s="16">
        <f t="shared" ca="1" si="17"/>
        <v>9</v>
      </c>
      <c r="L72" s="16">
        <f t="shared" ca="1" si="17"/>
        <v>10</v>
      </c>
      <c r="M72" s="16">
        <f t="shared" ca="1" si="17"/>
        <v>11</v>
      </c>
      <c r="N72" s="16">
        <f t="shared" ca="1" si="17"/>
        <v>12</v>
      </c>
      <c r="O72" s="16">
        <f t="shared" ca="1" si="17"/>
        <v>13</v>
      </c>
      <c r="P72" s="16">
        <f t="shared" ca="1" si="17"/>
        <v>14</v>
      </c>
      <c r="Q72" s="16">
        <f t="shared" ca="1" si="17"/>
        <v>15</v>
      </c>
      <c r="R72" s="16">
        <f t="shared" ca="1" si="17"/>
        <v>16</v>
      </c>
      <c r="S72" s="16">
        <f t="shared" ref="S72:V72" ca="1" si="18">MATCH(VALUE(LEFT(S70,4)),OFFSET(MP_CF_WP,-1,0,1,),0)</f>
        <v>17</v>
      </c>
      <c r="T72" s="16">
        <f t="shared" ca="1" si="18"/>
        <v>18</v>
      </c>
      <c r="U72" s="16">
        <f t="shared" ca="1" si="18"/>
        <v>19</v>
      </c>
      <c r="V72" s="16">
        <f t="shared" ca="1" si="18"/>
        <v>20</v>
      </c>
    </row>
    <row r="73" spans="1:22">
      <c r="A73" s="51" t="str">
        <f t="shared" ref="A73:A117" si="19">A14</f>
        <v>ALE</v>
      </c>
      <c r="B73" s="46">
        <f t="shared" ref="B73:B117" ca="1" si="20">IFERROR(MATCH(A73,OFFSET(MP_CF_WP,0,0,,1),0),"")</f>
        <v>2</v>
      </c>
      <c r="C73" s="1">
        <f>IF(ISERROR(D73),"",IF(D73="","",MAX($C$71:C72)+1))</f>
        <v>1</v>
      </c>
      <c r="D73" t="str">
        <f t="shared" ref="D73:D117" si="21">D14</f>
        <v xml:space="preserve">ALLETE                        </v>
      </c>
      <c r="E73" s="22"/>
      <c r="F73" s="63">
        <f ca="1">IFERROR(AVERAGE(G73:V73),"N/A")</f>
        <v>9.2555274488297474</v>
      </c>
      <c r="G73" s="63">
        <f t="shared" ref="G73:G117" si="22">IFERROR(IF(VLOOKUP(A73,LUCurYr,13,FALSE)=0,"",VLOOKUP(A73,LUCurYr,13,FALSE)),"N/A")</f>
        <v>9.5684931506849313</v>
      </c>
      <c r="H73" s="63">
        <f ca="1">IFERROR(VLOOKUP($A73,LASTYR,'2016'!$L$3,FALSE),"N/A")</f>
        <v>8.2644441305269112</v>
      </c>
      <c r="I73" s="63">
        <f t="shared" ref="I73:V88" ca="1" si="23">IFERROR(IF(INDEX(MP_CF_WP,$B73,I$72)=0,"N/A",INDEX(MP_CF_WP,$B73,I$72)),"N/A")</f>
        <v>7.4948453608247423</v>
      </c>
      <c r="J73" s="63">
        <f t="shared" ca="1" si="23"/>
        <v>8.8042290748898679</v>
      </c>
      <c r="K73" s="63">
        <f t="shared" ca="1" si="23"/>
        <v>9.1492984097287184</v>
      </c>
      <c r="L73" s="63">
        <f t="shared" ca="1" si="23"/>
        <v>8.1817092651757175</v>
      </c>
      <c r="M73" s="63">
        <f t="shared" ca="1" si="23"/>
        <v>7.9102198697068395</v>
      </c>
      <c r="N73" s="63">
        <f t="shared" ca="1" si="23"/>
        <v>8.0392922794117645</v>
      </c>
      <c r="O73" s="63">
        <f t="shared" ca="1" si="23"/>
        <v>8.5107812937552509</v>
      </c>
      <c r="P73" s="63">
        <f t="shared" ca="1" si="23"/>
        <v>9.2917552563193961</v>
      </c>
      <c r="Q73" s="63">
        <f t="shared" ca="1" si="23"/>
        <v>10.302330844082373</v>
      </c>
      <c r="R73" s="63">
        <f t="shared" ca="1" si="23"/>
        <v>11.056694813027745</v>
      </c>
      <c r="S73" s="63">
        <f t="shared" ca="1" si="23"/>
        <v>11.543020535482194</v>
      </c>
      <c r="T73" s="63">
        <f t="shared" ca="1" si="23"/>
        <v>11.46027</v>
      </c>
      <c r="U73" s="63" t="str">
        <f t="shared" ca="1" si="23"/>
        <v>N/A</v>
      </c>
      <c r="V73" s="63" t="str">
        <f t="shared" ca="1" si="23"/>
        <v>N/A</v>
      </c>
    </row>
    <row r="74" spans="1:22">
      <c r="A74" s="51" t="str">
        <f t="shared" si="19"/>
        <v>LNT</v>
      </c>
      <c r="B74" s="46">
        <f t="shared" ca="1" si="20"/>
        <v>3</v>
      </c>
      <c r="C74" s="1">
        <f>IF(ISERROR(D74),"",IF(D74="","",MAX($C$71:C73)+1))</f>
        <v>2</v>
      </c>
      <c r="D74" t="str">
        <f t="shared" si="21"/>
        <v xml:space="preserve">Alliant Energy                </v>
      </c>
      <c r="E74" s="22"/>
      <c r="F74" s="63">
        <f t="shared" ref="F74:F117" ca="1" si="24">IFERROR(AVERAGE(G74:V74),"N/A")</f>
        <v>7.3085442769432092</v>
      </c>
      <c r="G74" s="63">
        <f t="shared" si="22"/>
        <v>9.9750000000000014</v>
      </c>
      <c r="H74" s="63">
        <f ca="1">IFERROR(VLOOKUP($A74,LASTYR,'2016'!$L$3,FALSE),"N/A")</f>
        <v>10.666956521739131</v>
      </c>
      <c r="I74" s="63">
        <f t="shared" ca="1" si="23"/>
        <v>8.8627394080092863</v>
      </c>
      <c r="J74" s="63">
        <f t="shared" ca="1" si="23"/>
        <v>8.3958151700087189</v>
      </c>
      <c r="K74" s="63">
        <f t="shared" ca="1" si="23"/>
        <v>7.5191502094554163</v>
      </c>
      <c r="L74" s="63">
        <f t="shared" ca="1" si="23"/>
        <v>7.4996607869742204</v>
      </c>
      <c r="M74" s="63">
        <f t="shared" ca="1" si="23"/>
        <v>7.2149600580973132</v>
      </c>
      <c r="N74" s="63">
        <f t="shared" ca="1" si="23"/>
        <v>6.5860215053763431</v>
      </c>
      <c r="O74" s="63">
        <f t="shared" ca="1" si="23"/>
        <v>6.2287208749405609</v>
      </c>
      <c r="P74" s="63">
        <f t="shared" ca="1" si="23"/>
        <v>7.4890254609306401</v>
      </c>
      <c r="Q74" s="63">
        <f t="shared" ca="1" si="23"/>
        <v>7.924579914028917</v>
      </c>
      <c r="R74" s="63">
        <f t="shared" ca="1" si="23"/>
        <v>8.0023094688221708</v>
      </c>
      <c r="S74" s="63">
        <f t="shared" ca="1" si="23"/>
        <v>5.0915080527086376</v>
      </c>
      <c r="T74" s="63">
        <f t="shared" ca="1" si="23"/>
        <v>5.5218499999999997</v>
      </c>
      <c r="U74" s="63">
        <f t="shared" ca="1" si="23"/>
        <v>4.7578800000000001</v>
      </c>
      <c r="V74" s="63">
        <f t="shared" ca="1" si="23"/>
        <v>5.2005309999999998</v>
      </c>
    </row>
    <row r="75" spans="1:22">
      <c r="A75" s="51" t="str">
        <f t="shared" si="19"/>
        <v>AEE</v>
      </c>
      <c r="B75" s="46">
        <f t="shared" ca="1" si="20"/>
        <v>6</v>
      </c>
      <c r="C75" s="1">
        <f>IF(ISERROR(D75),"",IF(D75="","",MAX($C$71:C74)+1))</f>
        <v>3</v>
      </c>
      <c r="D75" t="str">
        <f t="shared" si="21"/>
        <v xml:space="preserve">Ameren Corp.                  </v>
      </c>
      <c r="E75" s="22"/>
      <c r="F75" s="63">
        <f t="shared" ca="1" si="24"/>
        <v>6.8151850120838029</v>
      </c>
      <c r="G75" s="63">
        <f t="shared" si="22"/>
        <v>8.071942446043165</v>
      </c>
      <c r="H75" s="63">
        <f ca="1">IFERROR(VLOOKUP($A75,LASTYR,'2016'!$L$3,FALSE),"N/A")</f>
        <v>7.4442757364105674</v>
      </c>
      <c r="I75" s="63">
        <f t="shared" ca="1" si="23"/>
        <v>6.8692219114986024</v>
      </c>
      <c r="J75" s="63">
        <f t="shared" ca="1" si="23"/>
        <v>6.9488734835355288</v>
      </c>
      <c r="K75" s="63">
        <f t="shared" ca="1" si="23"/>
        <v>6.6104440632742527</v>
      </c>
      <c r="L75" s="63">
        <f t="shared" ca="1" si="23"/>
        <v>5.4788012940575515</v>
      </c>
      <c r="M75" s="63">
        <f t="shared" ca="1" si="23"/>
        <v>5.0182158665304737</v>
      </c>
      <c r="N75" s="63">
        <f t="shared" ca="1" si="23"/>
        <v>4.2268057531215426</v>
      </c>
      <c r="O75" s="63">
        <f t="shared" ca="1" si="23"/>
        <v>4.2504540201419845</v>
      </c>
      <c r="P75" s="63">
        <f t="shared" ca="1" si="23"/>
        <v>6.3536263394937107</v>
      </c>
      <c r="Q75" s="63">
        <f t="shared" ca="1" si="23"/>
        <v>7.6877587226493196</v>
      </c>
      <c r="R75" s="63">
        <f t="shared" ca="1" si="23"/>
        <v>8.5713098404255312</v>
      </c>
      <c r="S75" s="63">
        <f t="shared" ca="1" si="23"/>
        <v>8.5745657161586362</v>
      </c>
      <c r="T75" s="63">
        <f t="shared" ca="1" si="23"/>
        <v>8.241695</v>
      </c>
      <c r="U75" s="63">
        <f t="shared" ca="1" si="23"/>
        <v>6.7395110000000003</v>
      </c>
      <c r="V75" s="63">
        <f t="shared" ca="1" si="23"/>
        <v>7.9554590000000003</v>
      </c>
    </row>
    <row r="76" spans="1:22">
      <c r="A76" s="51" t="str">
        <f t="shared" si="19"/>
        <v>AEP</v>
      </c>
      <c r="B76" s="46">
        <f t="shared" ca="1" si="20"/>
        <v>7</v>
      </c>
      <c r="C76" s="1">
        <f>IF(ISERROR(D76),"",IF(D76="","",MAX($C$71:C75)+1))</f>
        <v>4</v>
      </c>
      <c r="D76" t="str">
        <f t="shared" si="21"/>
        <v>American Electric Power</v>
      </c>
      <c r="E76" s="22"/>
      <c r="F76" s="63">
        <f t="shared" ca="1" si="24"/>
        <v>6.1235790758947095</v>
      </c>
      <c r="G76" s="63">
        <f t="shared" si="22"/>
        <v>8.5597484276729556</v>
      </c>
      <c r="H76" s="63">
        <f ca="1">IFERROR(VLOOKUP($A76,LASTYR,'2016'!$L$3,FALSE),"N/A")</f>
        <v>7.5706695005313502</v>
      </c>
      <c r="I76" s="63">
        <f t="shared" ca="1" si="23"/>
        <v>7.0949993733550567</v>
      </c>
      <c r="J76" s="63">
        <f t="shared" ca="1" si="23"/>
        <v>7</v>
      </c>
      <c r="K76" s="63">
        <f t="shared" ca="1" si="23"/>
        <v>6.5675406098603597</v>
      </c>
      <c r="L76" s="63">
        <f t="shared" ca="1" si="23"/>
        <v>5.9286127167630065</v>
      </c>
      <c r="M76" s="63">
        <f t="shared" ca="1" si="23"/>
        <v>5.4648403164371517</v>
      </c>
      <c r="N76" s="63">
        <f t="shared" ca="1" si="23"/>
        <v>5.5438652256834073</v>
      </c>
      <c r="O76" s="63">
        <f t="shared" ca="1" si="23"/>
        <v>4.7136529030216741</v>
      </c>
      <c r="P76" s="63">
        <f t="shared" ca="1" si="23"/>
        <v>5.7125511995318901</v>
      </c>
      <c r="Q76" s="63">
        <f t="shared" ca="1" si="23"/>
        <v>6.8440717858193594</v>
      </c>
      <c r="R76" s="63">
        <f t="shared" ca="1" si="23"/>
        <v>5.5355428914217155</v>
      </c>
      <c r="S76" s="63">
        <f t="shared" ca="1" si="23"/>
        <v>6.0654252642174127</v>
      </c>
      <c r="T76" s="63">
        <f t="shared" ca="1" si="23"/>
        <v>5.5033099999999999</v>
      </c>
      <c r="U76" s="63">
        <f t="shared" ca="1" si="23"/>
        <v>4.6854269999999998</v>
      </c>
      <c r="V76" s="63">
        <f t="shared" ca="1" si="23"/>
        <v>5.1870079999999996</v>
      </c>
    </row>
    <row r="77" spans="1:22">
      <c r="A77" s="51" t="str">
        <f t="shared" si="19"/>
        <v>AGR</v>
      </c>
      <c r="B77" s="46">
        <f t="shared" ca="1" si="20"/>
        <v>10</v>
      </c>
      <c r="C77" s="1">
        <f>IF(ISERROR(D77),"",IF(D77="","",MAX($C$71:C76)+1))</f>
        <v>5</v>
      </c>
      <c r="D77" t="str">
        <f t="shared" si="21"/>
        <v>Avangrid, Inc.</v>
      </c>
      <c r="E77" s="22"/>
      <c r="F77" s="63">
        <f t="shared" ca="1" si="24"/>
        <v>9.4635860500018794</v>
      </c>
      <c r="G77" s="63">
        <f t="shared" si="22"/>
        <v>8.525252525252526</v>
      </c>
      <c r="H77" s="63">
        <f ca="1">IFERROR(VLOOKUP($A77,LASTYR,'2016'!$L$3,FALSE),"N/A")</f>
        <v>8.563739974672858</v>
      </c>
      <c r="I77" s="63">
        <f t="shared" ca="1" si="23"/>
        <v>11.301765650080256</v>
      </c>
      <c r="J77" s="63" t="str">
        <f t="shared" ca="1" si="23"/>
        <v>N/A</v>
      </c>
      <c r="K77" s="63" t="str">
        <f t="shared" ca="1" si="23"/>
        <v>N/A</v>
      </c>
      <c r="L77" s="63" t="str">
        <f t="shared" ca="1" si="23"/>
        <v>N/A</v>
      </c>
      <c r="M77" s="63" t="str">
        <f t="shared" ca="1" si="23"/>
        <v>N/A</v>
      </c>
      <c r="N77" s="63" t="str">
        <f t="shared" ca="1" si="23"/>
        <v>N/A</v>
      </c>
      <c r="O77" s="63" t="str">
        <f t="shared" ca="1" si="23"/>
        <v>N/A</v>
      </c>
      <c r="P77" s="63" t="str">
        <f t="shared" ca="1" si="23"/>
        <v>N/A</v>
      </c>
      <c r="Q77" s="63" t="str">
        <f t="shared" ca="1" si="23"/>
        <v>N/A</v>
      </c>
      <c r="R77" s="63" t="str">
        <f t="shared" ca="1" si="23"/>
        <v>N/A</v>
      </c>
      <c r="S77" s="63" t="str">
        <f t="shared" ca="1" si="23"/>
        <v>N/A</v>
      </c>
      <c r="T77" s="63" t="str">
        <f t="shared" ca="1" si="23"/>
        <v>N/A</v>
      </c>
      <c r="U77" s="63" t="str">
        <f t="shared" ca="1" si="23"/>
        <v>N/A</v>
      </c>
      <c r="V77" s="63" t="str">
        <f t="shared" ca="1" si="23"/>
        <v>N/A</v>
      </c>
    </row>
    <row r="78" spans="1:22">
      <c r="A78" s="51" t="str">
        <f t="shared" si="19"/>
        <v>AVA</v>
      </c>
      <c r="B78" s="46">
        <f t="shared" ca="1" si="20"/>
        <v>11</v>
      </c>
      <c r="C78" s="1">
        <f>IF(ISERROR(D78),"",IF(D78="","",MAX($C$71:C77)+1))</f>
        <v>6</v>
      </c>
      <c r="D78" t="str">
        <f t="shared" si="21"/>
        <v xml:space="preserve">Avista Corp.                  </v>
      </c>
      <c r="E78" s="22"/>
      <c r="F78" s="63">
        <f t="shared" ca="1" si="24"/>
        <v>6.3934125457526525</v>
      </c>
      <c r="G78" s="63">
        <f t="shared" si="22"/>
        <v>7.8285714285714274</v>
      </c>
      <c r="H78" s="63">
        <f ca="1">IFERROR(VLOOKUP($A78,LASTYR,'2016'!$L$3,FALSE),"N/A")</f>
        <v>7.6315391879131251</v>
      </c>
      <c r="I78" s="63">
        <f t="shared" ca="1" si="23"/>
        <v>6.7580743449116394</v>
      </c>
      <c r="J78" s="63">
        <f t="shared" ca="1" si="23"/>
        <v>7.3000459136822773</v>
      </c>
      <c r="K78" s="63">
        <f t="shared" ca="1" si="23"/>
        <v>6.2096330275229361</v>
      </c>
      <c r="L78" s="63">
        <f t="shared" ca="1" si="23"/>
        <v>6.882464198865172</v>
      </c>
      <c r="M78" s="63">
        <f t="shared" ca="1" si="23"/>
        <v>6.404125892620999</v>
      </c>
      <c r="N78" s="63">
        <f t="shared" ca="1" si="23"/>
        <v>5.8034235229155167</v>
      </c>
      <c r="O78" s="63">
        <f t="shared" ca="1" si="23"/>
        <v>4.0559928041376203</v>
      </c>
      <c r="P78" s="63">
        <f t="shared" ca="1" si="23"/>
        <v>5.1186525892408241</v>
      </c>
      <c r="Q78" s="63">
        <f t="shared" ca="1" si="23"/>
        <v>7.5844421699078817</v>
      </c>
      <c r="R78" s="63">
        <f t="shared" ca="1" si="23"/>
        <v>5.2971201123858576</v>
      </c>
      <c r="S78" s="63">
        <f t="shared" ca="1" si="23"/>
        <v>6.582413539367181</v>
      </c>
      <c r="T78" s="63">
        <f t="shared" ca="1" si="23"/>
        <v>7.5796849999999996</v>
      </c>
      <c r="U78" s="63">
        <f t="shared" ca="1" si="23"/>
        <v>5.3602889999999999</v>
      </c>
      <c r="V78" s="63">
        <f t="shared" ca="1" si="23"/>
        <v>5.8981279999999998</v>
      </c>
    </row>
    <row r="79" spans="1:22">
      <c r="A79" s="51" t="str">
        <f t="shared" si="19"/>
        <v>BKH</v>
      </c>
      <c r="B79" s="46">
        <f t="shared" ca="1" si="20"/>
        <v>12</v>
      </c>
      <c r="C79" s="1">
        <f>IF(ISERROR(D79),"",IF(D79="","",MAX($C$71:C78)+1))</f>
        <v>7</v>
      </c>
      <c r="D79" t="str">
        <f t="shared" si="21"/>
        <v xml:space="preserve">Black Hills                   </v>
      </c>
      <c r="E79" s="22"/>
      <c r="F79" s="63">
        <f t="shared" ca="1" si="24"/>
        <v>7.5222809747015926</v>
      </c>
      <c r="G79" s="63">
        <f t="shared" si="22"/>
        <v>8.979591836734695</v>
      </c>
      <c r="H79" s="63">
        <f ca="1">IFERROR(VLOOKUP($A79,LASTYR,'2016'!$L$3,FALSE),"N/A")</f>
        <v>9.3268098647573581</v>
      </c>
      <c r="I79" s="63">
        <f t="shared" ca="1" si="23"/>
        <v>8.0614298323036184</v>
      </c>
      <c r="J79" s="63">
        <f t="shared" ca="1" si="23"/>
        <v>8.8062449959967974</v>
      </c>
      <c r="K79" s="63">
        <f t="shared" ca="1" si="23"/>
        <v>8.0283353010625742</v>
      </c>
      <c r="L79" s="63">
        <f t="shared" ca="1" si="23"/>
        <v>6.0373881932021476</v>
      </c>
      <c r="M79" s="63">
        <f t="shared" ca="1" si="23"/>
        <v>7.8482276585122319</v>
      </c>
      <c r="N79" s="63">
        <f t="shared" ca="1" si="23"/>
        <v>6.1607875307629199</v>
      </c>
      <c r="O79" s="63">
        <f t="shared" ca="1" si="23"/>
        <v>4.2542028450027702</v>
      </c>
      <c r="P79" s="63">
        <f t="shared" ca="1" si="23"/>
        <v>11.257026752455131</v>
      </c>
      <c r="Q79" s="63">
        <f t="shared" ca="1" si="23"/>
        <v>7.6150936258747874</v>
      </c>
      <c r="R79" s="63">
        <f t="shared" ca="1" si="23"/>
        <v>6.9166335847558544</v>
      </c>
      <c r="S79" s="63">
        <f t="shared" ca="1" si="23"/>
        <v>7.5738045738045745</v>
      </c>
      <c r="T79" s="63">
        <f t="shared" ca="1" si="23"/>
        <v>6.6870099999999999</v>
      </c>
      <c r="U79" s="63">
        <f t="shared" ca="1" si="23"/>
        <v>6.8855000000000004</v>
      </c>
      <c r="V79" s="63">
        <f t="shared" ca="1" si="23"/>
        <v>5.9184089999999996</v>
      </c>
    </row>
    <row r="80" spans="1:22">
      <c r="A80" s="51" t="str">
        <f t="shared" si="19"/>
        <v>CNP</v>
      </c>
      <c r="B80" s="46">
        <f t="shared" ca="1" si="20"/>
        <v>14</v>
      </c>
      <c r="C80" s="1">
        <f>IF(ISERROR(D80),"",IF(D80="","",MAX($C$71:C79)+1))</f>
        <v>8</v>
      </c>
      <c r="D80" t="str">
        <f t="shared" si="21"/>
        <v xml:space="preserve">CenterPoint Energy            </v>
      </c>
      <c r="E80" s="22"/>
      <c r="F80" s="63">
        <f t="shared" ca="1" si="24"/>
        <v>4.838252453203129</v>
      </c>
      <c r="G80" s="63">
        <f t="shared" si="22"/>
        <v>7</v>
      </c>
      <c r="H80" s="63">
        <f ca="1">IFERROR(VLOOKUP($A80,LASTYR,'2016'!$L$3,FALSE),"N/A")</f>
        <v>5.957041870581838</v>
      </c>
      <c r="I80" s="63">
        <f t="shared" ca="1" si="23"/>
        <v>5.7488235294117649</v>
      </c>
      <c r="J80" s="63">
        <f t="shared" ca="1" si="23"/>
        <v>6.2537003375746556</v>
      </c>
      <c r="K80" s="63">
        <f t="shared" ca="1" si="23"/>
        <v>6.5611064069997171</v>
      </c>
      <c r="L80" s="63">
        <f t="shared" ca="1" si="23"/>
        <v>5.1511179645335385</v>
      </c>
      <c r="M80" s="63">
        <f t="shared" ca="1" si="23"/>
        <v>5.3933566433566442</v>
      </c>
      <c r="N80" s="63">
        <f t="shared" ca="1" si="23"/>
        <v>4.6976744186046515</v>
      </c>
      <c r="O80" s="63">
        <f t="shared" ca="1" si="23"/>
        <v>4.0547432845970759</v>
      </c>
      <c r="P80" s="63">
        <f t="shared" ca="1" si="23"/>
        <v>4.2873025160912812</v>
      </c>
      <c r="Q80" s="63">
        <f t="shared" ca="1" si="23"/>
        <v>5.1730032419687593</v>
      </c>
      <c r="R80" s="63">
        <f t="shared" ca="1" si="23"/>
        <v>3.938834391229082</v>
      </c>
      <c r="S80" s="63">
        <f t="shared" ca="1" si="23"/>
        <v>4.698932646301067</v>
      </c>
      <c r="T80" s="63">
        <f t="shared" ca="1" si="23"/>
        <v>4.2561600000000004</v>
      </c>
      <c r="U80" s="63">
        <f t="shared" ca="1" si="23"/>
        <v>2.080613</v>
      </c>
      <c r="V80" s="63">
        <f t="shared" ca="1" si="23"/>
        <v>2.1596289999999998</v>
      </c>
    </row>
    <row r="81" spans="1:22">
      <c r="A81" s="51" t="str">
        <f t="shared" si="19"/>
        <v>CMS</v>
      </c>
      <c r="B81" s="46">
        <f t="shared" ca="1" si="20"/>
        <v>18</v>
      </c>
      <c r="C81" s="1">
        <f>IF(ISERROR(D81),"",IF(D81="","",MAX($C$71:C80)+1))</f>
        <v>9</v>
      </c>
      <c r="D81" t="str">
        <f t="shared" si="21"/>
        <v xml:space="preserve">CMS Energy Corp.              </v>
      </c>
      <c r="E81" s="22"/>
      <c r="F81" s="63">
        <f t="shared" ca="1" si="24"/>
        <v>5.427549574622641</v>
      </c>
      <c r="G81" s="63">
        <f t="shared" si="22"/>
        <v>8.4905660377358494</v>
      </c>
      <c r="H81" s="63">
        <f ca="1">IFERROR(VLOOKUP($A81,LASTYR,'2016'!$L$3,FALSE),"N/A")</f>
        <v>8.5008200082000815</v>
      </c>
      <c r="I81" s="63">
        <f t="shared" ca="1" si="23"/>
        <v>7.5266710211190944</v>
      </c>
      <c r="J81" s="63">
        <f t="shared" ca="1" si="23"/>
        <v>7.1293225959261006</v>
      </c>
      <c r="K81" s="63">
        <f t="shared" ca="1" si="23"/>
        <v>6.6755358462675529</v>
      </c>
      <c r="L81" s="63">
        <f t="shared" ca="1" si="23"/>
        <v>6.0340225071970686</v>
      </c>
      <c r="M81" s="63">
        <f t="shared" ca="1" si="23"/>
        <v>5.405805038335159</v>
      </c>
      <c r="N81" s="63">
        <f t="shared" ca="1" si="23"/>
        <v>4.4751485683414369</v>
      </c>
      <c r="O81" s="63">
        <f t="shared" ca="1" si="23"/>
        <v>3.6362849725987885</v>
      </c>
      <c r="P81" s="63">
        <f t="shared" ca="1" si="23"/>
        <v>3.4463641052088705</v>
      </c>
      <c r="Q81" s="63">
        <f t="shared" ca="1" si="23"/>
        <v>5.5730045425048669</v>
      </c>
      <c r="R81" s="63">
        <f t="shared" ca="1" si="23"/>
        <v>4.4045919950356813</v>
      </c>
      <c r="S81" s="63">
        <f t="shared" ca="1" si="23"/>
        <v>4.0422863808690588</v>
      </c>
      <c r="T81" s="63">
        <f t="shared" ca="1" si="23"/>
        <v>3.1967210000000001</v>
      </c>
      <c r="U81" s="63">
        <f t="shared" ca="1" si="23"/>
        <v>2.876099</v>
      </c>
      <c r="V81" s="63" t="str">
        <f t="shared" ca="1" si="23"/>
        <v>NMF</v>
      </c>
    </row>
    <row r="82" spans="1:22">
      <c r="A82" s="51" t="str">
        <f t="shared" si="19"/>
        <v>ED</v>
      </c>
      <c r="B82" s="46">
        <f t="shared" ca="1" si="20"/>
        <v>20</v>
      </c>
      <c r="C82" s="1">
        <f>IF(ISERROR(D82),"",IF(D82="","",MAX($C$71:C81)+1))</f>
        <v>10</v>
      </c>
      <c r="D82" t="str">
        <f t="shared" si="21"/>
        <v xml:space="preserve">Consol. Edison                </v>
      </c>
      <c r="E82" s="22"/>
      <c r="F82" s="63">
        <f t="shared" ca="1" si="24"/>
        <v>8.140024241566497</v>
      </c>
      <c r="G82" s="63">
        <f t="shared" si="22"/>
        <v>9.3571428571428559</v>
      </c>
      <c r="H82" s="63">
        <f ca="1">IFERROR(VLOOKUP($A82,LASTYR,'2016'!$L$3,FALSE),"N/A")</f>
        <v>9.3949270767279636</v>
      </c>
      <c r="I82" s="63">
        <f t="shared" ca="1" si="23"/>
        <v>7.963546922300706</v>
      </c>
      <c r="J82" s="63">
        <f t="shared" ca="1" si="23"/>
        <v>7.8885843497327679</v>
      </c>
      <c r="K82" s="63">
        <f t="shared" ca="1" si="23"/>
        <v>7.7697059218477236</v>
      </c>
      <c r="L82" s="63">
        <f t="shared" ca="1" si="23"/>
        <v>8.3131821998320738</v>
      </c>
      <c r="M82" s="63">
        <f t="shared" ca="1" si="23"/>
        <v>8.1457545028000613</v>
      </c>
      <c r="N82" s="63">
        <f t="shared" ca="1" si="23"/>
        <v>7.3884707766212969</v>
      </c>
      <c r="O82" s="63">
        <f t="shared" ca="1" si="23"/>
        <v>6.7200614124872056</v>
      </c>
      <c r="P82" s="63">
        <f t="shared" ca="1" si="23"/>
        <v>6.8936205744822976</v>
      </c>
      <c r="Q82" s="63">
        <f t="shared" ca="1" si="23"/>
        <v>8.3095980595980592</v>
      </c>
      <c r="R82" s="63">
        <f t="shared" ca="1" si="23"/>
        <v>8.6531540064406141</v>
      </c>
      <c r="S82" s="63">
        <f t="shared" ca="1" si="23"/>
        <v>8.5887602050503133</v>
      </c>
      <c r="T82" s="63">
        <f t="shared" ca="1" si="23"/>
        <v>9.3134920000000001</v>
      </c>
      <c r="U82" s="63">
        <f t="shared" ca="1" si="23"/>
        <v>7.8992769999999997</v>
      </c>
      <c r="V82" s="63">
        <f t="shared" ca="1" si="23"/>
        <v>7.6411100000000003</v>
      </c>
    </row>
    <row r="83" spans="1:22">
      <c r="A83" s="51" t="str">
        <f t="shared" si="19"/>
        <v>D</v>
      </c>
      <c r="B83" s="46">
        <f t="shared" ca="1" si="20"/>
        <v>22</v>
      </c>
      <c r="C83" s="1">
        <f>IF(ISERROR(D83),"",IF(D83="","",MAX($C$71:C82)+1))</f>
        <v>11</v>
      </c>
      <c r="D83" t="str">
        <f t="shared" si="21"/>
        <v xml:space="preserve">Dominion Resources            </v>
      </c>
      <c r="E83" s="22"/>
      <c r="F83" s="63">
        <f t="shared" ca="1" si="24"/>
        <v>9.3048739894061665</v>
      </c>
      <c r="G83" s="63">
        <f t="shared" si="22"/>
        <v>11.296296296296296</v>
      </c>
      <c r="H83" s="63">
        <f ca="1">IFERROR(VLOOKUP($A83,LASTYR,'2016'!$L$3,FALSE),"N/A")</f>
        <v>11.594436541804964</v>
      </c>
      <c r="I83" s="63">
        <f t="shared" ca="1" si="23"/>
        <v>11.837733957219251</v>
      </c>
      <c r="J83" s="63">
        <f t="shared" ca="1" si="23"/>
        <v>12.270753064798599</v>
      </c>
      <c r="K83" s="63">
        <f t="shared" ca="1" si="23"/>
        <v>10.877263581488934</v>
      </c>
      <c r="L83" s="63">
        <f t="shared" ca="1" si="23"/>
        <v>9.9176201372997728</v>
      </c>
      <c r="M83" s="63">
        <f t="shared" ca="1" si="23"/>
        <v>9.4481665014866199</v>
      </c>
      <c r="N83" s="63">
        <f t="shared" ca="1" si="23"/>
        <v>8.1228207639569039</v>
      </c>
      <c r="O83" s="63">
        <f t="shared" ca="1" si="23"/>
        <v>6.9848421926910307</v>
      </c>
      <c r="P83" s="63">
        <f t="shared" ca="1" si="23"/>
        <v>8.2672192618906646</v>
      </c>
      <c r="Q83" s="63">
        <f t="shared" ca="1" si="23"/>
        <v>8.6465262743554412</v>
      </c>
      <c r="R83" s="63">
        <f t="shared" ca="1" si="23"/>
        <v>7.8091649694501024</v>
      </c>
      <c r="S83" s="63">
        <f t="shared" ca="1" si="23"/>
        <v>10.089435287760065</v>
      </c>
      <c r="T83" s="63">
        <f t="shared" ca="1" si="23"/>
        <v>7.6822210000000002</v>
      </c>
      <c r="U83" s="63">
        <f t="shared" ca="1" si="23"/>
        <v>7.50718</v>
      </c>
      <c r="V83" s="63">
        <f t="shared" ca="1" si="23"/>
        <v>6.5263039999999997</v>
      </c>
    </row>
    <row r="84" spans="1:22">
      <c r="A84" s="51" t="str">
        <f t="shared" si="19"/>
        <v>DTE</v>
      </c>
      <c r="B84" s="46">
        <f t="shared" ca="1" si="20"/>
        <v>23</v>
      </c>
      <c r="C84" s="1">
        <f>IF(ISERROR(D84),"",IF(D84="","",MAX($C$71:C83)+1))</f>
        <v>12</v>
      </c>
      <c r="D84" t="str">
        <f t="shared" si="21"/>
        <v xml:space="preserve">DTE Energy                    </v>
      </c>
      <c r="E84" s="22"/>
      <c r="F84" s="63">
        <f t="shared" ca="1" si="24"/>
        <v>6.0312509666817542</v>
      </c>
      <c r="G84" s="63">
        <f t="shared" si="22"/>
        <v>8.6887966804979246</v>
      </c>
      <c r="H84" s="63">
        <f ca="1">IFERROR(VLOOKUP($A84,LASTYR,'2016'!$L$3,FALSE),"N/A")</f>
        <v>8.6420754716981136</v>
      </c>
      <c r="I84" s="63">
        <f t="shared" ca="1" si="23"/>
        <v>8.5202881661192933</v>
      </c>
      <c r="J84" s="63">
        <f t="shared" ca="1" si="23"/>
        <v>6.4158090096170071</v>
      </c>
      <c r="K84" s="63">
        <f t="shared" ca="1" si="23"/>
        <v>6.6529382716049383</v>
      </c>
      <c r="L84" s="63">
        <f t="shared" ca="1" si="23"/>
        <v>5.9124961621123733</v>
      </c>
      <c r="M84" s="63">
        <f t="shared" ca="1" si="23"/>
        <v>5.1828350407693913</v>
      </c>
      <c r="N84" s="63">
        <f t="shared" ca="1" si="23"/>
        <v>4.6905930470347652</v>
      </c>
      <c r="O84" s="63">
        <f t="shared" ca="1" si="23"/>
        <v>3.5945859533198341</v>
      </c>
      <c r="P84" s="63">
        <f t="shared" ca="1" si="23"/>
        <v>4.8969359331476321</v>
      </c>
      <c r="Q84" s="63">
        <f t="shared" ca="1" si="23"/>
        <v>5.7259870359457867</v>
      </c>
      <c r="R84" s="63">
        <f t="shared" ca="1" si="23"/>
        <v>5.2138932975216701</v>
      </c>
      <c r="S84" s="63">
        <f t="shared" ca="1" si="23"/>
        <v>5.5403413975193416</v>
      </c>
      <c r="T84" s="63">
        <f t="shared" ca="1" si="23"/>
        <v>6.0036690000000004</v>
      </c>
      <c r="U84" s="63">
        <f t="shared" ca="1" si="23"/>
        <v>5.6177109999999999</v>
      </c>
      <c r="V84" s="63">
        <f t="shared" ca="1" si="23"/>
        <v>5.20106</v>
      </c>
    </row>
    <row r="85" spans="1:22">
      <c r="A85" s="51" t="str">
        <f t="shared" si="19"/>
        <v>DUK</v>
      </c>
      <c r="B85" s="46">
        <f t="shared" ca="1" si="20"/>
        <v>24</v>
      </c>
      <c r="C85" s="1">
        <f>IF(ISERROR(D85),"",IF(D85="","",MAX($C$71:C84)+1))</f>
        <v>13</v>
      </c>
      <c r="D85" t="str">
        <f t="shared" si="21"/>
        <v xml:space="preserve">Duke Energy                   </v>
      </c>
      <c r="E85" s="22"/>
      <c r="F85" s="63">
        <f t="shared" ca="1" si="24"/>
        <v>7.5393595725839893</v>
      </c>
      <c r="G85" s="63">
        <f t="shared" si="22"/>
        <v>7.8277511961722492</v>
      </c>
      <c r="H85" s="63">
        <f ca="1">IFERROR(VLOOKUP($A85,LASTYR,'2016'!$L$3,FALSE),"N/A")</f>
        <v>8.5698913043478271</v>
      </c>
      <c r="I85" s="63">
        <f t="shared" ca="1" si="23"/>
        <v>7.9461702127659573</v>
      </c>
      <c r="J85" s="63">
        <f t="shared" ca="1" si="23"/>
        <v>8.1206366630076836</v>
      </c>
      <c r="K85" s="63">
        <f t="shared" ca="1" si="23"/>
        <v>8.1148632858144438</v>
      </c>
      <c r="L85" s="63">
        <f t="shared" ca="1" si="23"/>
        <v>9.5307443365695796</v>
      </c>
      <c r="M85" s="63">
        <f t="shared" ca="1" si="23"/>
        <v>6.5644009216589865</v>
      </c>
      <c r="N85" s="63">
        <f t="shared" ca="1" si="23"/>
        <v>6.0090737685599809</v>
      </c>
      <c r="O85" s="63">
        <f t="shared" ca="1" si="23"/>
        <v>5.9555408970976256</v>
      </c>
      <c r="P85" s="63">
        <f t="shared" ca="1" si="23"/>
        <v>7.1315538608198281</v>
      </c>
      <c r="Q85" s="63">
        <f t="shared" ca="1" si="23"/>
        <v>7.1623288516097201</v>
      </c>
      <c r="R85" s="63" t="str">
        <f t="shared" ca="1" si="23"/>
        <v>N/A</v>
      </c>
      <c r="S85" s="63" t="str">
        <f t="shared" ca="1" si="23"/>
        <v>N/A</v>
      </c>
      <c r="T85" s="63" t="str">
        <f t="shared" ca="1" si="23"/>
        <v>N/A</v>
      </c>
      <c r="U85" s="63" t="str">
        <f t="shared" ca="1" si="23"/>
        <v>N/A</v>
      </c>
      <c r="V85" s="63" t="str">
        <f t="shared" ca="1" si="23"/>
        <v>N/A</v>
      </c>
    </row>
    <row r="86" spans="1:22">
      <c r="A86" s="51" t="str">
        <f t="shared" si="19"/>
        <v>EIX</v>
      </c>
      <c r="B86" s="46">
        <f t="shared" ca="1" si="20"/>
        <v>25</v>
      </c>
      <c r="C86" s="1">
        <f>IF(ISERROR(D86),"",IF(D86="","",MAX($C$71:C85)+1))</f>
        <v>14</v>
      </c>
      <c r="D86" t="str">
        <f t="shared" si="21"/>
        <v xml:space="preserve">Edison Int'l                  </v>
      </c>
      <c r="E86" s="22"/>
      <c r="F86" s="63">
        <f t="shared" ca="1" si="24"/>
        <v>5.2735099282621345</v>
      </c>
      <c r="G86" s="63">
        <f t="shared" si="22"/>
        <v>6.9411764705882337</v>
      </c>
      <c r="H86" s="63">
        <f ca="1">IFERROR(VLOOKUP($A86,LASTYR,'2016'!$L$3,FALSE),"N/A")</f>
        <v>6.7719163629388071</v>
      </c>
      <c r="I86" s="63">
        <f t="shared" ca="1" si="23"/>
        <v>5.9209661835748788</v>
      </c>
      <c r="J86" s="63">
        <f t="shared" ca="1" si="23"/>
        <v>5.6784242789669381</v>
      </c>
      <c r="K86" s="63">
        <f t="shared" ca="1" si="23"/>
        <v>5.4568602932817996</v>
      </c>
      <c r="L86" s="63">
        <f t="shared" ca="1" si="23"/>
        <v>4.5871416701287906</v>
      </c>
      <c r="M86" s="63">
        <f t="shared" ca="1" si="23"/>
        <v>4.22358803986711</v>
      </c>
      <c r="N86" s="63">
        <f t="shared" ca="1" si="23"/>
        <v>4.1089979793177225</v>
      </c>
      <c r="O86" s="63">
        <f t="shared" ca="1" si="23"/>
        <v>3.9531701192718138</v>
      </c>
      <c r="P86" s="63">
        <f t="shared" ca="1" si="23"/>
        <v>5.6253092528451267</v>
      </c>
      <c r="Q86" s="63">
        <f t="shared" ca="1" si="23"/>
        <v>7.0055292259083721</v>
      </c>
      <c r="R86" s="63">
        <f t="shared" ca="1" si="23"/>
        <v>5.873293809458155</v>
      </c>
      <c r="S86" s="63">
        <f t="shared" ca="1" si="23"/>
        <v>5.6129401660463794</v>
      </c>
      <c r="T86" s="63">
        <f t="shared" ca="1" si="23"/>
        <v>6.8365840000000002</v>
      </c>
      <c r="U86" s="63">
        <f t="shared" ca="1" si="23"/>
        <v>2.8197589999999999</v>
      </c>
      <c r="V86" s="63">
        <f t="shared" ca="1" si="23"/>
        <v>2.960502</v>
      </c>
    </row>
    <row r="87" spans="1:22">
      <c r="A87" s="51" t="str">
        <f t="shared" si="19"/>
        <v>EE</v>
      </c>
      <c r="B87" s="46">
        <f t="shared" ca="1" si="20"/>
        <v>26</v>
      </c>
      <c r="C87" s="1">
        <f>IF(ISERROR(D87),"",IF(D87="","",MAX($C$71:C86)+1))</f>
        <v>15</v>
      </c>
      <c r="D87" t="str">
        <f t="shared" si="21"/>
        <v xml:space="preserve">El Paso Electric              </v>
      </c>
      <c r="E87" s="22"/>
      <c r="F87" s="63">
        <f t="shared" ca="1" si="24"/>
        <v>5.6870698725108779</v>
      </c>
      <c r="G87" s="63">
        <f t="shared" si="22"/>
        <v>8.07258064516129</v>
      </c>
      <c r="H87" s="63">
        <f ca="1">IFERROR(VLOOKUP($A87,LASTYR,'2016'!$L$3,FALSE),"N/A")</f>
        <v>7.4615127175368148</v>
      </c>
      <c r="I87" s="63">
        <f t="shared" ca="1" si="23"/>
        <v>6.4707826086956519</v>
      </c>
      <c r="J87" s="63">
        <f t="shared" ca="1" si="23"/>
        <v>6.3323684658607178</v>
      </c>
      <c r="K87" s="63">
        <f t="shared" ca="1" si="23"/>
        <v>6.1883082373782115</v>
      </c>
      <c r="L87" s="63">
        <f t="shared" ca="1" si="23"/>
        <v>5.77813107224872</v>
      </c>
      <c r="M87" s="63">
        <f t="shared" ca="1" si="23"/>
        <v>5.1629752066115708</v>
      </c>
      <c r="N87" s="63">
        <f t="shared" ca="1" si="23"/>
        <v>4.3062293809431402</v>
      </c>
      <c r="O87" s="63">
        <f t="shared" ca="1" si="23"/>
        <v>3.9808212441603148</v>
      </c>
      <c r="P87" s="63">
        <f t="shared" ca="1" si="23"/>
        <v>4.9475835537388804</v>
      </c>
      <c r="Q87" s="63">
        <f t="shared" ca="1" si="23"/>
        <v>6.4357050452781364</v>
      </c>
      <c r="R87" s="63">
        <f t="shared" ca="1" si="23"/>
        <v>6.2486187845303869</v>
      </c>
      <c r="S87" s="63">
        <f t="shared" ca="1" si="23"/>
        <v>6.6677609980302037</v>
      </c>
      <c r="T87" s="63">
        <f t="shared" ca="1" si="23"/>
        <v>4.6549300000000002</v>
      </c>
      <c r="U87" s="63">
        <f t="shared" ca="1" si="23"/>
        <v>3.8985989999999999</v>
      </c>
      <c r="V87" s="63">
        <f t="shared" ca="1" si="23"/>
        <v>4.3862110000000003</v>
      </c>
    </row>
    <row r="88" spans="1:22">
      <c r="A88" s="51" t="str">
        <f t="shared" si="19"/>
        <v>ETR</v>
      </c>
      <c r="B88" s="46">
        <f t="shared" ca="1" si="20"/>
        <v>28</v>
      </c>
      <c r="C88" s="1">
        <f>IF(ISERROR(D88),"",IF(D88="","",MAX($C$71:C87)+1))</f>
        <v>16</v>
      </c>
      <c r="D88" t="str">
        <f t="shared" si="21"/>
        <v xml:space="preserve">Entergy Corp.                 </v>
      </c>
      <c r="E88" s="22"/>
      <c r="F88" s="63">
        <f t="shared" ca="1" si="24"/>
        <v>5.7169593950579243</v>
      </c>
      <c r="G88" s="63">
        <f t="shared" si="22"/>
        <v>4.0160427807486627</v>
      </c>
      <c r="H88" s="63">
        <f ca="1">IFERROR(VLOOKUP($A88,LASTYR,'2016'!$L$3,FALSE),"N/A")</f>
        <v>4.0131916257209994</v>
      </c>
      <c r="I88" s="63">
        <f t="shared" ca="1" si="23"/>
        <v>4.1113181972212809</v>
      </c>
      <c r="J88" s="63">
        <f t="shared" ca="1" si="23"/>
        <v>4.2062683865127859</v>
      </c>
      <c r="K88" s="63">
        <f t="shared" ca="1" si="23"/>
        <v>4.0342238089375853</v>
      </c>
      <c r="L88" s="63">
        <f t="shared" ca="1" si="23"/>
        <v>4.2285499718380377</v>
      </c>
      <c r="M88" s="63">
        <f t="shared" ca="1" si="23"/>
        <v>3.9024070271503537</v>
      </c>
      <c r="N88" s="63">
        <f t="shared" ca="1" si="23"/>
        <v>4.6604172966434838</v>
      </c>
      <c r="O88" s="63">
        <f t="shared" ca="1" si="23"/>
        <v>5.6803883202889818</v>
      </c>
      <c r="P88" s="63">
        <f t="shared" ca="1" si="23"/>
        <v>7.963460046547711</v>
      </c>
      <c r="Q88" s="63">
        <f t="shared" ca="1" si="23"/>
        <v>9.2136890555744984</v>
      </c>
      <c r="R88" s="63">
        <f t="shared" ca="1" si="23"/>
        <v>7.1561769381838589</v>
      </c>
      <c r="S88" s="63">
        <f t="shared" ca="1" si="23"/>
        <v>8.756049865558543</v>
      </c>
      <c r="T88" s="63">
        <f t="shared" ca="1" si="23"/>
        <v>7.1220420000000004</v>
      </c>
      <c r="U88" s="63">
        <f t="shared" ca="1" si="23"/>
        <v>6.8374600000000001</v>
      </c>
      <c r="V88" s="63">
        <f t="shared" ca="1" si="23"/>
        <v>5.5696649999999996</v>
      </c>
    </row>
    <row r="89" spans="1:22">
      <c r="A89" s="51" t="str">
        <f t="shared" si="19"/>
        <v>ES</v>
      </c>
      <c r="B89" s="46">
        <f t="shared" ca="1" si="20"/>
        <v>29</v>
      </c>
      <c r="C89" s="1">
        <f>IF(ISERROR(D89),"",IF(D89="","",MAX($C$71:C88)+1))</f>
        <v>17</v>
      </c>
      <c r="D89" t="str">
        <f t="shared" si="21"/>
        <v xml:space="preserve">Eversource Energy    </v>
      </c>
      <c r="E89" s="22"/>
      <c r="F89" s="63">
        <f t="shared" ca="1" si="24"/>
        <v>6.4824564212907028</v>
      </c>
      <c r="G89" s="63">
        <f t="shared" si="22"/>
        <v>10.120689655172415</v>
      </c>
      <c r="H89" s="63">
        <f ca="1">IFERROR(VLOOKUP($A89,LASTYR,'2016'!$L$3,FALSE),"N/A")</f>
        <v>10.136863319897397</v>
      </c>
      <c r="I89" s="63">
        <f t="shared" ref="I89:R107" ca="1" si="25">IFERROR(IF(INDEX(MP_CF_WP,$B89,I$72)=0,"N/A",INDEX(MP_CF_WP,$B89,I$72)),"N/A")</f>
        <v>10.12006479044341</v>
      </c>
      <c r="J89" s="63">
        <f t="shared" ca="1" si="25"/>
        <v>10.143264589732338</v>
      </c>
      <c r="K89" s="63">
        <f t="shared" ca="1" si="25"/>
        <v>8.0810344827586214</v>
      </c>
      <c r="L89" s="63">
        <f t="shared" ca="1" si="25"/>
        <v>9.3024293505205762</v>
      </c>
      <c r="M89" s="63">
        <f t="shared" ca="1" si="25"/>
        <v>6.9887202625102534</v>
      </c>
      <c r="N89" s="63">
        <f t="shared" ca="1" si="25"/>
        <v>4.9663495419309376</v>
      </c>
      <c r="O89" s="63">
        <f t="shared" ca="1" si="25"/>
        <v>4.6065739060294417</v>
      </c>
      <c r="P89" s="63">
        <f t="shared" ca="1" si="25"/>
        <v>4.1233165666071718</v>
      </c>
      <c r="Q89" s="63">
        <f t="shared" ca="1" si="25"/>
        <v>6.1838174273858924</v>
      </c>
      <c r="R89" s="63">
        <f t="shared" ca="1" si="25"/>
        <v>6.0159934941718625</v>
      </c>
      <c r="S89" s="63">
        <f t="shared" ref="S89:V104" ca="1" si="26">IFERROR(IF(INDEX(MP_CF_WP,$B89,S$72)=0,"N/A",INDEX(MP_CF_WP,$B89,S$72)),"N/A")</f>
        <v>3.5481033534909288</v>
      </c>
      <c r="T89" s="63">
        <f t="shared" ca="1" si="26"/>
        <v>3.782826</v>
      </c>
      <c r="U89" s="63">
        <f t="shared" ca="1" si="26"/>
        <v>2.852541</v>
      </c>
      <c r="V89" s="63">
        <f t="shared" ca="1" si="26"/>
        <v>2.746715</v>
      </c>
    </row>
    <row r="90" spans="1:22">
      <c r="A90" s="51" t="str">
        <f t="shared" si="19"/>
        <v>EXC</v>
      </c>
      <c r="B90" s="46">
        <f t="shared" ca="1" si="20"/>
        <v>30</v>
      </c>
      <c r="C90" s="1">
        <f>IF(ISERROR(D90),"",IF(D90="","",MAX($C$71:C89)+1))</f>
        <v>18</v>
      </c>
      <c r="D90" t="str">
        <f t="shared" si="21"/>
        <v xml:space="preserve">Exelon Corp.                  </v>
      </c>
      <c r="E90" s="22"/>
      <c r="F90" s="63">
        <f t="shared" ca="1" si="24"/>
        <v>6.2055327513930036</v>
      </c>
      <c r="G90" s="63">
        <f t="shared" si="22"/>
        <v>4.5062499999999996</v>
      </c>
      <c r="H90" s="63">
        <f ca="1">IFERROR(VLOOKUP($A90,LASTYR,'2016'!$L$3,FALSE),"N/A")</f>
        <v>4.8002855103497497</v>
      </c>
      <c r="I90" s="63">
        <f t="shared" ca="1" si="25"/>
        <v>4.6968092927510661</v>
      </c>
      <c r="J90" s="63">
        <f t="shared" ca="1" si="25"/>
        <v>5.0912668382019071</v>
      </c>
      <c r="K90" s="63">
        <f t="shared" ca="1" si="25"/>
        <v>4.6141263940520449</v>
      </c>
      <c r="L90" s="63">
        <f t="shared" ca="1" si="25"/>
        <v>5.5449591280653951</v>
      </c>
      <c r="M90" s="63">
        <f t="shared" ca="1" si="25"/>
        <v>5.858446226154272</v>
      </c>
      <c r="N90" s="63">
        <f t="shared" ca="1" si="25"/>
        <v>5.1031373963216735</v>
      </c>
      <c r="O90" s="63">
        <f t="shared" ca="1" si="25"/>
        <v>5.9759912695525648</v>
      </c>
      <c r="P90" s="63">
        <f t="shared" ca="1" si="25"/>
        <v>9.6510805500982322</v>
      </c>
      <c r="Q90" s="63">
        <f t="shared" ca="1" si="25"/>
        <v>9.8861066235864303</v>
      </c>
      <c r="R90" s="63">
        <f t="shared" ca="1" si="25"/>
        <v>8.615040953090098</v>
      </c>
      <c r="S90" s="63">
        <f t="shared" ca="1" si="26"/>
        <v>7.9709208400646201</v>
      </c>
      <c r="T90" s="63">
        <f t="shared" ca="1" si="26"/>
        <v>6.2868700000000004</v>
      </c>
      <c r="U90" s="63">
        <f t="shared" ca="1" si="26"/>
        <v>5.7122630000000001</v>
      </c>
      <c r="V90" s="63">
        <f t="shared" ca="1" si="26"/>
        <v>4.9749699999999999</v>
      </c>
    </row>
    <row r="91" spans="1:22">
      <c r="A91" s="51" t="str">
        <f t="shared" si="19"/>
        <v>FE</v>
      </c>
      <c r="B91" s="46">
        <f t="shared" ca="1" si="20"/>
        <v>31</v>
      </c>
      <c r="C91" s="1">
        <f>IF(ISERROR(D91),"",IF(D91="","",MAX($C$71:C90)+1))</f>
        <v>19</v>
      </c>
      <c r="D91" t="str">
        <f t="shared" si="21"/>
        <v xml:space="preserve">FirstEnergy Corp.             </v>
      </c>
      <c r="E91" s="22"/>
      <c r="F91" s="63">
        <f t="shared" ca="1" si="24"/>
        <v>6.1985579083232638</v>
      </c>
      <c r="G91" s="63">
        <f t="shared" si="22"/>
        <v>4.7559055118110241</v>
      </c>
      <c r="H91" s="63">
        <f ca="1">IFERROR(VLOOKUP($A91,LASTYR,'2016'!$L$3,FALSE),"N/A")</f>
        <v>5.1169805542795892</v>
      </c>
      <c r="I91" s="63">
        <f t="shared" ca="1" si="25"/>
        <v>5.3809072230124864</v>
      </c>
      <c r="J91" s="63">
        <f t="shared" ca="1" si="25"/>
        <v>7.4331868131868131</v>
      </c>
      <c r="K91" s="63">
        <f t="shared" ca="1" si="25"/>
        <v>6.1523325928276735</v>
      </c>
      <c r="L91" s="63">
        <f t="shared" ca="1" si="25"/>
        <v>7.4218698381235546</v>
      </c>
      <c r="M91" s="63">
        <f t="shared" ca="1" si="25"/>
        <v>7.3257918552036196</v>
      </c>
      <c r="N91" s="63">
        <f t="shared" ca="1" si="25"/>
        <v>4.4901799364930026</v>
      </c>
      <c r="O91" s="63">
        <f t="shared" ca="1" si="25"/>
        <v>4.9147533530347811</v>
      </c>
      <c r="P91" s="63">
        <f t="shared" ca="1" si="25"/>
        <v>7.5785864395531464</v>
      </c>
      <c r="Q91" s="63">
        <f t="shared" ca="1" si="25"/>
        <v>7.8850395588587867</v>
      </c>
      <c r="R91" s="63">
        <f t="shared" ca="1" si="25"/>
        <v>7.5272122974657245</v>
      </c>
      <c r="S91" s="63">
        <f t="shared" ca="1" si="26"/>
        <v>6.0413135593220346</v>
      </c>
      <c r="T91" s="63">
        <f t="shared" ca="1" si="26"/>
        <v>5.149756</v>
      </c>
      <c r="U91" s="63">
        <f t="shared" ca="1" si="26"/>
        <v>6.8987049999999996</v>
      </c>
      <c r="V91" s="63">
        <f t="shared" ca="1" si="26"/>
        <v>5.104406</v>
      </c>
    </row>
    <row r="92" spans="1:22">
      <c r="A92" s="51" t="str">
        <f t="shared" si="19"/>
        <v>FTS.TO</v>
      </c>
      <c r="B92" s="46">
        <f t="shared" ca="1" si="20"/>
        <v>32</v>
      </c>
      <c r="C92" s="1">
        <f>IF(ISERROR(D92),"",IF(D92="","",MAX($C$71:C91)+1))</f>
        <v>20</v>
      </c>
      <c r="D92" t="str">
        <f t="shared" si="21"/>
        <v>Fortis Inc.</v>
      </c>
      <c r="E92" s="22"/>
      <c r="F92" s="63">
        <f t="shared" ca="1" si="24"/>
        <v>8.188355597338834</v>
      </c>
      <c r="G92" s="63">
        <f t="shared" si="22"/>
        <v>8.0458715596330279</v>
      </c>
      <c r="H92" s="63">
        <f ca="1">IFERROR(VLOOKUP($A92,LASTYR,'2016'!$L$3,FALSE),"N/A")</f>
        <v>10.455569782330347</v>
      </c>
      <c r="I92" s="63">
        <f t="shared" ca="1" si="25"/>
        <v>7.2851937092443411</v>
      </c>
      <c r="J92" s="63">
        <f t="shared" ca="1" si="25"/>
        <v>9.2506210322936795</v>
      </c>
      <c r="K92" s="63">
        <f t="shared" ca="1" si="25"/>
        <v>7.9295980511571251</v>
      </c>
      <c r="L92" s="63">
        <f t="shared" ca="1" si="25"/>
        <v>8.0921277114306598</v>
      </c>
      <c r="M92" s="63">
        <f t="shared" ca="1" si="25"/>
        <v>8.3779144248014337</v>
      </c>
      <c r="N92" s="63">
        <f t="shared" ca="1" si="25"/>
        <v>7.4047678795483058</v>
      </c>
      <c r="O92" s="63">
        <f t="shared" ca="1" si="25"/>
        <v>6.7606019151846795</v>
      </c>
      <c r="P92" s="63">
        <f t="shared" ca="1" si="25"/>
        <v>7.5814550641940093</v>
      </c>
      <c r="Q92" s="63">
        <f t="shared" ca="1" si="25"/>
        <v>9.183935200809989</v>
      </c>
      <c r="R92" s="63">
        <f t="shared" ca="1" si="25"/>
        <v>7.8926108374384238</v>
      </c>
      <c r="S92" s="63" t="str">
        <f t="shared" ca="1" si="26"/>
        <v>N/A</v>
      </c>
      <c r="T92" s="63" t="str">
        <f t="shared" ca="1" si="26"/>
        <v>N/A</v>
      </c>
      <c r="U92" s="63" t="str">
        <f t="shared" ca="1" si="26"/>
        <v>N/A</v>
      </c>
      <c r="V92" s="63" t="str">
        <f t="shared" ca="1" si="26"/>
        <v>N/A</v>
      </c>
    </row>
    <row r="93" spans="1:22">
      <c r="A93" s="51" t="str">
        <f t="shared" si="19"/>
        <v>GXP</v>
      </c>
      <c r="B93" s="46">
        <f t="shared" ca="1" si="20"/>
        <v>34</v>
      </c>
      <c r="C93" s="1">
        <f>IF(ISERROR(D93),"",IF(D93="","",MAX($C$71:C92)+1))</f>
        <v>21</v>
      </c>
      <c r="D93" t="str">
        <f t="shared" si="21"/>
        <v xml:space="preserve">Great Plains Energy             </v>
      </c>
      <c r="E93" s="22"/>
      <c r="F93" s="63">
        <f t="shared" ca="1" si="24"/>
        <v>6.6065898527525677</v>
      </c>
      <c r="G93" s="63">
        <f t="shared" si="22"/>
        <v>10.068965517241379</v>
      </c>
      <c r="H93" s="63">
        <f ca="1">IFERROR(VLOOKUP($A93,LASTYR,'2016'!$L$3,FALSE),"N/A")</f>
        <v>8.628614008941879</v>
      </c>
      <c r="I93" s="63">
        <f t="shared" ca="1" si="25"/>
        <v>6.66273229532898</v>
      </c>
      <c r="J93" s="63">
        <f t="shared" ca="1" si="25"/>
        <v>6.4499875280618602</v>
      </c>
      <c r="K93" s="63">
        <f t="shared" ca="1" si="25"/>
        <v>5.7326016462958336</v>
      </c>
      <c r="L93" s="63">
        <f t="shared" ca="1" si="25"/>
        <v>6.087373004354137</v>
      </c>
      <c r="M93" s="63">
        <f t="shared" ca="1" si="25"/>
        <v>5.7353276353276357</v>
      </c>
      <c r="N93" s="63">
        <f t="shared" ca="1" si="25"/>
        <v>4.491504854368932</v>
      </c>
      <c r="O93" s="63">
        <f t="shared" ca="1" si="25"/>
        <v>5.0578866768759569</v>
      </c>
      <c r="P93" s="63">
        <f t="shared" ca="1" si="25"/>
        <v>7.7057872615583571</v>
      </c>
      <c r="Q93" s="63">
        <f t="shared" ca="1" si="25"/>
        <v>7.132783018867924</v>
      </c>
      <c r="R93" s="63">
        <f t="shared" ca="1" si="25"/>
        <v>7.6797927461139892</v>
      </c>
      <c r="S93" s="63">
        <f t="shared" ca="1" si="26"/>
        <v>6.6982834507042259</v>
      </c>
      <c r="T93" s="63">
        <f t="shared" ca="1" si="26"/>
        <v>6.5216839999999996</v>
      </c>
      <c r="U93" s="63">
        <f t="shared" ca="1" si="26"/>
        <v>5.9151930000000004</v>
      </c>
      <c r="V93" s="63">
        <f t="shared" ca="1" si="26"/>
        <v>5.1369210000000001</v>
      </c>
    </row>
    <row r="94" spans="1:22">
      <c r="A94" s="51" t="str">
        <f t="shared" si="19"/>
        <v>HE</v>
      </c>
      <c r="B94" s="46">
        <f t="shared" ca="1" si="20"/>
        <v>35</v>
      </c>
      <c r="C94" s="1">
        <f>IF(ISERROR(D94),"",IF(D94="","",MAX($C$71:C93)+1))</f>
        <v>22</v>
      </c>
      <c r="D94" t="str">
        <f t="shared" si="21"/>
        <v xml:space="preserve">Hawaiian Elec.                </v>
      </c>
      <c r="E94" s="22"/>
      <c r="F94" s="63">
        <f t="shared" ca="1" si="24"/>
        <v>7.9134657854177828</v>
      </c>
      <c r="G94" s="63">
        <f t="shared" si="22"/>
        <v>9.0136986301369859</v>
      </c>
      <c r="H94" s="63">
        <f ca="1">IFERROR(VLOOKUP($A94,LASTYR,'2016'!$L$3,FALSE),"N/A")</f>
        <v>7.441035474592522</v>
      </c>
      <c r="I94" s="63">
        <f t="shared" ca="1" si="25"/>
        <v>9.2515114873035067</v>
      </c>
      <c r="J94" s="63">
        <f t="shared" ca="1" si="25"/>
        <v>7.6423122065727709</v>
      </c>
      <c r="K94" s="63">
        <f t="shared" ca="1" si="25"/>
        <v>8.1517690875232773</v>
      </c>
      <c r="L94" s="63">
        <f t="shared" ca="1" si="25"/>
        <v>8.0463132236441197</v>
      </c>
      <c r="M94" s="63">
        <f t="shared" ca="1" si="25"/>
        <v>7.731385485391141</v>
      </c>
      <c r="N94" s="63">
        <f t="shared" ca="1" si="25"/>
        <v>7.8093750000000002</v>
      </c>
      <c r="O94" s="63">
        <f t="shared" ca="1" si="25"/>
        <v>6.9490544191431871</v>
      </c>
      <c r="P94" s="63">
        <f t="shared" ca="1" si="25"/>
        <v>9.104335047759001</v>
      </c>
      <c r="Q94" s="63">
        <f t="shared" ca="1" si="25"/>
        <v>7.945255474452555</v>
      </c>
      <c r="R94" s="63">
        <f t="shared" ca="1" si="25"/>
        <v>8.473205891570041</v>
      </c>
      <c r="S94" s="63">
        <f t="shared" ca="1" si="26"/>
        <v>8.290553138595401</v>
      </c>
      <c r="T94" s="63">
        <f t="shared" ca="1" si="26"/>
        <v>8.4448039999999995</v>
      </c>
      <c r="U94" s="63">
        <f t="shared" ca="1" si="26"/>
        <v>6.1214690000000003</v>
      </c>
      <c r="V94" s="63">
        <f t="shared" ca="1" si="26"/>
        <v>6.1993749999999999</v>
      </c>
    </row>
    <row r="95" spans="1:22">
      <c r="A95" s="51" t="str">
        <f t="shared" si="19"/>
        <v>IDA</v>
      </c>
      <c r="B95" s="46">
        <f t="shared" ca="1" si="20"/>
        <v>36</v>
      </c>
      <c r="C95" s="1">
        <f>IF(ISERROR(D95),"",IF(D95="","",MAX($C$71:C94)+1))</f>
        <v>23</v>
      </c>
      <c r="D95" t="str">
        <f t="shared" si="21"/>
        <v xml:space="preserve">IDACORP, Inc.                 </v>
      </c>
      <c r="E95" s="22"/>
      <c r="F95" s="63">
        <f t="shared" ca="1" si="24"/>
        <v>7.5429338709304723</v>
      </c>
      <c r="G95" s="63">
        <f t="shared" si="22"/>
        <v>5.9319727891156466</v>
      </c>
      <c r="H95" s="63">
        <f ca="1">IFERROR(VLOOKUP($A95,LASTYR,'2016'!$L$3,FALSE),"N/A")</f>
        <v>10.952019833746537</v>
      </c>
      <c r="I95" s="63">
        <f t="shared" ca="1" si="25"/>
        <v>9.3677611940298515</v>
      </c>
      <c r="J95" s="63">
        <f t="shared" ca="1" si="25"/>
        <v>8.5856143552311437</v>
      </c>
      <c r="K95" s="63">
        <f t="shared" ca="1" si="25"/>
        <v>7.7771247021445591</v>
      </c>
      <c r="L95" s="63">
        <f t="shared" ca="1" si="25"/>
        <v>7.0498988536749829</v>
      </c>
      <c r="M95" s="63">
        <f t="shared" ca="1" si="25"/>
        <v>6.6411925976696367</v>
      </c>
      <c r="N95" s="63">
        <f t="shared" ca="1" si="25"/>
        <v>6.5214953271028042</v>
      </c>
      <c r="O95" s="63">
        <f t="shared" ca="1" si="25"/>
        <v>5.3067218608318543</v>
      </c>
      <c r="P95" s="63">
        <f t="shared" ca="1" si="25"/>
        <v>7.104376316405336</v>
      </c>
      <c r="Q95" s="63">
        <f t="shared" ca="1" si="25"/>
        <v>8.2275711159737419</v>
      </c>
      <c r="R95" s="63">
        <f t="shared" ca="1" si="25"/>
        <v>7.7289393278044525</v>
      </c>
      <c r="S95" s="63">
        <f t="shared" ca="1" si="26"/>
        <v>7.5475206611570247</v>
      </c>
      <c r="T95" s="63">
        <f t="shared" ca="1" si="26"/>
        <v>7.1459450000000002</v>
      </c>
      <c r="U95" s="63">
        <f t="shared" ca="1" si="26"/>
        <v>7.2654870000000003</v>
      </c>
      <c r="V95" s="63">
        <f t="shared" ca="1" si="26"/>
        <v>7.5333009999999998</v>
      </c>
    </row>
    <row r="96" spans="1:22">
      <c r="A96" s="51" t="str">
        <f t="shared" si="19"/>
        <v>MGEE</v>
      </c>
      <c r="B96" s="46">
        <f t="shared" ca="1" si="20"/>
        <v>40</v>
      </c>
      <c r="C96" s="1">
        <f>IF(ISERROR(D96),"",IF(D96="","",MAX($C$71:C95)+1))</f>
        <v>24</v>
      </c>
      <c r="D96" t="str">
        <f t="shared" si="21"/>
        <v xml:space="preserve">MGE Energy                    </v>
      </c>
      <c r="E96" s="22"/>
      <c r="F96" s="63">
        <f t="shared" ca="1" si="24"/>
        <v>10.857842663745982</v>
      </c>
      <c r="G96" s="63">
        <f t="shared" si="22"/>
        <v>17.2</v>
      </c>
      <c r="H96" s="63">
        <f ca="1">IFERROR(VLOOKUP($A96,LASTYR,'2016'!$L$3,FALSE),"N/A")</f>
        <v>15.659071243149697</v>
      </c>
      <c r="I96" s="63">
        <f t="shared" ca="1" si="25"/>
        <v>12.529994001199759</v>
      </c>
      <c r="J96" s="63">
        <f t="shared" ca="1" si="25"/>
        <v>11.424520194786595</v>
      </c>
      <c r="K96" s="63">
        <f t="shared" ca="1" si="25"/>
        <v>11.201158183480645</v>
      </c>
      <c r="L96" s="63">
        <f t="shared" ca="1" si="25"/>
        <v>10.772773109243698</v>
      </c>
      <c r="M96" s="63">
        <f t="shared" ca="1" si="25"/>
        <v>9.4788972089857033</v>
      </c>
      <c r="N96" s="63">
        <f t="shared" ca="1" si="25"/>
        <v>9.0492932221819498</v>
      </c>
      <c r="O96" s="63">
        <f t="shared" ca="1" si="25"/>
        <v>8.3960843373493983</v>
      </c>
      <c r="P96" s="63">
        <f t="shared" ca="1" si="25"/>
        <v>8.4240388204553955</v>
      </c>
      <c r="Q96" s="63">
        <f t="shared" ca="1" si="25"/>
        <v>9.2263307598537185</v>
      </c>
      <c r="R96" s="63">
        <f t="shared" ca="1" si="25"/>
        <v>9.3011945392491473</v>
      </c>
      <c r="S96" s="63">
        <f t="shared" ca="1" si="26"/>
        <v>11.727</v>
      </c>
      <c r="T96" s="63">
        <f t="shared" ca="1" si="26"/>
        <v>11.044409999999999</v>
      </c>
      <c r="U96" s="63">
        <f t="shared" ca="1" si="26"/>
        <v>10.19708</v>
      </c>
      <c r="V96" s="63">
        <f t="shared" ca="1" si="26"/>
        <v>8.0936369999999993</v>
      </c>
    </row>
    <row r="97" spans="1:22">
      <c r="A97" s="51" t="str">
        <f t="shared" si="19"/>
        <v>NEE</v>
      </c>
      <c r="B97" s="46">
        <f t="shared" ca="1" si="20"/>
        <v>43</v>
      </c>
      <c r="C97" s="1">
        <f>IF(ISERROR(D97),"",IF(D97="","",MAX($C$71:C96)+1))</f>
        <v>25</v>
      </c>
      <c r="D97" t="str">
        <f t="shared" si="21"/>
        <v>NextEra Energy, Inc.</v>
      </c>
      <c r="E97" s="22"/>
      <c r="F97" s="63">
        <f t="shared" ca="1" si="24"/>
        <v>7.1898946607785907</v>
      </c>
      <c r="G97" s="63">
        <f t="shared" si="22"/>
        <v>9.2692307692307701</v>
      </c>
      <c r="H97" s="63">
        <f ca="1">IFERROR(VLOOKUP($A97,LASTYR,'2016'!$L$3,FALSE),"N/A")</f>
        <v>9.229915188897456</v>
      </c>
      <c r="I97" s="63">
        <f t="shared" ca="1" si="25"/>
        <v>7.9253754451153426</v>
      </c>
      <c r="J97" s="63">
        <f t="shared" ca="1" si="25"/>
        <v>7.9842174847132705</v>
      </c>
      <c r="K97" s="63">
        <f t="shared" ca="1" si="25"/>
        <v>7.5967160212604412</v>
      </c>
      <c r="L97" s="63">
        <f t="shared" ca="1" si="25"/>
        <v>7.5773658761224949</v>
      </c>
      <c r="M97" s="63">
        <f t="shared" ca="1" si="25"/>
        <v>5.9845011301259277</v>
      </c>
      <c r="N97" s="63">
        <f t="shared" ca="1" si="25"/>
        <v>5.33489242282507</v>
      </c>
      <c r="O97" s="63">
        <f t="shared" ca="1" si="25"/>
        <v>6.0868571428571423</v>
      </c>
      <c r="P97" s="63">
        <f t="shared" ca="1" si="25"/>
        <v>7.3440069773236978</v>
      </c>
      <c r="Q97" s="63">
        <f t="shared" ca="1" si="25"/>
        <v>9.0182428488032684</v>
      </c>
      <c r="R97" s="63">
        <f t="shared" ca="1" si="25"/>
        <v>6.5145516324420152</v>
      </c>
      <c r="S97" s="63">
        <f t="shared" ca="1" si="26"/>
        <v>6.7148405890920859</v>
      </c>
      <c r="T97" s="63">
        <f t="shared" ca="1" si="26"/>
        <v>6.7148405890920859</v>
      </c>
      <c r="U97" s="63">
        <f t="shared" ca="1" si="26"/>
        <v>5.9742903053026248</v>
      </c>
      <c r="V97" s="63">
        <f t="shared" ca="1" si="26"/>
        <v>5.7684701492537309</v>
      </c>
    </row>
    <row r="98" spans="1:22">
      <c r="A98" s="51" t="str">
        <f t="shared" si="19"/>
        <v>NWE</v>
      </c>
      <c r="B98" s="46">
        <f t="shared" ca="1" si="20"/>
        <v>46</v>
      </c>
      <c r="C98" s="1">
        <f>IF(ISERROR(D98),"",IF(D98="","",MAX($C$71:C97)+1))</f>
        <v>26</v>
      </c>
      <c r="D98" t="str">
        <f t="shared" si="21"/>
        <v xml:space="preserve">NorthWestern Corp             </v>
      </c>
      <c r="E98" s="22"/>
      <c r="F98" s="63">
        <f t="shared" ca="1" si="24"/>
        <v>7.5216500147964265</v>
      </c>
      <c r="G98" s="63">
        <f t="shared" si="22"/>
        <v>8.6043165467625897</v>
      </c>
      <c r="H98" s="63">
        <f ca="1">IFERROR(VLOOKUP($A98,LASTYR,'2016'!$L$3,FALSE),"N/A")</f>
        <v>8.647914502003859</v>
      </c>
      <c r="I98" s="63">
        <f t="shared" ca="1" si="25"/>
        <v>8.9886900742741389</v>
      </c>
      <c r="J98" s="63">
        <f t="shared" ca="1" si="25"/>
        <v>9.0096510764662217</v>
      </c>
      <c r="K98" s="63">
        <f t="shared" ca="1" si="25"/>
        <v>7.607300073367572</v>
      </c>
      <c r="L98" s="63">
        <f t="shared" ca="1" si="25"/>
        <v>6.8546893091470471</v>
      </c>
      <c r="M98" s="63">
        <f t="shared" ca="1" si="25"/>
        <v>5.8909795240730487</v>
      </c>
      <c r="N98" s="63">
        <f t="shared" ca="1" si="25"/>
        <v>5.7926112510495376</v>
      </c>
      <c r="O98" s="63">
        <f t="shared" ca="1" si="25"/>
        <v>5.0469900389779117</v>
      </c>
      <c r="P98" s="63">
        <f t="shared" ca="1" si="25"/>
        <v>5.5741539859186924</v>
      </c>
      <c r="Q98" s="63">
        <f t="shared" ca="1" si="25"/>
        <v>8.4497840172786169</v>
      </c>
      <c r="R98" s="63">
        <f t="shared" ca="1" si="25"/>
        <v>9.3943078198397334</v>
      </c>
      <c r="S98" s="63">
        <f t="shared" ca="1" si="26"/>
        <v>7.3119839879909936</v>
      </c>
      <c r="T98" s="63">
        <f t="shared" ca="1" si="26"/>
        <v>8.1297280000000001</v>
      </c>
      <c r="U98" s="63" t="str">
        <f t="shared" ca="1" si="26"/>
        <v>N/A</v>
      </c>
      <c r="V98" s="63" t="str">
        <f t="shared" ca="1" si="26"/>
        <v>N/A</v>
      </c>
    </row>
    <row r="99" spans="1:22">
      <c r="A99" s="51" t="str">
        <f t="shared" si="19"/>
        <v>OGE</v>
      </c>
      <c r="B99" s="46">
        <f t="shared" ca="1" si="20"/>
        <v>47</v>
      </c>
      <c r="C99" s="1">
        <f>IF(ISERROR(D99),"",IF(D99="","",MAX($C$71:C98)+1))</f>
        <v>27</v>
      </c>
      <c r="D99" t="str">
        <f t="shared" si="21"/>
        <v xml:space="preserve">OGE Energy                    </v>
      </c>
      <c r="E99" s="22"/>
      <c r="F99" s="63">
        <f t="shared" ca="1" si="24"/>
        <v>7.6515295655054878</v>
      </c>
      <c r="G99" s="63">
        <f t="shared" si="22"/>
        <v>10.477611940298505</v>
      </c>
      <c r="H99" s="63">
        <f ca="1">IFERROR(VLOOKUP($A99,LASTYR,'2016'!$L$3,FALSE),"N/A")</f>
        <v>9.0299184043517666</v>
      </c>
      <c r="I99" s="63">
        <f t="shared" ca="1" si="25"/>
        <v>9.2496905940594054</v>
      </c>
      <c r="J99" s="63">
        <f t="shared" ca="1" si="25"/>
        <v>10.649587750294463</v>
      </c>
      <c r="K99" s="63">
        <f t="shared" ca="1" si="25"/>
        <v>9.9288400347121772</v>
      </c>
      <c r="L99" s="63">
        <f t="shared" ca="1" si="25"/>
        <v>7.3460601137286758</v>
      </c>
      <c r="M99" s="63">
        <f t="shared" ca="1" si="25"/>
        <v>7.4802293993359488</v>
      </c>
      <c r="N99" s="63">
        <f t="shared" ca="1" si="25"/>
        <v>6.6104284290933242</v>
      </c>
      <c r="O99" s="63">
        <f t="shared" ca="1" si="25"/>
        <v>5.3664804469273744</v>
      </c>
      <c r="P99" s="63">
        <f t="shared" ca="1" si="25"/>
        <v>6.4339858392336531</v>
      </c>
      <c r="Q99" s="63">
        <f t="shared" ca="1" si="25"/>
        <v>7.5818713450292394</v>
      </c>
      <c r="R99" s="63">
        <f t="shared" ca="1" si="25"/>
        <v>7.498657117278424</v>
      </c>
      <c r="S99" s="63">
        <f t="shared" ca="1" si="26"/>
        <v>7.0365226337448563</v>
      </c>
      <c r="T99" s="63">
        <f t="shared" ca="1" si="26"/>
        <v>6.7290000000000001</v>
      </c>
      <c r="U99" s="63">
        <f t="shared" ca="1" si="26"/>
        <v>5.6171150000000001</v>
      </c>
      <c r="V99" s="63">
        <f t="shared" ca="1" si="26"/>
        <v>5.3884740000000004</v>
      </c>
    </row>
    <row r="100" spans="1:22">
      <c r="A100" s="51" t="str">
        <f t="shared" si="19"/>
        <v>OTTR</v>
      </c>
      <c r="B100" s="46">
        <f t="shared" ca="1" si="20"/>
        <v>49</v>
      </c>
      <c r="C100" s="1">
        <f>IF(ISERROR(D100),"",IF(D100="","",MAX($C$71:C99)+1))</f>
        <v>28</v>
      </c>
      <c r="D100" t="str">
        <f t="shared" si="21"/>
        <v xml:space="preserve">Otter Tail Corp.              </v>
      </c>
      <c r="E100" s="22"/>
      <c r="F100" s="63">
        <f t="shared" ca="1" si="24"/>
        <v>9.0732636421991852</v>
      </c>
      <c r="G100" s="63">
        <f t="shared" si="22"/>
        <v>10.684931506849315</v>
      </c>
      <c r="H100" s="63">
        <f ca="1">IFERROR(VLOOKUP($A100,LASTYR,'2016'!$L$3,FALSE),"N/A")</f>
        <v>9.3839674702294502</v>
      </c>
      <c r="I100" s="63">
        <f t="shared" ca="1" si="25"/>
        <v>9.0356460852959906</v>
      </c>
      <c r="J100" s="63">
        <f t="shared" ca="1" si="25"/>
        <v>9.4525736484299134</v>
      </c>
      <c r="K100" s="63">
        <f t="shared" ca="1" si="25"/>
        <v>9.5807947019867559</v>
      </c>
      <c r="L100" s="63">
        <f t="shared" ca="1" si="25"/>
        <v>8.430047988187523</v>
      </c>
      <c r="M100" s="63">
        <f t="shared" ca="1" si="25"/>
        <v>9.03849407783418</v>
      </c>
      <c r="N100" s="63">
        <f t="shared" ca="1" si="25"/>
        <v>8.0651001540832059</v>
      </c>
      <c r="O100" s="63">
        <f t="shared" ca="1" si="25"/>
        <v>8.0097755249818974</v>
      </c>
      <c r="P100" s="63">
        <f t="shared" ca="1" si="25"/>
        <v>11.65457132692992</v>
      </c>
      <c r="Q100" s="63">
        <f t="shared" ca="1" si="25"/>
        <v>9.5285674078243723</v>
      </c>
      <c r="R100" s="63">
        <f t="shared" ca="1" si="25"/>
        <v>8.6563330380868013</v>
      </c>
      <c r="S100" s="63">
        <f t="shared" ca="1" si="26"/>
        <v>8.1753653444676395</v>
      </c>
      <c r="T100" s="63">
        <f t="shared" ca="1" si="26"/>
        <v>9.0128249999999994</v>
      </c>
      <c r="U100" s="63">
        <f t="shared" ca="1" si="26"/>
        <v>8.1296970000000002</v>
      </c>
      <c r="V100" s="63">
        <f t="shared" ca="1" si="26"/>
        <v>8.3335279999999994</v>
      </c>
    </row>
    <row r="101" spans="1:22">
      <c r="A101" s="51" t="str">
        <f t="shared" si="19"/>
        <v>PCG</v>
      </c>
      <c r="B101" s="46">
        <f t="shared" ca="1" si="20"/>
        <v>51</v>
      </c>
      <c r="C101" s="1">
        <f>IF(ISERROR(D101),"",IF(D101="","",MAX($C$71:C100)+1))</f>
        <v>29</v>
      </c>
      <c r="D101" t="str">
        <f t="shared" si="21"/>
        <v xml:space="preserve">PG&amp;E Corp.                    </v>
      </c>
      <c r="E101" s="22"/>
      <c r="F101" s="63">
        <f t="shared" ca="1" si="24"/>
        <v>6.2505128765596059</v>
      </c>
      <c r="G101" s="63">
        <f t="shared" si="22"/>
        <v>7.037837837837837</v>
      </c>
      <c r="H101" s="63">
        <f ca="1">IFERROR(VLOOKUP($A101,LASTYR,'2016'!$L$3,FALSE),"N/A")</f>
        <v>7.2637589600291577</v>
      </c>
      <c r="I101" s="63">
        <f t="shared" ca="1" si="25"/>
        <v>7.2443743139407237</v>
      </c>
      <c r="J101" s="63">
        <f t="shared" ca="1" si="25"/>
        <v>5.6468634686346855</v>
      </c>
      <c r="K101" s="63">
        <f t="shared" ca="1" si="25"/>
        <v>6.8407834465329325</v>
      </c>
      <c r="L101" s="63">
        <f t="shared" ca="1" si="25"/>
        <v>5.8574357572443958</v>
      </c>
      <c r="M101" s="63">
        <f t="shared" ca="1" si="25"/>
        <v>5.3151515151515145</v>
      </c>
      <c r="N101" s="63">
        <f t="shared" ca="1" si="25"/>
        <v>5.4195549069682594</v>
      </c>
      <c r="O101" s="63">
        <f t="shared" ca="1" si="25"/>
        <v>4.7112465638819163</v>
      </c>
      <c r="P101" s="63">
        <f t="shared" ca="1" si="25"/>
        <v>4.6108543666311173</v>
      </c>
      <c r="Q101" s="63">
        <f t="shared" ca="1" si="25"/>
        <v>5.8399002493765586</v>
      </c>
      <c r="R101" s="63">
        <f t="shared" ca="1" si="25"/>
        <v>5.2815884476534292</v>
      </c>
      <c r="S101" s="63">
        <f t="shared" ca="1" si="26"/>
        <v>5.069493191071178</v>
      </c>
      <c r="T101" s="63">
        <f t="shared" ca="1" si="26"/>
        <v>5.1284159999999996</v>
      </c>
      <c r="U101" s="63">
        <f t="shared" ca="1" si="26"/>
        <v>4.0549770000000001</v>
      </c>
      <c r="V101" s="63">
        <f t="shared" ca="1" si="26"/>
        <v>14.685969999999999</v>
      </c>
    </row>
    <row r="102" spans="1:22">
      <c r="A102" s="51" t="str">
        <f t="shared" si="19"/>
        <v>PNW</v>
      </c>
      <c r="B102" s="46">
        <f t="shared" ca="1" si="20"/>
        <v>52</v>
      </c>
      <c r="C102" s="1">
        <f>IF(ISERROR(D102),"",IF(D102="","",MAX($C$71:C101)+1))</f>
        <v>30</v>
      </c>
      <c r="D102" t="str">
        <f t="shared" si="21"/>
        <v xml:space="preserve">Pinnacle West Capital         </v>
      </c>
      <c r="E102" s="22"/>
      <c r="F102" s="63">
        <f t="shared" ca="1" si="24"/>
        <v>5.9668656754933407</v>
      </c>
      <c r="G102" s="63">
        <f t="shared" si="22"/>
        <v>8.3535353535353529</v>
      </c>
      <c r="H102" s="63">
        <f ca="1">IFERROR(VLOOKUP($A102,LASTYR,'2016'!$L$3,FALSE),"N/A")</f>
        <v>7.8861312313591814</v>
      </c>
      <c r="I102" s="63">
        <f t="shared" ca="1" si="25"/>
        <v>6.9145308546914537</v>
      </c>
      <c r="J102" s="63">
        <f t="shared" ca="1" si="25"/>
        <v>7.033391046252782</v>
      </c>
      <c r="K102" s="63">
        <f t="shared" ca="1" si="25"/>
        <v>6.8530782438067206</v>
      </c>
      <c r="L102" s="63">
        <f t="shared" ca="1" si="25"/>
        <v>6.3436512950094759</v>
      </c>
      <c r="M102" s="63">
        <f t="shared" ca="1" si="25"/>
        <v>5.8035619351408823</v>
      </c>
      <c r="N102" s="63">
        <f t="shared" ca="1" si="25"/>
        <v>5.6503139144400638</v>
      </c>
      <c r="O102" s="63">
        <f t="shared" ca="1" si="25"/>
        <v>3.8445159692993318</v>
      </c>
      <c r="P102" s="63">
        <f t="shared" ca="1" si="25"/>
        <v>4.1873616916646181</v>
      </c>
      <c r="Q102" s="63">
        <f t="shared" ca="1" si="25"/>
        <v>4.7558377273216399</v>
      </c>
      <c r="R102" s="63">
        <f t="shared" ca="1" si="25"/>
        <v>4.4759694719471952</v>
      </c>
      <c r="S102" s="63">
        <f t="shared" ca="1" si="26"/>
        <v>7.479257073424753</v>
      </c>
      <c r="T102" s="63">
        <f t="shared" ca="1" si="26"/>
        <v>5.8802649999999996</v>
      </c>
      <c r="U102" s="63">
        <f t="shared" ca="1" si="26"/>
        <v>4.8030030000000004</v>
      </c>
      <c r="V102" s="63">
        <f t="shared" ca="1" si="26"/>
        <v>5.2054470000000004</v>
      </c>
    </row>
    <row r="103" spans="1:22">
      <c r="A103" s="51" t="str">
        <f t="shared" si="19"/>
        <v>PNM</v>
      </c>
      <c r="B103" s="46">
        <f t="shared" ca="1" si="20"/>
        <v>53</v>
      </c>
      <c r="C103" s="1">
        <f>IF(ISERROR(D103),"",IF(D103="","",MAX($C$71:C102)+1))</f>
        <v>31</v>
      </c>
      <c r="D103" t="str">
        <f t="shared" si="21"/>
        <v xml:space="preserve">PNM Resources                 </v>
      </c>
      <c r="E103" s="22"/>
      <c r="F103" s="63">
        <f t="shared" ca="1" si="24"/>
        <v>6.7212574252551267</v>
      </c>
      <c r="G103" s="63">
        <f t="shared" si="22"/>
        <v>8.1555555555555568</v>
      </c>
      <c r="H103" s="63">
        <f ca="1">IFERROR(VLOOKUP($A103,LASTYR,'2016'!$L$3,FALSE),"N/A")</f>
        <v>7.6435412286848878</v>
      </c>
      <c r="I103" s="63">
        <f t="shared" ca="1" si="25"/>
        <v>6.9454499748617398</v>
      </c>
      <c r="J103" s="63">
        <f t="shared" ca="1" si="25"/>
        <v>7.4806629834254137</v>
      </c>
      <c r="K103" s="63">
        <f t="shared" ca="1" si="25"/>
        <v>6.4745231995445494</v>
      </c>
      <c r="L103" s="63">
        <f t="shared" ca="1" si="25"/>
        <v>5.8023668639053252</v>
      </c>
      <c r="M103" s="63">
        <f t="shared" ca="1" si="25"/>
        <v>4.9386406544996859</v>
      </c>
      <c r="N103" s="63">
        <f t="shared" ca="1" si="25"/>
        <v>4.5815523059617549</v>
      </c>
      <c r="O103" s="63">
        <f t="shared" ca="1" si="25"/>
        <v>4.5271786022433131</v>
      </c>
      <c r="P103" s="63">
        <f t="shared" ca="1" si="25"/>
        <v>7.1007972665148058</v>
      </c>
      <c r="Q103" s="63">
        <f t="shared" ca="1" si="25"/>
        <v>10.670736510437179</v>
      </c>
      <c r="R103" s="63">
        <f t="shared" ca="1" si="25"/>
        <v>7.4967814161768827</v>
      </c>
      <c r="S103" s="63">
        <f t="shared" ca="1" si="26"/>
        <v>7.6200112422709383</v>
      </c>
      <c r="T103" s="63">
        <f t="shared" ca="1" si="26"/>
        <v>6.8385860000000003</v>
      </c>
      <c r="U103" s="63">
        <f t="shared" ca="1" si="26"/>
        <v>5.5484400000000003</v>
      </c>
      <c r="V103" s="63">
        <f t="shared" ca="1" si="26"/>
        <v>5.7152950000000002</v>
      </c>
    </row>
    <row r="104" spans="1:22">
      <c r="A104" s="51" t="str">
        <f t="shared" si="19"/>
        <v>POR</v>
      </c>
      <c r="B104" s="46">
        <f t="shared" ca="1" si="20"/>
        <v>54</v>
      </c>
      <c r="C104" s="1">
        <f>IF(ISERROR(D104),"",IF(D104="","",MAX($C$71:C103)+1))</f>
        <v>32</v>
      </c>
      <c r="D104" t="str">
        <f t="shared" si="21"/>
        <v xml:space="preserve">Portland General              </v>
      </c>
      <c r="E104" s="22"/>
      <c r="F104" s="63">
        <f t="shared" ca="1" si="24"/>
        <v>5.6186669161927307</v>
      </c>
      <c r="G104" s="63">
        <f t="shared" si="22"/>
        <v>7.442622950819672</v>
      </c>
      <c r="H104" s="63">
        <f ca="1">IFERROR(VLOOKUP($A104,LASTYR,'2016'!$L$3,FALSE),"N/A")</f>
        <v>7.1232047066966606</v>
      </c>
      <c r="I104" s="63">
        <f t="shared" ca="1" si="25"/>
        <v>6.7269173492181684</v>
      </c>
      <c r="J104" s="63">
        <f t="shared" ca="1" si="25"/>
        <v>5.4877567789646671</v>
      </c>
      <c r="K104" s="63">
        <f t="shared" ca="1" si="25"/>
        <v>6.0602434077079108</v>
      </c>
      <c r="L104" s="63">
        <f t="shared" ca="1" si="25"/>
        <v>5.0777000777000785</v>
      </c>
      <c r="M104" s="63">
        <f t="shared" ca="1" si="25"/>
        <v>4.8601652226475922</v>
      </c>
      <c r="N104" s="63">
        <f t="shared" ca="1" si="25"/>
        <v>4.1327800829875523</v>
      </c>
      <c r="O104" s="63">
        <f t="shared" ca="1" si="25"/>
        <v>4.6343081838289502</v>
      </c>
      <c r="P104" s="63">
        <f t="shared" ca="1" si="25"/>
        <v>4.8050487908358077</v>
      </c>
      <c r="Q104" s="63">
        <f t="shared" ca="1" si="25"/>
        <v>5.3364019946298429</v>
      </c>
      <c r="R104" s="63">
        <f t="shared" ca="1" si="25"/>
        <v>5.7368534482758626</v>
      </c>
      <c r="S104" s="63" t="str">
        <f t="shared" ca="1" si="26"/>
        <v>N/A</v>
      </c>
      <c r="T104" s="63" t="str">
        <f t="shared" ca="1" si="26"/>
        <v>N/A</v>
      </c>
      <c r="U104" s="63" t="str">
        <f t="shared" ca="1" si="26"/>
        <v>N/A</v>
      </c>
      <c r="V104" s="63" t="str">
        <f t="shared" ca="1" si="26"/>
        <v>N/A</v>
      </c>
    </row>
    <row r="105" spans="1:22">
      <c r="A105" s="51" t="str">
        <f t="shared" si="19"/>
        <v>PPL</v>
      </c>
      <c r="B105" s="46">
        <f t="shared" ca="1" si="20"/>
        <v>55</v>
      </c>
      <c r="C105" s="1">
        <f>IF(ISERROR(D105),"",IF(D105="","",MAX($C$71:C104)+1))</f>
        <v>33</v>
      </c>
      <c r="D105" t="str">
        <f t="shared" si="21"/>
        <v xml:space="preserve">PPL Corp.                     </v>
      </c>
      <c r="E105" s="22"/>
      <c r="F105" s="63">
        <f t="shared" ca="1" si="24"/>
        <v>7.488550542777336</v>
      </c>
      <c r="G105" s="63">
        <f t="shared" si="22"/>
        <v>10.263888888888889</v>
      </c>
      <c r="H105" s="63">
        <f ca="1">IFERROR(VLOOKUP($A105,LASTYR,'2016'!$L$3,FALSE),"N/A")</f>
        <v>8.3669939223936414</v>
      </c>
      <c r="I105" s="63">
        <f t="shared" ca="1" si="25"/>
        <v>8.7315329626687834</v>
      </c>
      <c r="J105" s="63">
        <f t="shared" ca="1" si="25"/>
        <v>7.3180428134556577</v>
      </c>
      <c r="K105" s="63">
        <f t="shared" ca="1" si="25"/>
        <v>6.58935115326579</v>
      </c>
      <c r="L105" s="63">
        <f t="shared" ca="1" si="25"/>
        <v>5.8655514250309793</v>
      </c>
      <c r="M105" s="63">
        <f t="shared" ca="1" si="25"/>
        <v>5.9795206971677564</v>
      </c>
      <c r="N105" s="63">
        <f t="shared" ca="1" si="25"/>
        <v>7.4642076502732237</v>
      </c>
      <c r="O105" s="63">
        <f t="shared" ca="1" si="25"/>
        <v>8.821645021645022</v>
      </c>
      <c r="P105" s="63">
        <f t="shared" ca="1" si="25"/>
        <v>9.1652173913043473</v>
      </c>
      <c r="Q105" s="63">
        <f t="shared" ca="1" si="25"/>
        <v>8.9002156439913733</v>
      </c>
      <c r="R105" s="63">
        <f t="shared" ca="1" si="25"/>
        <v>7.5813571260859351</v>
      </c>
      <c r="S105" s="63">
        <f t="shared" ref="S105:V106" ca="1" si="27">IFERROR(IF(INDEX(MP_CF_WP,$B105,S$72)=0,"N/A",INDEX(MP_CF_WP,$B105,S$72)),"N/A")</f>
        <v>7.5679269882659712</v>
      </c>
      <c r="T105" s="63">
        <f t="shared" ca="1" si="27"/>
        <v>6.493322</v>
      </c>
      <c r="U105" s="63">
        <f t="shared" ca="1" si="27"/>
        <v>5.4071610000000003</v>
      </c>
      <c r="V105" s="63">
        <f t="shared" ca="1" si="27"/>
        <v>5.3008740000000003</v>
      </c>
    </row>
    <row r="106" spans="1:22">
      <c r="A106" s="51" t="str">
        <f t="shared" si="19"/>
        <v>PEG</v>
      </c>
      <c r="B106" s="46">
        <f t="shared" ca="1" si="20"/>
        <v>56</v>
      </c>
      <c r="C106" s="1">
        <f>IF(ISERROR(D106),"",IF(D106="","",MAX($C$71:C105)+1))</f>
        <v>34</v>
      </c>
      <c r="D106" t="str">
        <f t="shared" si="21"/>
        <v xml:space="preserve">Public Serv. Enterprise       </v>
      </c>
      <c r="E106" s="22"/>
      <c r="F106" s="63">
        <f t="shared" ca="1" si="24"/>
        <v>7.2527812907705806</v>
      </c>
      <c r="G106" s="63">
        <f t="shared" si="22"/>
        <v>7.7699115044247788</v>
      </c>
      <c r="H106" s="63">
        <f ca="1">IFERROR(VLOOKUP($A106,LASTYR,'2016'!$L$3,FALSE),"N/A")</f>
        <v>8.5649773220272145</v>
      </c>
      <c r="I106" s="63">
        <f t="shared" ca="1" si="25"/>
        <v>6.6634130470148039</v>
      </c>
      <c r="J106" s="63">
        <f t="shared" ca="1" si="25"/>
        <v>6.4780144280316048</v>
      </c>
      <c r="K106" s="63">
        <f t="shared" ca="1" si="25"/>
        <v>6.4036786060019368</v>
      </c>
      <c r="L106" s="63">
        <f t="shared" ca="1" si="25"/>
        <v>6.4006153846153842</v>
      </c>
      <c r="M106" s="63">
        <f t="shared" ca="1" si="25"/>
        <v>6.0311567164179101</v>
      </c>
      <c r="N106" s="63">
        <f t="shared" ca="1" si="25"/>
        <v>6.0390817681654339</v>
      </c>
      <c r="O106" s="63">
        <f t="shared" ca="1" si="25"/>
        <v>6.2038523274478337</v>
      </c>
      <c r="P106" s="63">
        <f t="shared" ca="1" si="25"/>
        <v>8.4593843522873033</v>
      </c>
      <c r="Q106" s="63">
        <f t="shared" ca="1" si="25"/>
        <v>9.8315741165672321</v>
      </c>
      <c r="R106" s="63">
        <f t="shared" ca="1" si="25"/>
        <v>8.4095213718965969</v>
      </c>
      <c r="S106" s="63">
        <f t="shared" ca="1" si="27"/>
        <v>8.5944997074312468</v>
      </c>
      <c r="T106" s="63">
        <f t="shared" ca="1" si="27"/>
        <v>7.1653440000000002</v>
      </c>
      <c r="U106" s="63">
        <f t="shared" ca="1" si="27"/>
        <v>6.7910959999999996</v>
      </c>
      <c r="V106" s="63">
        <f t="shared" ca="1" si="27"/>
        <v>6.2383800000000003</v>
      </c>
    </row>
    <row r="107" spans="1:22">
      <c r="A107" s="51" t="str">
        <f t="shared" si="19"/>
        <v>SCG</v>
      </c>
      <c r="B107" s="46">
        <f t="shared" ca="1" si="20"/>
        <v>57</v>
      </c>
      <c r="C107" s="1">
        <f>IF(ISERROR(D107),"",IF(D107="","",MAX($C$71:C106)+1))</f>
        <v>35</v>
      </c>
      <c r="D107" t="str">
        <f t="shared" si="21"/>
        <v xml:space="preserve">SCANA Corp.                   </v>
      </c>
      <c r="E107" s="22"/>
      <c r="F107" s="63">
        <f t="shared" ca="1" si="24"/>
        <v>7.1395257051156822</v>
      </c>
      <c r="G107" s="63">
        <f t="shared" si="22"/>
        <v>9</v>
      </c>
      <c r="H107" s="63">
        <f ca="1">IFERROR(VLOOKUP($A107,LASTYR,'2016'!$L$3,FALSE),"N/A")</f>
        <v>9.5910775566231976</v>
      </c>
      <c r="I107" s="63">
        <f t="shared" ca="1" si="25"/>
        <v>8.3345763723150359</v>
      </c>
      <c r="J107" s="63">
        <f t="shared" ca="1" si="25"/>
        <v>7.5013024602026048</v>
      </c>
      <c r="K107" s="63">
        <f t="shared" ca="1" si="25"/>
        <v>7.4871402327005505</v>
      </c>
      <c r="L107" s="63">
        <f t="shared" ref="L107:V107" ca="1" si="28">IFERROR(IF(INDEX(MP_CF_WP,$B107,L$72)=0,"N/A",INDEX(MP_CF_WP,$B107,L$72)),"N/A")</f>
        <v>7.3960019038553071</v>
      </c>
      <c r="M107" s="63">
        <f t="shared" ca="1" si="28"/>
        <v>6.7523698652918673</v>
      </c>
      <c r="N107" s="63">
        <f t="shared" ca="1" si="28"/>
        <v>6.5238659444820577</v>
      </c>
      <c r="O107" s="63">
        <f t="shared" ca="1" si="28"/>
        <v>5.8802129547471162</v>
      </c>
      <c r="P107" s="63">
        <f t="shared" ca="1" si="28"/>
        <v>6.3791396381017416</v>
      </c>
      <c r="Q107" s="63">
        <f t="shared" ca="1" si="28"/>
        <v>7.1470177886292294</v>
      </c>
      <c r="R107" s="63">
        <f t="shared" ca="1" si="28"/>
        <v>7.0274502903396092</v>
      </c>
      <c r="S107" s="63">
        <f t="shared" ca="1" si="28"/>
        <v>5.4041722745625842</v>
      </c>
      <c r="T107" s="63">
        <f t="shared" ca="1" si="28"/>
        <v>6.8624739999999997</v>
      </c>
      <c r="U107" s="63">
        <f t="shared" ca="1" si="28"/>
        <v>6.5898159999999999</v>
      </c>
      <c r="V107" s="63">
        <f t="shared" ca="1" si="28"/>
        <v>6.3557940000000004</v>
      </c>
    </row>
    <row r="108" spans="1:22">
      <c r="A108" s="51" t="str">
        <f t="shared" si="19"/>
        <v>SRE</v>
      </c>
      <c r="B108" s="46">
        <f t="shared" ca="1" si="20"/>
        <v>58</v>
      </c>
      <c r="C108" s="1">
        <f>IF(ISERROR(D108),"",IF(D108="","",MAX($C$71:C107)+1))</f>
        <v>36</v>
      </c>
      <c r="D108" t="str">
        <f t="shared" si="21"/>
        <v xml:space="preserve">Sempra Energy                 </v>
      </c>
      <c r="E108" s="22"/>
      <c r="F108" s="63">
        <f t="shared" ca="1" si="24"/>
        <v>7.5561292488823133</v>
      </c>
      <c r="G108" s="63">
        <f t="shared" si="22"/>
        <v>10.032258064516128</v>
      </c>
      <c r="H108" s="63">
        <f ca="1">IFERROR(VLOOKUP($A108,LASTYR,'2016'!$L$3,FALSE),"N/A")</f>
        <v>10.880185302168879</v>
      </c>
      <c r="I108" s="63">
        <f t="shared" ref="I108:V117" ca="1" si="29">IFERROR(IF(INDEX(MP_CF_WP,$B108,I$72)=0,"N/A",INDEX(MP_CF_WP,$B108,I$72)),"N/A")</f>
        <v>9.9947684557256355</v>
      </c>
      <c r="J108" s="63">
        <f t="shared" ca="1" si="29"/>
        <v>10.766000425260472</v>
      </c>
      <c r="K108" s="63">
        <f t="shared" ca="1" si="29"/>
        <v>9.3668245376635095</v>
      </c>
      <c r="L108" s="63">
        <f t="shared" ca="1" si="29"/>
        <v>7.2571716718960122</v>
      </c>
      <c r="M108" s="63">
        <f t="shared" ca="1" si="29"/>
        <v>6.1345458785123004</v>
      </c>
      <c r="N108" s="63">
        <f t="shared" ca="1" si="29"/>
        <v>6.5281072717895814</v>
      </c>
      <c r="O108" s="63">
        <f t="shared" ca="1" si="29"/>
        <v>6.0718871962734484</v>
      </c>
      <c r="P108" s="63">
        <f t="shared" ca="1" si="29"/>
        <v>7.0656934306569346</v>
      </c>
      <c r="Q108" s="63">
        <f t="shared" ca="1" si="29"/>
        <v>8.6065195442088562</v>
      </c>
      <c r="R108" s="63">
        <f t="shared" ca="1" si="29"/>
        <v>7.222090261282661</v>
      </c>
      <c r="S108" s="63">
        <f t="shared" ca="1" si="29"/>
        <v>6.9599329421626148</v>
      </c>
      <c r="T108" s="63">
        <f t="shared" ca="1" si="29"/>
        <v>5.163653</v>
      </c>
      <c r="U108" s="63">
        <f t="shared" ca="1" si="29"/>
        <v>4.8501799999999999</v>
      </c>
      <c r="V108" s="63">
        <f t="shared" ca="1" si="29"/>
        <v>3.9982500000000001</v>
      </c>
    </row>
    <row r="109" spans="1:22">
      <c r="A109" s="51" t="str">
        <f t="shared" si="19"/>
        <v>SO</v>
      </c>
      <c r="B109" s="46">
        <f t="shared" ca="1" si="20"/>
        <v>62</v>
      </c>
      <c r="C109" s="1">
        <f>IF(ISERROR(D109),"",IF(D109="","",MAX($C$71:C108)+1))</f>
        <v>37</v>
      </c>
      <c r="D109" t="str">
        <f t="shared" si="21"/>
        <v xml:space="preserve">Southern Co.                  </v>
      </c>
      <c r="E109" s="22"/>
      <c r="F109" s="63">
        <f t="shared" ca="1" si="24"/>
        <v>8.2239128799805261</v>
      </c>
      <c r="G109" s="63">
        <f t="shared" si="22"/>
        <v>7.8959999999999999</v>
      </c>
      <c r="H109" s="63">
        <f ca="1">IFERROR(VLOOKUP($A109,LASTYR,'2016'!$L$3,FALSE),"N/A")</f>
        <v>8.832337434094903</v>
      </c>
      <c r="I109" s="63">
        <f t="shared" ca="1" si="29"/>
        <v>8.2270151709011152</v>
      </c>
      <c r="J109" s="63">
        <f t="shared" ca="1" si="29"/>
        <v>8.4186398939193037</v>
      </c>
      <c r="K109" s="63">
        <f t="shared" ca="1" si="29"/>
        <v>8.2988985947588301</v>
      </c>
      <c r="L109" s="63">
        <f t="shared" ca="1" si="29"/>
        <v>8.7459459459459463</v>
      </c>
      <c r="M109" s="63">
        <f t="shared" ca="1" si="29"/>
        <v>8.2234432234432226</v>
      </c>
      <c r="N109" s="63">
        <f t="shared" ca="1" si="29"/>
        <v>7.7901617549302014</v>
      </c>
      <c r="O109" s="63">
        <f t="shared" ca="1" si="29"/>
        <v>7.0776173285198549</v>
      </c>
      <c r="P109" s="63">
        <f t="shared" ca="1" si="29"/>
        <v>8.1835814163283711</v>
      </c>
      <c r="Q109" s="63">
        <f t="shared" ca="1" si="29"/>
        <v>8.6184834123222753</v>
      </c>
      <c r="R109" s="63">
        <f t="shared" ca="1" si="29"/>
        <v>8.4714677298778973</v>
      </c>
      <c r="S109" s="63">
        <f t="shared" ca="1" si="29"/>
        <v>8.4108161746464916</v>
      </c>
      <c r="T109" s="63">
        <f t="shared" ca="1" si="29"/>
        <v>8.2763340000000003</v>
      </c>
      <c r="U109" s="63">
        <f t="shared" ca="1" si="29"/>
        <v>8.2793989999999997</v>
      </c>
      <c r="V109" s="63">
        <f t="shared" ca="1" si="29"/>
        <v>7.832465</v>
      </c>
    </row>
    <row r="110" spans="1:22">
      <c r="A110" s="51" t="str">
        <f t="shared" si="19"/>
        <v>VVC</v>
      </c>
      <c r="B110" s="46">
        <f t="shared" ca="1" si="20"/>
        <v>70</v>
      </c>
      <c r="C110" s="1">
        <f>IF(ISERROR(D110),"",IF(D110="","",MAX($C$71:C109)+1))</f>
        <v>38</v>
      </c>
      <c r="D110" t="str">
        <f t="shared" si="21"/>
        <v xml:space="preserve">Vectren Corp.                 </v>
      </c>
      <c r="E110" s="22"/>
      <c r="F110" s="63">
        <f t="shared" ca="1" si="24"/>
        <v>7.0673156222989677</v>
      </c>
      <c r="G110" s="63">
        <f t="shared" si="22"/>
        <v>10.145299145299147</v>
      </c>
      <c r="H110" s="63">
        <f ca="1">IFERROR(VLOOKUP($A110,LASTYR,'2016'!$L$3,FALSE),"N/A")</f>
        <v>8.5962383547196346</v>
      </c>
      <c r="I110" s="63">
        <f t="shared" ca="1" si="29"/>
        <v>7.8192771084337362</v>
      </c>
      <c r="J110" s="63">
        <f t="shared" ca="1" si="29"/>
        <v>7.5717501406865502</v>
      </c>
      <c r="K110" s="63">
        <f t="shared" ca="1" si="29"/>
        <v>6.8210379797176373</v>
      </c>
      <c r="L110" s="63">
        <f t="shared" ca="1" si="29"/>
        <v>5.7899443561208273</v>
      </c>
      <c r="M110" s="63">
        <f t="shared" ca="1" si="29"/>
        <v>5.8104838709677429</v>
      </c>
      <c r="N110" s="63">
        <f t="shared" ca="1" si="29"/>
        <v>5.5771222697590632</v>
      </c>
      <c r="O110" s="63">
        <f t="shared" ca="1" si="29"/>
        <v>5.2428993410588509</v>
      </c>
      <c r="P110" s="63">
        <f t="shared" ca="1" si="29"/>
        <v>6.9016393442622945</v>
      </c>
      <c r="Q110" s="63">
        <f t="shared" ca="1" si="29"/>
        <v>6.5349324639031217</v>
      </c>
      <c r="R110" s="63">
        <f t="shared" ca="1" si="29"/>
        <v>7.3743909041689228</v>
      </c>
      <c r="S110" s="63">
        <f t="shared" ca="1" si="29"/>
        <v>7.0612086776859506</v>
      </c>
      <c r="T110" s="63">
        <f t="shared" ca="1" si="29"/>
        <v>7.6323040000000004</v>
      </c>
      <c r="U110" s="63">
        <f t="shared" ca="1" si="29"/>
        <v>7.2745040000000003</v>
      </c>
      <c r="V110" s="63">
        <f t="shared" ca="1" si="29"/>
        <v>6.9240180000000002</v>
      </c>
    </row>
    <row r="111" spans="1:22">
      <c r="A111" s="51" t="str">
        <f t="shared" si="19"/>
        <v>WEC</v>
      </c>
      <c r="B111" s="46">
        <f t="shared" ca="1" si="20"/>
        <v>71</v>
      </c>
      <c r="C111" s="1">
        <f>IF(ISERROR(D111),"",IF(D111="","",MAX($C$71:C110)+1))</f>
        <v>39</v>
      </c>
      <c r="D111" t="str">
        <f t="shared" si="21"/>
        <v>WEC Energy Group</v>
      </c>
      <c r="E111" s="22"/>
      <c r="F111" s="63">
        <f t="shared" ca="1" si="24"/>
        <v>8.2377208589387969</v>
      </c>
      <c r="G111" s="63">
        <f t="shared" si="22"/>
        <v>10.875000000000002</v>
      </c>
      <c r="H111" s="63">
        <f ca="1">IFERROR(VLOOKUP($A111,LASTYR,'2016'!$L$3,FALSE),"N/A")</f>
        <v>10.951956965312558</v>
      </c>
      <c r="I111" s="63">
        <f t="shared" ca="1" si="29"/>
        <v>12.896150865409455</v>
      </c>
      <c r="J111" s="63">
        <f t="shared" ca="1" si="29"/>
        <v>10.266114592658909</v>
      </c>
      <c r="K111" s="63">
        <f t="shared" ca="1" si="29"/>
        <v>9.5760517799352769</v>
      </c>
      <c r="L111" s="63">
        <f t="shared" ca="1" si="29"/>
        <v>9.2385229540918168</v>
      </c>
      <c r="M111" s="63">
        <f t="shared" ca="1" si="29"/>
        <v>8.4315960912052113</v>
      </c>
      <c r="N111" s="63">
        <f t="shared" ca="1" si="29"/>
        <v>8.1465778316172006</v>
      </c>
      <c r="O111" s="63">
        <f t="shared" ca="1" si="29"/>
        <v>6.8706563706563699</v>
      </c>
      <c r="P111" s="63">
        <f t="shared" ca="1" si="29"/>
        <v>7.5732656514382404</v>
      </c>
      <c r="Q111" s="63">
        <f t="shared" ca="1" si="29"/>
        <v>7.8410995641971173</v>
      </c>
      <c r="R111" s="63">
        <f t="shared" ca="1" si="29"/>
        <v>7.2726017943409245</v>
      </c>
      <c r="S111" s="63">
        <f t="shared" ca="1" si="29"/>
        <v>6.4014522821576767</v>
      </c>
      <c r="T111" s="63">
        <f t="shared" ca="1" si="29"/>
        <v>6.2742060000000004</v>
      </c>
      <c r="U111" s="63">
        <f t="shared" ca="1" si="29"/>
        <v>4.9149459999999996</v>
      </c>
      <c r="V111" s="63">
        <f t="shared" ca="1" si="29"/>
        <v>4.2733350000000003</v>
      </c>
    </row>
    <row r="112" spans="1:22">
      <c r="A112" s="51" t="str">
        <f t="shared" si="19"/>
        <v>WR</v>
      </c>
      <c r="B112" s="46">
        <f t="shared" ca="1" si="20"/>
        <v>72</v>
      </c>
      <c r="C112" s="1">
        <f>IF(ISERROR(D112),"",IF(D112="","",MAX($C$71:C111)+1))</f>
        <v>40</v>
      </c>
      <c r="D112" t="str">
        <f t="shared" si="21"/>
        <v xml:space="preserve">Westar Energy                 </v>
      </c>
      <c r="E112" s="22"/>
      <c r="F112" s="63">
        <f t="shared" ca="1" si="24"/>
        <v>6.9098876123002446</v>
      </c>
      <c r="G112" s="63">
        <f t="shared" si="22"/>
        <v>10.795918367346939</v>
      </c>
      <c r="H112" s="63">
        <f ca="1">IFERROR(VLOOKUP($A112,LASTYR,'2016'!$L$3,FALSE),"N/A")</f>
        <v>10.855546357615895</v>
      </c>
      <c r="I112" s="63">
        <f t="shared" ca="1" si="29"/>
        <v>9.0473844710297922</v>
      </c>
      <c r="J112" s="63">
        <f t="shared" ca="1" si="29"/>
        <v>7.92512077294686</v>
      </c>
      <c r="K112" s="63">
        <f t="shared" ca="1" si="29"/>
        <v>7.2319564230594651</v>
      </c>
      <c r="L112" s="63">
        <f t="shared" ca="1" si="29"/>
        <v>6.7148837209302323</v>
      </c>
      <c r="M112" s="63">
        <f t="shared" ca="1" si="29"/>
        <v>6.6716267339218156</v>
      </c>
      <c r="N112" s="63">
        <f t="shared" ca="1" si="29"/>
        <v>5.5069657615112151</v>
      </c>
      <c r="O112" s="63">
        <f t="shared" ca="1" si="29"/>
        <v>5.3247982187586977</v>
      </c>
      <c r="P112" s="63">
        <f t="shared" ca="1" si="29"/>
        <v>7.0880382775119619</v>
      </c>
      <c r="Q112" s="63">
        <f t="shared" ca="1" si="29"/>
        <v>6.875993640699523</v>
      </c>
      <c r="R112" s="63">
        <f t="shared" ca="1" si="29"/>
        <v>5.8074581430745811</v>
      </c>
      <c r="S112" s="63">
        <f t="shared" ca="1" si="29"/>
        <v>6.9972519083969464</v>
      </c>
      <c r="T112" s="63">
        <f t="shared" ca="1" si="29"/>
        <v>6.538462</v>
      </c>
      <c r="U112" s="63">
        <f t="shared" ca="1" si="29"/>
        <v>4.2357319999999996</v>
      </c>
      <c r="V112" s="63">
        <f t="shared" ca="1" si="29"/>
        <v>2.941065</v>
      </c>
    </row>
    <row r="113" spans="1:22">
      <c r="A113" s="51" t="str">
        <f t="shared" si="19"/>
        <v>XEL</v>
      </c>
      <c r="B113" s="46">
        <f t="shared" ca="1" si="20"/>
        <v>74</v>
      </c>
      <c r="C113" s="1">
        <f>IF(ISERROR(D113),"",IF(D113="","",MAX($C$71:C112)+1))</f>
        <v>41</v>
      </c>
      <c r="D113" t="str">
        <f t="shared" si="21"/>
        <v xml:space="preserve">Xcel Energy Inc.              </v>
      </c>
      <c r="E113" s="22"/>
      <c r="F113" s="63">
        <f t="shared" ca="1" si="24"/>
        <v>6.3455880978839492</v>
      </c>
      <c r="G113" s="63">
        <f t="shared" si="22"/>
        <v>8.045454545454545</v>
      </c>
      <c r="H113" s="63">
        <f ca="1">IFERROR(VLOOKUP($A113,LASTYR,'2016'!$L$3,FALSE),"N/A")</f>
        <v>8.0961729129486422</v>
      </c>
      <c r="I113" s="63">
        <f t="shared" ca="1" si="29"/>
        <v>7.6210226025894219</v>
      </c>
      <c r="J113" s="63">
        <f t="shared" ca="1" si="29"/>
        <v>7.314819136522754</v>
      </c>
      <c r="K113" s="63">
        <f t="shared" ca="1" si="29"/>
        <v>7.0043891733723482</v>
      </c>
      <c r="L113" s="63">
        <f t="shared" ca="1" si="29"/>
        <v>6.8532866783304174</v>
      </c>
      <c r="M113" s="63">
        <f t="shared" ca="1" si="29"/>
        <v>6.4721268163804488</v>
      </c>
      <c r="N113" s="63">
        <f t="shared" ca="1" si="29"/>
        <v>6.2759111617312078</v>
      </c>
      <c r="O113" s="63">
        <f t="shared" ca="1" si="29"/>
        <v>5.4270923209663504</v>
      </c>
      <c r="P113" s="63">
        <f t="shared" ca="1" si="29"/>
        <v>5.7058823529411766</v>
      </c>
      <c r="Q113" s="63">
        <f t="shared" ca="1" si="29"/>
        <v>6.5089751013317887</v>
      </c>
      <c r="R113" s="63">
        <f t="shared" ca="1" si="29"/>
        <v>5.5397837538120314</v>
      </c>
      <c r="S113" s="63">
        <f t="shared" ca="1" si="29"/>
        <v>5.6238560097620498</v>
      </c>
      <c r="T113" s="63">
        <f t="shared" ca="1" si="29"/>
        <v>5.3087289999999996</v>
      </c>
      <c r="U113" s="63">
        <f t="shared" ca="1" si="29"/>
        <v>4.2676220000000002</v>
      </c>
      <c r="V113" s="63">
        <f t="shared" ca="1" si="29"/>
        <v>5.4642860000000004</v>
      </c>
    </row>
    <row r="114" spans="1:22" hidden="1">
      <c r="A114" s="51">
        <f t="shared" si="19"/>
        <v>0</v>
      </c>
      <c r="B114" s="46" t="str">
        <f t="shared" ca="1" si="20"/>
        <v/>
      </c>
      <c r="C114" s="1" t="str">
        <f>IF(ISERROR(D114),"",IF(D114="","",MAX($C$71:C113)+1))</f>
        <v/>
      </c>
      <c r="D114" t="e">
        <f t="shared" si="21"/>
        <v>#N/A</v>
      </c>
      <c r="E114" s="22"/>
      <c r="F114" s="63" t="str">
        <f t="shared" ca="1" si="24"/>
        <v>N/A</v>
      </c>
      <c r="G114" s="63" t="str">
        <f t="shared" si="22"/>
        <v>N/A</v>
      </c>
      <c r="H114" s="63" t="str">
        <f ca="1">IFERROR(VLOOKUP($A114,LASTYR,'2016'!$L$3,FALSE),"N/A")</f>
        <v>N/A</v>
      </c>
      <c r="I114" s="63" t="str">
        <f t="shared" ca="1" si="29"/>
        <v>N/A</v>
      </c>
      <c r="J114" s="63" t="str">
        <f t="shared" ca="1" si="29"/>
        <v>N/A</v>
      </c>
      <c r="K114" s="63" t="str">
        <f t="shared" ca="1" si="29"/>
        <v>N/A</v>
      </c>
      <c r="L114" s="63" t="str">
        <f t="shared" ca="1" si="29"/>
        <v>N/A</v>
      </c>
      <c r="M114" s="63" t="str">
        <f t="shared" ca="1" si="29"/>
        <v>N/A</v>
      </c>
      <c r="N114" s="63" t="str">
        <f t="shared" ca="1" si="29"/>
        <v>N/A</v>
      </c>
      <c r="O114" s="63" t="str">
        <f t="shared" ca="1" si="29"/>
        <v>N/A</v>
      </c>
      <c r="P114" s="63" t="str">
        <f t="shared" ca="1" si="29"/>
        <v>N/A</v>
      </c>
      <c r="Q114" s="63" t="str">
        <f t="shared" ca="1" si="29"/>
        <v>N/A</v>
      </c>
      <c r="R114" s="63" t="str">
        <f t="shared" ca="1" si="29"/>
        <v>N/A</v>
      </c>
      <c r="S114" s="63" t="str">
        <f t="shared" ca="1" si="29"/>
        <v>N/A</v>
      </c>
      <c r="T114" s="63" t="str">
        <f t="shared" ca="1" si="29"/>
        <v>N/A</v>
      </c>
      <c r="U114" s="63" t="str">
        <f t="shared" ca="1" si="29"/>
        <v>N/A</v>
      </c>
      <c r="V114" s="63" t="str">
        <f t="shared" ca="1" si="29"/>
        <v>N/A</v>
      </c>
    </row>
    <row r="115" spans="1:22" hidden="1">
      <c r="A115" s="51">
        <f t="shared" si="19"/>
        <v>0</v>
      </c>
      <c r="B115" s="46" t="str">
        <f t="shared" ca="1" si="20"/>
        <v/>
      </c>
      <c r="C115" s="1" t="str">
        <f>IF(ISERROR(D115),"",IF(D115="","",MAX($C$71:C114)+1))</f>
        <v/>
      </c>
      <c r="D115" t="e">
        <f t="shared" si="21"/>
        <v>#N/A</v>
      </c>
      <c r="F115" s="63" t="str">
        <f t="shared" ca="1" si="24"/>
        <v>N/A</v>
      </c>
      <c r="G115" s="63" t="str">
        <f t="shared" si="22"/>
        <v>N/A</v>
      </c>
      <c r="H115" s="63" t="str">
        <f ca="1">IFERROR(VLOOKUP($A115,LASTYR,'2016'!$L$3,FALSE),"N/A")</f>
        <v>N/A</v>
      </c>
      <c r="I115" s="63" t="str">
        <f t="shared" ca="1" si="29"/>
        <v>N/A</v>
      </c>
      <c r="J115" s="63" t="str">
        <f t="shared" ca="1" si="29"/>
        <v>N/A</v>
      </c>
      <c r="K115" s="63" t="str">
        <f t="shared" ca="1" si="29"/>
        <v>N/A</v>
      </c>
      <c r="L115" s="63" t="str">
        <f t="shared" ca="1" si="29"/>
        <v>N/A</v>
      </c>
      <c r="M115" s="63" t="str">
        <f t="shared" ca="1" si="29"/>
        <v>N/A</v>
      </c>
      <c r="N115" s="63" t="str">
        <f t="shared" ca="1" si="29"/>
        <v>N/A</v>
      </c>
      <c r="O115" s="63" t="str">
        <f t="shared" ca="1" si="29"/>
        <v>N/A</v>
      </c>
      <c r="P115" s="63" t="str">
        <f t="shared" ca="1" si="29"/>
        <v>N/A</v>
      </c>
      <c r="Q115" s="63" t="str">
        <f t="shared" ca="1" si="29"/>
        <v>N/A</v>
      </c>
      <c r="R115" s="63" t="str">
        <f t="shared" ca="1" si="29"/>
        <v>N/A</v>
      </c>
      <c r="S115" s="63" t="str">
        <f t="shared" ca="1" si="29"/>
        <v>N/A</v>
      </c>
      <c r="T115" s="63" t="str">
        <f t="shared" ca="1" si="29"/>
        <v>N/A</v>
      </c>
      <c r="U115" s="63" t="str">
        <f t="shared" ca="1" si="29"/>
        <v>N/A</v>
      </c>
      <c r="V115" s="63" t="str">
        <f t="shared" ca="1" si="29"/>
        <v>N/A</v>
      </c>
    </row>
    <row r="116" spans="1:22" hidden="1">
      <c r="A116" s="51">
        <f t="shared" si="19"/>
        <v>0</v>
      </c>
      <c r="B116" s="46" t="str">
        <f t="shared" ca="1" si="20"/>
        <v/>
      </c>
      <c r="C116" s="1" t="str">
        <f>IF(ISERROR(D116),"",IF(D116="","",MAX($C$71:C115)+1))</f>
        <v/>
      </c>
      <c r="D116" t="e">
        <f t="shared" si="21"/>
        <v>#N/A</v>
      </c>
      <c r="F116" s="63" t="str">
        <f t="shared" ca="1" si="24"/>
        <v>N/A</v>
      </c>
      <c r="G116" s="63" t="str">
        <f t="shared" si="22"/>
        <v>N/A</v>
      </c>
      <c r="H116" s="63" t="str">
        <f ca="1">IFERROR(VLOOKUP($A116,LASTYR,'2016'!$L$3,FALSE),"N/A")</f>
        <v>N/A</v>
      </c>
      <c r="I116" s="63" t="str">
        <f t="shared" ca="1" si="29"/>
        <v>N/A</v>
      </c>
      <c r="J116" s="63" t="str">
        <f t="shared" ca="1" si="29"/>
        <v>N/A</v>
      </c>
      <c r="K116" s="63" t="str">
        <f t="shared" ca="1" si="29"/>
        <v>N/A</v>
      </c>
      <c r="L116" s="63" t="str">
        <f t="shared" ca="1" si="29"/>
        <v>N/A</v>
      </c>
      <c r="M116" s="63" t="str">
        <f t="shared" ca="1" si="29"/>
        <v>N/A</v>
      </c>
      <c r="N116" s="63" t="str">
        <f t="shared" ca="1" si="29"/>
        <v>N/A</v>
      </c>
      <c r="O116" s="63" t="str">
        <f t="shared" ca="1" si="29"/>
        <v>N/A</v>
      </c>
      <c r="P116" s="63" t="str">
        <f t="shared" ca="1" si="29"/>
        <v>N/A</v>
      </c>
      <c r="Q116" s="63" t="str">
        <f t="shared" ca="1" si="29"/>
        <v>N/A</v>
      </c>
      <c r="R116" s="63" t="str">
        <f t="shared" ca="1" si="29"/>
        <v>N/A</v>
      </c>
      <c r="S116" s="63" t="str">
        <f t="shared" ca="1" si="29"/>
        <v>N/A</v>
      </c>
      <c r="T116" s="63" t="str">
        <f t="shared" ca="1" si="29"/>
        <v>N/A</v>
      </c>
      <c r="U116" s="63" t="str">
        <f t="shared" ca="1" si="29"/>
        <v>N/A</v>
      </c>
      <c r="V116" s="63" t="str">
        <f t="shared" ca="1" si="29"/>
        <v>N/A</v>
      </c>
    </row>
    <row r="117" spans="1:22" hidden="1">
      <c r="A117" s="51">
        <f t="shared" si="19"/>
        <v>0</v>
      </c>
      <c r="B117" s="46" t="str">
        <f t="shared" ca="1" si="20"/>
        <v/>
      </c>
      <c r="C117" s="1" t="str">
        <f>IF(ISERROR(D117),"",IF(D117="","",MAX($C$71:C116)+1))</f>
        <v/>
      </c>
      <c r="D117" t="e">
        <f t="shared" si="21"/>
        <v>#N/A</v>
      </c>
      <c r="F117" s="63" t="str">
        <f t="shared" ca="1" si="24"/>
        <v>N/A</v>
      </c>
      <c r="G117" s="63" t="str">
        <f t="shared" si="22"/>
        <v>N/A</v>
      </c>
      <c r="H117" s="63" t="str">
        <f ca="1">IFERROR(VLOOKUP($A117,LASTYR,'2016'!$L$3,FALSE),"N/A")</f>
        <v>N/A</v>
      </c>
      <c r="I117" s="63" t="str">
        <f t="shared" ca="1" si="29"/>
        <v>N/A</v>
      </c>
      <c r="J117" s="63" t="str">
        <f t="shared" ca="1" si="29"/>
        <v>N/A</v>
      </c>
      <c r="K117" s="63" t="str">
        <f t="shared" ca="1" si="29"/>
        <v>N/A</v>
      </c>
      <c r="L117" s="63" t="str">
        <f t="shared" ca="1" si="29"/>
        <v>N/A</v>
      </c>
      <c r="M117" s="63" t="str">
        <f t="shared" ca="1" si="29"/>
        <v>N/A</v>
      </c>
      <c r="N117" s="63" t="str">
        <f t="shared" ca="1" si="29"/>
        <v>N/A</v>
      </c>
      <c r="O117" s="63" t="str">
        <f t="shared" ca="1" si="29"/>
        <v>N/A</v>
      </c>
      <c r="P117" s="63" t="str">
        <f t="shared" ca="1" si="29"/>
        <v>N/A</v>
      </c>
      <c r="Q117" s="63" t="str">
        <f t="shared" ca="1" si="29"/>
        <v>N/A</v>
      </c>
      <c r="R117" s="63" t="str">
        <f t="shared" ca="1" si="29"/>
        <v>N/A</v>
      </c>
      <c r="S117" s="63" t="str">
        <f t="shared" ca="1" si="29"/>
        <v>N/A</v>
      </c>
      <c r="T117" s="63" t="str">
        <f t="shared" ca="1" si="29"/>
        <v>N/A</v>
      </c>
      <c r="U117" s="63" t="str">
        <f t="shared" ca="1" si="29"/>
        <v>N/A</v>
      </c>
      <c r="V117" s="63" t="str">
        <f t="shared" ca="1" si="29"/>
        <v>N/A</v>
      </c>
    </row>
    <row r="118" spans="1:22">
      <c r="A118" s="31"/>
      <c r="B118" s="31"/>
      <c r="C118" s="1" t="str">
        <f>IF(ISERROR(D118),"",IF(D118="","",MAX($C$71:C117)+1))</f>
        <v/>
      </c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spans="1:22">
      <c r="A119" s="31"/>
      <c r="B119" s="31"/>
      <c r="C119" s="1">
        <f>IF(ISERROR(D119),"",IF(D119="","",MAX($C$71:C118)+1))</f>
        <v>42</v>
      </c>
      <c r="D119" t="s">
        <v>98</v>
      </c>
      <c r="F119" s="63">
        <f ca="1">AVERAGE(G119:V119)</f>
        <v>7.0639027525113871</v>
      </c>
      <c r="G119" s="63">
        <f t="shared" ref="G119:R119" si="30">AVERAGE(G73:G118)</f>
        <v>8.7241873029081347</v>
      </c>
      <c r="H119" s="63">
        <f t="shared" ca="1" si="30"/>
        <v>8.6465494010622752</v>
      </c>
      <c r="I119" s="63">
        <f t="shared" ca="1" si="30"/>
        <v>8.0524430834212009</v>
      </c>
      <c r="J119" s="63">
        <f t="shared" ca="1" si="30"/>
        <v>7.846908956226093</v>
      </c>
      <c r="K119" s="63">
        <f t="shared" ca="1" si="30"/>
        <v>7.3944140006039829</v>
      </c>
      <c r="L119" s="63">
        <f t="shared" ca="1" si="30"/>
        <v>6.9832657004429191</v>
      </c>
      <c r="M119" s="63">
        <f t="shared" ca="1" si="30"/>
        <v>6.531153690802542</v>
      </c>
      <c r="N119" s="63">
        <f t="shared" ca="1" si="30"/>
        <v>6.0023739964227634</v>
      </c>
      <c r="O119" s="63">
        <f t="shared" ca="1" si="30"/>
        <v>5.5922481107146451</v>
      </c>
      <c r="P119" s="63">
        <f t="shared" ca="1" si="30"/>
        <v>6.9546896217314798</v>
      </c>
      <c r="Q119" s="63">
        <f t="shared" ca="1" si="30"/>
        <v>7.7230160237861654</v>
      </c>
      <c r="R119" s="63">
        <f t="shared" ca="1" si="30"/>
        <v>7.1198075065685043</v>
      </c>
      <c r="S119" s="63">
        <f t="shared" ref="S119:V119" ca="1" si="31">AVERAGE(S73:S118)</f>
        <v>7.1264738016038347</v>
      </c>
      <c r="T119" s="63">
        <f t="shared" ca="1" si="31"/>
        <v>6.7725519618673538</v>
      </c>
      <c r="U119" s="63">
        <f t="shared" ca="1" si="31"/>
        <v>5.7047434658657901</v>
      </c>
      <c r="V119" s="63">
        <f t="shared" ca="1" si="31"/>
        <v>5.8476174161545211</v>
      </c>
    </row>
    <row r="120" spans="1:22">
      <c r="A120" s="31"/>
      <c r="B120" s="31"/>
      <c r="C120" s="1">
        <f>IF(ISERROR(D120),"",IF(D120="","",MAX($C$71:C119)+1))</f>
        <v>43</v>
      </c>
      <c r="D120" t="s">
        <v>257</v>
      </c>
      <c r="F120" s="63">
        <f ca="1">AVERAGE(G120:V120)</f>
        <v>6.9434989010856265</v>
      </c>
      <c r="G120" s="63">
        <f>MEDIAN(G73:G118)</f>
        <v>8.5597484276729556</v>
      </c>
      <c r="H120" s="63">
        <f t="shared" ref="H120:R120" ca="1" si="32">MEDIAN(H73:H118)</f>
        <v>8.5698913043478271</v>
      </c>
      <c r="I120" s="63">
        <f t="shared" ca="1" si="32"/>
        <v>7.9253754451153426</v>
      </c>
      <c r="J120" s="63">
        <f t="shared" ca="1" si="32"/>
        <v>7.5365263004445779</v>
      </c>
      <c r="K120" s="63">
        <f t="shared" ca="1" si="32"/>
        <v>7.1181727982159071</v>
      </c>
      <c r="L120" s="63">
        <f t="shared" ca="1" si="32"/>
        <v>6.8539879937387322</v>
      </c>
      <c r="M120" s="63">
        <f t="shared" ca="1" si="32"/>
        <v>6.2693358855666492</v>
      </c>
      <c r="N120" s="63">
        <f t="shared" ca="1" si="32"/>
        <v>5.7980173869825276</v>
      </c>
      <c r="O120" s="63">
        <f t="shared" ca="1" si="32"/>
        <v>5.3456393328430361</v>
      </c>
      <c r="P120" s="63">
        <f t="shared" ca="1" si="32"/>
        <v>7.0944177720133839</v>
      </c>
      <c r="Q120" s="63">
        <f t="shared" ca="1" si="32"/>
        <v>7.764429143423218</v>
      </c>
      <c r="R120" s="63">
        <f t="shared" ca="1" si="32"/>
        <v>7.3743909041689228</v>
      </c>
      <c r="S120" s="63">
        <f t="shared" ref="S120:V120" ca="1" si="33">MEDIAN(S73:S118)</f>
        <v>7.0365226337448563</v>
      </c>
      <c r="T120" s="63">
        <f t="shared" ca="1" si="33"/>
        <v>6.7148405890920859</v>
      </c>
      <c r="U120" s="63">
        <f t="shared" ca="1" si="33"/>
        <v>5.6177109999999999</v>
      </c>
      <c r="V120" s="63">
        <f t="shared" ca="1" si="33"/>
        <v>5.5169755</v>
      </c>
    </row>
    <row r="121" spans="1:22">
      <c r="A121" s="31"/>
      <c r="B121" s="31"/>
      <c r="C121" s="1"/>
    </row>
    <row r="122" spans="1:22">
      <c r="A122" s="31"/>
      <c r="B122" s="31"/>
      <c r="D122" s="18"/>
      <c r="E122" s="91"/>
    </row>
    <row r="123" spans="1:22">
      <c r="A123" s="31"/>
      <c r="B123" s="31"/>
      <c r="D123" s="20" t="s">
        <v>107</v>
      </c>
    </row>
    <row r="124" spans="1:22" ht="16.5">
      <c r="A124" s="31"/>
      <c r="B124" s="31"/>
      <c r="D124" s="79">
        <v>1</v>
      </c>
      <c r="E124" s="21" t="str">
        <f>"The Value Line Investment Survey Investment Analyzer Software, downloaded on "&amp;TEXT('2016'!$A$1,"mmmm d, yyyy.")</f>
        <v>The Value Line Investment Survey Investment Analyzer Software, downloaded on June 21, 2017.</v>
      </c>
    </row>
    <row r="125" spans="1:22" ht="16.5">
      <c r="A125" s="31"/>
      <c r="B125" s="31"/>
      <c r="D125" s="79">
        <v>2</v>
      </c>
      <c r="E125" s="21" t="str">
        <f>"The Value Line Investment Survey, "&amp;'2017 Data (WP)'!$D$1</f>
        <v>The Value Line Investment Survey, July 28, August 18, and September 15, 2017.</v>
      </c>
    </row>
    <row r="126" spans="1:22">
      <c r="A126" s="31"/>
      <c r="B126" s="31"/>
      <c r="D126" s="20" t="s">
        <v>108</v>
      </c>
    </row>
    <row r="127" spans="1:22" ht="16.5">
      <c r="A127" s="31"/>
      <c r="B127" s="31"/>
      <c r="D127" s="93" t="s">
        <v>362</v>
      </c>
      <c r="E127" t="s">
        <v>365</v>
      </c>
    </row>
    <row r="128" spans="1:22">
      <c r="D128" s="23"/>
      <c r="E128" s="23" t="str">
        <f>"published in The Value Line Investment Survey, "&amp;'2017 Data (WP)'!$D$1</f>
        <v>published in The Value Line Investment Survey, July 28, August 18, and September 15, 2017.</v>
      </c>
    </row>
    <row r="129" spans="1:22">
      <c r="A129" s="31"/>
      <c r="B129" s="31"/>
      <c r="C129" s="1"/>
    </row>
    <row r="130" spans="1:22" ht="17.25">
      <c r="A130" s="31"/>
      <c r="B130" s="31"/>
      <c r="C130" s="6"/>
      <c r="D130" s="6"/>
      <c r="E130" s="19"/>
      <c r="F130" s="139" t="s">
        <v>260</v>
      </c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</row>
    <row r="131" spans="1:22" ht="15">
      <c r="A131" s="31"/>
      <c r="B131" s="31"/>
      <c r="C131" s="6"/>
      <c r="D131" s="7"/>
      <c r="E131" s="7"/>
      <c r="F131" s="8" t="s">
        <v>331</v>
      </c>
      <c r="G131" s="8"/>
      <c r="H131" s="8"/>
      <c r="I131" s="8"/>
      <c r="J131" s="8"/>
      <c r="K131" s="8"/>
      <c r="L131" s="8"/>
      <c r="M131" s="8"/>
      <c r="N131" s="8"/>
      <c r="O131" s="7"/>
      <c r="P131" s="7"/>
      <c r="Q131" s="7"/>
      <c r="R131" s="7"/>
      <c r="S131" s="7"/>
      <c r="T131" s="7"/>
      <c r="U131" s="7"/>
    </row>
    <row r="132" spans="1:22" ht="17.25">
      <c r="A132" s="31"/>
      <c r="B132" s="31"/>
      <c r="C132" s="9" t="s">
        <v>96</v>
      </c>
      <c r="D132" s="138" t="s">
        <v>97</v>
      </c>
      <c r="E132" s="138"/>
      <c r="F132" s="10" t="s">
        <v>98</v>
      </c>
      <c r="G132" s="10" t="s">
        <v>334</v>
      </c>
      <c r="H132" s="41">
        <v>2016</v>
      </c>
      <c r="I132" s="41">
        <v>2015</v>
      </c>
      <c r="J132" s="41">
        <v>2014</v>
      </c>
      <c r="K132" s="41">
        <v>2013</v>
      </c>
      <c r="L132" s="41">
        <v>2012</v>
      </c>
      <c r="M132" s="41">
        <v>2011</v>
      </c>
      <c r="N132" s="41">
        <v>2010</v>
      </c>
      <c r="O132" s="41">
        <v>2009</v>
      </c>
      <c r="P132" s="41">
        <v>2008</v>
      </c>
      <c r="Q132" s="41">
        <v>2007</v>
      </c>
      <c r="R132" s="41">
        <v>2006</v>
      </c>
      <c r="S132" s="41">
        <v>2005</v>
      </c>
      <c r="T132" s="41"/>
      <c r="U132" s="41"/>
      <c r="V132" s="41"/>
    </row>
    <row r="133" spans="1:22" ht="15">
      <c r="A133" s="42"/>
      <c r="B133" s="42"/>
      <c r="C133" s="9"/>
      <c r="D133" s="11"/>
      <c r="E133" s="11"/>
      <c r="F133" s="12">
        <v>-1</v>
      </c>
      <c r="G133" s="12">
        <f t="shared" ref="G133:S133" si="34">+F133-1</f>
        <v>-2</v>
      </c>
      <c r="H133" s="12">
        <f t="shared" si="34"/>
        <v>-3</v>
      </c>
      <c r="I133" s="12">
        <f t="shared" si="34"/>
        <v>-4</v>
      </c>
      <c r="J133" s="12">
        <f t="shared" si="34"/>
        <v>-5</v>
      </c>
      <c r="K133" s="12">
        <f t="shared" si="34"/>
        <v>-6</v>
      </c>
      <c r="L133" s="12">
        <f t="shared" si="34"/>
        <v>-7</v>
      </c>
      <c r="M133" s="12">
        <f t="shared" si="34"/>
        <v>-8</v>
      </c>
      <c r="N133" s="12">
        <f t="shared" si="34"/>
        <v>-9</v>
      </c>
      <c r="O133" s="12">
        <f t="shared" si="34"/>
        <v>-10</v>
      </c>
      <c r="P133" s="12">
        <f t="shared" si="34"/>
        <v>-11</v>
      </c>
      <c r="Q133" s="12">
        <f t="shared" si="34"/>
        <v>-12</v>
      </c>
      <c r="R133" s="12">
        <f t="shared" si="34"/>
        <v>-13</v>
      </c>
      <c r="S133" s="12">
        <f t="shared" si="34"/>
        <v>-14</v>
      </c>
      <c r="T133" s="12"/>
      <c r="U133" s="12"/>
      <c r="V133" s="12"/>
    </row>
    <row r="134" spans="1:22">
      <c r="A134" s="43"/>
      <c r="B134" s="44"/>
      <c r="C134" s="6"/>
      <c r="E134" s="22"/>
      <c r="F134" s="36"/>
      <c r="G134" s="36"/>
      <c r="H134" s="16">
        <f t="shared" ref="H134:R134" ca="1" si="35">MATCH(VALUE(LEFT(H132,4)),OFFSET(MP_BV_WP,-1,0,1,),0)</f>
        <v>6</v>
      </c>
      <c r="I134" s="16">
        <f t="shared" ca="1" si="35"/>
        <v>7</v>
      </c>
      <c r="J134" s="16">
        <f t="shared" ca="1" si="35"/>
        <v>8</v>
      </c>
      <c r="K134" s="16">
        <f t="shared" ca="1" si="35"/>
        <v>9</v>
      </c>
      <c r="L134" s="16">
        <f t="shared" ca="1" si="35"/>
        <v>10</v>
      </c>
      <c r="M134" s="16">
        <f t="shared" ca="1" si="35"/>
        <v>11</v>
      </c>
      <c r="N134" s="16">
        <f t="shared" ca="1" si="35"/>
        <v>12</v>
      </c>
      <c r="O134" s="16">
        <f t="shared" ca="1" si="35"/>
        <v>13</v>
      </c>
      <c r="P134" s="16">
        <f t="shared" ca="1" si="35"/>
        <v>14</v>
      </c>
      <c r="Q134" s="16">
        <f t="shared" ca="1" si="35"/>
        <v>15</v>
      </c>
      <c r="R134" s="16">
        <f t="shared" ca="1" si="35"/>
        <v>16</v>
      </c>
      <c r="S134" s="16">
        <f t="shared" ref="S134" ca="1" si="36">MATCH(VALUE(LEFT(S132,4)),OFFSET(MP_BV_WP,-1,0,1,),0)</f>
        <v>17</v>
      </c>
      <c r="T134" s="52"/>
      <c r="U134" s="52"/>
      <c r="V134" s="52"/>
    </row>
    <row r="135" spans="1:22">
      <c r="A135" s="51" t="str">
        <f t="shared" ref="A135:A179" si="37">A14</f>
        <v>ALE</v>
      </c>
      <c r="B135" s="46">
        <f t="shared" ref="B135:B179" ca="1" si="38">MATCH(A135,OFFSET(MP_BV_WP,0,0,,1),0)</f>
        <v>2</v>
      </c>
      <c r="C135" s="1">
        <f>IF(ISERROR(D135),"",IF(D135="","",MAX($C$133:C134)+1))</f>
        <v>1</v>
      </c>
      <c r="D135" t="str">
        <f t="shared" ref="D135:D179" si="39">D14</f>
        <v xml:space="preserve">ALLETE                        </v>
      </c>
      <c r="E135" s="22"/>
      <c r="F135" s="63">
        <f ca="1">AVERAGE(G135:S135)</f>
        <v>1.5744659247183426</v>
      </c>
      <c r="G135" s="63">
        <f t="shared" ref="G135:G179" si="40">IFERROR(IF(VLOOKUP(A135,LUCurYr,14,FALSE)=0,"",VLOOKUP(A135,LUCurYr,14,FALSE)),"N/A")</f>
        <v>1.7528230865746548</v>
      </c>
      <c r="H135" s="63">
        <f ca="1">IFERROR(VLOOKUP($A135,LASTYR,'2016'!$M$3,FALSE),"N/A")</f>
        <v>1.5329228350582995</v>
      </c>
      <c r="I135" s="63">
        <f t="shared" ref="I135:S150" ca="1" si="41">IFERROR(IF(INDEX(MP_BV_WP,$B135,I$134)=0,"N/A",INDEX(MP_BV_WP,$B135,I$134)),"N/A")</f>
        <v>1.3727711688381754</v>
      </c>
      <c r="J135" s="63">
        <f t="shared" ca="1" si="41"/>
        <v>1.4249778969283859</v>
      </c>
      <c r="K135" s="63">
        <f t="shared" ca="1" si="41"/>
        <v>1.5076301754169621</v>
      </c>
      <c r="L135" s="63">
        <f t="shared" ca="1" si="41"/>
        <v>1.3442031362771472</v>
      </c>
      <c r="M135" s="63">
        <f t="shared" ca="1" si="41"/>
        <v>1.3500225843438378</v>
      </c>
      <c r="N135" s="63">
        <f t="shared" ca="1" si="41"/>
        <v>1.2833143821296262</v>
      </c>
      <c r="O135" s="63">
        <f t="shared" ca="1" si="41"/>
        <v>1.1509505415435886</v>
      </c>
      <c r="P135" s="63">
        <f t="shared" ca="1" si="41"/>
        <v>1.5502739348074575</v>
      </c>
      <c r="Q135" s="63">
        <f t="shared" ca="1" si="41"/>
        <v>1.8882621318954793</v>
      </c>
      <c r="R135" s="63">
        <f t="shared" ca="1" si="41"/>
        <v>2.092598511483494</v>
      </c>
      <c r="S135" s="63">
        <f t="shared" ca="1" si="41"/>
        <v>2.2173066360413438</v>
      </c>
      <c r="T135" s="17"/>
      <c r="U135" s="17"/>
      <c r="V135" s="17"/>
    </row>
    <row r="136" spans="1:22">
      <c r="A136" s="51" t="str">
        <f t="shared" si="37"/>
        <v>LNT</v>
      </c>
      <c r="B136" s="46">
        <f t="shared" ca="1" si="38"/>
        <v>3</v>
      </c>
      <c r="C136" s="1">
        <f>IF(ISERROR(D136),"",IF(D136="","",MAX($C$133:C135)+1))</f>
        <v>2</v>
      </c>
      <c r="D136" t="str">
        <f t="shared" si="39"/>
        <v xml:space="preserve">Alliant Energy                </v>
      </c>
      <c r="E136" s="22"/>
      <c r="F136" s="63">
        <f t="shared" ref="F136:F179" ca="1" si="42">AVERAGE(G136:S136)</f>
        <v>1.6245763138509237</v>
      </c>
      <c r="G136" s="63">
        <f t="shared" si="40"/>
        <v>2.2865329512893986</v>
      </c>
      <c r="H136" s="63">
        <f ca="1">IFERROR(VLOOKUP($A136,LASTYR,'2016'!$M$3,FALSE),"N/A")</f>
        <v>2.1694865295053942</v>
      </c>
      <c r="I136" s="63">
        <f t="shared" ca="1" si="41"/>
        <v>1.8608944674628323</v>
      </c>
      <c r="J136" s="63">
        <f t="shared" ca="1" si="41"/>
        <v>1.8585949562532167</v>
      </c>
      <c r="K136" s="63">
        <f t="shared" ca="1" si="41"/>
        <v>1.6991683007640814</v>
      </c>
      <c r="L136" s="63">
        <f t="shared" ca="1" si="41"/>
        <v>1.5654605961906112</v>
      </c>
      <c r="M136" s="63">
        <f t="shared" ca="1" si="41"/>
        <v>1.4642593957258658</v>
      </c>
      <c r="N136" s="63">
        <f t="shared" ca="1" si="41"/>
        <v>1.3144784241588103</v>
      </c>
      <c r="O136" s="63">
        <f t="shared" ca="1" si="41"/>
        <v>1.0448273111589694</v>
      </c>
      <c r="P136" s="63">
        <f t="shared" ca="1" si="41"/>
        <v>1.3346894069785635</v>
      </c>
      <c r="Q136" s="63">
        <f t="shared" ca="1" si="41"/>
        <v>1.6693282844912742</v>
      </c>
      <c r="R136" s="63">
        <f t="shared" ca="1" si="41"/>
        <v>1.5176068675543097</v>
      </c>
      <c r="S136" s="63">
        <f t="shared" ca="1" si="41"/>
        <v>1.3341645885286784</v>
      </c>
      <c r="T136" s="17"/>
      <c r="U136" s="17"/>
      <c r="V136" s="17"/>
    </row>
    <row r="137" spans="1:22">
      <c r="A137" s="51" t="str">
        <f t="shared" si="37"/>
        <v>AEE</v>
      </c>
      <c r="B137" s="46">
        <f t="shared" ca="1" si="38"/>
        <v>6</v>
      </c>
      <c r="C137" s="1">
        <f>IF(ISERROR(D137),"",IF(D137="","",MAX($C$133:C136)+1))</f>
        <v>3</v>
      </c>
      <c r="D137" t="str">
        <f t="shared" si="39"/>
        <v xml:space="preserve">Ameren Corp.                  </v>
      </c>
      <c r="E137" s="22"/>
      <c r="F137" s="63">
        <f t="shared" ca="1" si="42"/>
        <v>1.3512377453684019</v>
      </c>
      <c r="G137" s="63">
        <f t="shared" si="40"/>
        <v>1.8514851485148514</v>
      </c>
      <c r="H137" s="63">
        <f ca="1">IFERROR(VLOOKUP($A137,LASTYR,'2016'!$M$3,FALSE),"N/A")</f>
        <v>1.6747967479674797</v>
      </c>
      <c r="I137" s="63">
        <f t="shared" ca="1" si="41"/>
        <v>1.4586928424214904</v>
      </c>
      <c r="J137" s="63">
        <f t="shared" ca="1" si="41"/>
        <v>1.4491994072360572</v>
      </c>
      <c r="K137" s="63">
        <f t="shared" ca="1" si="41"/>
        <v>1.2860109005969376</v>
      </c>
      <c r="L137" s="63">
        <f t="shared" ca="1" si="41"/>
        <v>1.180071148274471</v>
      </c>
      <c r="M137" s="63">
        <f t="shared" ca="1" si="41"/>
        <v>0.90303902947123327</v>
      </c>
      <c r="N137" s="63">
        <f t="shared" ca="1" si="41"/>
        <v>0.83169025034986777</v>
      </c>
      <c r="O137" s="63">
        <f t="shared" ca="1" si="41"/>
        <v>0.77828834003446301</v>
      </c>
      <c r="P137" s="63">
        <f t="shared" ca="1" si="41"/>
        <v>1.2473626440636625</v>
      </c>
      <c r="Q137" s="63">
        <f t="shared" ca="1" si="41"/>
        <v>1.6041955884621317</v>
      </c>
      <c r="R137" s="63">
        <f t="shared" ca="1" si="41"/>
        <v>1.61828395681647</v>
      </c>
      <c r="S137" s="63">
        <f t="shared" ca="1" si="41"/>
        <v>1.6829746855801089</v>
      </c>
      <c r="T137" s="17"/>
      <c r="U137" s="17"/>
      <c r="V137" s="17"/>
    </row>
    <row r="138" spans="1:22">
      <c r="A138" s="51" t="str">
        <f t="shared" si="37"/>
        <v>AEP</v>
      </c>
      <c r="B138" s="46">
        <f t="shared" ca="1" si="38"/>
        <v>7</v>
      </c>
      <c r="C138" s="1">
        <f>IF(ISERROR(D138),"",IF(D138="","",MAX($C$133:C137)+1))</f>
        <v>4</v>
      </c>
      <c r="D138" t="str">
        <f t="shared" si="39"/>
        <v>American Electric Power</v>
      </c>
      <c r="E138" s="22"/>
      <c r="F138" s="63">
        <f t="shared" ca="1" si="42"/>
        <v>1.4968667448239388</v>
      </c>
      <c r="G138" s="63">
        <f t="shared" si="40"/>
        <v>1.8466757123473541</v>
      </c>
      <c r="H138" s="63">
        <f ca="1">IFERROR(VLOOKUP($A138,LASTYR,'2016'!$M$3,FALSE),"N/A")</f>
        <v>1.8122102882984736</v>
      </c>
      <c r="I138" s="63">
        <f t="shared" ca="1" si="41"/>
        <v>1.5537532592287633</v>
      </c>
      <c r="J138" s="63">
        <f t="shared" ca="1" si="41"/>
        <v>1.5428596368715082</v>
      </c>
      <c r="K138" s="63">
        <f t="shared" ca="1" si="41"/>
        <v>1.3977134885977682</v>
      </c>
      <c r="L138" s="63">
        <f t="shared" ca="1" si="41"/>
        <v>1.3076849520288147</v>
      </c>
      <c r="M138" s="63">
        <f t="shared" ca="1" si="41"/>
        <v>1.2297422034680556</v>
      </c>
      <c r="N138" s="63">
        <f t="shared" ca="1" si="41"/>
        <v>1.2311873499929407</v>
      </c>
      <c r="O138" s="63">
        <f t="shared" ca="1" si="41"/>
        <v>1.0840064032598413</v>
      </c>
      <c r="P138" s="63">
        <f t="shared" ca="1" si="41"/>
        <v>1.4829681388372007</v>
      </c>
      <c r="Q138" s="63">
        <f t="shared" ca="1" si="41"/>
        <v>1.8483969647610348</v>
      </c>
      <c r="R138" s="63">
        <f t="shared" ca="1" si="41"/>
        <v>1.5556538964049396</v>
      </c>
      <c r="S138" s="63">
        <f t="shared" ca="1" si="41"/>
        <v>1.5664153886145047</v>
      </c>
      <c r="T138" s="17"/>
      <c r="U138" s="17"/>
      <c r="V138" s="17"/>
    </row>
    <row r="139" spans="1:22">
      <c r="A139" s="51" t="str">
        <f t="shared" si="37"/>
        <v>AGR</v>
      </c>
      <c r="B139" s="46">
        <f t="shared" ca="1" si="38"/>
        <v>10</v>
      </c>
      <c r="C139" s="1">
        <f>IF(ISERROR(D139),"",IF(D139="","",MAX($C$133:C138)+1))</f>
        <v>5</v>
      </c>
      <c r="D139" t="str">
        <f t="shared" si="39"/>
        <v>Avangrid, Inc.</v>
      </c>
      <c r="E139" s="22"/>
      <c r="F139" s="63">
        <f t="shared" ca="1" si="42"/>
        <v>0.80241717532640944</v>
      </c>
      <c r="G139" s="63">
        <f t="shared" si="40"/>
        <v>0.85511651469098282</v>
      </c>
      <c r="H139" s="63">
        <f ca="1">IFERROR(VLOOKUP($A139,LASTYR,'2016'!$M$3,FALSE),"N/A")</f>
        <v>0.82978853940856478</v>
      </c>
      <c r="I139" s="63">
        <f t="shared" ca="1" si="41"/>
        <v>0.72234647187968071</v>
      </c>
      <c r="J139" s="63" t="str">
        <f t="shared" ca="1" si="41"/>
        <v>N/A</v>
      </c>
      <c r="K139" s="63" t="str">
        <f t="shared" ca="1" si="41"/>
        <v>N/A</v>
      </c>
      <c r="L139" s="63" t="str">
        <f t="shared" ca="1" si="41"/>
        <v>N/A</v>
      </c>
      <c r="M139" s="63" t="str">
        <f t="shared" ca="1" si="41"/>
        <v>N/A</v>
      </c>
      <c r="N139" s="63" t="str">
        <f t="shared" ca="1" si="41"/>
        <v>N/A</v>
      </c>
      <c r="O139" s="63" t="str">
        <f t="shared" ca="1" si="41"/>
        <v>N/A</v>
      </c>
      <c r="P139" s="63" t="str">
        <f t="shared" ca="1" si="41"/>
        <v>N/A</v>
      </c>
      <c r="Q139" s="63" t="str">
        <f t="shared" ca="1" si="41"/>
        <v>N/A</v>
      </c>
      <c r="R139" s="63" t="str">
        <f t="shared" ca="1" si="41"/>
        <v>N/A</v>
      </c>
      <c r="S139" s="63" t="str">
        <f t="shared" ca="1" si="41"/>
        <v>N/A</v>
      </c>
      <c r="T139" s="17"/>
      <c r="U139" s="17"/>
      <c r="V139" s="17"/>
    </row>
    <row r="140" spans="1:22">
      <c r="A140" s="51" t="str">
        <f t="shared" si="37"/>
        <v>AVA</v>
      </c>
      <c r="B140" s="46">
        <f t="shared" ca="1" si="38"/>
        <v>11</v>
      </c>
      <c r="C140" s="1">
        <f>IF(ISERROR(D140),"",IF(D140="","",MAX($C$133:C139)+1))</f>
        <v>6</v>
      </c>
      <c r="D140" t="str">
        <f t="shared" si="39"/>
        <v xml:space="preserve">Avista Corp.                  </v>
      </c>
      <c r="E140" s="22"/>
      <c r="F140" s="63">
        <f t="shared" ca="1" si="42"/>
        <v>1.2534287422028123</v>
      </c>
      <c r="G140" s="63">
        <f t="shared" si="40"/>
        <v>1.5451127819548869</v>
      </c>
      <c r="H140" s="63">
        <f ca="1">IFERROR(VLOOKUP($A140,LASTYR,'2016'!$M$3,FALSE),"N/A")</f>
        <v>1.5731916218951958</v>
      </c>
      <c r="I140" s="63">
        <f t="shared" ca="1" si="41"/>
        <v>1.3561878362954509</v>
      </c>
      <c r="J140" s="63">
        <f t="shared" ca="1" si="41"/>
        <v>1.3340185426018374</v>
      </c>
      <c r="K140" s="63">
        <f t="shared" ca="1" si="41"/>
        <v>1.2528459046737623</v>
      </c>
      <c r="L140" s="63">
        <f t="shared" ca="1" si="41"/>
        <v>1.2096689936838108</v>
      </c>
      <c r="M140" s="63">
        <f t="shared" ca="1" si="41"/>
        <v>1.1931017491993101</v>
      </c>
      <c r="N140" s="63">
        <f t="shared" ca="1" si="41"/>
        <v>1.0665178344918564</v>
      </c>
      <c r="O140" s="63">
        <f t="shared" ca="1" si="41"/>
        <v>0.94084815606906258</v>
      </c>
      <c r="P140" s="63">
        <f t="shared" ca="1" si="41"/>
        <v>1.1129208570179274</v>
      </c>
      <c r="Q140" s="63">
        <f t="shared" ca="1" si="41"/>
        <v>1.2869051754081278</v>
      </c>
      <c r="R140" s="63">
        <f t="shared" ca="1" si="41"/>
        <v>1.2958359585314163</v>
      </c>
      <c r="S140" s="63">
        <f t="shared" ca="1" si="41"/>
        <v>1.1274182368139138</v>
      </c>
      <c r="T140" s="17"/>
      <c r="U140" s="17"/>
      <c r="V140" s="17"/>
    </row>
    <row r="141" spans="1:22">
      <c r="A141" s="51" t="str">
        <f t="shared" si="37"/>
        <v>BKH</v>
      </c>
      <c r="B141" s="46">
        <f t="shared" ca="1" si="38"/>
        <v>12</v>
      </c>
      <c r="C141" s="1">
        <f>IF(ISERROR(D141),"",IF(D141="","",MAX($C$133:C140)+1))</f>
        <v>7</v>
      </c>
      <c r="D141" t="str">
        <f t="shared" si="39"/>
        <v xml:space="preserve">Black Hills                   </v>
      </c>
      <c r="E141" s="22"/>
      <c r="F141" s="63">
        <f t="shared" ca="1" si="42"/>
        <v>1.4738414573897944</v>
      </c>
      <c r="G141" s="63">
        <f t="shared" si="40"/>
        <v>2.0722135007849292</v>
      </c>
      <c r="H141" s="63">
        <f ca="1">IFERROR(VLOOKUP($A141,LASTYR,'2016'!$M$3,FALSE),"N/A")</f>
        <v>1.9380103811948293</v>
      </c>
      <c r="I141" s="63">
        <f t="shared" ca="1" si="41"/>
        <v>1.5948314999126942</v>
      </c>
      <c r="J141" s="63">
        <f t="shared" ca="1" si="41"/>
        <v>1.7853780475927667</v>
      </c>
      <c r="K141" s="63">
        <f t="shared" ca="1" si="41"/>
        <v>1.6197087246495168</v>
      </c>
      <c r="L141" s="63">
        <f t="shared" ca="1" si="41"/>
        <v>1.2104659086833327</v>
      </c>
      <c r="M141" s="63">
        <f t="shared" ca="1" si="41"/>
        <v>1.1419439198024117</v>
      </c>
      <c r="N141" s="63">
        <f t="shared" ca="1" si="41"/>
        <v>1.0721296263249938</v>
      </c>
      <c r="O141" s="63">
        <f t="shared" ca="1" si="41"/>
        <v>0.82718488451452998</v>
      </c>
      <c r="P141" s="63">
        <f t="shared" ca="1" si="41"/>
        <v>1.2225368688168878</v>
      </c>
      <c r="Q141" s="63">
        <f t="shared" ca="1" si="41"/>
        <v>1.5690179267342168</v>
      </c>
      <c r="R141" s="63">
        <f t="shared" ca="1" si="41"/>
        <v>1.4717857746240919</v>
      </c>
      <c r="S141" s="63">
        <f t="shared" ca="1" si="41"/>
        <v>1.6347318824321293</v>
      </c>
      <c r="T141" s="17"/>
      <c r="U141" s="17"/>
      <c r="V141" s="17"/>
    </row>
    <row r="142" spans="1:22">
      <c r="A142" s="51" t="str">
        <f t="shared" si="37"/>
        <v>CNP</v>
      </c>
      <c r="B142" s="46">
        <f t="shared" ca="1" si="38"/>
        <v>14</v>
      </c>
      <c r="C142" s="1">
        <f>IF(ISERROR(D142),"",IF(D142="","",MAX($C$133:C141)+1))</f>
        <v>8</v>
      </c>
      <c r="D142" t="str">
        <f t="shared" si="39"/>
        <v xml:space="preserve">CenterPoint Energy            </v>
      </c>
      <c r="E142" s="22"/>
      <c r="F142" s="63">
        <f t="shared" ca="1" si="42"/>
        <v>2.4628299001138507</v>
      </c>
      <c r="G142" s="63">
        <f t="shared" si="40"/>
        <v>3.2694610778443116</v>
      </c>
      <c r="H142" s="63">
        <f ca="1">IFERROR(VLOOKUP($A142,LASTYR,'2016'!$M$3,FALSE),"N/A")</f>
        <v>2.7271595718197656</v>
      </c>
      <c r="I142" s="63">
        <f t="shared" ca="1" si="41"/>
        <v>2.4283761958007206</v>
      </c>
      <c r="J142" s="63">
        <f t="shared" ca="1" si="41"/>
        <v>2.2717668144514667</v>
      </c>
      <c r="K142" s="63">
        <f t="shared" ca="1" si="41"/>
        <v>2.3036369041720346</v>
      </c>
      <c r="L142" s="63">
        <f t="shared" ca="1" si="41"/>
        <v>1.9919499105545617</v>
      </c>
      <c r="M142" s="63">
        <f t="shared" ca="1" si="41"/>
        <v>1.8678102926337035</v>
      </c>
      <c r="N142" s="63">
        <f t="shared" ca="1" si="41"/>
        <v>1.9583001328021248</v>
      </c>
      <c r="O142" s="63">
        <f t="shared" ca="1" si="41"/>
        <v>1.7703384798099764</v>
      </c>
      <c r="P142" s="63">
        <f t="shared" ca="1" si="41"/>
        <v>2.4896364254162417</v>
      </c>
      <c r="Q142" s="63">
        <f t="shared" ca="1" si="41"/>
        <v>3.1292565519700482</v>
      </c>
      <c r="R142" s="63">
        <f t="shared" ca="1" si="41"/>
        <v>2.7518645434388227</v>
      </c>
      <c r="S142" s="63">
        <f t="shared" ca="1" si="41"/>
        <v>3.0572318007662833</v>
      </c>
      <c r="T142" s="17"/>
      <c r="U142" s="17"/>
      <c r="V142" s="17"/>
    </row>
    <row r="143" spans="1:22">
      <c r="A143" s="51" t="str">
        <f t="shared" si="37"/>
        <v>CMS</v>
      </c>
      <c r="B143" s="46">
        <f t="shared" ca="1" si="38"/>
        <v>18</v>
      </c>
      <c r="C143" s="1">
        <f>IF(ISERROR(D143),"",IF(D143="","",MAX($C$133:C142)+1))</f>
        <v>9</v>
      </c>
      <c r="D143" t="str">
        <f t="shared" si="39"/>
        <v xml:space="preserve">CMS Energy Corp.              </v>
      </c>
      <c r="E143" s="22"/>
      <c r="F143" s="63">
        <f t="shared" ca="1" si="42"/>
        <v>1.8609921311238993</v>
      </c>
      <c r="G143" s="63">
        <f t="shared" si="40"/>
        <v>2.7692307692307692</v>
      </c>
      <c r="H143" s="63">
        <f ca="1">IFERROR(VLOOKUP($A143,LASTYR,'2016'!$M$3,FALSE),"N/A")</f>
        <v>2.7223608193277311</v>
      </c>
      <c r="I143" s="63">
        <f t="shared" ca="1" si="41"/>
        <v>2.4331362612612613</v>
      </c>
      <c r="J143" s="63">
        <f t="shared" ca="1" si="41"/>
        <v>2.2570485902819435</v>
      </c>
      <c r="K143" s="63">
        <f t="shared" ca="1" si="41"/>
        <v>2.0875192604006161</v>
      </c>
      <c r="L143" s="63">
        <f t="shared" ca="1" si="41"/>
        <v>1.9063998677029934</v>
      </c>
      <c r="M143" s="63">
        <f t="shared" ca="1" si="41"/>
        <v>1.656624989510783</v>
      </c>
      <c r="N143" s="63">
        <f t="shared" ca="1" si="41"/>
        <v>1.4805183199285077</v>
      </c>
      <c r="O143" s="63">
        <f t="shared" ca="1" si="41"/>
        <v>1.1041338237870031</v>
      </c>
      <c r="P143" s="63">
        <f t="shared" ca="1" si="41"/>
        <v>1.2286265857694429</v>
      </c>
      <c r="Q143" s="63">
        <f t="shared" ca="1" si="41"/>
        <v>1.8154529119543386</v>
      </c>
      <c r="R143" s="63">
        <f t="shared" ca="1" si="41"/>
        <v>1.4156362185879536</v>
      </c>
      <c r="S143" s="63">
        <f t="shared" ca="1" si="41"/>
        <v>1.3162092868673441</v>
      </c>
      <c r="T143" s="17"/>
      <c r="U143" s="17"/>
      <c r="V143" s="17"/>
    </row>
    <row r="144" spans="1:22">
      <c r="A144" s="51" t="str">
        <f t="shared" si="37"/>
        <v>ED</v>
      </c>
      <c r="B144" s="46">
        <f t="shared" ca="1" si="38"/>
        <v>20</v>
      </c>
      <c r="C144" s="1">
        <f>IF(ISERROR(D144),"",IF(D144="","",MAX($C$133:C143)+1))</f>
        <v>10</v>
      </c>
      <c r="D144" t="str">
        <f t="shared" si="39"/>
        <v xml:space="preserve">Consol. Edison                </v>
      </c>
      <c r="E144" s="22"/>
      <c r="F144" s="63">
        <f t="shared" ca="1" si="42"/>
        <v>1.3924281241750003</v>
      </c>
      <c r="G144" s="63">
        <f t="shared" si="40"/>
        <v>1.6139630390143735</v>
      </c>
      <c r="H144" s="63">
        <f ca="1">IFERROR(VLOOKUP($A144,LASTYR,'2016'!$M$3,FALSE),"N/A")</f>
        <v>1.5802171548027901</v>
      </c>
      <c r="I144" s="63">
        <f t="shared" ca="1" si="41"/>
        <v>1.4172989718493243</v>
      </c>
      <c r="J144" s="63">
        <f t="shared" ca="1" si="41"/>
        <v>1.3405449464368888</v>
      </c>
      <c r="K144" s="63">
        <f t="shared" ca="1" si="41"/>
        <v>1.3839033723989476</v>
      </c>
      <c r="L144" s="63">
        <f t="shared" ca="1" si="41"/>
        <v>1.4658737600552729</v>
      </c>
      <c r="M144" s="63">
        <f t="shared" ca="1" si="41"/>
        <v>1.3783486144547459</v>
      </c>
      <c r="N144" s="63">
        <f t="shared" ca="1" si="41"/>
        <v>1.2164777221196941</v>
      </c>
      <c r="O144" s="63">
        <f t="shared" ca="1" si="41"/>
        <v>1.0805332309295883</v>
      </c>
      <c r="P144" s="63">
        <f t="shared" ca="1" si="41"/>
        <v>1.1650860852384985</v>
      </c>
      <c r="Q144" s="63">
        <f t="shared" ca="1" si="41"/>
        <v>1.4720704683567614</v>
      </c>
      <c r="R144" s="63">
        <f t="shared" ca="1" si="41"/>
        <v>1.4693299880986845</v>
      </c>
      <c r="S144" s="63">
        <f t="shared" ca="1" si="41"/>
        <v>1.5179182605194284</v>
      </c>
      <c r="T144" s="17"/>
      <c r="U144" s="17"/>
      <c r="V144" s="17"/>
    </row>
    <row r="145" spans="1:22">
      <c r="A145" s="51" t="str">
        <f t="shared" si="37"/>
        <v>D</v>
      </c>
      <c r="B145" s="46">
        <f t="shared" ca="1" si="38"/>
        <v>22</v>
      </c>
      <c r="C145" s="1">
        <f>IF(ISERROR(D145),"",IF(D145="","",MAX($C$133:C144)+1))</f>
        <v>11</v>
      </c>
      <c r="D145" t="str">
        <f t="shared" si="39"/>
        <v xml:space="preserve">Dominion Resources            </v>
      </c>
      <c r="E145" s="22"/>
      <c r="F145" s="63">
        <f t="shared" ca="1" si="42"/>
        <v>2.6731368481645985</v>
      </c>
      <c r="G145" s="63">
        <f t="shared" si="40"/>
        <v>3.0378486055776892</v>
      </c>
      <c r="H145" s="63">
        <f ca="1">IFERROR(VLOOKUP($A145,LASTYR,'2016'!$M$3,FALSE),"N/A")</f>
        <v>3.1532840440165066</v>
      </c>
      <c r="I145" s="63">
        <f t="shared" ca="1" si="41"/>
        <v>3.3353893963650063</v>
      </c>
      <c r="J145" s="63">
        <f t="shared" ca="1" si="41"/>
        <v>3.5490831729308074</v>
      </c>
      <c r="K145" s="63">
        <f t="shared" ca="1" si="41"/>
        <v>2.9701813096248939</v>
      </c>
      <c r="L145" s="63">
        <f t="shared" ca="1" si="41"/>
        <v>2.8351504579153946</v>
      </c>
      <c r="M145" s="63">
        <f t="shared" ca="1" si="41"/>
        <v>2.3725051017868695</v>
      </c>
      <c r="N145" s="63">
        <f t="shared" ca="1" si="41"/>
        <v>2.0075038729666925</v>
      </c>
      <c r="O145" s="63">
        <f t="shared" ca="1" si="41"/>
        <v>1.8027331189710611</v>
      </c>
      <c r="P145" s="63">
        <f t="shared" ca="1" si="41"/>
        <v>2.4243301116962788</v>
      </c>
      <c r="Q145" s="63">
        <f t="shared" ca="1" si="41"/>
        <v>2.6941190899613665</v>
      </c>
      <c r="R145" s="63">
        <f t="shared" ca="1" si="41"/>
        <v>2.0725945945945949</v>
      </c>
      <c r="S145" s="63">
        <f t="shared" ca="1" si="41"/>
        <v>2.4960561497326204</v>
      </c>
      <c r="T145" s="17"/>
      <c r="U145" s="17"/>
      <c r="V145" s="17"/>
    </row>
    <row r="146" spans="1:22">
      <c r="A146" s="51" t="str">
        <f t="shared" si="37"/>
        <v>DTE</v>
      </c>
      <c r="B146" s="46">
        <f t="shared" ca="1" si="38"/>
        <v>23</v>
      </c>
      <c r="C146" s="1">
        <f>IF(ISERROR(D146),"",IF(D146="","",MAX($C$133:C145)+1))</f>
        <v>12</v>
      </c>
      <c r="D146" t="str">
        <f t="shared" si="39"/>
        <v xml:space="preserve">DTE Energy                    </v>
      </c>
      <c r="E146" s="22"/>
      <c r="F146" s="63">
        <f t="shared" ca="1" si="42"/>
        <v>1.4085797826291879</v>
      </c>
      <c r="G146" s="63">
        <f t="shared" si="40"/>
        <v>1.9886039886039883</v>
      </c>
      <c r="H146" s="63">
        <f ca="1">IFERROR(VLOOKUP($A146,LASTYR,'2016'!$M$3,FALSE),"N/A")</f>
        <v>1.8241303092455046</v>
      </c>
      <c r="I146" s="63">
        <f t="shared" ca="1" si="41"/>
        <v>1.6454160443562411</v>
      </c>
      <c r="J146" s="63">
        <f t="shared" ca="1" si="41"/>
        <v>1.6164980445502464</v>
      </c>
      <c r="K146" s="63">
        <f t="shared" ca="1" si="41"/>
        <v>1.5059804601041831</v>
      </c>
      <c r="L146" s="63">
        <f t="shared" ca="1" si="41"/>
        <v>1.3504523247387736</v>
      </c>
      <c r="M146" s="63">
        <f t="shared" ca="1" si="41"/>
        <v>1.1971844589863088</v>
      </c>
      <c r="N146" s="63">
        <f t="shared" ca="1" si="41"/>
        <v>1.1562444864524262</v>
      </c>
      <c r="O146" s="63">
        <f t="shared" ca="1" si="41"/>
        <v>0.88860786173464013</v>
      </c>
      <c r="P146" s="63">
        <f t="shared" ca="1" si="41"/>
        <v>1.0994969408565602</v>
      </c>
      <c r="Q146" s="63">
        <f t="shared" ca="1" si="41"/>
        <v>1.3549655576317037</v>
      </c>
      <c r="R146" s="63">
        <f t="shared" ca="1" si="41"/>
        <v>1.2934068263726946</v>
      </c>
      <c r="S146" s="63">
        <f t="shared" ca="1" si="41"/>
        <v>1.3905498705461719</v>
      </c>
      <c r="T146" s="17"/>
      <c r="U146" s="17"/>
      <c r="V146" s="17"/>
    </row>
    <row r="147" spans="1:22">
      <c r="A147" s="51" t="str">
        <f t="shared" si="37"/>
        <v>DUK</v>
      </c>
      <c r="B147" s="46">
        <f t="shared" ca="1" si="38"/>
        <v>24</v>
      </c>
      <c r="C147" s="1">
        <f>IF(ISERROR(D147),"",IF(D147="","",MAX($C$133:C146)+1))</f>
        <v>13</v>
      </c>
      <c r="D147" t="str">
        <f t="shared" si="39"/>
        <v xml:space="preserve">Duke Energy                   </v>
      </c>
      <c r="E147" s="22"/>
      <c r="F147" s="63">
        <f t="shared" ca="1" si="42"/>
        <v>1.1658678775447273</v>
      </c>
      <c r="G147" s="63">
        <f t="shared" si="40"/>
        <v>1.3713327745180217</v>
      </c>
      <c r="H147" s="63">
        <f ca="1">IFERROR(VLOOKUP($A147,LASTYR,'2016'!$M$3,FALSE),"N/A")</f>
        <v>1.3450075913952815</v>
      </c>
      <c r="I147" s="63">
        <f t="shared" ca="1" si="41"/>
        <v>1.2935593924804738</v>
      </c>
      <c r="J147" s="63">
        <f t="shared" ca="1" si="41"/>
        <v>1.2795814235060106</v>
      </c>
      <c r="K147" s="63">
        <f t="shared" ca="1" si="41"/>
        <v>1.1862967834509148</v>
      </c>
      <c r="L147" s="63">
        <f t="shared" ca="1" si="41"/>
        <v>1.1162221762800635</v>
      </c>
      <c r="M147" s="63">
        <f t="shared" ca="1" si="41"/>
        <v>1.1141767696519358</v>
      </c>
      <c r="N147" s="63">
        <f t="shared" ca="1" si="41"/>
        <v>1.0029108073556889</v>
      </c>
      <c r="O147" s="63">
        <f t="shared" ca="1" si="41"/>
        <v>0.90554039958276511</v>
      </c>
      <c r="P147" s="63">
        <f t="shared" ca="1" si="41"/>
        <v>1.0578123421876577</v>
      </c>
      <c r="Q147" s="63">
        <f t="shared" ca="1" si="41"/>
        <v>1.1521061925831861</v>
      </c>
      <c r="R147" s="63" t="str">
        <f t="shared" ca="1" si="41"/>
        <v>N/A</v>
      </c>
      <c r="S147" s="63" t="str">
        <f t="shared" ca="1" si="41"/>
        <v>N/A</v>
      </c>
      <c r="T147" s="17"/>
      <c r="U147" s="17"/>
      <c r="V147" s="17"/>
    </row>
    <row r="148" spans="1:22">
      <c r="A148" s="51" t="str">
        <f t="shared" si="37"/>
        <v>EIX</v>
      </c>
      <c r="B148" s="46">
        <f t="shared" ca="1" si="38"/>
        <v>25</v>
      </c>
      <c r="C148" s="1">
        <f>IF(ISERROR(D148),"",IF(D148="","",MAX($C$133:C147)+1))</f>
        <v>14</v>
      </c>
      <c r="D148" t="str">
        <f t="shared" si="39"/>
        <v xml:space="preserve">Edison Int'l                  </v>
      </c>
      <c r="E148" s="22"/>
      <c r="F148" s="63">
        <f t="shared" ca="1" si="42"/>
        <v>1.6262634461580474</v>
      </c>
      <c r="G148" s="63">
        <f t="shared" si="40"/>
        <v>2.0026109660574409</v>
      </c>
      <c r="H148" s="63">
        <f ca="1">IFERROR(VLOOKUP($A148,LASTYR,'2016'!$M$3,FALSE),"N/A")</f>
        <v>1.9175968929085525</v>
      </c>
      <c r="I148" s="63">
        <f t="shared" ca="1" si="41"/>
        <v>1.756384167836978</v>
      </c>
      <c r="J148" s="63">
        <f t="shared" ca="1" si="41"/>
        <v>1.6797764499539225</v>
      </c>
      <c r="K148" s="63">
        <f t="shared" ca="1" si="41"/>
        <v>1.5737984394465936</v>
      </c>
      <c r="L148" s="63">
        <f t="shared" ca="1" si="41"/>
        <v>1.5256140108466612</v>
      </c>
      <c r="M148" s="63">
        <f t="shared" ca="1" si="41"/>
        <v>1.2358316321570915</v>
      </c>
      <c r="N148" s="63">
        <f t="shared" ca="1" si="41"/>
        <v>1.065563158868134</v>
      </c>
      <c r="O148" s="63">
        <f t="shared" ca="1" si="41"/>
        <v>1.0424433040887271</v>
      </c>
      <c r="P148" s="63">
        <f t="shared" ca="1" si="41"/>
        <v>1.5568298527901403</v>
      </c>
      <c r="Q148" s="63">
        <f t="shared" ca="1" si="41"/>
        <v>2.0532469035768028</v>
      </c>
      <c r="R148" s="63">
        <f t="shared" ca="1" si="41"/>
        <v>1.8003888254934277</v>
      </c>
      <c r="S148" s="63">
        <f t="shared" ca="1" si="41"/>
        <v>1.9313401960301435</v>
      </c>
      <c r="T148" s="17"/>
      <c r="U148" s="17"/>
      <c r="V148" s="17"/>
    </row>
    <row r="149" spans="1:22">
      <c r="A149" s="51" t="str">
        <f t="shared" si="37"/>
        <v>EE</v>
      </c>
      <c r="B149" s="46">
        <f t="shared" ca="1" si="38"/>
        <v>26</v>
      </c>
      <c r="C149" s="1">
        <f>IF(ISERROR(D149),"",IF(D149="","",MAX($C$133:C148)+1))</f>
        <v>15</v>
      </c>
      <c r="D149" t="str">
        <f t="shared" si="39"/>
        <v xml:space="preserve">El Paso Electric              </v>
      </c>
      <c r="E149" s="22"/>
      <c r="F149" s="63">
        <f t="shared" ca="1" si="42"/>
        <v>1.5266736520745576</v>
      </c>
      <c r="G149" s="63">
        <f t="shared" si="40"/>
        <v>1.8101265822784811</v>
      </c>
      <c r="H149" s="63">
        <f ca="1">IFERROR(VLOOKUP($A149,LASTYR,'2016'!$M$3,FALSE),"N/A")</f>
        <v>1.6815627710525325</v>
      </c>
      <c r="I149" s="63">
        <f t="shared" ca="1" si="41"/>
        <v>1.4802864531529738</v>
      </c>
      <c r="J149" s="63">
        <f t="shared" ca="1" si="41"/>
        <v>1.5248677682561811</v>
      </c>
      <c r="K149" s="63">
        <f t="shared" ca="1" si="41"/>
        <v>1.490315699658703</v>
      </c>
      <c r="L149" s="63">
        <f t="shared" ca="1" si="41"/>
        <v>1.590411824767832</v>
      </c>
      <c r="M149" s="63">
        <f t="shared" ca="1" si="41"/>
        <v>1.641753390097761</v>
      </c>
      <c r="N149" s="63">
        <f t="shared" ca="1" si="41"/>
        <v>1.165686068501786</v>
      </c>
      <c r="O149" s="63">
        <f t="shared" ca="1" si="41"/>
        <v>0.9839552692354443</v>
      </c>
      <c r="P149" s="63">
        <f t="shared" ca="1" si="41"/>
        <v>1.330380810758389</v>
      </c>
      <c r="Q149" s="63">
        <f t="shared" ca="1" si="41"/>
        <v>1.6851161845403428</v>
      </c>
      <c r="R149" s="63">
        <f t="shared" ca="1" si="41"/>
        <v>1.7050702213758631</v>
      </c>
      <c r="S149" s="63">
        <f t="shared" ca="1" si="41"/>
        <v>1.7572244332929572</v>
      </c>
      <c r="T149" s="17"/>
      <c r="U149" s="17"/>
      <c r="V149" s="17"/>
    </row>
    <row r="150" spans="1:22">
      <c r="A150" s="51" t="str">
        <f t="shared" si="37"/>
        <v>ETR</v>
      </c>
      <c r="B150" s="46">
        <f t="shared" ca="1" si="38"/>
        <v>28</v>
      </c>
      <c r="C150" s="1">
        <f>IF(ISERROR(D150),"",IF(D150="","",MAX($C$133:C149)+1))</f>
        <v>16</v>
      </c>
      <c r="D150" t="str">
        <f t="shared" si="39"/>
        <v xml:space="preserve">Entergy Corp.                 </v>
      </c>
      <c r="E150" s="22"/>
      <c r="F150" s="63">
        <f t="shared" ca="1" si="42"/>
        <v>1.7024775581564171</v>
      </c>
      <c r="G150" s="63">
        <f t="shared" si="40"/>
        <v>1.5944798301486198</v>
      </c>
      <c r="H150" s="63">
        <f ca="1">IFERROR(VLOOKUP($A150,LASTYR,'2016'!$M$3,FALSE),"N/A")</f>
        <v>1.6655141077642575</v>
      </c>
      <c r="I150" s="63">
        <f t="shared" ca="1" si="41"/>
        <v>1.4028444238885356</v>
      </c>
      <c r="J150" s="63">
        <f t="shared" ca="1" si="41"/>
        <v>1.3316258910341368</v>
      </c>
      <c r="K150" s="63">
        <f t="shared" ca="1" si="41"/>
        <v>1.2136587533795045</v>
      </c>
      <c r="L150" s="63">
        <f t="shared" ca="1" si="41"/>
        <v>1.3062928951184145</v>
      </c>
      <c r="M150" s="63">
        <f t="shared" ca="1" si="41"/>
        <v>1.3464202778761758</v>
      </c>
      <c r="N150" s="63">
        <f t="shared" ca="1" si="41"/>
        <v>1.6211894894073591</v>
      </c>
      <c r="O150" s="63">
        <f t="shared" ca="1" si="41"/>
        <v>1.6572840048303874</v>
      </c>
      <c r="P150" s="63">
        <f t="shared" ca="1" si="41"/>
        <v>2.4398992179886383</v>
      </c>
      <c r="Q150" s="63">
        <f t="shared" ca="1" si="41"/>
        <v>2.6549835437441667</v>
      </c>
      <c r="R150" s="63">
        <f t="shared" ca="1" si="41"/>
        <v>1.8917428924598267</v>
      </c>
      <c r="S150" s="63">
        <f t="shared" ca="1" si="41"/>
        <v>2.0062729283934018</v>
      </c>
      <c r="T150" s="17"/>
      <c r="U150" s="17"/>
      <c r="V150" s="17"/>
    </row>
    <row r="151" spans="1:22">
      <c r="A151" s="51" t="str">
        <f t="shared" si="37"/>
        <v>ES</v>
      </c>
      <c r="B151" s="46">
        <f t="shared" ca="1" si="38"/>
        <v>29</v>
      </c>
      <c r="C151" s="1">
        <f>IF(ISERROR(D151),"",IF(D151="","",MAX($C$133:C150)+1))</f>
        <v>17</v>
      </c>
      <c r="D151" t="str">
        <f t="shared" si="39"/>
        <v xml:space="preserve">Eversource Energy    </v>
      </c>
      <c r="E151" s="22"/>
      <c r="F151" s="63">
        <f t="shared" ca="1" si="42"/>
        <v>1.3912236734902483</v>
      </c>
      <c r="G151" s="63">
        <f t="shared" si="40"/>
        <v>1.6771428571428573</v>
      </c>
      <c r="H151" s="63">
        <f ca="1">IFERROR(VLOOKUP($A151,LASTYR,'2016'!$M$3,FALSE),"N/A")</f>
        <v>1.6367482176138213</v>
      </c>
      <c r="I151" s="63">
        <f t="shared" ref="I151:S174" ca="1" si="43">IFERROR(IF(INDEX(MP_BV_WP,$B151,I$134)=0,"N/A",INDEX(MP_BV_WP,$B151,I$134)),"N/A")</f>
        <v>1.5314826730398012</v>
      </c>
      <c r="J151" s="63">
        <f t="shared" ca="1" si="43"/>
        <v>1.4689267331765901</v>
      </c>
      <c r="K151" s="63">
        <f t="shared" ca="1" si="43"/>
        <v>1.3836843141113953</v>
      </c>
      <c r="L151" s="63">
        <f t="shared" ca="1" si="43"/>
        <v>1.275873793009656</v>
      </c>
      <c r="M151" s="63">
        <f t="shared" ca="1" si="43"/>
        <v>1.5045033112582782</v>
      </c>
      <c r="N151" s="63">
        <f t="shared" ca="1" si="43"/>
        <v>1.3051067179036067</v>
      </c>
      <c r="O151" s="63">
        <f t="shared" ca="1" si="43"/>
        <v>1.1212879791881412</v>
      </c>
      <c r="P151" s="63">
        <f t="shared" ca="1" si="43"/>
        <v>1.3111134041894539</v>
      </c>
      <c r="Q151" s="63">
        <f t="shared" ca="1" si="43"/>
        <v>1.5980055758095646</v>
      </c>
      <c r="R151" s="63">
        <f t="shared" ca="1" si="43"/>
        <v>1.2232265887670175</v>
      </c>
      <c r="S151" s="63">
        <f t="shared" ca="1" si="43"/>
        <v>1.0488055901630464</v>
      </c>
      <c r="T151" s="17"/>
      <c r="U151" s="17"/>
      <c r="V151" s="17"/>
    </row>
    <row r="152" spans="1:22">
      <c r="A152" s="51" t="str">
        <f t="shared" si="37"/>
        <v>EXC</v>
      </c>
      <c r="B152" s="46">
        <f t="shared" ca="1" si="38"/>
        <v>30</v>
      </c>
      <c r="C152" s="1">
        <f>IF(ISERROR(D152),"",IF(D152="","",MAX($C$133:C151)+1))</f>
        <v>18</v>
      </c>
      <c r="D152" t="str">
        <f t="shared" si="39"/>
        <v xml:space="preserve">Exelon Corp.                  </v>
      </c>
      <c r="E152" s="22"/>
      <c r="F152" s="63">
        <f t="shared" ca="1" si="42"/>
        <v>2.3666881066423744</v>
      </c>
      <c r="G152" s="63">
        <f t="shared" si="40"/>
        <v>1.2495667244367417</v>
      </c>
      <c r="H152" s="63">
        <f ca="1">IFERROR(VLOOKUP($A152,LASTYR,'2016'!$M$3,FALSE),"N/A")</f>
        <v>1.2026036264797395</v>
      </c>
      <c r="I152" s="63">
        <f t="shared" ca="1" si="43"/>
        <v>1.1392752692774093</v>
      </c>
      <c r="J152" s="63">
        <f t="shared" ca="1" si="43"/>
        <v>1.2793519187616476</v>
      </c>
      <c r="K152" s="63">
        <f t="shared" ca="1" si="43"/>
        <v>1.1702368381354655</v>
      </c>
      <c r="L152" s="63">
        <f t="shared" ca="1" si="43"/>
        <v>1.460992342054882</v>
      </c>
      <c r="M152" s="63">
        <f t="shared" ca="1" si="43"/>
        <v>1.9543463223426334</v>
      </c>
      <c r="N152" s="63">
        <f t="shared" ca="1" si="43"/>
        <v>2.0720909800859042</v>
      </c>
      <c r="O152" s="63">
        <f t="shared" ca="1" si="43"/>
        <v>2.5723680776658489</v>
      </c>
      <c r="P152" s="63">
        <f t="shared" ca="1" si="43"/>
        <v>4.389991063449509</v>
      </c>
      <c r="Q152" s="63">
        <f t="shared" ca="1" si="43"/>
        <v>4.7874046548014864</v>
      </c>
      <c r="R152" s="63">
        <f t="shared" ca="1" si="43"/>
        <v>3.8856797420741538</v>
      </c>
      <c r="S152" s="63">
        <f t="shared" ca="1" si="43"/>
        <v>3.6030378267854535</v>
      </c>
      <c r="T152" s="17"/>
      <c r="U152" s="17"/>
      <c r="V152" s="17"/>
    </row>
    <row r="153" spans="1:22">
      <c r="A153" s="51" t="str">
        <f t="shared" si="37"/>
        <v>FE</v>
      </c>
      <c r="B153" s="46">
        <f t="shared" ca="1" si="38"/>
        <v>31</v>
      </c>
      <c r="C153" s="1">
        <f>IF(ISERROR(D153),"",IF(D153="","",MAX($C$133:C152)+1))</f>
        <v>19</v>
      </c>
      <c r="D153" t="str">
        <f t="shared" si="39"/>
        <v xml:space="preserve">FirstEnergy Corp.             </v>
      </c>
      <c r="E153" s="22"/>
      <c r="F153" s="63">
        <f t="shared" ca="1" si="42"/>
        <v>1.6855963530934746</v>
      </c>
      <c r="G153" s="63">
        <f t="shared" si="40"/>
        <v>1.980327868852459</v>
      </c>
      <c r="H153" s="63">
        <f ca="1">IFERROR(VLOOKUP($A153,LASTYR,'2016'!$M$3,FALSE),"N/A")</f>
        <v>2.3686299525125802</v>
      </c>
      <c r="I153" s="63">
        <f t="shared" ca="1" si="43"/>
        <v>1.1609548167092925</v>
      </c>
      <c r="J153" s="63">
        <f t="shared" ca="1" si="43"/>
        <v>1.1467078049772834</v>
      </c>
      <c r="K153" s="63">
        <f t="shared" ca="1" si="43"/>
        <v>1.2788442509400355</v>
      </c>
      <c r="L153" s="63">
        <f t="shared" ca="1" si="43"/>
        <v>1.4362154387086463</v>
      </c>
      <c r="M153" s="63">
        <f t="shared" ca="1" si="43"/>
        <v>1.3256282673049065</v>
      </c>
      <c r="N153" s="63">
        <f t="shared" ca="1" si="43"/>
        <v>1.3620148401826484</v>
      </c>
      <c r="O153" s="63">
        <f t="shared" ca="1" si="43"/>
        <v>1.5400505752039035</v>
      </c>
      <c r="P153" s="63">
        <f t="shared" ca="1" si="43"/>
        <v>2.5216399234506111</v>
      </c>
      <c r="Q153" s="63">
        <f t="shared" ca="1" si="43"/>
        <v>2.2335902747122143</v>
      </c>
      <c r="R153" s="63">
        <f t="shared" ca="1" si="43"/>
        <v>1.9202967673555909</v>
      </c>
      <c r="S153" s="63">
        <f t="shared" ca="1" si="43"/>
        <v>1.6378518093049972</v>
      </c>
      <c r="T153" s="17"/>
      <c r="U153" s="17"/>
      <c r="V153" s="17"/>
    </row>
    <row r="154" spans="1:22">
      <c r="A154" s="51" t="str">
        <f t="shared" si="37"/>
        <v>FTS.TO</v>
      </c>
      <c r="B154" s="46">
        <f t="shared" ca="1" si="38"/>
        <v>32</v>
      </c>
      <c r="C154" s="1">
        <f>IF(ISERROR(D154),"",IF(D154="","",MAX($C$133:C153)+1))</f>
        <v>20</v>
      </c>
      <c r="D154" t="str">
        <f t="shared" si="39"/>
        <v>Fortis Inc.</v>
      </c>
      <c r="E154" s="22"/>
      <c r="F154" s="63">
        <f t="shared" ca="1" si="42"/>
        <v>1.4858159396629296</v>
      </c>
      <c r="G154" s="63">
        <f t="shared" si="40"/>
        <v>1.3011869436201779</v>
      </c>
      <c r="H154" s="63">
        <f ca="1">IFERROR(VLOOKUP($A154,LASTYR,'2016'!$M$3,FALSE),"N/A")</f>
        <v>1.2634689772551448</v>
      </c>
      <c r="I154" s="63">
        <f t="shared" ca="1" si="43"/>
        <v>1.3269405435617969</v>
      </c>
      <c r="J154" s="63">
        <f t="shared" ca="1" si="43"/>
        <v>1.3462542679252862</v>
      </c>
      <c r="K154" s="63">
        <f t="shared" ca="1" si="43"/>
        <v>1.4540784418833201</v>
      </c>
      <c r="L154" s="63">
        <f t="shared" ca="1" si="43"/>
        <v>1.5932626325639425</v>
      </c>
      <c r="M154" s="63">
        <f t="shared" ca="1" si="43"/>
        <v>1.5925871809857781</v>
      </c>
      <c r="N154" s="63">
        <f t="shared" ca="1" si="43"/>
        <v>1.5570682285895203</v>
      </c>
      <c r="O154" s="63">
        <f t="shared" ca="1" si="43"/>
        <v>1.3307124777855568</v>
      </c>
      <c r="P154" s="63">
        <f t="shared" ca="1" si="43"/>
        <v>1.4760317724823642</v>
      </c>
      <c r="Q154" s="63">
        <f t="shared" ca="1" si="43"/>
        <v>1.627122697919158</v>
      </c>
      <c r="R154" s="63">
        <f t="shared" ca="1" si="43"/>
        <v>1.9610771113831089</v>
      </c>
      <c r="S154" s="63" t="str">
        <f t="shared" ca="1" si="43"/>
        <v>N/A</v>
      </c>
      <c r="T154" s="17"/>
      <c r="U154" s="17"/>
      <c r="V154" s="17"/>
    </row>
    <row r="155" spans="1:22">
      <c r="A155" s="51" t="str">
        <f t="shared" si="37"/>
        <v>GXP</v>
      </c>
      <c r="B155" s="46">
        <f t="shared" ca="1" si="38"/>
        <v>34</v>
      </c>
      <c r="C155" s="1">
        <f>IF(ISERROR(D155),"",IF(D155="","",MAX($C$133:C154)+1))</f>
        <v>21</v>
      </c>
      <c r="D155" t="str">
        <f t="shared" si="39"/>
        <v xml:space="preserve">Great Plains Energy             </v>
      </c>
      <c r="E155" s="22"/>
      <c r="F155" s="63">
        <f t="shared" ca="1" si="42"/>
        <v>1.1999961187590114</v>
      </c>
      <c r="G155" s="63">
        <f t="shared" si="40"/>
        <v>1.2066115702479339</v>
      </c>
      <c r="H155" s="63">
        <f ca="1">IFERROR(VLOOKUP($A155,LASTYR,'2016'!$M$3,FALSE),"N/A")</f>
        <v>1.170555173668675</v>
      </c>
      <c r="I155" s="63">
        <f t="shared" ca="1" si="43"/>
        <v>1.120349647396647</v>
      </c>
      <c r="J155" s="63">
        <f t="shared" ca="1" si="43"/>
        <v>1.1115983148482504</v>
      </c>
      <c r="K155" s="63">
        <f t="shared" ca="1" si="43"/>
        <v>1.0177582923696913</v>
      </c>
      <c r="L155" s="63">
        <f t="shared" ca="1" si="43"/>
        <v>0.96396230751551371</v>
      </c>
      <c r="M155" s="63">
        <f t="shared" ca="1" si="43"/>
        <v>0.9259463686122994</v>
      </c>
      <c r="N155" s="63">
        <f t="shared" ca="1" si="43"/>
        <v>0.87020926404890664</v>
      </c>
      <c r="O155" s="63">
        <f t="shared" ca="1" si="43"/>
        <v>0.80083410115901266</v>
      </c>
      <c r="P155" s="63">
        <f t="shared" ca="1" si="43"/>
        <v>1.1143631943145689</v>
      </c>
      <c r="Q155" s="63">
        <f t="shared" ca="1" si="43"/>
        <v>1.6633483665163349</v>
      </c>
      <c r="R155" s="63">
        <f t="shared" ca="1" si="43"/>
        <v>1.7749835339201243</v>
      </c>
      <c r="S155" s="63">
        <f t="shared" ca="1" si="43"/>
        <v>1.8594294092491905</v>
      </c>
      <c r="T155" s="17"/>
      <c r="U155" s="17"/>
      <c r="V155" s="17"/>
    </row>
    <row r="156" spans="1:22">
      <c r="A156" s="51" t="str">
        <f t="shared" si="37"/>
        <v>HE</v>
      </c>
      <c r="B156" s="46">
        <f t="shared" ca="1" si="38"/>
        <v>35</v>
      </c>
      <c r="C156" s="1">
        <f>IF(ISERROR(D156),"",IF(D156="","",MAX($C$133:C155)+1))</f>
        <v>22</v>
      </c>
      <c r="D156" t="str">
        <f t="shared" si="39"/>
        <v xml:space="preserve">Hawaiian Elec.                </v>
      </c>
      <c r="E156" s="22"/>
      <c r="F156" s="63">
        <f t="shared" ca="1" si="42"/>
        <v>1.5994275166648466</v>
      </c>
      <c r="G156" s="63">
        <f t="shared" si="40"/>
        <v>1.7002583979328163</v>
      </c>
      <c r="H156" s="63">
        <f ca="1">IFERROR(VLOOKUP($A156,LASTYR,'2016'!$M$3,FALSE),"N/A")</f>
        <v>1.6309761479457814</v>
      </c>
      <c r="I156" s="63">
        <f t="shared" ca="1" si="43"/>
        <v>1.7060987847028655</v>
      </c>
      <c r="J156" s="63">
        <f t="shared" ca="1" si="43"/>
        <v>1.4911828695751745</v>
      </c>
      <c r="K156" s="63">
        <f t="shared" ca="1" si="43"/>
        <v>1.5399272983114447</v>
      </c>
      <c r="L156" s="63">
        <f t="shared" ca="1" si="43"/>
        <v>1.6225116736298846</v>
      </c>
      <c r="M156" s="63">
        <f t="shared" ca="1" si="43"/>
        <v>1.5427872860635699</v>
      </c>
      <c r="N156" s="63">
        <f t="shared" ca="1" si="43"/>
        <v>1.4354735767168751</v>
      </c>
      <c r="O156" s="63">
        <f t="shared" ca="1" si="43"/>
        <v>1.1554999358233859</v>
      </c>
      <c r="P156" s="63">
        <f t="shared" ca="1" si="43"/>
        <v>1.6144625407166124</v>
      </c>
      <c r="Q156" s="63">
        <f t="shared" ca="1" si="43"/>
        <v>1.5664944070124942</v>
      </c>
      <c r="R156" s="63">
        <f t="shared" ca="1" si="43"/>
        <v>2.0110078095946449</v>
      </c>
      <c r="S156" s="63">
        <f t="shared" ca="1" si="43"/>
        <v>1.7758769886174532</v>
      </c>
      <c r="T156" s="17"/>
      <c r="U156" s="17"/>
      <c r="V156" s="17"/>
    </row>
    <row r="157" spans="1:22">
      <c r="A157" s="51" t="str">
        <f t="shared" si="37"/>
        <v>IDA</v>
      </c>
      <c r="B157" s="46">
        <f t="shared" ca="1" si="38"/>
        <v>36</v>
      </c>
      <c r="C157" s="1">
        <f>IF(ISERROR(D157),"",IF(D157="","",MAX($C$133:C156)+1))</f>
        <v>23</v>
      </c>
      <c r="D157" t="str">
        <f t="shared" si="39"/>
        <v xml:space="preserve">IDACORP, Inc.                 </v>
      </c>
      <c r="E157" s="22"/>
      <c r="F157" s="63">
        <f t="shared" ca="1" si="42"/>
        <v>1.2623649768529965</v>
      </c>
      <c r="G157" s="63">
        <f t="shared" si="40"/>
        <v>0.98087739032620924</v>
      </c>
      <c r="H157" s="63">
        <f ca="1">IFERROR(VLOOKUP($A157,LASTYR,'2016'!$M$3,FALSE),"N/A")</f>
        <v>1.7571304897166524</v>
      </c>
      <c r="I157" s="63">
        <f t="shared" ca="1" si="43"/>
        <v>1.535360454022848</v>
      </c>
      <c r="J157" s="63">
        <f t="shared" ca="1" si="43"/>
        <v>1.4531065012611315</v>
      </c>
      <c r="K157" s="63">
        <f t="shared" ca="1" si="43"/>
        <v>1.3288366538190111</v>
      </c>
      <c r="L157" s="63">
        <f t="shared" ca="1" si="43"/>
        <v>1.1926422358477116</v>
      </c>
      <c r="M157" s="63">
        <f t="shared" ca="1" si="43"/>
        <v>1.1679373210788007</v>
      </c>
      <c r="N157" s="63">
        <f t="shared" ca="1" si="43"/>
        <v>1.1250846473831866</v>
      </c>
      <c r="O157" s="63">
        <f t="shared" ca="1" si="43"/>
        <v>0.92277370261191471</v>
      </c>
      <c r="P157" s="63">
        <f t="shared" ca="1" si="43"/>
        <v>1.093591267696963</v>
      </c>
      <c r="Q157" s="63">
        <f t="shared" ca="1" si="43"/>
        <v>1.2630636010749479</v>
      </c>
      <c r="R157" s="63">
        <f t="shared" ca="1" si="43"/>
        <v>1.3744469455872081</v>
      </c>
      <c r="S157" s="63">
        <f t="shared" ca="1" si="43"/>
        <v>1.2158934886623673</v>
      </c>
      <c r="T157" s="17"/>
      <c r="U157" s="17"/>
      <c r="V157" s="17"/>
    </row>
    <row r="158" spans="1:22">
      <c r="A158" s="51" t="str">
        <f t="shared" si="37"/>
        <v>MGEE</v>
      </c>
      <c r="B158" s="46">
        <f t="shared" ca="1" si="38"/>
        <v>40</v>
      </c>
      <c r="C158" s="1">
        <f>IF(ISERROR(D158),"",IF(D158="","",MAX($C$133:C157)+1))</f>
        <v>24</v>
      </c>
      <c r="D158" t="str">
        <f t="shared" si="39"/>
        <v xml:space="preserve">MGE Energy                    </v>
      </c>
      <c r="E158" s="22"/>
      <c r="F158" s="63">
        <f t="shared" ca="1" si="42"/>
        <v>1.9952463089304711</v>
      </c>
      <c r="G158" s="63">
        <f t="shared" si="40"/>
        <v>2.9318181818181817</v>
      </c>
      <c r="H158" s="63">
        <f ca="1">IFERROR(VLOOKUP($A158,LASTYR,'2016'!$M$3,FALSE),"N/A")</f>
        <v>2.5993488461170164</v>
      </c>
      <c r="I158" s="63">
        <f t="shared" ca="1" si="43"/>
        <v>2.0975597509540069</v>
      </c>
      <c r="J158" s="63">
        <f t="shared" ca="1" si="43"/>
        <v>2.0968980021030497</v>
      </c>
      <c r="K158" s="63">
        <f t="shared" ca="1" si="43"/>
        <v>2.0632719514933751</v>
      </c>
      <c r="L158" s="63">
        <f t="shared" ca="1" si="43"/>
        <v>1.9177237912876974</v>
      </c>
      <c r="M158" s="63">
        <f t="shared" ca="1" si="43"/>
        <v>1.7526117054751416</v>
      </c>
      <c r="N158" s="63">
        <f t="shared" ca="1" si="43"/>
        <v>1.6486397253037506</v>
      </c>
      <c r="O158" s="63">
        <f t="shared" ca="1" si="43"/>
        <v>1.5408001105506806</v>
      </c>
      <c r="P158" s="63">
        <f t="shared" ca="1" si="43"/>
        <v>1.621497341572065</v>
      </c>
      <c r="Q158" s="63">
        <f t="shared" ca="1" si="43"/>
        <v>1.7479599692070824</v>
      </c>
      <c r="R158" s="63">
        <f t="shared" ca="1" si="43"/>
        <v>1.8276469108894291</v>
      </c>
      <c r="S158" s="63">
        <f t="shared" ca="1" si="43"/>
        <v>2.09242572932465</v>
      </c>
      <c r="T158" s="17"/>
      <c r="U158" s="17"/>
      <c r="V158" s="17"/>
    </row>
    <row r="159" spans="1:22">
      <c r="A159" s="51" t="str">
        <f t="shared" si="37"/>
        <v>NEE</v>
      </c>
      <c r="B159" s="46">
        <f t="shared" ca="1" si="38"/>
        <v>43</v>
      </c>
      <c r="C159" s="1">
        <f>IF(ISERROR(D159),"",IF(D159="","",MAX($C$133:C158)+1))</f>
        <v>25</v>
      </c>
      <c r="D159" t="str">
        <f t="shared" si="39"/>
        <v>NextEra Energy, Inc.</v>
      </c>
      <c r="E159" s="22"/>
      <c r="F159" s="63">
        <f t="shared" ca="1" si="42"/>
        <v>1.9625278230106309</v>
      </c>
      <c r="G159" s="63">
        <f t="shared" si="40"/>
        <v>2.4276556776556779</v>
      </c>
      <c r="H159" s="63">
        <f ca="1">IFERROR(VLOOKUP($A159,LASTYR,'2016'!$M$3,FALSE),"N/A")</f>
        <v>2.3016669550671973</v>
      </c>
      <c r="I159" s="63">
        <f t="shared" ca="1" si="43"/>
        <v>2.0907958420977391</v>
      </c>
      <c r="J159" s="63">
        <f t="shared" ca="1" si="43"/>
        <v>2.1492759748203838</v>
      </c>
      <c r="K159" s="63">
        <f t="shared" ca="1" si="43"/>
        <v>1.9299992766029275</v>
      </c>
      <c r="L159" s="63">
        <f t="shared" ca="1" si="43"/>
        <v>1.7367796073464217</v>
      </c>
      <c r="M159" s="63">
        <f t="shared" ca="1" si="43"/>
        <v>1.5478967734751259</v>
      </c>
      <c r="N159" s="63">
        <f t="shared" ca="1" si="43"/>
        <v>1.4938009313154832</v>
      </c>
      <c r="O159" s="63">
        <f t="shared" ca="1" si="43"/>
        <v>1.6988835725677829</v>
      </c>
      <c r="P159" s="63">
        <f t="shared" ca="1" si="43"/>
        <v>2.0633970454386334</v>
      </c>
      <c r="Q159" s="63">
        <f t="shared" ca="1" si="43"/>
        <v>2.3447294528344842</v>
      </c>
      <c r="R159" s="63">
        <f t="shared" ca="1" si="43"/>
        <v>1.8003184453335512</v>
      </c>
      <c r="S159" s="63">
        <f t="shared" ca="1" si="43"/>
        <v>1.9276621445827913</v>
      </c>
      <c r="T159" s="17"/>
      <c r="U159" s="17"/>
      <c r="V159" s="17"/>
    </row>
    <row r="160" spans="1:22">
      <c r="A160" s="51" t="str">
        <f t="shared" si="37"/>
        <v>NWE</v>
      </c>
      <c r="B160" s="46">
        <f t="shared" ca="1" si="38"/>
        <v>46</v>
      </c>
      <c r="C160" s="1">
        <f>IF(ISERROR(D160),"",IF(D160="","",MAX($C$133:C159)+1))</f>
        <v>26</v>
      </c>
      <c r="D160" t="str">
        <f t="shared" si="39"/>
        <v xml:space="preserve">NorthWestern Corp             </v>
      </c>
      <c r="E160" s="22"/>
      <c r="F160" s="63">
        <f t="shared" ca="1" si="42"/>
        <v>1.4461207772906397</v>
      </c>
      <c r="G160" s="63">
        <f t="shared" si="40"/>
        <v>1.6657381615598885</v>
      </c>
      <c r="H160" s="63">
        <f ca="1">IFERROR(VLOOKUP($A160,LASTYR,'2016'!$M$3,FALSE),"N/A")</f>
        <v>1.6798627530130903</v>
      </c>
      <c r="I160" s="63">
        <f t="shared" ca="1" si="43"/>
        <v>1.6030164368715756</v>
      </c>
      <c r="J160" s="63">
        <f t="shared" ca="1" si="43"/>
        <v>1.5411282897869774</v>
      </c>
      <c r="K160" s="63">
        <f t="shared" ca="1" si="43"/>
        <v>1.5591519115822714</v>
      </c>
      <c r="L160" s="63">
        <f t="shared" ca="1" si="43"/>
        <v>1.4155176536223799</v>
      </c>
      <c r="M160" s="63">
        <f t="shared" ca="1" si="43"/>
        <v>1.3485494700392719</v>
      </c>
      <c r="N160" s="63">
        <f t="shared" ca="1" si="43"/>
        <v>1.218743099412622</v>
      </c>
      <c r="O160" s="63">
        <f t="shared" ca="1" si="43"/>
        <v>1.0661939615736504</v>
      </c>
      <c r="P160" s="63">
        <f t="shared" ca="1" si="43"/>
        <v>1.1549103571596631</v>
      </c>
      <c r="Q160" s="63">
        <f t="shared" ca="1" si="43"/>
        <v>1.4819830484397936</v>
      </c>
      <c r="R160" s="63">
        <f t="shared" ca="1" si="43"/>
        <v>1.6463125272383903</v>
      </c>
      <c r="S160" s="63">
        <f t="shared" ca="1" si="43"/>
        <v>1.418462434478742</v>
      </c>
      <c r="T160" s="17"/>
      <c r="U160" s="17"/>
      <c r="V160" s="17"/>
    </row>
    <row r="161" spans="1:22">
      <c r="A161" s="51" t="str">
        <f t="shared" si="37"/>
        <v>OGE</v>
      </c>
      <c r="B161" s="46">
        <f t="shared" ca="1" si="38"/>
        <v>47</v>
      </c>
      <c r="C161" s="1">
        <f>IF(ISERROR(D161),"",IF(D161="","",MAX($C$133:C160)+1))</f>
        <v>27</v>
      </c>
      <c r="D161" t="str">
        <f t="shared" si="39"/>
        <v xml:space="preserve">OGE Energy                    </v>
      </c>
      <c r="E161" s="22"/>
      <c r="F161" s="63">
        <f t="shared" ca="1" si="42"/>
        <v>1.8509308995405491</v>
      </c>
      <c r="G161" s="63">
        <f t="shared" si="40"/>
        <v>1.9554317548746516</v>
      </c>
      <c r="H161" s="63">
        <f ca="1">IFERROR(VLOOKUP($A161,LASTYR,'2016'!$M$3,FALSE),"N/A")</f>
        <v>1.7326761380110176</v>
      </c>
      <c r="I161" s="63">
        <f t="shared" ca="1" si="43"/>
        <v>1.7949564695286699</v>
      </c>
      <c r="J161" s="63">
        <f t="shared" ca="1" si="43"/>
        <v>2.2227275520865342</v>
      </c>
      <c r="K161" s="63">
        <f t="shared" ca="1" si="43"/>
        <v>2.2433986928104575</v>
      </c>
      <c r="L161" s="63">
        <f t="shared" ca="1" si="43"/>
        <v>1.9372322193658955</v>
      </c>
      <c r="M161" s="63">
        <f t="shared" ca="1" si="43"/>
        <v>1.8968235744355149</v>
      </c>
      <c r="N161" s="63">
        <f t="shared" ca="1" si="43"/>
        <v>1.6968456947996589</v>
      </c>
      <c r="O161" s="63">
        <f t="shared" ca="1" si="43"/>
        <v>1.3696768060836504</v>
      </c>
      <c r="P161" s="63">
        <f t="shared" ca="1" si="43"/>
        <v>1.523020802523908</v>
      </c>
      <c r="Q161" s="63">
        <f t="shared" ca="1" si="43"/>
        <v>1.9826324412889134</v>
      </c>
      <c r="R161" s="63">
        <f t="shared" ca="1" si="43"/>
        <v>1.9051518253155919</v>
      </c>
      <c r="S161" s="63">
        <f t="shared" ca="1" si="43"/>
        <v>1.8015277229026736</v>
      </c>
      <c r="T161" s="17"/>
      <c r="U161" s="17"/>
      <c r="V161" s="17"/>
    </row>
    <row r="162" spans="1:22">
      <c r="A162" s="51" t="str">
        <f t="shared" si="37"/>
        <v>OTTR</v>
      </c>
      <c r="B162" s="46">
        <f t="shared" ca="1" si="38"/>
        <v>49</v>
      </c>
      <c r="C162" s="1">
        <f>IF(ISERROR(D162),"",IF(D162="","",MAX($C$133:C161)+1))</f>
        <v>28</v>
      </c>
      <c r="D162" t="str">
        <f t="shared" si="39"/>
        <v xml:space="preserve">Otter Tail Corp.              </v>
      </c>
      <c r="E162" s="22"/>
      <c r="F162" s="63">
        <f t="shared" ca="1" si="42"/>
        <v>1.705193376368374</v>
      </c>
      <c r="G162" s="63">
        <f t="shared" si="40"/>
        <v>2.1971830985915495</v>
      </c>
      <c r="H162" s="63">
        <f ca="1">IFERROR(VLOOKUP($A162,LASTYR,'2016'!$M$3,FALSE),"N/A")</f>
        <v>1.8971814445096886</v>
      </c>
      <c r="I162" s="63">
        <f t="shared" ca="1" si="43"/>
        <v>1.77637342009761</v>
      </c>
      <c r="J162" s="63">
        <f t="shared" ca="1" si="43"/>
        <v>1.8973942426408474</v>
      </c>
      <c r="K162" s="63">
        <f t="shared" ca="1" si="43"/>
        <v>1.9622923024754155</v>
      </c>
      <c r="L162" s="63">
        <f t="shared" ca="1" si="43"/>
        <v>1.5823863636363635</v>
      </c>
      <c r="M162" s="63">
        <f t="shared" ca="1" si="43"/>
        <v>1.349864173352707</v>
      </c>
      <c r="N162" s="63">
        <f t="shared" ca="1" si="43"/>
        <v>1.1919726729291205</v>
      </c>
      <c r="O162" s="63">
        <f t="shared" ca="1" si="43"/>
        <v>1.1776949693904712</v>
      </c>
      <c r="P162" s="63">
        <f t="shared" ca="1" si="43"/>
        <v>1.7117404253095776</v>
      </c>
      <c r="Q162" s="63">
        <f t="shared" ca="1" si="43"/>
        <v>1.9289499173836249</v>
      </c>
      <c r="R162" s="63">
        <f t="shared" ca="1" si="43"/>
        <v>1.7591048179036417</v>
      </c>
      <c r="S162" s="63">
        <f t="shared" ca="1" si="43"/>
        <v>1.7353760445682451</v>
      </c>
      <c r="T162" s="17"/>
      <c r="U162" s="17"/>
      <c r="V162" s="17"/>
    </row>
    <row r="163" spans="1:22">
      <c r="A163" s="51" t="str">
        <f t="shared" si="37"/>
        <v>PCG</v>
      </c>
      <c r="B163" s="46">
        <f t="shared" ca="1" si="38"/>
        <v>51</v>
      </c>
      <c r="C163" s="1">
        <f>IF(ISERROR(D163),"",IF(D163="","",MAX($C$133:C162)+1))</f>
        <v>29</v>
      </c>
      <c r="D163" t="str">
        <f t="shared" si="39"/>
        <v xml:space="preserve">PG&amp;E Corp.                    </v>
      </c>
      <c r="E163" s="22"/>
      <c r="F163" s="63">
        <f t="shared" ca="1" si="42"/>
        <v>1.5931241722264768</v>
      </c>
      <c r="G163" s="63">
        <f t="shared" si="40"/>
        <v>1.7336884154460719</v>
      </c>
      <c r="H163" s="63">
        <f ca="1">IFERROR(VLOOKUP($A163,LASTYR,'2016'!$M$3,FALSE),"N/A")</f>
        <v>1.6893083182640143</v>
      </c>
      <c r="I163" s="63">
        <f t="shared" ca="1" si="43"/>
        <v>1.5671881029416128</v>
      </c>
      <c r="J163" s="63">
        <f t="shared" ca="1" si="43"/>
        <v>1.3873980054397097</v>
      </c>
      <c r="K163" s="63">
        <f t="shared" ca="1" si="43"/>
        <v>1.3790040119722347</v>
      </c>
      <c r="L163" s="63">
        <f t="shared" ca="1" si="43"/>
        <v>1.4117743954668249</v>
      </c>
      <c r="M163" s="63">
        <f t="shared" ca="1" si="43"/>
        <v>1.4640070861581438</v>
      </c>
      <c r="N163" s="63">
        <f t="shared" ca="1" si="43"/>
        <v>1.5611644363483499</v>
      </c>
      <c r="O163" s="63">
        <f t="shared" ca="1" si="43"/>
        <v>1.4137794993185566</v>
      </c>
      <c r="P163" s="63">
        <f t="shared" ca="1" si="43"/>
        <v>1.4982480458973471</v>
      </c>
      <c r="Q163" s="63">
        <f t="shared" ca="1" si="43"/>
        <v>1.9369727047146401</v>
      </c>
      <c r="R163" s="63">
        <f t="shared" ca="1" si="43"/>
        <v>1.8257342782011854</v>
      </c>
      <c r="S163" s="63">
        <f t="shared" ca="1" si="43"/>
        <v>1.84234693877551</v>
      </c>
      <c r="T163" s="17"/>
      <c r="U163" s="17"/>
      <c r="V163" s="17"/>
    </row>
    <row r="164" spans="1:22">
      <c r="A164" s="51" t="str">
        <f t="shared" si="37"/>
        <v>PNW</v>
      </c>
      <c r="B164" s="46">
        <f t="shared" ca="1" si="38"/>
        <v>52</v>
      </c>
      <c r="C164" s="1">
        <f>IF(ISERROR(D164),"",IF(D164="","",MAX($C$133:C163)+1))</f>
        <v>30</v>
      </c>
      <c r="D164" t="str">
        <f t="shared" si="39"/>
        <v xml:space="preserve">Pinnacle West Capital         </v>
      </c>
      <c r="E164" s="22"/>
      <c r="F164" s="63">
        <f t="shared" ca="1" si="42"/>
        <v>1.3452072067124585</v>
      </c>
      <c r="G164" s="63">
        <f t="shared" si="40"/>
        <v>1.8542600896860983</v>
      </c>
      <c r="H164" s="63">
        <f ca="1">IFERROR(VLOOKUP($A164,LASTYR,'2016'!$M$3,FALSE),"N/A")</f>
        <v>1.7159578166647349</v>
      </c>
      <c r="I164" s="63">
        <f t="shared" ca="1" si="43"/>
        <v>1.5218865000968429</v>
      </c>
      <c r="J164" s="63">
        <f t="shared" ca="1" si="43"/>
        <v>1.4398339198460719</v>
      </c>
      <c r="K164" s="63">
        <f t="shared" ca="1" si="43"/>
        <v>1.4678609892563503</v>
      </c>
      <c r="L164" s="63">
        <f t="shared" ca="1" si="43"/>
        <v>1.3869782602690532</v>
      </c>
      <c r="M164" s="63">
        <f t="shared" ca="1" si="43"/>
        <v>1.2481705922707522</v>
      </c>
      <c r="N164" s="63">
        <f t="shared" ca="1" si="43"/>
        <v>1.142776990314198</v>
      </c>
      <c r="O164" s="63">
        <f t="shared" ca="1" si="43"/>
        <v>0.94995717606753949</v>
      </c>
      <c r="P164" s="63">
        <f t="shared" ca="1" si="43"/>
        <v>0.99718936643635092</v>
      </c>
      <c r="Q164" s="63">
        <f t="shared" ca="1" si="43"/>
        <v>1.2575330772513869</v>
      </c>
      <c r="R164" s="63">
        <f t="shared" ca="1" si="43"/>
        <v>1.2588542422044959</v>
      </c>
      <c r="S164" s="63">
        <f t="shared" ca="1" si="43"/>
        <v>1.2464346668980879</v>
      </c>
      <c r="T164" s="17"/>
      <c r="U164" s="17"/>
      <c r="V164" s="17"/>
    </row>
    <row r="165" spans="1:22">
      <c r="A165" s="51" t="str">
        <f t="shared" si="37"/>
        <v>PNM</v>
      </c>
      <c r="B165" s="46">
        <f t="shared" ca="1" si="38"/>
        <v>53</v>
      </c>
      <c r="C165" s="1">
        <f>IF(ISERROR(D165),"",IF(D165="","",MAX($C$133:C164)+1))</f>
        <v>31</v>
      </c>
      <c r="D165" t="str">
        <f t="shared" si="39"/>
        <v xml:space="preserve">PNM Resources                 </v>
      </c>
      <c r="E165" s="22"/>
      <c r="F165" s="63">
        <f t="shared" ca="1" si="42"/>
        <v>1.1015110760754216</v>
      </c>
      <c r="G165" s="63">
        <f t="shared" si="40"/>
        <v>1.5550847457627119</v>
      </c>
      <c r="H165" s="63">
        <f ca="1">IFERROR(VLOOKUP($A165,LASTYR,'2016'!$M$3,FALSE),"N/A")</f>
        <v>1.5552281368821295</v>
      </c>
      <c r="I165" s="63">
        <f t="shared" ca="1" si="43"/>
        <v>1.3299157641395911</v>
      </c>
      <c r="J165" s="63">
        <f t="shared" ca="1" si="43"/>
        <v>1.2094144968960743</v>
      </c>
      <c r="K165" s="63">
        <f t="shared" ca="1" si="43"/>
        <v>1.0900508003450591</v>
      </c>
      <c r="L165" s="63">
        <f t="shared" ca="1" si="43"/>
        <v>0.97839860314292826</v>
      </c>
      <c r="M165" s="63">
        <f t="shared" ca="1" si="43"/>
        <v>0.80011215334420882</v>
      </c>
      <c r="N165" s="63">
        <f t="shared" ca="1" si="43"/>
        <v>0.69437972381655955</v>
      </c>
      <c r="O165" s="63">
        <f t="shared" ca="1" si="43"/>
        <v>0.55520871911539071</v>
      </c>
      <c r="P165" s="63">
        <f t="shared" ca="1" si="43"/>
        <v>0.65997988673053509</v>
      </c>
      <c r="Q165" s="63">
        <f t="shared" ca="1" si="43"/>
        <v>1.2297113289760349</v>
      </c>
      <c r="R165" s="63">
        <f t="shared" ca="1" si="43"/>
        <v>1.2124751041100852</v>
      </c>
      <c r="S165" s="63">
        <f t="shared" ca="1" si="43"/>
        <v>1.4496845257191742</v>
      </c>
      <c r="T165" s="17"/>
      <c r="U165" s="17"/>
      <c r="V165" s="17"/>
    </row>
    <row r="166" spans="1:22">
      <c r="A166" s="51" t="str">
        <f t="shared" si="37"/>
        <v>POR</v>
      </c>
      <c r="B166" s="46">
        <f t="shared" ca="1" si="38"/>
        <v>54</v>
      </c>
      <c r="C166" s="1">
        <f>IF(ISERROR(D166),"",IF(D166="","",MAX($C$133:C165)+1))</f>
        <v>32</v>
      </c>
      <c r="D166" t="str">
        <f t="shared" si="39"/>
        <v xml:space="preserve">Portland General              </v>
      </c>
      <c r="E166" s="22"/>
      <c r="F166" s="63">
        <f t="shared" ca="1" si="42"/>
        <v>1.2606813906074235</v>
      </c>
      <c r="G166" s="63">
        <f t="shared" si="40"/>
        <v>1.6691176470588236</v>
      </c>
      <c r="H166" s="63">
        <f ca="1">IFERROR(VLOOKUP($A166,LASTYR,'2016'!$M$3,FALSE),"N/A")</f>
        <v>1.5620612453990057</v>
      </c>
      <c r="I166" s="63">
        <f t="shared" ca="1" si="43"/>
        <v>1.4210381439244986</v>
      </c>
      <c r="J166" s="63">
        <f t="shared" ca="1" si="43"/>
        <v>1.3669968888161126</v>
      </c>
      <c r="K166" s="63">
        <f t="shared" ca="1" si="43"/>
        <v>1.2825499034127494</v>
      </c>
      <c r="L166" s="63">
        <f t="shared" ca="1" si="43"/>
        <v>1.1429820725841713</v>
      </c>
      <c r="M166" s="63">
        <f t="shared" ca="1" si="43"/>
        <v>1.0930801649521911</v>
      </c>
      <c r="N166" s="63">
        <f t="shared" ca="1" si="43"/>
        <v>0.94242323887022761</v>
      </c>
      <c r="O166" s="63">
        <f t="shared" ca="1" si="43"/>
        <v>0.91976392547068575</v>
      </c>
      <c r="P166" s="63">
        <f t="shared" ca="1" si="43"/>
        <v>1.0468157870413162</v>
      </c>
      <c r="Q166" s="63">
        <f t="shared" ca="1" si="43"/>
        <v>1.3220564477810512</v>
      </c>
      <c r="R166" s="63">
        <f t="shared" ca="1" si="43"/>
        <v>1.3592912219782465</v>
      </c>
      <c r="S166" s="63" t="str">
        <f t="shared" ref="S166:S174" ca="1" si="44">IFERROR(IF(INDEX(MP_BV_WP,$B166,S$134)=0,"N/A",INDEX(MP_BV_WP,$B166,S$134)),"N/A")</f>
        <v>N/A</v>
      </c>
      <c r="T166" s="17"/>
      <c r="U166" s="17"/>
      <c r="V166" s="17"/>
    </row>
    <row r="167" spans="1:22">
      <c r="A167" s="51" t="str">
        <f t="shared" si="37"/>
        <v>PPL</v>
      </c>
      <c r="B167" s="46">
        <f t="shared" ca="1" si="38"/>
        <v>55</v>
      </c>
      <c r="C167" s="1">
        <f>IF(ISERROR(D167),"",IF(D167="","",MAX($C$133:C166)+1))</f>
        <v>33</v>
      </c>
      <c r="D167" t="str">
        <f t="shared" si="39"/>
        <v xml:space="preserve">PPL Corp.                     </v>
      </c>
      <c r="E167" s="22"/>
      <c r="F167" s="63">
        <f t="shared" ca="1" si="42"/>
        <v>2.1698542463552002</v>
      </c>
      <c r="G167" s="63">
        <f t="shared" si="40"/>
        <v>2.4150326797385619</v>
      </c>
      <c r="H167" s="63">
        <f ca="1">IFERROR(VLOOKUP($A167,LASTYR,'2016'!$M$3,FALSE),"N/A")</f>
        <v>2.457872691066401</v>
      </c>
      <c r="I167" s="63">
        <f t="shared" ca="1" si="43"/>
        <v>2.2404211956521736</v>
      </c>
      <c r="J167" s="63">
        <f t="shared" ca="1" si="43"/>
        <v>1.6368788781941663</v>
      </c>
      <c r="K167" s="63">
        <f t="shared" ca="1" si="43"/>
        <v>1.5456338170602215</v>
      </c>
      <c r="L167" s="63">
        <f t="shared" ca="1" si="43"/>
        <v>1.5770448109278694</v>
      </c>
      <c r="M167" s="63">
        <f t="shared" ca="1" si="43"/>
        <v>1.4661324786324788</v>
      </c>
      <c r="N167" s="63">
        <f t="shared" ca="1" si="43"/>
        <v>1.6085138954309937</v>
      </c>
      <c r="O167" s="63">
        <f t="shared" ca="1" si="43"/>
        <v>2.097796994029236</v>
      </c>
      <c r="P167" s="63">
        <f t="shared" ca="1" si="43"/>
        <v>3.1882839014313116</v>
      </c>
      <c r="Q167" s="63">
        <f t="shared" ca="1" si="43"/>
        <v>3.0500503862949278</v>
      </c>
      <c r="R167" s="63">
        <f t="shared" ca="1" si="43"/>
        <v>2.4271968728858151</v>
      </c>
      <c r="S167" s="63">
        <f t="shared" ca="1" si="44"/>
        <v>2.4972466012734471</v>
      </c>
      <c r="T167" s="17"/>
      <c r="U167" s="17"/>
      <c r="V167" s="17"/>
    </row>
    <row r="168" spans="1:22">
      <c r="A168" s="51" t="str">
        <f t="shared" si="37"/>
        <v>PEG</v>
      </c>
      <c r="B168" s="46">
        <f t="shared" ca="1" si="38"/>
        <v>56</v>
      </c>
      <c r="C168" s="1">
        <f>IF(ISERROR(D168),"",IF(D168="","",MAX($C$133:C167)+1))</f>
        <v>34</v>
      </c>
      <c r="D168" t="str">
        <f t="shared" si="39"/>
        <v xml:space="preserve">Public Serv. Enterprise       </v>
      </c>
      <c r="E168" s="22"/>
      <c r="F168" s="63">
        <f t="shared" ca="1" si="42"/>
        <v>1.9178176753153973</v>
      </c>
      <c r="G168" s="63">
        <f t="shared" si="40"/>
        <v>1.6884615384615387</v>
      </c>
      <c r="H168" s="63">
        <f ca="1">IFERROR(VLOOKUP($A168,LASTYR,'2016'!$M$3,FALSE),"N/A")</f>
        <v>1.6700503710539469</v>
      </c>
      <c r="I168" s="63">
        <f t="shared" ca="1" si="43"/>
        <v>1.5839746316562897</v>
      </c>
      <c r="J168" s="63">
        <f t="shared" ca="1" si="43"/>
        <v>1.5656523724521567</v>
      </c>
      <c r="K168" s="63">
        <f t="shared" ca="1" si="43"/>
        <v>1.4413648842986013</v>
      </c>
      <c r="L168" s="63">
        <f t="shared" ca="1" si="43"/>
        <v>1.4643108545684922</v>
      </c>
      <c r="M168" s="63">
        <f t="shared" ca="1" si="43"/>
        <v>1.5925415045076112</v>
      </c>
      <c r="N168" s="63">
        <f t="shared" ca="1" si="43"/>
        <v>1.6719365512894584</v>
      </c>
      <c r="O168" s="63">
        <f t="shared" ca="1" si="43"/>
        <v>1.7802855826807924</v>
      </c>
      <c r="P168" s="63">
        <f t="shared" ca="1" si="43"/>
        <v>2.5768704825161164</v>
      </c>
      <c r="Q168" s="63">
        <f t="shared" ca="1" si="43"/>
        <v>2.9851598968856683</v>
      </c>
      <c r="R168" s="63">
        <f t="shared" ca="1" si="43"/>
        <v>2.4605706582790385</v>
      </c>
      <c r="S168" s="63">
        <f t="shared" ca="1" si="44"/>
        <v>2.4504504504504507</v>
      </c>
      <c r="T168" s="17"/>
      <c r="U168" s="17"/>
      <c r="V168" s="17"/>
    </row>
    <row r="169" spans="1:22">
      <c r="A169" s="51" t="str">
        <f t="shared" si="37"/>
        <v>SCG</v>
      </c>
      <c r="B169" s="46">
        <f t="shared" ca="1" si="38"/>
        <v>57</v>
      </c>
      <c r="C169" s="1">
        <f>IF(ISERROR(D169),"",IF(D169="","",MAX($C$133:C168)+1))</f>
        <v>35</v>
      </c>
      <c r="D169" t="str">
        <f t="shared" si="39"/>
        <v xml:space="preserve">SCANA Corp.                   </v>
      </c>
      <c r="E169" s="22"/>
      <c r="F169" s="63">
        <f t="shared" ca="1" si="42"/>
        <v>1.5047550317028511</v>
      </c>
      <c r="G169" s="63">
        <f t="shared" si="40"/>
        <v>1.607913669064748</v>
      </c>
      <c r="H169" s="63">
        <f ca="1">IFERROR(VLOOKUP($A169,LASTYR,'2016'!$M$3,FALSE),"N/A")</f>
        <v>1.7440281556548434</v>
      </c>
      <c r="I169" s="63">
        <f t="shared" ca="1" si="43"/>
        <v>1.4669204515620897</v>
      </c>
      <c r="J169" s="63">
        <f t="shared" ca="1" si="43"/>
        <v>1.4832174435573868</v>
      </c>
      <c r="K169" s="63">
        <f t="shared" ca="1" si="43"/>
        <v>1.4785053509885724</v>
      </c>
      <c r="L169" s="63">
        <f t="shared" ca="1" si="43"/>
        <v>1.4814567642291925</v>
      </c>
      <c r="M169" s="63">
        <f t="shared" ca="1" si="43"/>
        <v>1.3559763550746415</v>
      </c>
      <c r="N169" s="63">
        <f t="shared" ca="1" si="43"/>
        <v>1.3268727623244285</v>
      </c>
      <c r="O169" s="63">
        <f t="shared" ca="1" si="43"/>
        <v>1.1991965545944772</v>
      </c>
      <c r="P169" s="63">
        <f t="shared" ca="1" si="43"/>
        <v>1.4454415348315475</v>
      </c>
      <c r="Q169" s="63">
        <f t="shared" ca="1" si="43"/>
        <v>1.6152057386094909</v>
      </c>
      <c r="R169" s="63">
        <f t="shared" ca="1" si="43"/>
        <v>1.6370977659356425</v>
      </c>
      <c r="S169" s="63">
        <f t="shared" ca="1" si="44"/>
        <v>1.7199828657100023</v>
      </c>
      <c r="T169" s="17"/>
      <c r="U169" s="17"/>
      <c r="V169" s="17"/>
    </row>
    <row r="170" spans="1:22">
      <c r="A170" s="51" t="str">
        <f t="shared" si="37"/>
        <v>SRE</v>
      </c>
      <c r="B170" s="46">
        <f t="shared" ca="1" si="38"/>
        <v>58</v>
      </c>
      <c r="C170" s="1">
        <f>IF(ISERROR(D170),"",IF(D170="","",MAX($C$133:C169)+1))</f>
        <v>36</v>
      </c>
      <c r="D170" t="str">
        <f t="shared" si="39"/>
        <v xml:space="preserve">Sempra Energy                 </v>
      </c>
      <c r="E170" s="22"/>
      <c r="F170" s="63">
        <f t="shared" ca="1" si="42"/>
        <v>1.7405046885048847</v>
      </c>
      <c r="G170" s="63">
        <f t="shared" si="40"/>
        <v>2.0364826941066414</v>
      </c>
      <c r="H170" s="63">
        <f ca="1">IFERROR(VLOOKUP($A170,LASTYR,'2016'!$M$3,FALSE),"N/A")</f>
        <v>1.9960596461407711</v>
      </c>
      <c r="I170" s="63">
        <f t="shared" ca="1" si="43"/>
        <v>2.1691757779646759</v>
      </c>
      <c r="J170" s="63">
        <f t="shared" ca="1" si="43"/>
        <v>2.2024184954000741</v>
      </c>
      <c r="K170" s="63">
        <f t="shared" ca="1" si="43"/>
        <v>1.8446591161447923</v>
      </c>
      <c r="L170" s="63">
        <f t="shared" ca="1" si="43"/>
        <v>1.5266011361761309</v>
      </c>
      <c r="M170" s="63">
        <f t="shared" ca="1" si="43"/>
        <v>1.2832231787917958</v>
      </c>
      <c r="N170" s="63">
        <f t="shared" ca="1" si="43"/>
        <v>1.3486402258743306</v>
      </c>
      <c r="O170" s="63">
        <f t="shared" ca="1" si="43"/>
        <v>1.3199682522305547</v>
      </c>
      <c r="P170" s="63">
        <f t="shared" ca="1" si="43"/>
        <v>1.596042868920033</v>
      </c>
      <c r="Q170" s="63">
        <f t="shared" ca="1" si="43"/>
        <v>1.8722623156573579</v>
      </c>
      <c r="R170" s="63">
        <f t="shared" ca="1" si="43"/>
        <v>1.6976549413735345</v>
      </c>
      <c r="S170" s="63">
        <f t="shared" ca="1" si="44"/>
        <v>1.7333723017828064</v>
      </c>
      <c r="T170" s="17"/>
      <c r="U170" s="17"/>
      <c r="V170" s="17"/>
    </row>
    <row r="171" spans="1:22">
      <c r="A171" s="51" t="str">
        <f t="shared" si="37"/>
        <v>SO</v>
      </c>
      <c r="B171" s="46">
        <f t="shared" ca="1" si="38"/>
        <v>62</v>
      </c>
      <c r="C171" s="1">
        <f>IF(ISERROR(D171),"",IF(D171="","",MAX($C$133:C170)+1))</f>
        <v>37</v>
      </c>
      <c r="D171" t="str">
        <f t="shared" si="39"/>
        <v xml:space="preserve">Southern Co.                  </v>
      </c>
      <c r="E171" s="22"/>
      <c r="F171" s="63">
        <f t="shared" ca="1" si="42"/>
        <v>2.056893732103406</v>
      </c>
      <c r="G171" s="63">
        <f t="shared" si="40"/>
        <v>2.0308641975308643</v>
      </c>
      <c r="H171" s="63">
        <f ca="1">IFERROR(VLOOKUP($A171,LASTYR,'2016'!$M$3,FALSE),"N/A")</f>
        <v>2.0104008320665652</v>
      </c>
      <c r="I171" s="63">
        <f t="shared" ca="1" si="43"/>
        <v>1.9928274152129639</v>
      </c>
      <c r="J171" s="63">
        <f t="shared" ca="1" si="43"/>
        <v>2.0222970513287222</v>
      </c>
      <c r="K171" s="63">
        <f t="shared" ca="1" si="43"/>
        <v>2.03957623559061</v>
      </c>
      <c r="L171" s="63">
        <f t="shared" ca="1" si="43"/>
        <v>2.148636471425184</v>
      </c>
      <c r="M171" s="63">
        <f t="shared" ca="1" si="43"/>
        <v>1.9888768579584601</v>
      </c>
      <c r="N171" s="63">
        <f t="shared" ca="1" si="43"/>
        <v>1.8299500312304808</v>
      </c>
      <c r="O171" s="63">
        <f t="shared" ca="1" si="43"/>
        <v>1.7280740414279416</v>
      </c>
      <c r="P171" s="63">
        <f t="shared" ca="1" si="43"/>
        <v>2.1242243297037819</v>
      </c>
      <c r="Q171" s="63">
        <f t="shared" ca="1" si="43"/>
        <v>2.2409118915588415</v>
      </c>
      <c r="R171" s="63">
        <f t="shared" ca="1" si="43"/>
        <v>2.2311478637527076</v>
      </c>
      <c r="S171" s="63">
        <f t="shared" ca="1" si="44"/>
        <v>2.3518312985571588</v>
      </c>
      <c r="T171" s="17"/>
      <c r="U171" s="17"/>
      <c r="V171" s="17"/>
    </row>
    <row r="172" spans="1:22">
      <c r="A172" s="51" t="str">
        <f t="shared" si="37"/>
        <v>VVC</v>
      </c>
      <c r="B172" s="46">
        <f t="shared" ca="1" si="38"/>
        <v>70</v>
      </c>
      <c r="C172" s="1">
        <f>IF(ISERROR(D172),"",IF(D172="","",MAX($C$133:C171)+1))</f>
        <v>38</v>
      </c>
      <c r="D172" t="str">
        <f t="shared" si="39"/>
        <v xml:space="preserve">Vectren Corp.                 </v>
      </c>
      <c r="E172" s="22"/>
      <c r="F172" s="63">
        <f t="shared" ca="1" si="42"/>
        <v>1.8317492296000815</v>
      </c>
      <c r="G172" s="63">
        <f t="shared" si="40"/>
        <v>2.7100456621004567</v>
      </c>
      <c r="H172" s="63">
        <f ca="1">IFERROR(VLOOKUP($A172,LASTYR,'2016'!$M$3,FALSE),"N/A")</f>
        <v>2.2929482370592651</v>
      </c>
      <c r="I172" s="63">
        <f t="shared" ca="1" si="43"/>
        <v>2.1063139260424864</v>
      </c>
      <c r="J172" s="63">
        <f t="shared" ca="1" si="43"/>
        <v>2.0753213367609256</v>
      </c>
      <c r="K172" s="63">
        <f t="shared" ca="1" si="43"/>
        <v>1.8185336372793297</v>
      </c>
      <c r="L172" s="63">
        <f t="shared" ca="1" si="43"/>
        <v>1.5692664009479695</v>
      </c>
      <c r="M172" s="63">
        <f t="shared" ca="1" si="43"/>
        <v>1.5300659438918076</v>
      </c>
      <c r="N172" s="63">
        <f t="shared" ca="1" si="43"/>
        <v>1.4063138769021124</v>
      </c>
      <c r="O172" s="63">
        <f t="shared" ca="1" si="43"/>
        <v>1.3393313211051776</v>
      </c>
      <c r="P172" s="63">
        <f t="shared" ca="1" si="43"/>
        <v>1.6404891793057967</v>
      </c>
      <c r="Q172" s="63">
        <f t="shared" ca="1" si="43"/>
        <v>1.7367704400569413</v>
      </c>
      <c r="R172" s="63">
        <f t="shared" ca="1" si="43"/>
        <v>1.7654569021386908</v>
      </c>
      <c r="S172" s="63">
        <f t="shared" ca="1" si="44"/>
        <v>1.8218831212101021</v>
      </c>
      <c r="T172" s="17"/>
      <c r="U172" s="17"/>
      <c r="V172" s="17"/>
    </row>
    <row r="173" spans="1:22">
      <c r="A173" s="51" t="str">
        <f t="shared" si="37"/>
        <v>WEC</v>
      </c>
      <c r="B173" s="46">
        <f t="shared" ca="1" si="38"/>
        <v>71</v>
      </c>
      <c r="C173" s="1">
        <f>IF(ISERROR(D173),"",IF(D173="","",MAX($C$133:C172)+1))</f>
        <v>39</v>
      </c>
      <c r="D173" t="str">
        <f t="shared" si="39"/>
        <v>WEC Energy Group</v>
      </c>
      <c r="E173" s="22"/>
      <c r="F173" s="63">
        <f t="shared" ca="1" si="42"/>
        <v>1.8542684133165479</v>
      </c>
      <c r="G173" s="63">
        <f t="shared" si="40"/>
        <v>2.0784982935153584</v>
      </c>
      <c r="H173" s="63">
        <f ca="1">IFERROR(VLOOKUP($A173,LASTYR,'2016'!$M$3,FALSE),"N/A")</f>
        <v>2.0868059237267169</v>
      </c>
      <c r="I173" s="63">
        <f t="shared" ca="1" si="43"/>
        <v>1.8208710242194339</v>
      </c>
      <c r="J173" s="63">
        <f t="shared" ca="1" si="43"/>
        <v>2.3404939279518318</v>
      </c>
      <c r="K173" s="63">
        <f t="shared" ca="1" si="43"/>
        <v>2.2113916617733413</v>
      </c>
      <c r="L173" s="63">
        <f t="shared" ca="1" si="43"/>
        <v>2.0509582364019057</v>
      </c>
      <c r="M173" s="63">
        <f t="shared" ca="1" si="43"/>
        <v>1.8064553649316661</v>
      </c>
      <c r="N173" s="63">
        <f t="shared" ca="1" si="43"/>
        <v>1.6539596655189375</v>
      </c>
      <c r="O173" s="63">
        <f t="shared" ca="1" si="43"/>
        <v>1.3998033431661749</v>
      </c>
      <c r="P173" s="63">
        <f t="shared" ca="1" si="43"/>
        <v>1.5682550805886477</v>
      </c>
      <c r="Q173" s="63">
        <f t="shared" ca="1" si="43"/>
        <v>1.7651498000150934</v>
      </c>
      <c r="R173" s="63">
        <f t="shared" ca="1" si="43"/>
        <v>1.7066968985342943</v>
      </c>
      <c r="S173" s="63">
        <f t="shared" ca="1" si="44"/>
        <v>1.6161501527717155</v>
      </c>
      <c r="T173" s="17"/>
      <c r="U173" s="17"/>
      <c r="V173" s="17"/>
    </row>
    <row r="174" spans="1:22">
      <c r="A174" s="51" t="str">
        <f t="shared" si="37"/>
        <v>WR</v>
      </c>
      <c r="B174" s="46">
        <f t="shared" ca="1" si="38"/>
        <v>72</v>
      </c>
      <c r="C174" s="1">
        <f>IF(ISERROR(D174),"",IF(D174="","",MAX($C$133:C173)+1))</f>
        <v>40</v>
      </c>
      <c r="D174" t="str">
        <f t="shared" si="39"/>
        <v xml:space="preserve">Westar Energy                 </v>
      </c>
      <c r="E174" s="22"/>
      <c r="F174" s="63">
        <f t="shared" ca="1" si="42"/>
        <v>1.3660335339504217</v>
      </c>
      <c r="G174" s="63">
        <f t="shared" si="40"/>
        <v>1.8859180035650625</v>
      </c>
      <c r="H174" s="63">
        <f ca="1">IFERROR(VLOOKUP($A174,LASTYR,'2016'!$M$3,FALSE),"N/A")</f>
        <v>1.9542490965314256</v>
      </c>
      <c r="I174" s="63">
        <f t="shared" ca="1" si="43"/>
        <v>1.4909350960609224</v>
      </c>
      <c r="J174" s="63">
        <f t="shared" ca="1" si="43"/>
        <v>1.4424860111910471</v>
      </c>
      <c r="K174" s="63">
        <f t="shared" ca="1" si="43"/>
        <v>1.3343942376146405</v>
      </c>
      <c r="L174" s="63">
        <f t="shared" ca="1" si="43"/>
        <v>1.2612038088582163</v>
      </c>
      <c r="M174" s="63">
        <f t="shared" ca="1" si="43"/>
        <v>1.200717171258681</v>
      </c>
      <c r="N174" s="63">
        <f t="shared" ca="1" si="43"/>
        <v>1.0974542374476495</v>
      </c>
      <c r="O174" s="63">
        <f t="shared" ca="1" si="43"/>
        <v>0.92936947440007789</v>
      </c>
      <c r="P174" s="63">
        <f t="shared" ca="1" si="43"/>
        <v>1.1009215219976218</v>
      </c>
      <c r="Q174" s="63">
        <f t="shared" ca="1" si="43"/>
        <v>1.3558702126547886</v>
      </c>
      <c r="R174" s="63">
        <f t="shared" ca="1" si="43"/>
        <v>1.2996309963099633</v>
      </c>
      <c r="S174" s="63">
        <f t="shared" ca="1" si="44"/>
        <v>1.4052860734653831</v>
      </c>
      <c r="T174" s="17"/>
      <c r="U174" s="17"/>
      <c r="V174" s="17"/>
    </row>
    <row r="175" spans="1:22">
      <c r="A175" s="51" t="str">
        <f t="shared" si="37"/>
        <v>XEL</v>
      </c>
      <c r="B175" s="46">
        <f t="shared" ca="1" si="38"/>
        <v>74</v>
      </c>
      <c r="C175" s="1">
        <f>IF(ISERROR(D175),"",IF(D175="","",MAX($C$133:C174)+1))</f>
        <v>41</v>
      </c>
      <c r="D175" t="str">
        <f t="shared" si="39"/>
        <v xml:space="preserve">Xcel Energy Inc.              </v>
      </c>
      <c r="E175" s="22"/>
      <c r="F175" s="63">
        <f t="shared" ca="1" si="42"/>
        <v>1.5053674239898467</v>
      </c>
      <c r="G175" s="63">
        <f t="shared" si="40"/>
        <v>1.9579646017699113</v>
      </c>
      <c r="H175" s="63">
        <f ca="1">IFERROR(VLOOKUP($A175,LASTYR,'2016'!$M$3,FALSE),"N/A")</f>
        <v>1.8790960972017672</v>
      </c>
      <c r="I175" s="63">
        <f t="shared" ref="I175:S179" ca="1" si="45">IFERROR(IF(INDEX(MP_BV_WP,$B175,I$134)=0,"N/A",INDEX(MP_BV_WP,$B175,I$134)),"N/A")</f>
        <v>1.6627088619715611</v>
      </c>
      <c r="J175" s="63">
        <f t="shared" ca="1" si="45"/>
        <v>1.5519136505421598</v>
      </c>
      <c r="K175" s="63">
        <f t="shared" ca="1" si="45"/>
        <v>1.4953149401353463</v>
      </c>
      <c r="L175" s="63">
        <f t="shared" ca="1" si="45"/>
        <v>1.5077532167601453</v>
      </c>
      <c r="M175" s="63">
        <f t="shared" ca="1" si="45"/>
        <v>1.4050473186119874</v>
      </c>
      <c r="N175" s="63">
        <f t="shared" ca="1" si="45"/>
        <v>1.3151739363923862</v>
      </c>
      <c r="O175" s="63">
        <f t="shared" ca="1" si="45"/>
        <v>1.1853759658269991</v>
      </c>
      <c r="P175" s="63">
        <f t="shared" ca="1" si="45"/>
        <v>1.3020982666492897</v>
      </c>
      <c r="Q175" s="63">
        <f t="shared" ca="1" si="45"/>
        <v>1.529908132017693</v>
      </c>
      <c r="R175" s="63">
        <f t="shared" ca="1" si="45"/>
        <v>1.3991037669794146</v>
      </c>
      <c r="S175" s="63">
        <f t="shared" ca="1" si="45"/>
        <v>1.3783177570093457</v>
      </c>
      <c r="T175" s="17"/>
      <c r="U175" s="17"/>
      <c r="V175" s="17"/>
    </row>
    <row r="176" spans="1:22" hidden="1">
      <c r="A176" s="51">
        <f t="shared" si="37"/>
        <v>0</v>
      </c>
      <c r="B176" s="46" t="e">
        <f t="shared" ca="1" si="38"/>
        <v>#N/A</v>
      </c>
      <c r="C176" s="1" t="str">
        <f>IF(ISERROR(D176),"",IF(D176="","",MAX($C$133:C175)+1))</f>
        <v/>
      </c>
      <c r="D176" t="e">
        <f t="shared" si="39"/>
        <v>#N/A</v>
      </c>
      <c r="E176" s="22"/>
      <c r="F176" s="63" t="e">
        <f t="shared" ca="1" si="42"/>
        <v>#DIV/0!</v>
      </c>
      <c r="G176" s="63" t="str">
        <f t="shared" si="40"/>
        <v>N/A</v>
      </c>
      <c r="H176" s="63" t="str">
        <f ca="1">IFERROR(VLOOKUP($A176,LASTYR,'2016'!$M$3,FALSE),"N/A")</f>
        <v>N/A</v>
      </c>
      <c r="I176" s="63" t="str">
        <f t="shared" ca="1" si="45"/>
        <v>N/A</v>
      </c>
      <c r="J176" s="63" t="str">
        <f t="shared" ca="1" si="45"/>
        <v>N/A</v>
      </c>
      <c r="K176" s="63" t="str">
        <f t="shared" ca="1" si="45"/>
        <v>N/A</v>
      </c>
      <c r="L176" s="63" t="str">
        <f t="shared" ca="1" si="45"/>
        <v>N/A</v>
      </c>
      <c r="M176" s="63" t="str">
        <f t="shared" ca="1" si="45"/>
        <v>N/A</v>
      </c>
      <c r="N176" s="63" t="str">
        <f t="shared" ca="1" si="45"/>
        <v>N/A</v>
      </c>
      <c r="O176" s="63" t="str">
        <f t="shared" ca="1" si="45"/>
        <v>N/A</v>
      </c>
      <c r="P176" s="63" t="str">
        <f t="shared" ca="1" si="45"/>
        <v>N/A</v>
      </c>
      <c r="Q176" s="63" t="str">
        <f t="shared" ca="1" si="45"/>
        <v>N/A</v>
      </c>
      <c r="R176" s="63" t="str">
        <f t="shared" ca="1" si="45"/>
        <v>N/A</v>
      </c>
      <c r="S176" s="63" t="str">
        <f t="shared" ca="1" si="45"/>
        <v>N/A</v>
      </c>
      <c r="T176" s="17"/>
      <c r="U176" s="17"/>
      <c r="V176" s="17"/>
    </row>
    <row r="177" spans="1:22" hidden="1">
      <c r="A177" s="51">
        <f t="shared" si="37"/>
        <v>0</v>
      </c>
      <c r="B177" s="46" t="e">
        <f t="shared" ca="1" si="38"/>
        <v>#N/A</v>
      </c>
      <c r="C177" s="1" t="str">
        <f>IF(ISERROR(D177),"",IF(D177="","",MAX($C$133:C176)+1))</f>
        <v/>
      </c>
      <c r="D177" t="e">
        <f t="shared" si="39"/>
        <v>#N/A</v>
      </c>
      <c r="F177" s="63" t="e">
        <f t="shared" ca="1" si="42"/>
        <v>#DIV/0!</v>
      </c>
      <c r="G177" s="63" t="str">
        <f t="shared" si="40"/>
        <v>N/A</v>
      </c>
      <c r="H177" s="63" t="str">
        <f ca="1">IFERROR(VLOOKUP($A177,LASTYR,'2016'!$M$3,FALSE),"N/A")</f>
        <v>N/A</v>
      </c>
      <c r="I177" s="63" t="str">
        <f t="shared" ca="1" si="45"/>
        <v>N/A</v>
      </c>
      <c r="J177" s="63" t="str">
        <f t="shared" ca="1" si="45"/>
        <v>N/A</v>
      </c>
      <c r="K177" s="63" t="str">
        <f t="shared" ca="1" si="45"/>
        <v>N/A</v>
      </c>
      <c r="L177" s="63" t="str">
        <f t="shared" ca="1" si="45"/>
        <v>N/A</v>
      </c>
      <c r="M177" s="63" t="str">
        <f t="shared" ca="1" si="45"/>
        <v>N/A</v>
      </c>
      <c r="N177" s="63" t="str">
        <f t="shared" ca="1" si="45"/>
        <v>N/A</v>
      </c>
      <c r="O177" s="63" t="str">
        <f t="shared" ca="1" si="45"/>
        <v>N/A</v>
      </c>
      <c r="P177" s="63" t="str">
        <f t="shared" ca="1" si="45"/>
        <v>N/A</v>
      </c>
      <c r="Q177" s="63" t="str">
        <f t="shared" ca="1" si="45"/>
        <v>N/A</v>
      </c>
      <c r="R177" s="63" t="str">
        <f t="shared" ca="1" si="45"/>
        <v>N/A</v>
      </c>
      <c r="S177" s="63" t="str">
        <f t="shared" ca="1" si="45"/>
        <v>N/A</v>
      </c>
      <c r="T177" s="17"/>
      <c r="U177" s="17"/>
      <c r="V177" s="17"/>
    </row>
    <row r="178" spans="1:22" hidden="1">
      <c r="A178" s="51">
        <f t="shared" si="37"/>
        <v>0</v>
      </c>
      <c r="B178" s="46" t="e">
        <f t="shared" ca="1" si="38"/>
        <v>#N/A</v>
      </c>
      <c r="C178" s="1" t="str">
        <f>IF(ISERROR(D178),"",IF(D178="","",MAX($C$133:C177)+1))</f>
        <v/>
      </c>
      <c r="D178" t="e">
        <f t="shared" si="39"/>
        <v>#N/A</v>
      </c>
      <c r="F178" s="63" t="e">
        <f t="shared" ca="1" si="42"/>
        <v>#DIV/0!</v>
      </c>
      <c r="G178" s="63" t="str">
        <f t="shared" si="40"/>
        <v>N/A</v>
      </c>
      <c r="H178" s="63" t="str">
        <f ca="1">IFERROR(VLOOKUP($A178,LASTYR,'2016'!$M$3,FALSE),"N/A")</f>
        <v>N/A</v>
      </c>
      <c r="I178" s="63" t="str">
        <f t="shared" ca="1" si="45"/>
        <v>N/A</v>
      </c>
      <c r="J178" s="63" t="str">
        <f t="shared" ca="1" si="45"/>
        <v>N/A</v>
      </c>
      <c r="K178" s="63" t="str">
        <f t="shared" ca="1" si="45"/>
        <v>N/A</v>
      </c>
      <c r="L178" s="63" t="str">
        <f t="shared" ca="1" si="45"/>
        <v>N/A</v>
      </c>
      <c r="M178" s="63" t="str">
        <f t="shared" ca="1" si="45"/>
        <v>N/A</v>
      </c>
      <c r="N178" s="63" t="str">
        <f t="shared" ca="1" si="45"/>
        <v>N/A</v>
      </c>
      <c r="O178" s="63" t="str">
        <f t="shared" ca="1" si="45"/>
        <v>N/A</v>
      </c>
      <c r="P178" s="63" t="str">
        <f t="shared" ca="1" si="45"/>
        <v>N/A</v>
      </c>
      <c r="Q178" s="63" t="str">
        <f t="shared" ca="1" si="45"/>
        <v>N/A</v>
      </c>
      <c r="R178" s="63" t="str">
        <f t="shared" ca="1" si="45"/>
        <v>N/A</v>
      </c>
      <c r="S178" s="63" t="str">
        <f t="shared" ca="1" si="45"/>
        <v>N/A</v>
      </c>
      <c r="T178" s="17"/>
      <c r="U178" s="17"/>
      <c r="V178" s="17"/>
    </row>
    <row r="179" spans="1:22" hidden="1">
      <c r="A179" s="51">
        <f t="shared" si="37"/>
        <v>0</v>
      </c>
      <c r="B179" s="46" t="e">
        <f t="shared" ca="1" si="38"/>
        <v>#N/A</v>
      </c>
      <c r="C179" s="1" t="str">
        <f>IF(ISERROR(D179),"",IF(D179="","",MAX($C$133:C178)+1))</f>
        <v/>
      </c>
      <c r="D179" t="e">
        <f t="shared" si="39"/>
        <v>#N/A</v>
      </c>
      <c r="F179" s="63" t="e">
        <f t="shared" ca="1" si="42"/>
        <v>#DIV/0!</v>
      </c>
      <c r="G179" s="63" t="str">
        <f t="shared" si="40"/>
        <v>N/A</v>
      </c>
      <c r="H179" s="63" t="str">
        <f ca="1">IFERROR(VLOOKUP($A179,LASTYR,'2016'!$M$3,FALSE),"N/A")</f>
        <v>N/A</v>
      </c>
      <c r="I179" s="63" t="str">
        <f t="shared" ca="1" si="45"/>
        <v>N/A</v>
      </c>
      <c r="J179" s="63" t="str">
        <f t="shared" ca="1" si="45"/>
        <v>N/A</v>
      </c>
      <c r="K179" s="63" t="str">
        <f t="shared" ca="1" si="45"/>
        <v>N/A</v>
      </c>
      <c r="L179" s="63" t="str">
        <f t="shared" ca="1" si="45"/>
        <v>N/A</v>
      </c>
      <c r="M179" s="63" t="str">
        <f t="shared" ca="1" si="45"/>
        <v>N/A</v>
      </c>
      <c r="N179" s="63" t="str">
        <f t="shared" ca="1" si="45"/>
        <v>N/A</v>
      </c>
      <c r="O179" s="63" t="str">
        <f t="shared" ca="1" si="45"/>
        <v>N/A</v>
      </c>
      <c r="P179" s="63" t="str">
        <f t="shared" ca="1" si="45"/>
        <v>N/A</v>
      </c>
      <c r="Q179" s="63" t="str">
        <f t="shared" ca="1" si="45"/>
        <v>N/A</v>
      </c>
      <c r="R179" s="63" t="str">
        <f t="shared" ca="1" si="45"/>
        <v>N/A</v>
      </c>
      <c r="S179" s="63" t="str">
        <f t="shared" ca="1" si="45"/>
        <v>N/A</v>
      </c>
      <c r="T179" s="17"/>
      <c r="U179" s="17"/>
      <c r="V179" s="17"/>
    </row>
    <row r="180" spans="1:22">
      <c r="A180" s="31"/>
      <c r="B180" s="31"/>
      <c r="C180" s="1" t="str">
        <f>IF(ISERROR(D180),"",IF(D180="","",MAX($C$133:C179)+1))</f>
        <v/>
      </c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17"/>
      <c r="U180" s="17"/>
    </row>
    <row r="181" spans="1:22">
      <c r="A181" s="31"/>
      <c r="B181" s="31"/>
      <c r="C181" s="1">
        <f>IF(ISERROR(D181),"",IF(D181="","",MAX($C$133:C180)+1))</f>
        <v>42</v>
      </c>
      <c r="D181" t="s">
        <v>98</v>
      </c>
      <c r="F181" s="63">
        <f ca="1">AVERAGE(G181:S181)</f>
        <v>1.6430527441340632</v>
      </c>
      <c r="G181" s="63">
        <f t="shared" ref="G181:R181" si="46">AVERAGE(G135:G180)</f>
        <v>1.9064572730316276</v>
      </c>
      <c r="H181" s="63">
        <f t="shared" ca="1" si="46"/>
        <v>1.8537111096410521</v>
      </c>
      <c r="I181" s="63">
        <f t="shared" ca="1" si="46"/>
        <v>1.6675490207984394</v>
      </c>
      <c r="J181" s="63">
        <f t="shared" ca="1" si="46"/>
        <v>1.6793674134806242</v>
      </c>
      <c r="K181" s="63">
        <f t="shared" ca="1" si="46"/>
        <v>1.595967207193552</v>
      </c>
      <c r="L181" s="63">
        <f t="shared" ca="1" si="46"/>
        <v>1.5137096763366307</v>
      </c>
      <c r="M181" s="63">
        <f t="shared" ca="1" si="46"/>
        <v>1.4309163083493632</v>
      </c>
      <c r="N181" s="63">
        <f t="shared" ca="1" si="46"/>
        <v>1.3512580469070472</v>
      </c>
      <c r="O181" s="63">
        <f t="shared" ca="1" si="46"/>
        <v>1.2544090562146915</v>
      </c>
      <c r="P181" s="63">
        <f t="shared" ca="1" si="46"/>
        <v>1.6270867403394296</v>
      </c>
      <c r="Q181" s="63">
        <f t="shared" ca="1" si="46"/>
        <v>1.9000067563886252</v>
      </c>
      <c r="R181" s="63">
        <f t="shared" ca="1" si="46"/>
        <v>1.7774862465097983</v>
      </c>
      <c r="S181" s="63">
        <f t="shared" ref="S181" ca="1" si="47">AVERAGE(S135:S180)</f>
        <v>1.8017608185519411</v>
      </c>
      <c r="T181" s="17"/>
      <c r="U181" s="17"/>
      <c r="V181" s="17"/>
    </row>
    <row r="182" spans="1:22">
      <c r="A182" s="31"/>
      <c r="B182" s="31"/>
      <c r="C182" s="1">
        <f>IF(ISERROR(D182),"",IF(D182="","",MAX($C$133:C181)+1))</f>
        <v>43</v>
      </c>
      <c r="D182" t="s">
        <v>257</v>
      </c>
      <c r="F182" s="63">
        <f ca="1">AVERAGE(G182:S182)</f>
        <v>1.5476410334877768</v>
      </c>
      <c r="G182" s="63">
        <f>MEDIAN(G135:G180)</f>
        <v>1.8514851485148514</v>
      </c>
      <c r="H182" s="63">
        <f t="shared" ref="H182:R182" ca="1" si="48">MEDIAN(H135:H180)</f>
        <v>1.7440281556548434</v>
      </c>
      <c r="I182" s="63">
        <f t="shared" ca="1" si="48"/>
        <v>1.5671881029416128</v>
      </c>
      <c r="J182" s="63">
        <f t="shared" ca="1" si="48"/>
        <v>1.5329980290215792</v>
      </c>
      <c r="K182" s="63">
        <f t="shared" ca="1" si="48"/>
        <v>1.4928153198970247</v>
      </c>
      <c r="L182" s="63">
        <f t="shared" ca="1" si="48"/>
        <v>1.4650923073118824</v>
      </c>
      <c r="M182" s="63">
        <f t="shared" ca="1" si="48"/>
        <v>1.3671624847646937</v>
      </c>
      <c r="N182" s="63">
        <f t="shared" ca="1" si="48"/>
        <v>1.3148261802755983</v>
      </c>
      <c r="O182" s="63">
        <f t="shared" ca="1" si="48"/>
        <v>1.1532252386834871</v>
      </c>
      <c r="P182" s="63">
        <f t="shared" ca="1" si="48"/>
        <v>1.4794999556597825</v>
      </c>
      <c r="Q182" s="63">
        <f t="shared" ca="1" si="48"/>
        <v>1.7109433122986419</v>
      </c>
      <c r="R182" s="63">
        <f t="shared" ca="1" si="48"/>
        <v>1.7066968985342943</v>
      </c>
      <c r="S182" s="63">
        <f t="shared" ref="S182" ca="1" si="49">MEDIAN(S135:S180)</f>
        <v>1.7333723017828064</v>
      </c>
      <c r="T182" s="17"/>
      <c r="U182" s="17"/>
      <c r="V182" s="17"/>
    </row>
    <row r="183" spans="1:22">
      <c r="A183" s="31"/>
      <c r="B183" s="31"/>
      <c r="C183" s="1"/>
    </row>
    <row r="184" spans="1:22">
      <c r="A184" s="31"/>
      <c r="B184" s="31"/>
      <c r="D184" s="18"/>
      <c r="E184" s="91"/>
    </row>
    <row r="185" spans="1:22">
      <c r="A185" s="31"/>
      <c r="B185" s="31"/>
      <c r="D185" s="20" t="s">
        <v>107</v>
      </c>
    </row>
    <row r="186" spans="1:22" ht="16.5">
      <c r="A186" s="31"/>
      <c r="B186" s="31"/>
      <c r="D186" s="79">
        <v>1</v>
      </c>
      <c r="E186" s="21" t="str">
        <f>"The Value Line Investment Survey Investment Analyzer Software, downloaded on "&amp;TEXT('2016'!$A$1,"mmmm d, yyyy.")</f>
        <v>The Value Line Investment Survey Investment Analyzer Software, downloaded on June 21, 2017.</v>
      </c>
    </row>
    <row r="187" spans="1:22" ht="16.5">
      <c r="A187" s="31"/>
      <c r="B187" s="31"/>
      <c r="D187" s="79">
        <v>2</v>
      </c>
      <c r="E187" s="21" t="str">
        <f>"The Value Line Investment Survey, "&amp;'2017 Data (WP)'!$D$1</f>
        <v>The Value Line Investment Survey, July 28, August 18, and September 15, 2017.</v>
      </c>
    </row>
    <row r="188" spans="1:22">
      <c r="A188" s="31"/>
      <c r="B188" s="31"/>
      <c r="D188" s="20" t="s">
        <v>336</v>
      </c>
    </row>
    <row r="189" spans="1:22" ht="16.5">
      <c r="A189" s="31"/>
      <c r="B189" s="31"/>
      <c r="D189" s="93" t="s">
        <v>363</v>
      </c>
      <c r="E189" t="s">
        <v>366</v>
      </c>
    </row>
    <row r="190" spans="1:22">
      <c r="D190" s="23"/>
      <c r="E190" s="23" t="str">
        <f>"published in The Value Line Investment Survey, "&amp;'2017 Data (WP)'!$D$1</f>
        <v>published in The Value Line Investment Survey, July 28, August 18, and September 15, 2017.</v>
      </c>
    </row>
  </sheetData>
  <mergeCells count="9">
    <mergeCell ref="D70:E70"/>
    <mergeCell ref="F130:V130"/>
    <mergeCell ref="D132:E132"/>
    <mergeCell ref="C2:V2"/>
    <mergeCell ref="C5:V5"/>
    <mergeCell ref="C6:V6"/>
    <mergeCell ref="F9:V9"/>
    <mergeCell ref="D11:E11"/>
    <mergeCell ref="F68:V68"/>
  </mergeCells>
  <printOptions horizontalCentered="1"/>
  <pageMargins left="0.7" right="0.7" top="1" bottom="0.75" header="0.55000000000000004" footer="0.51"/>
  <pageSetup scale="53" fitToHeight="0" orientation="landscape" useFirstPageNumber="1" r:id="rId1"/>
  <headerFooter>
    <oddHeader>&amp;R&amp;20 &amp;18Exhibit MPG-4
Page &amp;P of 5</oddHeader>
  </headerFooter>
  <rowBreaks count="2" manualBreakCount="2">
    <brk id="66" min="2" max="21" man="1"/>
    <brk id="128" min="2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1">
    <pageSetUpPr fitToPage="1"/>
  </sheetPr>
  <dimension ref="A1:V180"/>
  <sheetViews>
    <sheetView zoomScale="80" zoomScaleNormal="80" workbookViewId="0"/>
  </sheetViews>
  <sheetFormatPr defaultRowHeight="14.25"/>
  <cols>
    <col min="1" max="2" width="8" customWidth="1"/>
    <col min="3" max="3" width="4.75" bestFit="1" customWidth="1"/>
    <col min="4" max="4" width="1.75" customWidth="1"/>
    <col min="5" max="5" width="19.875" customWidth="1"/>
    <col min="6" max="18" width="9" customWidth="1"/>
    <col min="19" max="19" width="9" hidden="1" customWidth="1"/>
    <col min="20" max="22" width="0" hidden="1" customWidth="1"/>
  </cols>
  <sheetData>
    <row r="1" spans="1:22" ht="27.75">
      <c r="C1" s="140" t="str">
        <f>GasU</f>
        <v>Enter Utility Name Here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2"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</row>
    <row r="3" spans="1:22"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</row>
    <row r="4" spans="1:22" ht="20.25">
      <c r="C4" s="141" t="s">
        <v>274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ht="18">
      <c r="C5" s="142" t="s">
        <v>275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</row>
    <row r="6" spans="1:22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7.25">
      <c r="C8" s="6"/>
      <c r="D8" s="7"/>
      <c r="E8" s="7"/>
      <c r="F8" s="143" t="s">
        <v>337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1:22" ht="15">
      <c r="A9" s="42" t="s">
        <v>99</v>
      </c>
      <c r="B9" s="42" t="s">
        <v>241</v>
      </c>
      <c r="C9" s="6"/>
      <c r="D9" s="7"/>
      <c r="E9" s="7"/>
      <c r="F9" s="8" t="s">
        <v>258</v>
      </c>
      <c r="G9" s="8"/>
      <c r="H9" s="8"/>
      <c r="I9" s="8"/>
      <c r="J9" s="8"/>
      <c r="K9" s="8"/>
      <c r="L9" s="8"/>
      <c r="M9" s="7"/>
      <c r="N9" s="7"/>
      <c r="O9" s="7"/>
      <c r="P9" s="7"/>
      <c r="Q9" s="7"/>
      <c r="R9" s="7"/>
      <c r="S9" s="7"/>
      <c r="T9" s="7"/>
      <c r="U9" s="7"/>
    </row>
    <row r="10" spans="1:22" ht="17.25">
      <c r="A10" s="42" t="s">
        <v>100</v>
      </c>
      <c r="B10" s="42" t="s">
        <v>242</v>
      </c>
      <c r="C10" s="9" t="s">
        <v>96</v>
      </c>
      <c r="D10" s="138" t="s">
        <v>97</v>
      </c>
      <c r="E10" s="138"/>
      <c r="F10" s="10" t="s">
        <v>98</v>
      </c>
      <c r="G10" s="41" t="s">
        <v>330</v>
      </c>
      <c r="H10" s="41">
        <v>2016</v>
      </c>
      <c r="I10" s="41">
        <v>2015</v>
      </c>
      <c r="J10" s="41">
        <v>2014</v>
      </c>
      <c r="K10" s="41">
        <v>2013</v>
      </c>
      <c r="L10" s="41">
        <v>2012</v>
      </c>
      <c r="M10" s="41">
        <v>2011</v>
      </c>
      <c r="N10" s="41">
        <v>2010</v>
      </c>
      <c r="O10" s="41">
        <v>2009</v>
      </c>
      <c r="P10" s="41">
        <v>2008</v>
      </c>
      <c r="Q10" s="41">
        <v>2007</v>
      </c>
      <c r="R10" s="41">
        <v>2006</v>
      </c>
      <c r="S10" s="41">
        <v>2005</v>
      </c>
      <c r="T10" s="41">
        <v>2004</v>
      </c>
      <c r="U10" s="41">
        <v>2003</v>
      </c>
      <c r="V10" s="41">
        <v>2002</v>
      </c>
    </row>
    <row r="11" spans="1:22" ht="15">
      <c r="A11" s="42"/>
      <c r="B11" s="42"/>
      <c r="C11" s="9"/>
      <c r="D11" s="76"/>
      <c r="E11" s="76"/>
      <c r="F11" s="12">
        <v>-1</v>
      </c>
      <c r="G11" s="12">
        <f>+F11-1</f>
        <v>-2</v>
      </c>
      <c r="H11" s="12">
        <f>+G11-1</f>
        <v>-3</v>
      </c>
      <c r="I11" s="12">
        <f>+H11-1</f>
        <v>-4</v>
      </c>
      <c r="J11" s="12">
        <f>+I11-1</f>
        <v>-5</v>
      </c>
      <c r="K11" s="12">
        <f t="shared" ref="K11:V11" si="0">+J11-1</f>
        <v>-6</v>
      </c>
      <c r="L11" s="12">
        <f t="shared" si="0"/>
        <v>-7</v>
      </c>
      <c r="M11" s="12">
        <f t="shared" si="0"/>
        <v>-8</v>
      </c>
      <c r="N11" s="12">
        <f t="shared" si="0"/>
        <v>-9</v>
      </c>
      <c r="O11" s="12">
        <f t="shared" si="0"/>
        <v>-10</v>
      </c>
      <c r="P11" s="12">
        <f t="shared" si="0"/>
        <v>-11</v>
      </c>
      <c r="Q11" s="12">
        <f t="shared" si="0"/>
        <v>-12</v>
      </c>
      <c r="R11" s="12">
        <f t="shared" si="0"/>
        <v>-13</v>
      </c>
      <c r="S11" s="12">
        <f t="shared" si="0"/>
        <v>-14</v>
      </c>
      <c r="T11" s="12">
        <f t="shared" si="0"/>
        <v>-15</v>
      </c>
      <c r="U11" s="12">
        <f t="shared" si="0"/>
        <v>-16</v>
      </c>
      <c r="V11" s="12">
        <f t="shared" si="0"/>
        <v>-17</v>
      </c>
    </row>
    <row r="12" spans="1:22" ht="15">
      <c r="A12" s="43"/>
      <c r="B12" s="44"/>
      <c r="C12" s="9"/>
      <c r="D12" s="14" t="s">
        <v>101</v>
      </c>
      <c r="E12" s="11"/>
      <c r="F12" s="36"/>
      <c r="G12" s="36"/>
      <c r="H12" s="16">
        <f t="shared" ref="H12:V12" ca="1" si="1">MATCH(H10,OFFSET(DIV_BV_WP,-1,0,1,),0)</f>
        <v>6</v>
      </c>
      <c r="I12" s="16">
        <f t="shared" ca="1" si="1"/>
        <v>7</v>
      </c>
      <c r="J12" s="16">
        <f t="shared" ca="1" si="1"/>
        <v>8</v>
      </c>
      <c r="K12" s="16">
        <f t="shared" ca="1" si="1"/>
        <v>9</v>
      </c>
      <c r="L12" s="16">
        <f t="shared" ca="1" si="1"/>
        <v>10</v>
      </c>
      <c r="M12" s="16">
        <f t="shared" ca="1" si="1"/>
        <v>11</v>
      </c>
      <c r="N12" s="16">
        <f t="shared" ca="1" si="1"/>
        <v>12</v>
      </c>
      <c r="O12" s="16">
        <f t="shared" ca="1" si="1"/>
        <v>13</v>
      </c>
      <c r="P12" s="16">
        <f t="shared" ca="1" si="1"/>
        <v>14</v>
      </c>
      <c r="Q12" s="16">
        <f t="shared" ca="1" si="1"/>
        <v>15</v>
      </c>
      <c r="R12" s="16">
        <f t="shared" ca="1" si="1"/>
        <v>16</v>
      </c>
      <c r="S12" s="16" t="e">
        <f t="shared" ca="1" si="1"/>
        <v>#N/A</v>
      </c>
      <c r="T12" s="16" t="e">
        <f t="shared" ca="1" si="1"/>
        <v>#N/A</v>
      </c>
      <c r="U12" s="16" t="e">
        <f t="shared" ca="1" si="1"/>
        <v>#N/A</v>
      </c>
      <c r="V12" s="16" t="e">
        <f t="shared" ca="1" si="1"/>
        <v>#N/A</v>
      </c>
    </row>
    <row r="13" spans="1:22">
      <c r="A13" s="45" t="s">
        <v>175</v>
      </c>
      <c r="B13" s="46">
        <f t="shared" ref="B13:B57" ca="1" si="2">IFERROR(MATCH(A13,OFFSET(DIV_BV_WP,0,0,,1),0),"")</f>
        <v>9</v>
      </c>
      <c r="C13" s="1">
        <f ca="1">IF(ISERROR(D13),"",IF(D13="","",MAX($C$12:C12)+1))</f>
        <v>1</v>
      </c>
      <c r="D13" t="str">
        <f t="shared" ref="D13:D57" ca="1" si="3">VLOOKUP(A13,LUCurYr,2,FALSE)</f>
        <v>Atmos Energy</v>
      </c>
      <c r="E13" s="15"/>
      <c r="F13" s="80">
        <f ca="1">IFERROR(AVERAGE(G13:R13),"N/A")</f>
        <v>5.3616540672491463E-2</v>
      </c>
      <c r="G13" s="80">
        <f t="shared" ref="G13:G57" si="4">IFERROR(IF(VLOOKUP(A13,LUCurYr,15,FALSE)=0,"",VLOOKUP(A13,LUCurYr,15,FALSE)),"N/A")</f>
        <v>4.9113233287858118E-2</v>
      </c>
      <c r="H13" s="80">
        <f ca="1">IFERROR(VLOOKUP($A13,LASTYR,'2016'!$N$3,FALSE),"N/A")</f>
        <v>5.0418654902313856E-2</v>
      </c>
      <c r="I13" s="80">
        <f t="shared" ref="I13:R22" ca="1" si="5">IFERROR(INDEX(DIV_BV_WP,$B13,I$12),"N/A")</f>
        <v>4.955212502382314E-2</v>
      </c>
      <c r="J13" s="80">
        <f t="shared" ca="1" si="5"/>
        <v>4.8141040236801873E-2</v>
      </c>
      <c r="K13" s="80">
        <f t="shared" ca="1" si="5"/>
        <v>4.9176297024834024E-2</v>
      </c>
      <c r="L13" s="80">
        <f t="shared" ca="1" si="5"/>
        <v>5.2784577723378211E-2</v>
      </c>
      <c r="M13" s="80">
        <f t="shared" ca="1" si="5"/>
        <v>5.4447914164464727E-2</v>
      </c>
      <c r="N13" s="80">
        <f t="shared" ca="1" si="5"/>
        <v>5.5463576158940403E-2</v>
      </c>
      <c r="O13" s="80">
        <f t="shared" ca="1" si="5"/>
        <v>5.6124835239593523E-2</v>
      </c>
      <c r="P13" s="80">
        <f t="shared" ca="1" si="5"/>
        <v>5.7519578779700015E-2</v>
      </c>
      <c r="Q13" s="80">
        <f t="shared" ca="1" si="5"/>
        <v>5.8165954739616471E-2</v>
      </c>
      <c r="R13" s="80">
        <f t="shared" ca="1" si="5"/>
        <v>6.2490700788573127E-2</v>
      </c>
      <c r="S13" s="63"/>
      <c r="T13" s="63"/>
      <c r="U13" s="63"/>
      <c r="V13" s="63"/>
    </row>
    <row r="14" spans="1:22">
      <c r="A14" s="45" t="s">
        <v>178</v>
      </c>
      <c r="B14" s="46">
        <f t="shared" ca="1" si="2"/>
        <v>16</v>
      </c>
      <c r="C14" s="1">
        <f ca="1">IF(ISERROR(D14),"",IF(D14="","",MAX($C$12:C13)+1))</f>
        <v>2</v>
      </c>
      <c r="D14" t="str">
        <f t="shared" ca="1" si="3"/>
        <v>Chesapeake Utilities</v>
      </c>
      <c r="E14" s="15"/>
      <c r="F14" s="80">
        <f t="shared" ref="F14:F57" ca="1" si="6">IFERROR(AVERAGE(G14:R14),"N/A")</f>
        <v>5.5020339930862618E-2</v>
      </c>
      <c r="G14" s="80">
        <f t="shared" si="4"/>
        <v>4.2424242424242427E-2</v>
      </c>
      <c r="H14" s="80">
        <f ca="1">IFERROR(VLOOKUP($A14,LASTYR,'2016'!$N$3,FALSE),"N/A")</f>
        <v>4.3492562406344797E-2</v>
      </c>
      <c r="I14" s="80">
        <f t="shared" ca="1" si="5"/>
        <v>4.7755084637359835E-2</v>
      </c>
      <c r="J14" s="80">
        <f t="shared" ca="1" si="5"/>
        <v>5.1831341688526184E-2</v>
      </c>
      <c r="K14" s="80">
        <f t="shared" ca="1" si="5"/>
        <v>5.2536043978840367E-2</v>
      </c>
      <c r="L14" s="80">
        <f t="shared" ca="1" si="5"/>
        <v>5.3859964093357263E-2</v>
      </c>
      <c r="M14" s="80">
        <f t="shared" ca="1" si="5"/>
        <v>5.4237692215997148E-2</v>
      </c>
      <c r="N14" s="80">
        <f t="shared" ca="1" si="5"/>
        <v>5.4938115685779235E-2</v>
      </c>
      <c r="O14" s="80">
        <f t="shared" ca="1" si="5"/>
        <v>5.5954859944918382E-2</v>
      </c>
      <c r="P14" s="80">
        <f t="shared" ca="1" si="5"/>
        <v>6.7149276085871193E-2</v>
      </c>
      <c r="Q14" s="80">
        <f t="shared" ca="1" si="5"/>
        <v>6.657031117156946E-2</v>
      </c>
      <c r="R14" s="80">
        <f t="shared" ca="1" si="5"/>
        <v>6.9494584837545129E-2</v>
      </c>
      <c r="S14" s="63"/>
      <c r="T14" s="63"/>
      <c r="U14" s="63"/>
      <c r="V14" s="63"/>
    </row>
    <row r="15" spans="1:22">
      <c r="A15" s="45" t="s">
        <v>190</v>
      </c>
      <c r="B15" s="46">
        <f t="shared" ca="1" si="2"/>
        <v>42</v>
      </c>
      <c r="C15" s="1">
        <f ca="1">IF(ISERROR(D15),"",IF(D15="","",MAX($C$12:C14)+1))</f>
        <v>3</v>
      </c>
      <c r="D15" t="str">
        <f t="shared" ca="1" si="3"/>
        <v>New Jersey Resources</v>
      </c>
      <c r="E15" s="15"/>
      <c r="F15" s="80">
        <f t="shared" ca="1" si="6"/>
        <v>7.2200950873663447E-2</v>
      </c>
      <c r="G15" s="80">
        <f t="shared" si="4"/>
        <v>7.1080139372822301E-2</v>
      </c>
      <c r="H15" s="80">
        <f ca="1">IFERROR(VLOOKUP($A15,LASTYR,'2016'!$N$3,FALSE),"N/A")</f>
        <v>7.2149009791651328E-2</v>
      </c>
      <c r="I15" s="80">
        <f t="shared" ca="1" si="5"/>
        <v>7.1565986918045416E-2</v>
      </c>
      <c r="J15" s="80">
        <f t="shared" ca="1" si="5"/>
        <v>7.4509803921568626E-2</v>
      </c>
      <c r="K15" s="80">
        <f t="shared" ca="1" si="5"/>
        <v>7.6049197258473394E-2</v>
      </c>
      <c r="L15" s="80">
        <f t="shared" ca="1" si="5"/>
        <v>7.8579446882334938E-2</v>
      </c>
      <c r="M15" s="80">
        <f t="shared" ca="1" si="5"/>
        <v>7.6882007474639608E-2</v>
      </c>
      <c r="N15" s="80">
        <f t="shared" ca="1" si="5"/>
        <v>7.7185017026106695E-2</v>
      </c>
      <c r="O15" s="80">
        <f t="shared" ca="1" si="5"/>
        <v>7.4761847341131074E-2</v>
      </c>
      <c r="P15" s="80">
        <f t="shared" ca="1" si="5"/>
        <v>6.4221245082156916E-2</v>
      </c>
      <c r="Q15" s="80">
        <f t="shared" ca="1" si="5"/>
        <v>6.5436241610738258E-2</v>
      </c>
      <c r="R15" s="80">
        <f t="shared" ca="1" si="5"/>
        <v>6.3991467804292754E-2</v>
      </c>
      <c r="S15" s="63"/>
      <c r="T15" s="63"/>
      <c r="U15" s="63"/>
      <c r="V15" s="63"/>
    </row>
    <row r="16" spans="1:22">
      <c r="A16" s="45" t="s">
        <v>26</v>
      </c>
      <c r="B16" s="46">
        <f t="shared" ca="1" si="2"/>
        <v>44</v>
      </c>
      <c r="C16" s="1">
        <f ca="1">IF(ISERROR(D16),"",IF(D16="","",MAX($C$12:C15)+1))</f>
        <v>4</v>
      </c>
      <c r="D16" t="str">
        <f t="shared" ca="1" si="3"/>
        <v>NiSource Inc.</v>
      </c>
      <c r="E16" s="15"/>
      <c r="F16" s="80">
        <f t="shared" ca="1" si="6"/>
        <v>5.3487024355884254E-2</v>
      </c>
      <c r="G16" s="80">
        <f t="shared" si="4"/>
        <v>5.5335968379446633E-2</v>
      </c>
      <c r="H16" s="80">
        <f ca="1">IFERROR(VLOOKUP($A16,LASTYR,'2016'!$N$3,FALSE),"N/A")</f>
        <v>5.0801714557866327E-2</v>
      </c>
      <c r="I16" s="80">
        <f t="shared" ca="1" si="5"/>
        <v>6.8913982065758883E-2</v>
      </c>
      <c r="J16" s="80">
        <f t="shared" ca="1" si="5"/>
        <v>5.2200614124872063E-2</v>
      </c>
      <c r="K16" s="80">
        <f t="shared" ca="1" si="5"/>
        <v>5.2219321148825062E-2</v>
      </c>
      <c r="L16" s="80">
        <f t="shared" ca="1" si="5"/>
        <v>5.2511032903189765E-2</v>
      </c>
      <c r="M16" s="80">
        <f t="shared" ca="1" si="5"/>
        <v>5.1948051948051945E-2</v>
      </c>
      <c r="N16" s="80">
        <f t="shared" ca="1" si="5"/>
        <v>5.2192658989050893E-2</v>
      </c>
      <c r="O16" s="80">
        <f t="shared" ca="1" si="5"/>
        <v>5.2460512060215549E-2</v>
      </c>
      <c r="P16" s="80">
        <f t="shared" ca="1" si="5"/>
        <v>5.3358079109152072E-2</v>
      </c>
      <c r="Q16" s="80">
        <f t="shared" ca="1" si="5"/>
        <v>4.9686757399006271E-2</v>
      </c>
      <c r="R16" s="80">
        <f t="shared" ca="1" si="5"/>
        <v>5.0215599585175477E-2</v>
      </c>
      <c r="S16" s="63"/>
      <c r="T16" s="63"/>
      <c r="U16" s="63"/>
      <c r="V16" s="63"/>
    </row>
    <row r="17" spans="1:22">
      <c r="A17" s="45" t="s">
        <v>192</v>
      </c>
      <c r="B17" s="46">
        <f t="shared" ca="1" si="2"/>
        <v>45</v>
      </c>
      <c r="C17" s="1">
        <f ca="1">IF(ISERROR(D17),"",IF(D17="","",MAX($C$12:C16)+1))</f>
        <v>5</v>
      </c>
      <c r="D17" t="str">
        <f t="shared" ca="1" si="3"/>
        <v>Northwest Nat. Gas</v>
      </c>
      <c r="E17" s="15"/>
      <c r="F17" s="80">
        <f t="shared" ca="1" si="6"/>
        <v>6.4492222129479457E-2</v>
      </c>
      <c r="G17" s="80">
        <f t="shared" si="4"/>
        <v>6.2771285475792984E-2</v>
      </c>
      <c r="H17" s="80">
        <f ca="1">IFERROR(VLOOKUP($A17,LASTYR,'2016'!$N$3,FALSE),"N/A")</f>
        <v>6.2950245741601032E-2</v>
      </c>
      <c r="I17" s="80">
        <f t="shared" ca="1" si="5"/>
        <v>6.5320456540825286E-2</v>
      </c>
      <c r="J17" s="80">
        <f t="shared" ca="1" si="5"/>
        <v>6.5782455641290052E-2</v>
      </c>
      <c r="K17" s="80">
        <f t="shared" ca="1" si="5"/>
        <v>6.5898451566438601E-2</v>
      </c>
      <c r="L17" s="80">
        <f t="shared" ca="1" si="5"/>
        <v>6.5729078691293658E-2</v>
      </c>
      <c r="M17" s="80">
        <f t="shared" ca="1" si="5"/>
        <v>6.5533253445176756E-2</v>
      </c>
      <c r="N17" s="80">
        <f t="shared" ca="1" si="5"/>
        <v>6.4417177914110432E-2</v>
      </c>
      <c r="O17" s="80">
        <f t="shared" ca="1" si="5"/>
        <v>6.4311266530005226E-2</v>
      </c>
      <c r="P17" s="80">
        <f t="shared" ca="1" si="5"/>
        <v>6.4105267597317703E-2</v>
      </c>
      <c r="Q17" s="80">
        <f t="shared" ca="1" si="5"/>
        <v>6.3937483349613716E-2</v>
      </c>
      <c r="R17" s="80">
        <f t="shared" ca="1" si="5"/>
        <v>6.3150243060288033E-2</v>
      </c>
      <c r="S17" s="63"/>
      <c r="T17" s="63"/>
      <c r="U17" s="63"/>
      <c r="V17" s="63"/>
    </row>
    <row r="18" spans="1:22">
      <c r="A18" s="45" t="s">
        <v>353</v>
      </c>
      <c r="B18" s="46">
        <f t="shared" ca="1" si="2"/>
        <v>48</v>
      </c>
      <c r="C18" s="1">
        <f ca="1">IF(ISERROR(D18),"",IF(D18="","",MAX($C$12:C17)+1))</f>
        <v>6</v>
      </c>
      <c r="D18" t="str">
        <f t="shared" ca="1" si="3"/>
        <v>ONE Gas Inc.</v>
      </c>
      <c r="E18" s="15"/>
      <c r="F18" s="80">
        <f t="shared" ca="1" si="6"/>
        <v>3.5411809258399596E-2</v>
      </c>
      <c r="G18" s="80">
        <f t="shared" si="4"/>
        <v>4.4444444444444446E-2</v>
      </c>
      <c r="H18" s="80">
        <f ca="1">IFERROR(VLOOKUP($A18,LASTYR,'2016'!$N$3,FALSE),"N/A")</f>
        <v>3.8762909433230887E-2</v>
      </c>
      <c r="I18" s="80">
        <f t="shared" ca="1" si="5"/>
        <v>3.4053179715655954E-2</v>
      </c>
      <c r="J18" s="80">
        <f t="shared" ca="1" si="5"/>
        <v>2.4386703440267093E-2</v>
      </c>
      <c r="K18" s="80" t="str">
        <f t="shared" ca="1" si="5"/>
        <v>N/A</v>
      </c>
      <c r="L18" s="80" t="str">
        <f t="shared" ca="1" si="5"/>
        <v>N/A</v>
      </c>
      <c r="M18" s="80" t="str">
        <f t="shared" ca="1" si="5"/>
        <v>N/A</v>
      </c>
      <c r="N18" s="80" t="str">
        <f t="shared" ca="1" si="5"/>
        <v>N/A</v>
      </c>
      <c r="O18" s="80" t="str">
        <f t="shared" ca="1" si="5"/>
        <v>N/A</v>
      </c>
      <c r="P18" s="80" t="str">
        <f t="shared" ca="1" si="5"/>
        <v>N/A</v>
      </c>
      <c r="Q18" s="80" t="str">
        <f t="shared" ca="1" si="5"/>
        <v>N/A</v>
      </c>
      <c r="R18" s="80" t="str">
        <f t="shared" ca="1" si="5"/>
        <v>N/A</v>
      </c>
      <c r="S18" s="63"/>
      <c r="T18" s="63"/>
      <c r="U18" s="63"/>
      <c r="V18" s="63"/>
    </row>
    <row r="19" spans="1:22">
      <c r="A19" s="45" t="s">
        <v>198</v>
      </c>
      <c r="B19" s="46">
        <f t="shared" ca="1" si="2"/>
        <v>61</v>
      </c>
      <c r="C19" s="1">
        <f ca="1">IF(ISERROR(D19),"",IF(D19="","",MAX($C$12:C18)+1))</f>
        <v>7</v>
      </c>
      <c r="D19" t="str">
        <f t="shared" ca="1" si="3"/>
        <v>South Jersey Inds.</v>
      </c>
      <c r="E19" s="15"/>
      <c r="F19" s="80">
        <f t="shared" ca="1" si="6"/>
        <v>6.7420970011936435E-2</v>
      </c>
      <c r="G19" s="80">
        <f t="shared" si="4"/>
        <v>6.358381502890173E-2</v>
      </c>
      <c r="H19" s="80">
        <f ca="1">IFERROR(VLOOKUP($A19,LASTYR,'2016'!$N$3,FALSE),"N/A")</f>
        <v>6.534738918685655E-2</v>
      </c>
      <c r="I19" s="80">
        <f t="shared" ca="1" si="5"/>
        <v>6.9767441860465115E-2</v>
      </c>
      <c r="J19" s="80">
        <f t="shared" ca="1" si="5"/>
        <v>7.0355441553682674E-2</v>
      </c>
      <c r="K19" s="80">
        <f t="shared" ca="1" si="5"/>
        <v>7.1208165202943277E-2</v>
      </c>
      <c r="L19" s="80">
        <f t="shared" ca="1" si="5"/>
        <v>7.0943331326855277E-2</v>
      </c>
      <c r="M19" s="80">
        <f t="shared" ca="1" si="5"/>
        <v>7.2611094975312221E-2</v>
      </c>
      <c r="N19" s="80">
        <f t="shared" ca="1" si="5"/>
        <v>7.1263885977782437E-2</v>
      </c>
      <c r="O19" s="80">
        <f t="shared" ca="1" si="5"/>
        <v>6.6871300153475116E-2</v>
      </c>
      <c r="P19" s="80">
        <f t="shared" ca="1" si="5"/>
        <v>6.4043387952919459E-2</v>
      </c>
      <c r="Q19" s="80">
        <f t="shared" ca="1" si="5"/>
        <v>6.21614967996061E-2</v>
      </c>
      <c r="R19" s="80">
        <f t="shared" ca="1" si="5"/>
        <v>6.0894890124437384E-2</v>
      </c>
      <c r="S19" s="63"/>
      <c r="T19" s="63"/>
      <c r="U19" s="63"/>
      <c r="V19" s="63"/>
    </row>
    <row r="20" spans="1:22">
      <c r="A20" s="45" t="s">
        <v>200</v>
      </c>
      <c r="B20" s="46">
        <f t="shared" ca="1" si="2"/>
        <v>63</v>
      </c>
      <c r="C20" s="1">
        <f ca="1">IF(ISERROR(D20),"",IF(D20="","",MAX($C$12:C19)+1))</f>
        <v>8</v>
      </c>
      <c r="D20" t="str">
        <f t="shared" ca="1" si="3"/>
        <v>Southwest Gas</v>
      </c>
      <c r="E20" s="15"/>
      <c r="F20" s="80">
        <f t="shared" ca="1" si="6"/>
        <v>4.2869652086341491E-2</v>
      </c>
      <c r="G20" s="80">
        <f t="shared" si="4"/>
        <v>5.28E-2</v>
      </c>
      <c r="H20" s="80">
        <f ca="1">IFERROR(VLOOKUP($A20,LASTYR,'2016'!$N$3,FALSE),"N/A")</f>
        <v>5.1378660729576982E-2</v>
      </c>
      <c r="I20" s="80">
        <f t="shared" ca="1" si="5"/>
        <v>4.8201374631795059E-2</v>
      </c>
      <c r="J20" s="80">
        <f t="shared" ca="1" si="5"/>
        <v>4.5700691770745296E-2</v>
      </c>
      <c r="K20" s="80">
        <f t="shared" ca="1" si="5"/>
        <v>4.3324143363528952E-2</v>
      </c>
      <c r="L20" s="80">
        <f t="shared" ca="1" si="5"/>
        <v>4.1615235408217245E-2</v>
      </c>
      <c r="M20" s="80">
        <f t="shared" ca="1" si="5"/>
        <v>3.9764414600292605E-2</v>
      </c>
      <c r="N20" s="80">
        <f t="shared" ca="1" si="5"/>
        <v>3.9039625219597897E-2</v>
      </c>
      <c r="O20" s="80">
        <f t="shared" ca="1" si="5"/>
        <v>3.8869113375066489E-2</v>
      </c>
      <c r="P20" s="80">
        <f t="shared" ca="1" si="5"/>
        <v>3.8322333404300621E-2</v>
      </c>
      <c r="Q20" s="80">
        <f t="shared" ca="1" si="5"/>
        <v>3.7423846823324627E-2</v>
      </c>
      <c r="R20" s="80">
        <f t="shared" ca="1" si="5"/>
        <v>3.7996385709652004E-2</v>
      </c>
      <c r="S20" s="63"/>
      <c r="T20" s="63"/>
      <c r="U20" s="63"/>
      <c r="V20" s="63"/>
    </row>
    <row r="21" spans="1:22">
      <c r="A21" s="45" t="s">
        <v>244</v>
      </c>
      <c r="B21" s="46">
        <f t="shared" ca="1" si="2"/>
        <v>64</v>
      </c>
      <c r="C21" s="1">
        <f ca="1">IF(ISERROR(D21),"",IF(D21="","",MAX($C$12:C20)+1))</f>
        <v>9</v>
      </c>
      <c r="D21" t="str">
        <f t="shared" ca="1" si="3"/>
        <v>Spire Inc.</v>
      </c>
      <c r="E21" s="15"/>
      <c r="F21" s="80">
        <f t="shared" ca="1" si="6"/>
        <v>6.07438104278126E-2</v>
      </c>
      <c r="G21" s="80">
        <f t="shared" si="4"/>
        <v>5.3030303030303032E-2</v>
      </c>
      <c r="H21" s="80">
        <f ca="1">IFERROR(VLOOKUP($A21,LASTYR,'2016'!$N$3,FALSE),"N/A")</f>
        <v>5.0602845119149052E-2</v>
      </c>
      <c r="I21" s="80">
        <f t="shared" ca="1" si="5"/>
        <v>5.0694291381970472E-2</v>
      </c>
      <c r="J21" s="80">
        <f t="shared" ca="1" si="5"/>
        <v>5.0386487260234758E-2</v>
      </c>
      <c r="K21" s="80">
        <f t="shared" ca="1" si="5"/>
        <v>5.3126660208131504E-2</v>
      </c>
      <c r="L21" s="80">
        <f t="shared" ca="1" si="5"/>
        <v>6.2232885956361998E-2</v>
      </c>
      <c r="M21" s="80">
        <f t="shared" ca="1" si="5"/>
        <v>6.2989045383411588E-2</v>
      </c>
      <c r="N21" s="80">
        <f t="shared" ca="1" si="5"/>
        <v>6.5348595213319469E-2</v>
      </c>
      <c r="O21" s="80">
        <f t="shared" ca="1" si="5"/>
        <v>6.560048021266561E-2</v>
      </c>
      <c r="P21" s="80">
        <f t="shared" ca="1" si="5"/>
        <v>6.7362900673629003E-2</v>
      </c>
      <c r="Q21" s="80">
        <f t="shared" ca="1" si="5"/>
        <v>7.3276733373761879E-2</v>
      </c>
      <c r="R21" s="80">
        <f t="shared" ca="1" si="5"/>
        <v>7.4274497320812774E-2</v>
      </c>
      <c r="S21" s="63"/>
      <c r="T21" s="63"/>
      <c r="U21" s="63"/>
      <c r="V21" s="63"/>
    </row>
    <row r="22" spans="1:22">
      <c r="A22" s="45" t="s">
        <v>204</v>
      </c>
      <c r="B22" s="46">
        <f t="shared" ca="1" si="2"/>
        <v>66</v>
      </c>
      <c r="C22" s="1">
        <f ca="1">IF(ISERROR(D22),"",IF(D22="","",MAX($C$12:C21)+1))</f>
        <v>10</v>
      </c>
      <c r="D22" t="str">
        <f t="shared" ca="1" si="3"/>
        <v>UGI Corp.</v>
      </c>
      <c r="E22" s="15"/>
      <c r="F22" s="80">
        <f t="shared" ca="1" si="6"/>
        <v>5.5860848520450444E-2</v>
      </c>
      <c r="G22" s="80">
        <f t="shared" si="4"/>
        <v>5.4913294797687855E-2</v>
      </c>
      <c r="H22" s="80">
        <f ca="1">IFERROR(VLOOKUP($A22,LASTYR,'2016'!$N$3,FALSE),"N/A")</f>
        <v>5.6483449741876711E-2</v>
      </c>
      <c r="I22" s="80">
        <f t="shared" ca="1" si="5"/>
        <v>5.7234726688102894E-2</v>
      </c>
      <c r="J22" s="80">
        <f t="shared" ca="1" si="5"/>
        <v>5.1383655969858388E-2</v>
      </c>
      <c r="K22" s="80">
        <f t="shared" ca="1" si="5"/>
        <v>5.0733580145344848E-2</v>
      </c>
      <c r="L22" s="80">
        <f t="shared" ca="1" si="5"/>
        <v>5.3524112347641761E-2</v>
      </c>
      <c r="M22" s="80">
        <f t="shared" ca="1" si="5"/>
        <v>5.7680888964288753E-2</v>
      </c>
      <c r="N22" s="80">
        <f t="shared" ca="1" si="5"/>
        <v>5.4058924227407872E-2</v>
      </c>
      <c r="O22" s="80">
        <f t="shared" ca="1" si="5"/>
        <v>5.3498363338788872E-2</v>
      </c>
      <c r="P22" s="80">
        <f t="shared" ca="1" si="5"/>
        <v>5.7159090909090902E-2</v>
      </c>
      <c r="Q22" s="80">
        <f t="shared" ca="1" si="5"/>
        <v>5.8211303400701922E-2</v>
      </c>
      <c r="R22" s="80">
        <f t="shared" ca="1" si="5"/>
        <v>6.5448791714614499E-2</v>
      </c>
      <c r="S22" s="63"/>
      <c r="T22" s="63"/>
      <c r="U22" s="63"/>
      <c r="V22" s="63"/>
    </row>
    <row r="23" spans="1:22">
      <c r="A23" s="45" t="s">
        <v>206</v>
      </c>
      <c r="B23" s="46">
        <f t="shared" ca="1" si="2"/>
        <v>73</v>
      </c>
      <c r="C23" s="1">
        <f ca="1">IF(ISERROR(D23),"",IF(D23="","",MAX($C$12:C22)+1))</f>
        <v>11</v>
      </c>
      <c r="D23" t="str">
        <f t="shared" ca="1" si="3"/>
        <v>WGL Holdings Inc.</v>
      </c>
      <c r="E23" s="15"/>
      <c r="F23" s="80">
        <f t="shared" ca="1" si="6"/>
        <v>6.8449396950466743E-2</v>
      </c>
      <c r="G23" s="80">
        <f t="shared" si="4"/>
        <v>6.6666666666666666E-2</v>
      </c>
      <c r="H23" s="80">
        <f ca="1">IFERROR(VLOOKUP($A23,LASTYR,'2016'!$N$3,FALSE),"N/A")</f>
        <v>7.2074090671446711E-2</v>
      </c>
      <c r="I23" s="80">
        <f t="shared" ref="I23:R32" ca="1" si="7">IFERROR(INDEX(DIV_BV_WP,$B23,I$12),"N/A")</f>
        <v>7.3279141472790618E-2</v>
      </c>
      <c r="J23" s="80">
        <f t="shared" ca="1" si="7"/>
        <v>7.1416708188008632E-2</v>
      </c>
      <c r="K23" s="80">
        <f t="shared" ca="1" si="7"/>
        <v>6.733187312403667E-2</v>
      </c>
      <c r="L23" s="80">
        <f t="shared" ca="1" si="7"/>
        <v>6.4526602004788769E-2</v>
      </c>
      <c r="M23" s="80">
        <f t="shared" ca="1" si="7"/>
        <v>6.5977099561571537E-2</v>
      </c>
      <c r="N23" s="80">
        <f t="shared" ca="1" si="7"/>
        <v>6.572605380772939E-2</v>
      </c>
      <c r="O23" s="80">
        <f t="shared" ca="1" si="7"/>
        <v>6.7150883924900651E-2</v>
      </c>
      <c r="P23" s="80">
        <f t="shared" ca="1" si="7"/>
        <v>6.7092347279138473E-2</v>
      </c>
      <c r="Q23" s="80">
        <f t="shared" ca="1" si="7"/>
        <v>6.8821216093576693E-2</v>
      </c>
      <c r="R23" s="80">
        <f t="shared" ca="1" si="7"/>
        <v>7.1330080610946117E-2</v>
      </c>
      <c r="S23" s="63"/>
      <c r="T23" s="63"/>
      <c r="U23" s="63"/>
      <c r="V23" s="63"/>
    </row>
    <row r="24" spans="1:22" hidden="1">
      <c r="A24" s="45"/>
      <c r="B24" s="46" t="str">
        <f t="shared" ca="1" si="2"/>
        <v/>
      </c>
      <c r="C24" s="1" t="str">
        <f>IF(ISERROR(D24),"",IF(D24="","",MAX($C$12:C23)+1))</f>
        <v/>
      </c>
      <c r="D24" t="e">
        <f t="shared" si="3"/>
        <v>#N/A</v>
      </c>
      <c r="E24" s="15"/>
      <c r="F24" s="80" t="str">
        <f t="shared" ca="1" si="6"/>
        <v>N/A</v>
      </c>
      <c r="G24" s="80" t="str">
        <f t="shared" si="4"/>
        <v>N/A</v>
      </c>
      <c r="H24" s="80" t="str">
        <f ca="1">IFERROR(VLOOKUP($A24,LASTYR,'2016'!$N$3,FALSE),"N/A")</f>
        <v>N/A</v>
      </c>
      <c r="I24" s="80" t="str">
        <f t="shared" ca="1" si="7"/>
        <v>N/A</v>
      </c>
      <c r="J24" s="80" t="str">
        <f t="shared" ca="1" si="7"/>
        <v>N/A</v>
      </c>
      <c r="K24" s="80" t="str">
        <f t="shared" ca="1" si="7"/>
        <v>N/A</v>
      </c>
      <c r="L24" s="80" t="str">
        <f t="shared" ca="1" si="7"/>
        <v>N/A</v>
      </c>
      <c r="M24" s="80" t="str">
        <f t="shared" ca="1" si="7"/>
        <v>N/A</v>
      </c>
      <c r="N24" s="80" t="str">
        <f t="shared" ca="1" si="7"/>
        <v>N/A</v>
      </c>
      <c r="O24" s="80" t="str">
        <f t="shared" ca="1" si="7"/>
        <v>N/A</v>
      </c>
      <c r="P24" s="80" t="str">
        <f t="shared" ca="1" si="7"/>
        <v>N/A</v>
      </c>
      <c r="Q24" s="80" t="str">
        <f t="shared" ca="1" si="7"/>
        <v>N/A</v>
      </c>
      <c r="R24" s="80" t="str">
        <f t="shared" ca="1" si="7"/>
        <v>N/A</v>
      </c>
      <c r="S24" s="63"/>
      <c r="T24" s="63"/>
      <c r="U24" s="63"/>
      <c r="V24" s="63"/>
    </row>
    <row r="25" spans="1:22" hidden="1">
      <c r="A25" s="45"/>
      <c r="B25" s="46" t="str">
        <f t="shared" ca="1" si="2"/>
        <v/>
      </c>
      <c r="C25" s="1" t="str">
        <f>IF(ISERROR(D25),"",IF(D25="","",MAX($C$12:C24)+1))</f>
        <v/>
      </c>
      <c r="D25" t="e">
        <f t="shared" si="3"/>
        <v>#N/A</v>
      </c>
      <c r="E25" s="15"/>
      <c r="F25" s="80" t="str">
        <f t="shared" ca="1" si="6"/>
        <v>N/A</v>
      </c>
      <c r="G25" s="80" t="str">
        <f t="shared" si="4"/>
        <v>N/A</v>
      </c>
      <c r="H25" s="80" t="str">
        <f ca="1">IFERROR(VLOOKUP($A25,LASTYR,'2016'!$N$3,FALSE),"N/A")</f>
        <v>N/A</v>
      </c>
      <c r="I25" s="80" t="str">
        <f t="shared" ca="1" si="7"/>
        <v>N/A</v>
      </c>
      <c r="J25" s="80" t="str">
        <f t="shared" ca="1" si="7"/>
        <v>N/A</v>
      </c>
      <c r="K25" s="80" t="str">
        <f t="shared" ca="1" si="7"/>
        <v>N/A</v>
      </c>
      <c r="L25" s="80" t="str">
        <f t="shared" ca="1" si="7"/>
        <v>N/A</v>
      </c>
      <c r="M25" s="80" t="str">
        <f t="shared" ca="1" si="7"/>
        <v>N/A</v>
      </c>
      <c r="N25" s="80" t="str">
        <f t="shared" ca="1" si="7"/>
        <v>N/A</v>
      </c>
      <c r="O25" s="80" t="str">
        <f t="shared" ca="1" si="7"/>
        <v>N/A</v>
      </c>
      <c r="P25" s="80" t="str">
        <f t="shared" ca="1" si="7"/>
        <v>N/A</v>
      </c>
      <c r="Q25" s="80" t="str">
        <f t="shared" ca="1" si="7"/>
        <v>N/A</v>
      </c>
      <c r="R25" s="80" t="str">
        <f t="shared" ca="1" si="7"/>
        <v>N/A</v>
      </c>
      <c r="S25" s="63"/>
      <c r="T25" s="63"/>
      <c r="U25" s="63"/>
      <c r="V25" s="63"/>
    </row>
    <row r="26" spans="1:22" hidden="1">
      <c r="A26" s="45"/>
      <c r="B26" s="46" t="str">
        <f t="shared" ca="1" si="2"/>
        <v/>
      </c>
      <c r="C26" s="1" t="str">
        <f>IF(ISERROR(D26),"",IF(D26="","",MAX($C$12:C25)+1))</f>
        <v/>
      </c>
      <c r="D26" t="e">
        <f t="shared" si="3"/>
        <v>#N/A</v>
      </c>
      <c r="E26" s="15"/>
      <c r="F26" s="80" t="str">
        <f t="shared" ca="1" si="6"/>
        <v>N/A</v>
      </c>
      <c r="G26" s="80" t="str">
        <f t="shared" si="4"/>
        <v>N/A</v>
      </c>
      <c r="H26" s="80" t="str">
        <f ca="1">IFERROR(VLOOKUP($A26,LASTYR,'2016'!$N$3,FALSE),"N/A")</f>
        <v>N/A</v>
      </c>
      <c r="I26" s="80" t="str">
        <f t="shared" ca="1" si="7"/>
        <v>N/A</v>
      </c>
      <c r="J26" s="80" t="str">
        <f t="shared" ca="1" si="7"/>
        <v>N/A</v>
      </c>
      <c r="K26" s="80" t="str">
        <f t="shared" ca="1" si="7"/>
        <v>N/A</v>
      </c>
      <c r="L26" s="80" t="str">
        <f t="shared" ca="1" si="7"/>
        <v>N/A</v>
      </c>
      <c r="M26" s="80" t="str">
        <f t="shared" ca="1" si="7"/>
        <v>N/A</v>
      </c>
      <c r="N26" s="80" t="str">
        <f t="shared" ca="1" si="7"/>
        <v>N/A</v>
      </c>
      <c r="O26" s="80" t="str">
        <f t="shared" ca="1" si="7"/>
        <v>N/A</v>
      </c>
      <c r="P26" s="80" t="str">
        <f t="shared" ca="1" si="7"/>
        <v>N/A</v>
      </c>
      <c r="Q26" s="80" t="str">
        <f t="shared" ca="1" si="7"/>
        <v>N/A</v>
      </c>
      <c r="R26" s="80" t="str">
        <f t="shared" ca="1" si="7"/>
        <v>N/A</v>
      </c>
      <c r="S26" s="63"/>
      <c r="T26" s="63"/>
      <c r="U26" s="63"/>
      <c r="V26" s="63"/>
    </row>
    <row r="27" spans="1:22" hidden="1">
      <c r="A27" s="45"/>
      <c r="B27" s="46" t="str">
        <f t="shared" ca="1" si="2"/>
        <v/>
      </c>
      <c r="C27" s="1" t="str">
        <f>IF(ISERROR(D27),"",IF(D27="","",MAX($C$12:C26)+1))</f>
        <v/>
      </c>
      <c r="D27" t="e">
        <f t="shared" si="3"/>
        <v>#N/A</v>
      </c>
      <c r="E27" s="15"/>
      <c r="F27" s="80" t="str">
        <f t="shared" ca="1" si="6"/>
        <v>N/A</v>
      </c>
      <c r="G27" s="80" t="str">
        <f t="shared" si="4"/>
        <v>N/A</v>
      </c>
      <c r="H27" s="80" t="str">
        <f ca="1">IFERROR(VLOOKUP($A27,LASTYR,'2016'!$N$3,FALSE),"N/A")</f>
        <v>N/A</v>
      </c>
      <c r="I27" s="80" t="str">
        <f t="shared" ca="1" si="7"/>
        <v>N/A</v>
      </c>
      <c r="J27" s="80" t="str">
        <f t="shared" ca="1" si="7"/>
        <v>N/A</v>
      </c>
      <c r="K27" s="80" t="str">
        <f t="shared" ca="1" si="7"/>
        <v>N/A</v>
      </c>
      <c r="L27" s="80" t="str">
        <f t="shared" ca="1" si="7"/>
        <v>N/A</v>
      </c>
      <c r="M27" s="80" t="str">
        <f t="shared" ca="1" si="7"/>
        <v>N/A</v>
      </c>
      <c r="N27" s="80" t="str">
        <f t="shared" ca="1" si="7"/>
        <v>N/A</v>
      </c>
      <c r="O27" s="80" t="str">
        <f t="shared" ca="1" si="7"/>
        <v>N/A</v>
      </c>
      <c r="P27" s="80" t="str">
        <f t="shared" ca="1" si="7"/>
        <v>N/A</v>
      </c>
      <c r="Q27" s="80" t="str">
        <f t="shared" ca="1" si="7"/>
        <v>N/A</v>
      </c>
      <c r="R27" s="80" t="str">
        <f t="shared" ca="1" si="7"/>
        <v>N/A</v>
      </c>
      <c r="S27" s="63"/>
      <c r="T27" s="63"/>
      <c r="U27" s="63"/>
      <c r="V27" s="63"/>
    </row>
    <row r="28" spans="1:22" hidden="1">
      <c r="A28" s="45"/>
      <c r="B28" s="46" t="str">
        <f t="shared" ca="1" si="2"/>
        <v/>
      </c>
      <c r="C28" s="1" t="str">
        <f>IF(ISERROR(D28),"",IF(D28="","",MAX($C$12:C27)+1))</f>
        <v/>
      </c>
      <c r="D28" t="e">
        <f t="shared" si="3"/>
        <v>#N/A</v>
      </c>
      <c r="E28" s="15"/>
      <c r="F28" s="80" t="str">
        <f t="shared" ca="1" si="6"/>
        <v>N/A</v>
      </c>
      <c r="G28" s="80" t="str">
        <f t="shared" si="4"/>
        <v>N/A</v>
      </c>
      <c r="H28" s="80" t="str">
        <f ca="1">IFERROR(VLOOKUP($A28,LASTYR,'2016'!$N$3,FALSE),"N/A")</f>
        <v>N/A</v>
      </c>
      <c r="I28" s="80" t="str">
        <f t="shared" ca="1" si="7"/>
        <v>N/A</v>
      </c>
      <c r="J28" s="80" t="str">
        <f t="shared" ca="1" si="7"/>
        <v>N/A</v>
      </c>
      <c r="K28" s="80" t="str">
        <f t="shared" ca="1" si="7"/>
        <v>N/A</v>
      </c>
      <c r="L28" s="80" t="str">
        <f t="shared" ca="1" si="7"/>
        <v>N/A</v>
      </c>
      <c r="M28" s="80" t="str">
        <f t="shared" ca="1" si="7"/>
        <v>N/A</v>
      </c>
      <c r="N28" s="80" t="str">
        <f t="shared" ca="1" si="7"/>
        <v>N/A</v>
      </c>
      <c r="O28" s="80" t="str">
        <f t="shared" ca="1" si="7"/>
        <v>N/A</v>
      </c>
      <c r="P28" s="80" t="str">
        <f t="shared" ca="1" si="7"/>
        <v>N/A</v>
      </c>
      <c r="Q28" s="80" t="str">
        <f t="shared" ca="1" si="7"/>
        <v>N/A</v>
      </c>
      <c r="R28" s="80" t="str">
        <f t="shared" ca="1" si="7"/>
        <v>N/A</v>
      </c>
      <c r="S28" s="63"/>
      <c r="T28" s="63"/>
      <c r="U28" s="63"/>
      <c r="V28" s="63"/>
    </row>
    <row r="29" spans="1:22" hidden="1">
      <c r="A29" s="45"/>
      <c r="B29" s="46" t="str">
        <f t="shared" ca="1" si="2"/>
        <v/>
      </c>
      <c r="C29" s="1" t="str">
        <f>IF(ISERROR(D29),"",IF(D29="","",MAX($C$12:C28)+1))</f>
        <v/>
      </c>
      <c r="D29" t="e">
        <f t="shared" si="3"/>
        <v>#N/A</v>
      </c>
      <c r="E29" s="15"/>
      <c r="F29" s="80" t="str">
        <f t="shared" ca="1" si="6"/>
        <v>N/A</v>
      </c>
      <c r="G29" s="80" t="str">
        <f t="shared" si="4"/>
        <v>N/A</v>
      </c>
      <c r="H29" s="80" t="str">
        <f ca="1">IFERROR(VLOOKUP($A29,LASTYR,'2016'!$N$3,FALSE),"N/A")</f>
        <v>N/A</v>
      </c>
      <c r="I29" s="80" t="str">
        <f t="shared" ca="1" si="7"/>
        <v>N/A</v>
      </c>
      <c r="J29" s="80" t="str">
        <f t="shared" ca="1" si="7"/>
        <v>N/A</v>
      </c>
      <c r="K29" s="80" t="str">
        <f t="shared" ca="1" si="7"/>
        <v>N/A</v>
      </c>
      <c r="L29" s="80" t="str">
        <f t="shared" ca="1" si="7"/>
        <v>N/A</v>
      </c>
      <c r="M29" s="80" t="str">
        <f t="shared" ca="1" si="7"/>
        <v>N/A</v>
      </c>
      <c r="N29" s="80" t="str">
        <f t="shared" ca="1" si="7"/>
        <v>N/A</v>
      </c>
      <c r="O29" s="80" t="str">
        <f t="shared" ca="1" si="7"/>
        <v>N/A</v>
      </c>
      <c r="P29" s="80" t="str">
        <f t="shared" ca="1" si="7"/>
        <v>N/A</v>
      </c>
      <c r="Q29" s="80" t="str">
        <f t="shared" ca="1" si="7"/>
        <v>N/A</v>
      </c>
      <c r="R29" s="80" t="str">
        <f t="shared" ca="1" si="7"/>
        <v>N/A</v>
      </c>
      <c r="S29" s="63"/>
      <c r="T29" s="63"/>
      <c r="U29" s="63"/>
      <c r="V29" s="63"/>
    </row>
    <row r="30" spans="1:22" hidden="1">
      <c r="A30" s="45"/>
      <c r="B30" s="46" t="str">
        <f t="shared" ca="1" si="2"/>
        <v/>
      </c>
      <c r="C30" s="1" t="str">
        <f>IF(ISERROR(D30),"",IF(D30="","",MAX($C$12:C29)+1))</f>
        <v/>
      </c>
      <c r="D30" t="e">
        <f t="shared" si="3"/>
        <v>#N/A</v>
      </c>
      <c r="E30" s="15"/>
      <c r="F30" s="80" t="str">
        <f t="shared" ca="1" si="6"/>
        <v>N/A</v>
      </c>
      <c r="G30" s="80" t="str">
        <f t="shared" si="4"/>
        <v>N/A</v>
      </c>
      <c r="H30" s="80" t="str">
        <f ca="1">IFERROR(VLOOKUP($A30,LASTYR,'2016'!$N$3,FALSE),"N/A")</f>
        <v>N/A</v>
      </c>
      <c r="I30" s="80" t="str">
        <f t="shared" ca="1" si="7"/>
        <v>N/A</v>
      </c>
      <c r="J30" s="80" t="str">
        <f t="shared" ca="1" si="7"/>
        <v>N/A</v>
      </c>
      <c r="K30" s="80" t="str">
        <f t="shared" ca="1" si="7"/>
        <v>N/A</v>
      </c>
      <c r="L30" s="80" t="str">
        <f t="shared" ca="1" si="7"/>
        <v>N/A</v>
      </c>
      <c r="M30" s="80" t="str">
        <f t="shared" ca="1" si="7"/>
        <v>N/A</v>
      </c>
      <c r="N30" s="80" t="str">
        <f t="shared" ca="1" si="7"/>
        <v>N/A</v>
      </c>
      <c r="O30" s="80" t="str">
        <f t="shared" ca="1" si="7"/>
        <v>N/A</v>
      </c>
      <c r="P30" s="80" t="str">
        <f t="shared" ca="1" si="7"/>
        <v>N/A</v>
      </c>
      <c r="Q30" s="80" t="str">
        <f t="shared" ca="1" si="7"/>
        <v>N/A</v>
      </c>
      <c r="R30" s="80" t="str">
        <f t="shared" ca="1" si="7"/>
        <v>N/A</v>
      </c>
      <c r="S30" s="63"/>
      <c r="T30" s="63"/>
      <c r="U30" s="63"/>
      <c r="V30" s="63"/>
    </row>
    <row r="31" spans="1:22" hidden="1">
      <c r="A31" s="45"/>
      <c r="B31" s="46" t="str">
        <f t="shared" ca="1" si="2"/>
        <v/>
      </c>
      <c r="C31" s="1" t="str">
        <f>IF(ISERROR(D31),"",IF(D31="","",MAX($C$12:C30)+1))</f>
        <v/>
      </c>
      <c r="D31" t="e">
        <f t="shared" si="3"/>
        <v>#N/A</v>
      </c>
      <c r="E31" s="15"/>
      <c r="F31" s="80" t="str">
        <f t="shared" ca="1" si="6"/>
        <v>N/A</v>
      </c>
      <c r="G31" s="80" t="str">
        <f t="shared" si="4"/>
        <v>N/A</v>
      </c>
      <c r="H31" s="80" t="str">
        <f ca="1">IFERROR(VLOOKUP($A31,LASTYR,'2016'!$N$3,FALSE),"N/A")</f>
        <v>N/A</v>
      </c>
      <c r="I31" s="80" t="str">
        <f t="shared" ca="1" si="7"/>
        <v>N/A</v>
      </c>
      <c r="J31" s="80" t="str">
        <f t="shared" ca="1" si="7"/>
        <v>N/A</v>
      </c>
      <c r="K31" s="80" t="str">
        <f t="shared" ca="1" si="7"/>
        <v>N/A</v>
      </c>
      <c r="L31" s="80" t="str">
        <f t="shared" ca="1" si="7"/>
        <v>N/A</v>
      </c>
      <c r="M31" s="80" t="str">
        <f t="shared" ca="1" si="7"/>
        <v>N/A</v>
      </c>
      <c r="N31" s="80" t="str">
        <f t="shared" ca="1" si="7"/>
        <v>N/A</v>
      </c>
      <c r="O31" s="80" t="str">
        <f t="shared" ca="1" si="7"/>
        <v>N/A</v>
      </c>
      <c r="P31" s="80" t="str">
        <f t="shared" ca="1" si="7"/>
        <v>N/A</v>
      </c>
      <c r="Q31" s="80" t="str">
        <f t="shared" ca="1" si="7"/>
        <v>N/A</v>
      </c>
      <c r="R31" s="80" t="str">
        <f t="shared" ca="1" si="7"/>
        <v>N/A</v>
      </c>
      <c r="S31" s="63"/>
      <c r="T31" s="63"/>
      <c r="U31" s="63"/>
      <c r="V31" s="63"/>
    </row>
    <row r="32" spans="1:22" hidden="1">
      <c r="A32" s="45"/>
      <c r="B32" s="46" t="str">
        <f t="shared" ca="1" si="2"/>
        <v/>
      </c>
      <c r="C32" s="1" t="str">
        <f>IF(ISERROR(D32),"",IF(D32="","",MAX($C$12:C31)+1))</f>
        <v/>
      </c>
      <c r="D32" t="e">
        <f t="shared" si="3"/>
        <v>#N/A</v>
      </c>
      <c r="E32" s="15"/>
      <c r="F32" s="80" t="str">
        <f t="shared" ca="1" si="6"/>
        <v>N/A</v>
      </c>
      <c r="G32" s="80" t="str">
        <f t="shared" si="4"/>
        <v>N/A</v>
      </c>
      <c r="H32" s="80" t="str">
        <f ca="1">IFERROR(VLOOKUP($A32,LASTYR,'2016'!$N$3,FALSE),"N/A")</f>
        <v>N/A</v>
      </c>
      <c r="I32" s="80" t="str">
        <f t="shared" ca="1" si="7"/>
        <v>N/A</v>
      </c>
      <c r="J32" s="80" t="str">
        <f t="shared" ca="1" si="7"/>
        <v>N/A</v>
      </c>
      <c r="K32" s="80" t="str">
        <f t="shared" ca="1" si="7"/>
        <v>N/A</v>
      </c>
      <c r="L32" s="80" t="str">
        <f t="shared" ca="1" si="7"/>
        <v>N/A</v>
      </c>
      <c r="M32" s="80" t="str">
        <f t="shared" ca="1" si="7"/>
        <v>N/A</v>
      </c>
      <c r="N32" s="80" t="str">
        <f t="shared" ca="1" si="7"/>
        <v>N/A</v>
      </c>
      <c r="O32" s="80" t="str">
        <f t="shared" ca="1" si="7"/>
        <v>N/A</v>
      </c>
      <c r="P32" s="80" t="str">
        <f t="shared" ca="1" si="7"/>
        <v>N/A</v>
      </c>
      <c r="Q32" s="80" t="str">
        <f t="shared" ca="1" si="7"/>
        <v>N/A</v>
      </c>
      <c r="R32" s="80" t="str">
        <f t="shared" ca="1" si="7"/>
        <v>N/A</v>
      </c>
      <c r="S32" s="63"/>
      <c r="T32" s="63"/>
      <c r="U32" s="63"/>
      <c r="V32" s="63"/>
    </row>
    <row r="33" spans="1:22" hidden="1">
      <c r="A33" s="45"/>
      <c r="B33" s="46" t="str">
        <f t="shared" ca="1" si="2"/>
        <v/>
      </c>
      <c r="C33" s="1" t="str">
        <f>IF(ISERROR(D33),"",IF(D33="","",MAX($C$12:C32)+1))</f>
        <v/>
      </c>
      <c r="D33" t="e">
        <f t="shared" si="3"/>
        <v>#N/A</v>
      </c>
      <c r="E33" s="15"/>
      <c r="F33" s="80" t="str">
        <f t="shared" ca="1" si="6"/>
        <v>N/A</v>
      </c>
      <c r="G33" s="80" t="str">
        <f t="shared" si="4"/>
        <v>N/A</v>
      </c>
      <c r="H33" s="80" t="str">
        <f ca="1">IFERROR(VLOOKUP($A33,LASTYR,'2016'!$N$3,FALSE),"N/A")</f>
        <v>N/A</v>
      </c>
      <c r="I33" s="80" t="str">
        <f t="shared" ref="I33:R42" ca="1" si="8">IFERROR(INDEX(DIV_BV_WP,$B33,I$12),"N/A")</f>
        <v>N/A</v>
      </c>
      <c r="J33" s="80" t="str">
        <f t="shared" ca="1" si="8"/>
        <v>N/A</v>
      </c>
      <c r="K33" s="80" t="str">
        <f t="shared" ca="1" si="8"/>
        <v>N/A</v>
      </c>
      <c r="L33" s="80" t="str">
        <f t="shared" ca="1" si="8"/>
        <v>N/A</v>
      </c>
      <c r="M33" s="80" t="str">
        <f t="shared" ca="1" si="8"/>
        <v>N/A</v>
      </c>
      <c r="N33" s="80" t="str">
        <f t="shared" ca="1" si="8"/>
        <v>N/A</v>
      </c>
      <c r="O33" s="80" t="str">
        <f t="shared" ca="1" si="8"/>
        <v>N/A</v>
      </c>
      <c r="P33" s="80" t="str">
        <f t="shared" ca="1" si="8"/>
        <v>N/A</v>
      </c>
      <c r="Q33" s="80" t="str">
        <f t="shared" ca="1" si="8"/>
        <v>N/A</v>
      </c>
      <c r="R33" s="80" t="str">
        <f t="shared" ca="1" si="8"/>
        <v>N/A</v>
      </c>
      <c r="S33" s="63"/>
      <c r="T33" s="63"/>
      <c r="U33" s="63"/>
      <c r="V33" s="63"/>
    </row>
    <row r="34" spans="1:22" hidden="1">
      <c r="A34" s="45"/>
      <c r="B34" s="46" t="str">
        <f t="shared" ca="1" si="2"/>
        <v/>
      </c>
      <c r="C34" s="1" t="str">
        <f>IF(ISERROR(D34),"",IF(D34="","",MAX($C$12:C33)+1))</f>
        <v/>
      </c>
      <c r="D34" t="e">
        <f t="shared" si="3"/>
        <v>#N/A</v>
      </c>
      <c r="E34" s="15"/>
      <c r="F34" s="80" t="str">
        <f t="shared" ca="1" si="6"/>
        <v>N/A</v>
      </c>
      <c r="G34" s="80" t="str">
        <f t="shared" si="4"/>
        <v>N/A</v>
      </c>
      <c r="H34" s="80" t="str">
        <f ca="1">IFERROR(VLOOKUP($A34,LASTYR,'2016'!$N$3,FALSE),"N/A")</f>
        <v>N/A</v>
      </c>
      <c r="I34" s="80" t="str">
        <f t="shared" ca="1" si="8"/>
        <v>N/A</v>
      </c>
      <c r="J34" s="80" t="str">
        <f t="shared" ca="1" si="8"/>
        <v>N/A</v>
      </c>
      <c r="K34" s="80" t="str">
        <f t="shared" ca="1" si="8"/>
        <v>N/A</v>
      </c>
      <c r="L34" s="80" t="str">
        <f t="shared" ca="1" si="8"/>
        <v>N/A</v>
      </c>
      <c r="M34" s="80" t="str">
        <f t="shared" ca="1" si="8"/>
        <v>N/A</v>
      </c>
      <c r="N34" s="80" t="str">
        <f t="shared" ca="1" si="8"/>
        <v>N/A</v>
      </c>
      <c r="O34" s="80" t="str">
        <f t="shared" ca="1" si="8"/>
        <v>N/A</v>
      </c>
      <c r="P34" s="80" t="str">
        <f t="shared" ca="1" si="8"/>
        <v>N/A</v>
      </c>
      <c r="Q34" s="80" t="str">
        <f t="shared" ca="1" si="8"/>
        <v>N/A</v>
      </c>
      <c r="R34" s="80" t="str">
        <f t="shared" ca="1" si="8"/>
        <v>N/A</v>
      </c>
      <c r="S34" s="63"/>
      <c r="T34" s="63"/>
      <c r="U34" s="63"/>
      <c r="V34" s="63"/>
    </row>
    <row r="35" spans="1:22" hidden="1">
      <c r="A35" s="45"/>
      <c r="B35" s="46" t="str">
        <f t="shared" ca="1" si="2"/>
        <v/>
      </c>
      <c r="C35" s="1" t="str">
        <f>IF(ISERROR(D35),"",IF(D35="","",MAX($C$12:C34)+1))</f>
        <v/>
      </c>
      <c r="D35" t="e">
        <f t="shared" si="3"/>
        <v>#N/A</v>
      </c>
      <c r="E35" s="15"/>
      <c r="F35" s="80" t="str">
        <f t="shared" ca="1" si="6"/>
        <v>N/A</v>
      </c>
      <c r="G35" s="80" t="str">
        <f t="shared" si="4"/>
        <v>N/A</v>
      </c>
      <c r="H35" s="80" t="str">
        <f ca="1">IFERROR(VLOOKUP($A35,LASTYR,'2016'!$N$3,FALSE),"N/A")</f>
        <v>N/A</v>
      </c>
      <c r="I35" s="80" t="str">
        <f t="shared" ca="1" si="8"/>
        <v>N/A</v>
      </c>
      <c r="J35" s="80" t="str">
        <f t="shared" ca="1" si="8"/>
        <v>N/A</v>
      </c>
      <c r="K35" s="80" t="str">
        <f t="shared" ca="1" si="8"/>
        <v>N/A</v>
      </c>
      <c r="L35" s="80" t="str">
        <f t="shared" ca="1" si="8"/>
        <v>N/A</v>
      </c>
      <c r="M35" s="80" t="str">
        <f t="shared" ca="1" si="8"/>
        <v>N/A</v>
      </c>
      <c r="N35" s="80" t="str">
        <f t="shared" ca="1" si="8"/>
        <v>N/A</v>
      </c>
      <c r="O35" s="80" t="str">
        <f t="shared" ca="1" si="8"/>
        <v>N/A</v>
      </c>
      <c r="P35" s="80" t="str">
        <f t="shared" ca="1" si="8"/>
        <v>N/A</v>
      </c>
      <c r="Q35" s="80" t="str">
        <f t="shared" ca="1" si="8"/>
        <v>N/A</v>
      </c>
      <c r="R35" s="80" t="str">
        <f t="shared" ca="1" si="8"/>
        <v>N/A</v>
      </c>
      <c r="S35" s="63"/>
      <c r="T35" s="63"/>
      <c r="U35" s="63"/>
      <c r="V35" s="63"/>
    </row>
    <row r="36" spans="1:22" hidden="1">
      <c r="A36" s="45"/>
      <c r="B36" s="46" t="str">
        <f t="shared" ca="1" si="2"/>
        <v/>
      </c>
      <c r="C36" s="1" t="str">
        <f>IF(ISERROR(D36),"",IF(D36="","",MAX($C$12:C35)+1))</f>
        <v/>
      </c>
      <c r="D36" t="e">
        <f t="shared" si="3"/>
        <v>#N/A</v>
      </c>
      <c r="E36" s="15"/>
      <c r="F36" s="80" t="str">
        <f t="shared" ca="1" si="6"/>
        <v>N/A</v>
      </c>
      <c r="G36" s="80" t="str">
        <f t="shared" si="4"/>
        <v>N/A</v>
      </c>
      <c r="H36" s="80" t="str">
        <f ca="1">IFERROR(VLOOKUP($A36,LASTYR,'2016'!$N$3,FALSE),"N/A")</f>
        <v>N/A</v>
      </c>
      <c r="I36" s="80" t="str">
        <f t="shared" ca="1" si="8"/>
        <v>N/A</v>
      </c>
      <c r="J36" s="80" t="str">
        <f t="shared" ca="1" si="8"/>
        <v>N/A</v>
      </c>
      <c r="K36" s="80" t="str">
        <f t="shared" ca="1" si="8"/>
        <v>N/A</v>
      </c>
      <c r="L36" s="80" t="str">
        <f t="shared" ca="1" si="8"/>
        <v>N/A</v>
      </c>
      <c r="M36" s="80" t="str">
        <f t="shared" ca="1" si="8"/>
        <v>N/A</v>
      </c>
      <c r="N36" s="80" t="str">
        <f t="shared" ca="1" si="8"/>
        <v>N/A</v>
      </c>
      <c r="O36" s="80" t="str">
        <f t="shared" ca="1" si="8"/>
        <v>N/A</v>
      </c>
      <c r="P36" s="80" t="str">
        <f t="shared" ca="1" si="8"/>
        <v>N/A</v>
      </c>
      <c r="Q36" s="80" t="str">
        <f t="shared" ca="1" si="8"/>
        <v>N/A</v>
      </c>
      <c r="R36" s="80" t="str">
        <f t="shared" ca="1" si="8"/>
        <v>N/A</v>
      </c>
      <c r="S36" s="63"/>
      <c r="T36" s="63"/>
      <c r="U36" s="63"/>
      <c r="V36" s="63"/>
    </row>
    <row r="37" spans="1:22" hidden="1">
      <c r="A37" s="45"/>
      <c r="B37" s="46" t="str">
        <f t="shared" ca="1" si="2"/>
        <v/>
      </c>
      <c r="C37" s="1" t="str">
        <f>IF(ISERROR(D37),"",IF(D37="","",MAX($C$12:C36)+1))</f>
        <v/>
      </c>
      <c r="D37" t="e">
        <f t="shared" si="3"/>
        <v>#N/A</v>
      </c>
      <c r="E37" s="15"/>
      <c r="F37" s="80" t="str">
        <f t="shared" ca="1" si="6"/>
        <v>N/A</v>
      </c>
      <c r="G37" s="80" t="str">
        <f t="shared" si="4"/>
        <v>N/A</v>
      </c>
      <c r="H37" s="80" t="str">
        <f ca="1">IFERROR(VLOOKUP($A37,LASTYR,'2016'!$N$3,FALSE),"N/A")</f>
        <v>N/A</v>
      </c>
      <c r="I37" s="80" t="str">
        <f t="shared" ca="1" si="8"/>
        <v>N/A</v>
      </c>
      <c r="J37" s="80" t="str">
        <f t="shared" ca="1" si="8"/>
        <v>N/A</v>
      </c>
      <c r="K37" s="80" t="str">
        <f t="shared" ca="1" si="8"/>
        <v>N/A</v>
      </c>
      <c r="L37" s="80" t="str">
        <f t="shared" ca="1" si="8"/>
        <v>N/A</v>
      </c>
      <c r="M37" s="80" t="str">
        <f t="shared" ca="1" si="8"/>
        <v>N/A</v>
      </c>
      <c r="N37" s="80" t="str">
        <f t="shared" ca="1" si="8"/>
        <v>N/A</v>
      </c>
      <c r="O37" s="80" t="str">
        <f t="shared" ca="1" si="8"/>
        <v>N/A</v>
      </c>
      <c r="P37" s="80" t="str">
        <f t="shared" ca="1" si="8"/>
        <v>N/A</v>
      </c>
      <c r="Q37" s="80" t="str">
        <f t="shared" ca="1" si="8"/>
        <v>N/A</v>
      </c>
      <c r="R37" s="80" t="str">
        <f t="shared" ca="1" si="8"/>
        <v>N/A</v>
      </c>
      <c r="S37" s="63"/>
      <c r="T37" s="63"/>
      <c r="U37" s="63"/>
      <c r="V37" s="63"/>
    </row>
    <row r="38" spans="1:22" hidden="1">
      <c r="A38" s="45"/>
      <c r="B38" s="46" t="str">
        <f t="shared" ca="1" si="2"/>
        <v/>
      </c>
      <c r="C38" s="1" t="str">
        <f>IF(ISERROR(D38),"",IF(D38="","",MAX($C$12:C37)+1))</f>
        <v/>
      </c>
      <c r="D38" t="e">
        <f t="shared" si="3"/>
        <v>#N/A</v>
      </c>
      <c r="E38" s="15"/>
      <c r="F38" s="80" t="str">
        <f t="shared" ca="1" si="6"/>
        <v>N/A</v>
      </c>
      <c r="G38" s="80" t="str">
        <f t="shared" si="4"/>
        <v>N/A</v>
      </c>
      <c r="H38" s="80" t="str">
        <f ca="1">IFERROR(VLOOKUP($A38,LASTYR,'2016'!$N$3,FALSE),"N/A")</f>
        <v>N/A</v>
      </c>
      <c r="I38" s="80" t="str">
        <f t="shared" ca="1" si="8"/>
        <v>N/A</v>
      </c>
      <c r="J38" s="80" t="str">
        <f t="shared" ca="1" si="8"/>
        <v>N/A</v>
      </c>
      <c r="K38" s="80" t="str">
        <f t="shared" ca="1" si="8"/>
        <v>N/A</v>
      </c>
      <c r="L38" s="80" t="str">
        <f t="shared" ca="1" si="8"/>
        <v>N/A</v>
      </c>
      <c r="M38" s="80" t="str">
        <f t="shared" ca="1" si="8"/>
        <v>N/A</v>
      </c>
      <c r="N38" s="80" t="str">
        <f t="shared" ca="1" si="8"/>
        <v>N/A</v>
      </c>
      <c r="O38" s="80" t="str">
        <f t="shared" ca="1" si="8"/>
        <v>N/A</v>
      </c>
      <c r="P38" s="80" t="str">
        <f t="shared" ca="1" si="8"/>
        <v>N/A</v>
      </c>
      <c r="Q38" s="80" t="str">
        <f t="shared" ca="1" si="8"/>
        <v>N/A</v>
      </c>
      <c r="R38" s="80" t="str">
        <f t="shared" ca="1" si="8"/>
        <v>N/A</v>
      </c>
      <c r="S38" s="63"/>
      <c r="T38" s="63"/>
      <c r="U38" s="63"/>
      <c r="V38" s="63"/>
    </row>
    <row r="39" spans="1:22" hidden="1">
      <c r="A39" s="45"/>
      <c r="B39" s="46" t="str">
        <f t="shared" ca="1" si="2"/>
        <v/>
      </c>
      <c r="C39" s="1" t="str">
        <f>IF(ISERROR(D39),"",IF(D39="","",MAX($C$12:C38)+1))</f>
        <v/>
      </c>
      <c r="D39" t="e">
        <f t="shared" si="3"/>
        <v>#N/A</v>
      </c>
      <c r="E39" s="15"/>
      <c r="F39" s="80" t="str">
        <f t="shared" ca="1" si="6"/>
        <v>N/A</v>
      </c>
      <c r="G39" s="80" t="str">
        <f t="shared" si="4"/>
        <v>N/A</v>
      </c>
      <c r="H39" s="80" t="str">
        <f ca="1">IFERROR(VLOOKUP($A39,LASTYR,'2016'!$N$3,FALSE),"N/A")</f>
        <v>N/A</v>
      </c>
      <c r="I39" s="80" t="str">
        <f t="shared" ca="1" si="8"/>
        <v>N/A</v>
      </c>
      <c r="J39" s="80" t="str">
        <f t="shared" ca="1" si="8"/>
        <v>N/A</v>
      </c>
      <c r="K39" s="80" t="str">
        <f t="shared" ca="1" si="8"/>
        <v>N/A</v>
      </c>
      <c r="L39" s="80" t="str">
        <f t="shared" ca="1" si="8"/>
        <v>N/A</v>
      </c>
      <c r="M39" s="80" t="str">
        <f t="shared" ca="1" si="8"/>
        <v>N/A</v>
      </c>
      <c r="N39" s="80" t="str">
        <f t="shared" ca="1" si="8"/>
        <v>N/A</v>
      </c>
      <c r="O39" s="80" t="str">
        <f t="shared" ca="1" si="8"/>
        <v>N/A</v>
      </c>
      <c r="P39" s="80" t="str">
        <f t="shared" ca="1" si="8"/>
        <v>N/A</v>
      </c>
      <c r="Q39" s="80" t="str">
        <f t="shared" ca="1" si="8"/>
        <v>N/A</v>
      </c>
      <c r="R39" s="80" t="str">
        <f t="shared" ca="1" si="8"/>
        <v>N/A</v>
      </c>
      <c r="S39" s="63"/>
      <c r="T39" s="63"/>
      <c r="U39" s="63"/>
      <c r="V39" s="63"/>
    </row>
    <row r="40" spans="1:22" hidden="1">
      <c r="A40" s="45"/>
      <c r="B40" s="46" t="str">
        <f t="shared" ca="1" si="2"/>
        <v/>
      </c>
      <c r="C40" s="1" t="str">
        <f>IF(ISERROR(D40),"",IF(D40="","",MAX($C$12:C39)+1))</f>
        <v/>
      </c>
      <c r="D40" t="e">
        <f t="shared" si="3"/>
        <v>#N/A</v>
      </c>
      <c r="E40" s="15"/>
      <c r="F40" s="80" t="str">
        <f t="shared" ca="1" si="6"/>
        <v>N/A</v>
      </c>
      <c r="G40" s="80" t="str">
        <f t="shared" si="4"/>
        <v>N/A</v>
      </c>
      <c r="H40" s="80" t="str">
        <f ca="1">IFERROR(VLOOKUP($A40,LASTYR,'2016'!$N$3,FALSE),"N/A")</f>
        <v>N/A</v>
      </c>
      <c r="I40" s="80" t="str">
        <f t="shared" ca="1" si="8"/>
        <v>N/A</v>
      </c>
      <c r="J40" s="80" t="str">
        <f t="shared" ca="1" si="8"/>
        <v>N/A</v>
      </c>
      <c r="K40" s="80" t="str">
        <f t="shared" ca="1" si="8"/>
        <v>N/A</v>
      </c>
      <c r="L40" s="80" t="str">
        <f t="shared" ca="1" si="8"/>
        <v>N/A</v>
      </c>
      <c r="M40" s="80" t="str">
        <f t="shared" ca="1" si="8"/>
        <v>N/A</v>
      </c>
      <c r="N40" s="80" t="str">
        <f t="shared" ca="1" si="8"/>
        <v>N/A</v>
      </c>
      <c r="O40" s="80" t="str">
        <f t="shared" ca="1" si="8"/>
        <v>N/A</v>
      </c>
      <c r="P40" s="80" t="str">
        <f t="shared" ca="1" si="8"/>
        <v>N/A</v>
      </c>
      <c r="Q40" s="80" t="str">
        <f t="shared" ca="1" si="8"/>
        <v>N/A</v>
      </c>
      <c r="R40" s="80" t="str">
        <f t="shared" ca="1" si="8"/>
        <v>N/A</v>
      </c>
      <c r="S40" s="63"/>
      <c r="T40" s="63"/>
      <c r="U40" s="63"/>
      <c r="V40" s="63"/>
    </row>
    <row r="41" spans="1:22" hidden="1">
      <c r="A41" s="45"/>
      <c r="B41" s="46" t="str">
        <f t="shared" ca="1" si="2"/>
        <v/>
      </c>
      <c r="C41" s="1" t="str">
        <f>IF(ISERROR(D41),"",IF(D41="","",MAX($C$12:C40)+1))</f>
        <v/>
      </c>
      <c r="D41" t="e">
        <f t="shared" si="3"/>
        <v>#N/A</v>
      </c>
      <c r="E41" s="15"/>
      <c r="F41" s="80" t="str">
        <f t="shared" ca="1" si="6"/>
        <v>N/A</v>
      </c>
      <c r="G41" s="80" t="str">
        <f t="shared" si="4"/>
        <v>N/A</v>
      </c>
      <c r="H41" s="80" t="str">
        <f ca="1">IFERROR(VLOOKUP($A41,LASTYR,'2016'!$N$3,FALSE),"N/A")</f>
        <v>N/A</v>
      </c>
      <c r="I41" s="80" t="str">
        <f t="shared" ca="1" si="8"/>
        <v>N/A</v>
      </c>
      <c r="J41" s="80" t="str">
        <f t="shared" ca="1" si="8"/>
        <v>N/A</v>
      </c>
      <c r="K41" s="80" t="str">
        <f t="shared" ca="1" si="8"/>
        <v>N/A</v>
      </c>
      <c r="L41" s="80" t="str">
        <f t="shared" ca="1" si="8"/>
        <v>N/A</v>
      </c>
      <c r="M41" s="80" t="str">
        <f t="shared" ca="1" si="8"/>
        <v>N/A</v>
      </c>
      <c r="N41" s="80" t="str">
        <f t="shared" ca="1" si="8"/>
        <v>N/A</v>
      </c>
      <c r="O41" s="80" t="str">
        <f t="shared" ca="1" si="8"/>
        <v>N/A</v>
      </c>
      <c r="P41" s="80" t="str">
        <f t="shared" ca="1" si="8"/>
        <v>N/A</v>
      </c>
      <c r="Q41" s="80" t="str">
        <f t="shared" ca="1" si="8"/>
        <v>N/A</v>
      </c>
      <c r="R41" s="80" t="str">
        <f t="shared" ca="1" si="8"/>
        <v>N/A</v>
      </c>
      <c r="S41" s="63"/>
      <c r="T41" s="63"/>
      <c r="U41" s="63"/>
      <c r="V41" s="63"/>
    </row>
    <row r="42" spans="1:22" hidden="1">
      <c r="A42" s="45"/>
      <c r="B42" s="46" t="str">
        <f t="shared" ca="1" si="2"/>
        <v/>
      </c>
      <c r="C42" s="1" t="str">
        <f>IF(ISERROR(D42),"",IF(D42="","",MAX($C$12:C41)+1))</f>
        <v/>
      </c>
      <c r="D42" t="e">
        <f t="shared" si="3"/>
        <v>#N/A</v>
      </c>
      <c r="E42" s="15"/>
      <c r="F42" s="80" t="str">
        <f t="shared" ca="1" si="6"/>
        <v>N/A</v>
      </c>
      <c r="G42" s="80" t="str">
        <f t="shared" si="4"/>
        <v>N/A</v>
      </c>
      <c r="H42" s="80" t="str">
        <f ca="1">IFERROR(VLOOKUP($A42,LASTYR,'2016'!$N$3,FALSE),"N/A")</f>
        <v>N/A</v>
      </c>
      <c r="I42" s="80" t="str">
        <f t="shared" ca="1" si="8"/>
        <v>N/A</v>
      </c>
      <c r="J42" s="80" t="str">
        <f t="shared" ca="1" si="8"/>
        <v>N/A</v>
      </c>
      <c r="K42" s="80" t="str">
        <f t="shared" ca="1" si="8"/>
        <v>N/A</v>
      </c>
      <c r="L42" s="80" t="str">
        <f t="shared" ca="1" si="8"/>
        <v>N/A</v>
      </c>
      <c r="M42" s="80" t="str">
        <f t="shared" ca="1" si="8"/>
        <v>N/A</v>
      </c>
      <c r="N42" s="80" t="str">
        <f t="shared" ca="1" si="8"/>
        <v>N/A</v>
      </c>
      <c r="O42" s="80" t="str">
        <f t="shared" ca="1" si="8"/>
        <v>N/A</v>
      </c>
      <c r="P42" s="80" t="str">
        <f t="shared" ca="1" si="8"/>
        <v>N/A</v>
      </c>
      <c r="Q42" s="80" t="str">
        <f t="shared" ca="1" si="8"/>
        <v>N/A</v>
      </c>
      <c r="R42" s="80" t="str">
        <f t="shared" ca="1" si="8"/>
        <v>N/A</v>
      </c>
      <c r="S42" s="63"/>
      <c r="T42" s="63"/>
      <c r="U42" s="63"/>
      <c r="V42" s="63"/>
    </row>
    <row r="43" spans="1:22" hidden="1">
      <c r="A43" s="45"/>
      <c r="B43" s="46" t="str">
        <f t="shared" ca="1" si="2"/>
        <v/>
      </c>
      <c r="C43" s="1" t="str">
        <f>IF(ISERROR(D43),"",IF(D43="","",MAX($C$12:C42)+1))</f>
        <v/>
      </c>
      <c r="D43" t="e">
        <f t="shared" si="3"/>
        <v>#N/A</v>
      </c>
      <c r="E43" s="15"/>
      <c r="F43" s="80" t="str">
        <f t="shared" ca="1" si="6"/>
        <v>N/A</v>
      </c>
      <c r="G43" s="80" t="str">
        <f t="shared" si="4"/>
        <v>N/A</v>
      </c>
      <c r="H43" s="80" t="str">
        <f ca="1">IFERROR(VLOOKUP($A43,LASTYR,'2016'!$N$3,FALSE),"N/A")</f>
        <v>N/A</v>
      </c>
      <c r="I43" s="80" t="str">
        <f t="shared" ref="I43:R57" ca="1" si="9">IFERROR(INDEX(DIV_BV_WP,$B43,I$12),"N/A")</f>
        <v>N/A</v>
      </c>
      <c r="J43" s="80" t="str">
        <f t="shared" ca="1" si="9"/>
        <v>N/A</v>
      </c>
      <c r="K43" s="80" t="str">
        <f t="shared" ca="1" si="9"/>
        <v>N/A</v>
      </c>
      <c r="L43" s="80" t="str">
        <f t="shared" ca="1" si="9"/>
        <v>N/A</v>
      </c>
      <c r="M43" s="80" t="str">
        <f t="shared" ca="1" si="9"/>
        <v>N/A</v>
      </c>
      <c r="N43" s="80" t="str">
        <f t="shared" ca="1" si="9"/>
        <v>N/A</v>
      </c>
      <c r="O43" s="80" t="str">
        <f t="shared" ca="1" si="9"/>
        <v>N/A</v>
      </c>
      <c r="P43" s="80" t="str">
        <f t="shared" ca="1" si="9"/>
        <v>N/A</v>
      </c>
      <c r="Q43" s="80" t="str">
        <f t="shared" ca="1" si="9"/>
        <v>N/A</v>
      </c>
      <c r="R43" s="80" t="str">
        <f t="shared" ca="1" si="9"/>
        <v>N/A</v>
      </c>
      <c r="S43" s="63"/>
      <c r="T43" s="63"/>
      <c r="U43" s="63"/>
      <c r="V43" s="63"/>
    </row>
    <row r="44" spans="1:22" hidden="1">
      <c r="A44" s="45"/>
      <c r="B44" s="46" t="str">
        <f t="shared" ca="1" si="2"/>
        <v/>
      </c>
      <c r="C44" s="1" t="str">
        <f>IF(ISERROR(D44),"",IF(D44="","",MAX($C$12:C43)+1))</f>
        <v/>
      </c>
      <c r="D44" t="e">
        <f t="shared" si="3"/>
        <v>#N/A</v>
      </c>
      <c r="E44" s="15"/>
      <c r="F44" s="80" t="str">
        <f t="shared" ca="1" si="6"/>
        <v>N/A</v>
      </c>
      <c r="G44" s="80" t="str">
        <f t="shared" si="4"/>
        <v>N/A</v>
      </c>
      <c r="H44" s="80" t="str">
        <f ca="1">IFERROR(VLOOKUP($A44,LASTYR,'2016'!$N$3,FALSE),"N/A")</f>
        <v>N/A</v>
      </c>
      <c r="I44" s="80" t="str">
        <f t="shared" ca="1" si="9"/>
        <v>N/A</v>
      </c>
      <c r="J44" s="80" t="str">
        <f t="shared" ca="1" si="9"/>
        <v>N/A</v>
      </c>
      <c r="K44" s="80" t="str">
        <f t="shared" ca="1" si="9"/>
        <v>N/A</v>
      </c>
      <c r="L44" s="80" t="str">
        <f t="shared" ca="1" si="9"/>
        <v>N/A</v>
      </c>
      <c r="M44" s="80" t="str">
        <f t="shared" ca="1" si="9"/>
        <v>N/A</v>
      </c>
      <c r="N44" s="80" t="str">
        <f t="shared" ca="1" si="9"/>
        <v>N/A</v>
      </c>
      <c r="O44" s="80" t="str">
        <f t="shared" ca="1" si="9"/>
        <v>N/A</v>
      </c>
      <c r="P44" s="80" t="str">
        <f t="shared" ca="1" si="9"/>
        <v>N/A</v>
      </c>
      <c r="Q44" s="80" t="str">
        <f t="shared" ca="1" si="9"/>
        <v>N/A</v>
      </c>
      <c r="R44" s="80" t="str">
        <f t="shared" ca="1" si="9"/>
        <v>N/A</v>
      </c>
      <c r="S44" s="63"/>
      <c r="T44" s="63"/>
      <c r="U44" s="63"/>
      <c r="V44" s="63"/>
    </row>
    <row r="45" spans="1:22" hidden="1">
      <c r="A45" s="45"/>
      <c r="B45" s="46" t="str">
        <f t="shared" ca="1" si="2"/>
        <v/>
      </c>
      <c r="C45" s="1" t="str">
        <f>IF(ISERROR(D45),"",IF(D45="","",MAX($C$12:C44)+1))</f>
        <v/>
      </c>
      <c r="D45" t="e">
        <f t="shared" si="3"/>
        <v>#N/A</v>
      </c>
      <c r="E45" s="15"/>
      <c r="F45" s="80" t="str">
        <f t="shared" ca="1" si="6"/>
        <v>N/A</v>
      </c>
      <c r="G45" s="80" t="str">
        <f t="shared" si="4"/>
        <v>N/A</v>
      </c>
      <c r="H45" s="80" t="str">
        <f ca="1">IFERROR(VLOOKUP($A45,LASTYR,'2016'!$N$3,FALSE),"N/A")</f>
        <v>N/A</v>
      </c>
      <c r="I45" s="80" t="str">
        <f t="shared" ca="1" si="9"/>
        <v>N/A</v>
      </c>
      <c r="J45" s="80" t="str">
        <f t="shared" ca="1" si="9"/>
        <v>N/A</v>
      </c>
      <c r="K45" s="80" t="str">
        <f t="shared" ca="1" si="9"/>
        <v>N/A</v>
      </c>
      <c r="L45" s="80" t="str">
        <f t="shared" ca="1" si="9"/>
        <v>N/A</v>
      </c>
      <c r="M45" s="80" t="str">
        <f t="shared" ca="1" si="9"/>
        <v>N/A</v>
      </c>
      <c r="N45" s="80" t="str">
        <f t="shared" ca="1" si="9"/>
        <v>N/A</v>
      </c>
      <c r="O45" s="80" t="str">
        <f t="shared" ca="1" si="9"/>
        <v>N/A</v>
      </c>
      <c r="P45" s="80" t="str">
        <f t="shared" ca="1" si="9"/>
        <v>N/A</v>
      </c>
      <c r="Q45" s="80" t="str">
        <f t="shared" ca="1" si="9"/>
        <v>N/A</v>
      </c>
      <c r="R45" s="80" t="str">
        <f t="shared" ca="1" si="9"/>
        <v>N/A</v>
      </c>
      <c r="S45" s="63"/>
      <c r="T45" s="63"/>
      <c r="U45" s="63"/>
      <c r="V45" s="63"/>
    </row>
    <row r="46" spans="1:22" hidden="1">
      <c r="A46" s="45"/>
      <c r="B46" s="46" t="str">
        <f t="shared" ca="1" si="2"/>
        <v/>
      </c>
      <c r="C46" s="1" t="str">
        <f>IF(ISERROR(D46),"",IF(D46="","",MAX($C$12:C45)+1))</f>
        <v/>
      </c>
      <c r="D46" t="e">
        <f>VLOOKUP(A46,LUCurYr,2,FALSE)</f>
        <v>#N/A</v>
      </c>
      <c r="E46" s="15"/>
      <c r="F46" s="80" t="str">
        <f t="shared" ca="1" si="6"/>
        <v>N/A</v>
      </c>
      <c r="G46" s="80" t="str">
        <f t="shared" si="4"/>
        <v>N/A</v>
      </c>
      <c r="H46" s="80" t="str">
        <f ca="1">IFERROR(VLOOKUP($A46,LASTYR,'2016'!$N$3,FALSE),"N/A")</f>
        <v>N/A</v>
      </c>
      <c r="I46" s="80" t="str">
        <f t="shared" ca="1" si="9"/>
        <v>N/A</v>
      </c>
      <c r="J46" s="80" t="str">
        <f t="shared" ca="1" si="9"/>
        <v>N/A</v>
      </c>
      <c r="K46" s="80" t="str">
        <f t="shared" ca="1" si="9"/>
        <v>N/A</v>
      </c>
      <c r="L46" s="80" t="str">
        <f t="shared" ca="1" si="9"/>
        <v>N/A</v>
      </c>
      <c r="M46" s="80" t="str">
        <f t="shared" ca="1" si="9"/>
        <v>N/A</v>
      </c>
      <c r="N46" s="80" t="str">
        <f t="shared" ca="1" si="9"/>
        <v>N/A</v>
      </c>
      <c r="O46" s="80" t="str">
        <f t="shared" ca="1" si="9"/>
        <v>N/A</v>
      </c>
      <c r="P46" s="80" t="str">
        <f t="shared" ca="1" si="9"/>
        <v>N/A</v>
      </c>
      <c r="Q46" s="80" t="str">
        <f t="shared" ca="1" si="9"/>
        <v>N/A</v>
      </c>
      <c r="R46" s="80" t="str">
        <f t="shared" ca="1" si="9"/>
        <v>N/A</v>
      </c>
      <c r="S46" s="63"/>
      <c r="T46" s="63"/>
      <c r="U46" s="63"/>
      <c r="V46" s="63"/>
    </row>
    <row r="47" spans="1:22" hidden="1">
      <c r="A47" s="45"/>
      <c r="B47" s="46" t="str">
        <f t="shared" ca="1" si="2"/>
        <v/>
      </c>
      <c r="C47" s="1" t="str">
        <f>IF(ISERROR(D47),"",IF(D47="","",MAX($C$12:C46)+1))</f>
        <v/>
      </c>
      <c r="D47" t="e">
        <f t="shared" si="3"/>
        <v>#N/A</v>
      </c>
      <c r="E47" s="15"/>
      <c r="F47" s="80" t="str">
        <f t="shared" ca="1" si="6"/>
        <v>N/A</v>
      </c>
      <c r="G47" s="80" t="str">
        <f t="shared" si="4"/>
        <v>N/A</v>
      </c>
      <c r="H47" s="80" t="str">
        <f ca="1">IFERROR(VLOOKUP($A47,LASTYR,'2016'!$N$3,FALSE),"N/A")</f>
        <v>N/A</v>
      </c>
      <c r="I47" s="80" t="str">
        <f t="shared" ca="1" si="9"/>
        <v>N/A</v>
      </c>
      <c r="J47" s="80" t="str">
        <f t="shared" ca="1" si="9"/>
        <v>N/A</v>
      </c>
      <c r="K47" s="80" t="str">
        <f t="shared" ca="1" si="9"/>
        <v>N/A</v>
      </c>
      <c r="L47" s="80" t="str">
        <f t="shared" ca="1" si="9"/>
        <v>N/A</v>
      </c>
      <c r="M47" s="80" t="str">
        <f t="shared" ca="1" si="9"/>
        <v>N/A</v>
      </c>
      <c r="N47" s="80" t="str">
        <f t="shared" ca="1" si="9"/>
        <v>N/A</v>
      </c>
      <c r="O47" s="80" t="str">
        <f t="shared" ca="1" si="9"/>
        <v>N/A</v>
      </c>
      <c r="P47" s="80" t="str">
        <f t="shared" ca="1" si="9"/>
        <v>N/A</v>
      </c>
      <c r="Q47" s="80" t="str">
        <f t="shared" ca="1" si="9"/>
        <v>N/A</v>
      </c>
      <c r="R47" s="80" t="str">
        <f t="shared" ca="1" si="9"/>
        <v>N/A</v>
      </c>
      <c r="S47" s="63"/>
      <c r="T47" s="63"/>
      <c r="U47" s="63"/>
      <c r="V47" s="63"/>
    </row>
    <row r="48" spans="1:22" hidden="1">
      <c r="A48" s="45"/>
      <c r="B48" s="46" t="str">
        <f t="shared" ca="1" si="2"/>
        <v/>
      </c>
      <c r="C48" s="1" t="str">
        <f>IF(ISERROR(D48),"",IF(D48="","",MAX($C$12:C47)+1))</f>
        <v/>
      </c>
      <c r="D48" t="e">
        <f t="shared" si="3"/>
        <v>#N/A</v>
      </c>
      <c r="E48" s="15"/>
      <c r="F48" s="80" t="str">
        <f t="shared" ca="1" si="6"/>
        <v>N/A</v>
      </c>
      <c r="G48" s="80" t="str">
        <f t="shared" si="4"/>
        <v>N/A</v>
      </c>
      <c r="H48" s="80" t="str">
        <f ca="1">IFERROR(VLOOKUP($A48,LASTYR,'2016'!$N$3,FALSE),"N/A")</f>
        <v>N/A</v>
      </c>
      <c r="I48" s="80" t="str">
        <f t="shared" ca="1" si="9"/>
        <v>N/A</v>
      </c>
      <c r="J48" s="80" t="str">
        <f t="shared" ca="1" si="9"/>
        <v>N/A</v>
      </c>
      <c r="K48" s="80" t="str">
        <f t="shared" ca="1" si="9"/>
        <v>N/A</v>
      </c>
      <c r="L48" s="80" t="str">
        <f t="shared" ca="1" si="9"/>
        <v>N/A</v>
      </c>
      <c r="M48" s="80" t="str">
        <f t="shared" ca="1" si="9"/>
        <v>N/A</v>
      </c>
      <c r="N48" s="80" t="str">
        <f t="shared" ca="1" si="9"/>
        <v>N/A</v>
      </c>
      <c r="O48" s="80" t="str">
        <f t="shared" ca="1" si="9"/>
        <v>N/A</v>
      </c>
      <c r="P48" s="80" t="str">
        <f t="shared" ca="1" si="9"/>
        <v>N/A</v>
      </c>
      <c r="Q48" s="80" t="str">
        <f t="shared" ca="1" si="9"/>
        <v>N/A</v>
      </c>
      <c r="R48" s="80" t="str">
        <f t="shared" ca="1" si="9"/>
        <v>N/A</v>
      </c>
      <c r="S48" s="63"/>
      <c r="T48" s="63"/>
      <c r="U48" s="63"/>
      <c r="V48" s="63"/>
    </row>
    <row r="49" spans="1:22" hidden="1">
      <c r="A49" s="45"/>
      <c r="B49" s="46" t="str">
        <f t="shared" ca="1" si="2"/>
        <v/>
      </c>
      <c r="C49" s="1" t="str">
        <f>IF(ISERROR(D49),"",IF(D49="","",MAX($C$12:C48)+1))</f>
        <v/>
      </c>
      <c r="D49" t="e">
        <f t="shared" si="3"/>
        <v>#N/A</v>
      </c>
      <c r="E49" s="15"/>
      <c r="F49" s="80" t="str">
        <f t="shared" ca="1" si="6"/>
        <v>N/A</v>
      </c>
      <c r="G49" s="80" t="str">
        <f t="shared" si="4"/>
        <v>N/A</v>
      </c>
      <c r="H49" s="80" t="str">
        <f ca="1">IFERROR(VLOOKUP($A49,LASTYR,'2016'!$N$3,FALSE),"N/A")</f>
        <v>N/A</v>
      </c>
      <c r="I49" s="80" t="str">
        <f t="shared" ca="1" si="9"/>
        <v>N/A</v>
      </c>
      <c r="J49" s="80" t="str">
        <f t="shared" ca="1" si="9"/>
        <v>N/A</v>
      </c>
      <c r="K49" s="80" t="str">
        <f t="shared" ca="1" si="9"/>
        <v>N/A</v>
      </c>
      <c r="L49" s="80" t="str">
        <f t="shared" ca="1" si="9"/>
        <v>N/A</v>
      </c>
      <c r="M49" s="80" t="str">
        <f t="shared" ca="1" si="9"/>
        <v>N/A</v>
      </c>
      <c r="N49" s="80" t="str">
        <f t="shared" ca="1" si="9"/>
        <v>N/A</v>
      </c>
      <c r="O49" s="80" t="str">
        <f t="shared" ca="1" si="9"/>
        <v>N/A</v>
      </c>
      <c r="P49" s="80" t="str">
        <f t="shared" ca="1" si="9"/>
        <v>N/A</v>
      </c>
      <c r="Q49" s="80" t="str">
        <f t="shared" ca="1" si="9"/>
        <v>N/A</v>
      </c>
      <c r="R49" s="80" t="str">
        <f t="shared" ca="1" si="9"/>
        <v>N/A</v>
      </c>
      <c r="S49" s="63"/>
      <c r="T49" s="63"/>
      <c r="U49" s="63"/>
      <c r="V49" s="63"/>
    </row>
    <row r="50" spans="1:22" hidden="1">
      <c r="A50" s="45"/>
      <c r="B50" s="46" t="str">
        <f t="shared" ca="1" si="2"/>
        <v/>
      </c>
      <c r="C50" s="1" t="str">
        <f>IF(ISERROR(D50),"",IF(D50="","",MAX($C$12:C49)+1))</f>
        <v/>
      </c>
      <c r="D50" t="e">
        <f t="shared" si="3"/>
        <v>#N/A</v>
      </c>
      <c r="E50" s="15"/>
      <c r="F50" s="80" t="str">
        <f t="shared" ca="1" si="6"/>
        <v>N/A</v>
      </c>
      <c r="G50" s="80" t="str">
        <f t="shared" si="4"/>
        <v>N/A</v>
      </c>
      <c r="H50" s="80" t="str">
        <f ca="1">IFERROR(VLOOKUP($A50,LASTYR,'2016'!$N$3,FALSE),"N/A")</f>
        <v>N/A</v>
      </c>
      <c r="I50" s="80" t="str">
        <f t="shared" ca="1" si="9"/>
        <v>N/A</v>
      </c>
      <c r="J50" s="80" t="str">
        <f t="shared" ca="1" si="9"/>
        <v>N/A</v>
      </c>
      <c r="K50" s="80" t="str">
        <f t="shared" ca="1" si="9"/>
        <v>N/A</v>
      </c>
      <c r="L50" s="80" t="str">
        <f t="shared" ca="1" si="9"/>
        <v>N/A</v>
      </c>
      <c r="M50" s="80" t="str">
        <f t="shared" ca="1" si="9"/>
        <v>N/A</v>
      </c>
      <c r="N50" s="80" t="str">
        <f t="shared" ca="1" si="9"/>
        <v>N/A</v>
      </c>
      <c r="O50" s="80" t="str">
        <f t="shared" ca="1" si="9"/>
        <v>N/A</v>
      </c>
      <c r="P50" s="80" t="str">
        <f t="shared" ca="1" si="9"/>
        <v>N/A</v>
      </c>
      <c r="Q50" s="80" t="str">
        <f t="shared" ca="1" si="9"/>
        <v>N/A</v>
      </c>
      <c r="R50" s="80" t="str">
        <f t="shared" ca="1" si="9"/>
        <v>N/A</v>
      </c>
      <c r="S50" s="63"/>
      <c r="T50" s="63"/>
      <c r="U50" s="63"/>
      <c r="V50" s="63"/>
    </row>
    <row r="51" spans="1:22" hidden="1">
      <c r="A51" s="45"/>
      <c r="B51" s="46" t="str">
        <f t="shared" ca="1" si="2"/>
        <v/>
      </c>
      <c r="C51" s="1" t="str">
        <f>IF(ISERROR(D51),"",IF(D51="","",MAX($C$12:C50)+1))</f>
        <v/>
      </c>
      <c r="D51" t="e">
        <f t="shared" si="3"/>
        <v>#N/A</v>
      </c>
      <c r="E51" s="15"/>
      <c r="F51" s="80" t="str">
        <f t="shared" ca="1" si="6"/>
        <v>N/A</v>
      </c>
      <c r="G51" s="80" t="str">
        <f t="shared" si="4"/>
        <v>N/A</v>
      </c>
      <c r="H51" s="80" t="str">
        <f ca="1">IFERROR(VLOOKUP($A51,LASTYR,'2016'!$N$3,FALSE),"N/A")</f>
        <v>N/A</v>
      </c>
      <c r="I51" s="80" t="str">
        <f t="shared" ca="1" si="9"/>
        <v>N/A</v>
      </c>
      <c r="J51" s="80" t="str">
        <f t="shared" ca="1" si="9"/>
        <v>N/A</v>
      </c>
      <c r="K51" s="80" t="str">
        <f t="shared" ca="1" si="9"/>
        <v>N/A</v>
      </c>
      <c r="L51" s="80" t="str">
        <f t="shared" ca="1" si="9"/>
        <v>N/A</v>
      </c>
      <c r="M51" s="80" t="str">
        <f t="shared" ca="1" si="9"/>
        <v>N/A</v>
      </c>
      <c r="N51" s="80" t="str">
        <f t="shared" ca="1" si="9"/>
        <v>N/A</v>
      </c>
      <c r="O51" s="80" t="str">
        <f t="shared" ca="1" si="9"/>
        <v>N/A</v>
      </c>
      <c r="P51" s="80" t="str">
        <f t="shared" ca="1" si="9"/>
        <v>N/A</v>
      </c>
      <c r="Q51" s="80" t="str">
        <f t="shared" ca="1" si="9"/>
        <v>N/A</v>
      </c>
      <c r="R51" s="80" t="str">
        <f t="shared" ca="1" si="9"/>
        <v>N/A</v>
      </c>
      <c r="S51" s="63"/>
      <c r="T51" s="63"/>
      <c r="U51" s="63"/>
      <c r="V51" s="63"/>
    </row>
    <row r="52" spans="1:22" hidden="1">
      <c r="A52" s="45"/>
      <c r="B52" s="46" t="str">
        <f t="shared" ca="1" si="2"/>
        <v/>
      </c>
      <c r="C52" s="1" t="str">
        <f>IF(ISERROR(D52),"",IF(D52="","",MAX($C$12:C51)+1))</f>
        <v/>
      </c>
      <c r="D52" t="e">
        <f t="shared" si="3"/>
        <v>#N/A</v>
      </c>
      <c r="E52" s="15"/>
      <c r="F52" s="80" t="str">
        <f t="shared" ca="1" si="6"/>
        <v>N/A</v>
      </c>
      <c r="G52" s="80" t="str">
        <f t="shared" si="4"/>
        <v>N/A</v>
      </c>
      <c r="H52" s="80" t="str">
        <f ca="1">IFERROR(VLOOKUP($A52,LASTYR,'2016'!$N$3,FALSE),"N/A")</f>
        <v>N/A</v>
      </c>
      <c r="I52" s="80" t="str">
        <f t="shared" ca="1" si="9"/>
        <v>N/A</v>
      </c>
      <c r="J52" s="80" t="str">
        <f t="shared" ca="1" si="9"/>
        <v>N/A</v>
      </c>
      <c r="K52" s="80" t="str">
        <f t="shared" ca="1" si="9"/>
        <v>N/A</v>
      </c>
      <c r="L52" s="80" t="str">
        <f t="shared" ca="1" si="9"/>
        <v>N/A</v>
      </c>
      <c r="M52" s="80" t="str">
        <f t="shared" ca="1" si="9"/>
        <v>N/A</v>
      </c>
      <c r="N52" s="80" t="str">
        <f t="shared" ca="1" si="9"/>
        <v>N/A</v>
      </c>
      <c r="O52" s="80" t="str">
        <f t="shared" ca="1" si="9"/>
        <v>N/A</v>
      </c>
      <c r="P52" s="80" t="str">
        <f t="shared" ca="1" si="9"/>
        <v>N/A</v>
      </c>
      <c r="Q52" s="80" t="str">
        <f t="shared" ca="1" si="9"/>
        <v>N/A</v>
      </c>
      <c r="R52" s="80" t="str">
        <f t="shared" ca="1" si="9"/>
        <v>N/A</v>
      </c>
      <c r="S52" s="63"/>
      <c r="T52" s="63"/>
      <c r="U52" s="63"/>
      <c r="V52" s="63"/>
    </row>
    <row r="53" spans="1:22" hidden="1">
      <c r="A53" s="45"/>
      <c r="B53" s="46" t="str">
        <f t="shared" ca="1" si="2"/>
        <v/>
      </c>
      <c r="C53" s="1" t="str">
        <f>IF(ISERROR(D53),"",IF(D53="","",MAX($C$12:C52)+1))</f>
        <v/>
      </c>
      <c r="D53" t="e">
        <f t="shared" si="3"/>
        <v>#N/A</v>
      </c>
      <c r="E53" s="15"/>
      <c r="F53" s="80" t="str">
        <f t="shared" ca="1" si="6"/>
        <v>N/A</v>
      </c>
      <c r="G53" s="80" t="str">
        <f t="shared" si="4"/>
        <v>N/A</v>
      </c>
      <c r="H53" s="80" t="str">
        <f ca="1">IFERROR(VLOOKUP($A53,LASTYR,'2016'!$N$3,FALSE),"N/A")</f>
        <v>N/A</v>
      </c>
      <c r="I53" s="80" t="str">
        <f t="shared" ca="1" si="9"/>
        <v>N/A</v>
      </c>
      <c r="J53" s="80" t="str">
        <f t="shared" ca="1" si="9"/>
        <v>N/A</v>
      </c>
      <c r="K53" s="80" t="str">
        <f t="shared" ca="1" si="9"/>
        <v>N/A</v>
      </c>
      <c r="L53" s="80" t="str">
        <f t="shared" ca="1" si="9"/>
        <v>N/A</v>
      </c>
      <c r="M53" s="80" t="str">
        <f t="shared" ca="1" si="9"/>
        <v>N/A</v>
      </c>
      <c r="N53" s="80" t="str">
        <f t="shared" ca="1" si="9"/>
        <v>N/A</v>
      </c>
      <c r="O53" s="80" t="str">
        <f t="shared" ca="1" si="9"/>
        <v>N/A</v>
      </c>
      <c r="P53" s="80" t="str">
        <f t="shared" ca="1" si="9"/>
        <v>N/A</v>
      </c>
      <c r="Q53" s="80" t="str">
        <f t="shared" ca="1" si="9"/>
        <v>N/A</v>
      </c>
      <c r="R53" s="80" t="str">
        <f t="shared" ca="1" si="9"/>
        <v>N/A</v>
      </c>
      <c r="S53" s="63"/>
      <c r="T53" s="63"/>
      <c r="U53" s="63"/>
      <c r="V53" s="63"/>
    </row>
    <row r="54" spans="1:22" hidden="1">
      <c r="A54" s="45"/>
      <c r="B54" s="46" t="str">
        <f t="shared" ca="1" si="2"/>
        <v/>
      </c>
      <c r="C54" s="1" t="str">
        <f>IF(ISERROR(D54),"",IF(D54="","",MAX($C$12:C53)+1))</f>
        <v/>
      </c>
      <c r="D54" t="e">
        <f t="shared" si="3"/>
        <v>#N/A</v>
      </c>
      <c r="E54" s="15"/>
      <c r="F54" s="80" t="str">
        <f t="shared" ca="1" si="6"/>
        <v>N/A</v>
      </c>
      <c r="G54" s="80" t="str">
        <f t="shared" si="4"/>
        <v>N/A</v>
      </c>
      <c r="H54" s="80" t="str">
        <f ca="1">IFERROR(VLOOKUP($A54,LASTYR,'2016'!$N$3,FALSE),"N/A")</f>
        <v>N/A</v>
      </c>
      <c r="I54" s="80" t="str">
        <f t="shared" ca="1" si="9"/>
        <v>N/A</v>
      </c>
      <c r="J54" s="80" t="str">
        <f t="shared" ca="1" si="9"/>
        <v>N/A</v>
      </c>
      <c r="K54" s="80" t="str">
        <f t="shared" ca="1" si="9"/>
        <v>N/A</v>
      </c>
      <c r="L54" s="80" t="str">
        <f t="shared" ca="1" si="9"/>
        <v>N/A</v>
      </c>
      <c r="M54" s="80" t="str">
        <f t="shared" ca="1" si="9"/>
        <v>N/A</v>
      </c>
      <c r="N54" s="80" t="str">
        <f t="shared" ca="1" si="9"/>
        <v>N/A</v>
      </c>
      <c r="O54" s="80" t="str">
        <f t="shared" ca="1" si="9"/>
        <v>N/A</v>
      </c>
      <c r="P54" s="80" t="str">
        <f t="shared" ca="1" si="9"/>
        <v>N/A</v>
      </c>
      <c r="Q54" s="80" t="str">
        <f t="shared" ca="1" si="9"/>
        <v>N/A</v>
      </c>
      <c r="R54" s="80" t="str">
        <f t="shared" ca="1" si="9"/>
        <v>N/A</v>
      </c>
      <c r="S54" s="63"/>
      <c r="T54" s="63"/>
      <c r="U54" s="63"/>
      <c r="V54" s="63"/>
    </row>
    <row r="55" spans="1:22" hidden="1">
      <c r="A55" s="51"/>
      <c r="B55" s="46" t="str">
        <f t="shared" ca="1" si="2"/>
        <v/>
      </c>
      <c r="C55" s="1" t="str">
        <f>IF(ISERROR(D55),"",IF(D55="","",MAX($C$12:C54)+1))</f>
        <v/>
      </c>
      <c r="D55" t="e">
        <f t="shared" si="3"/>
        <v>#N/A</v>
      </c>
      <c r="F55" s="80" t="str">
        <f t="shared" ca="1" si="6"/>
        <v>N/A</v>
      </c>
      <c r="G55" s="80" t="str">
        <f t="shared" si="4"/>
        <v>N/A</v>
      </c>
      <c r="H55" s="80" t="str">
        <f ca="1">IFERROR(VLOOKUP($A55,LASTYR,'2016'!$N$3,FALSE),"N/A")</f>
        <v>N/A</v>
      </c>
      <c r="I55" s="80" t="str">
        <f t="shared" ca="1" si="9"/>
        <v>N/A</v>
      </c>
      <c r="J55" s="80" t="str">
        <f t="shared" ca="1" si="9"/>
        <v>N/A</v>
      </c>
      <c r="K55" s="80" t="str">
        <f t="shared" ca="1" si="9"/>
        <v>N/A</v>
      </c>
      <c r="L55" s="80" t="str">
        <f t="shared" ca="1" si="9"/>
        <v>N/A</v>
      </c>
      <c r="M55" s="80" t="str">
        <f t="shared" ca="1" si="9"/>
        <v>N/A</v>
      </c>
      <c r="N55" s="80" t="str">
        <f t="shared" ca="1" si="9"/>
        <v>N/A</v>
      </c>
      <c r="O55" s="80" t="str">
        <f t="shared" ca="1" si="9"/>
        <v>N/A</v>
      </c>
      <c r="P55" s="80" t="str">
        <f t="shared" ca="1" si="9"/>
        <v>N/A</v>
      </c>
      <c r="Q55" s="80" t="str">
        <f t="shared" ca="1" si="9"/>
        <v>N/A</v>
      </c>
      <c r="R55" s="80" t="str">
        <f t="shared" ca="1" si="9"/>
        <v>N/A</v>
      </c>
      <c r="S55" s="63"/>
      <c r="T55" s="63"/>
      <c r="U55" s="63"/>
      <c r="V55" s="63"/>
    </row>
    <row r="56" spans="1:22" hidden="1">
      <c r="A56" s="51"/>
      <c r="B56" s="46" t="str">
        <f t="shared" ca="1" si="2"/>
        <v/>
      </c>
      <c r="C56" s="1" t="str">
        <f>IF(ISERROR(D56),"",IF(D56="","",MAX($C$12:C55)+1))</f>
        <v/>
      </c>
      <c r="D56" t="e">
        <f t="shared" si="3"/>
        <v>#N/A</v>
      </c>
      <c r="F56" s="80" t="str">
        <f t="shared" ca="1" si="6"/>
        <v>N/A</v>
      </c>
      <c r="G56" s="80" t="str">
        <f t="shared" si="4"/>
        <v>N/A</v>
      </c>
      <c r="H56" s="80" t="str">
        <f ca="1">IFERROR(VLOOKUP($A56,LASTYR,'2016'!$N$3,FALSE),"N/A")</f>
        <v>N/A</v>
      </c>
      <c r="I56" s="80" t="str">
        <f t="shared" ca="1" si="9"/>
        <v>N/A</v>
      </c>
      <c r="J56" s="80" t="str">
        <f t="shared" ca="1" si="9"/>
        <v>N/A</v>
      </c>
      <c r="K56" s="80" t="str">
        <f t="shared" ca="1" si="9"/>
        <v>N/A</v>
      </c>
      <c r="L56" s="80" t="str">
        <f t="shared" ca="1" si="9"/>
        <v>N/A</v>
      </c>
      <c r="M56" s="80" t="str">
        <f t="shared" ca="1" si="9"/>
        <v>N/A</v>
      </c>
      <c r="N56" s="80" t="str">
        <f t="shared" ca="1" si="9"/>
        <v>N/A</v>
      </c>
      <c r="O56" s="80" t="str">
        <f t="shared" ca="1" si="9"/>
        <v>N/A</v>
      </c>
      <c r="P56" s="80" t="str">
        <f t="shared" ca="1" si="9"/>
        <v>N/A</v>
      </c>
      <c r="Q56" s="80" t="str">
        <f t="shared" ca="1" si="9"/>
        <v>N/A</v>
      </c>
      <c r="R56" s="80" t="str">
        <f t="shared" ca="1" si="9"/>
        <v>N/A</v>
      </c>
      <c r="S56" s="63"/>
      <c r="T56" s="63"/>
      <c r="U56" s="63"/>
      <c r="V56" s="63"/>
    </row>
    <row r="57" spans="1:22" hidden="1">
      <c r="A57" s="51"/>
      <c r="B57" s="46" t="str">
        <f t="shared" ca="1" si="2"/>
        <v/>
      </c>
      <c r="C57" s="1" t="str">
        <f>IF(ISERROR(D57),"",IF(D57="","",MAX($C$12:C56)+1))</f>
        <v/>
      </c>
      <c r="D57" t="e">
        <f t="shared" si="3"/>
        <v>#N/A</v>
      </c>
      <c r="F57" s="80" t="str">
        <f t="shared" ca="1" si="6"/>
        <v>N/A</v>
      </c>
      <c r="G57" s="80" t="str">
        <f t="shared" si="4"/>
        <v>N/A</v>
      </c>
      <c r="H57" s="80" t="str">
        <f ca="1">IFERROR(VLOOKUP($A57,LASTYR,'2016'!$N$3,FALSE),"N/A")</f>
        <v>N/A</v>
      </c>
      <c r="I57" s="80" t="str">
        <f t="shared" ca="1" si="9"/>
        <v>N/A</v>
      </c>
      <c r="J57" s="80" t="str">
        <f t="shared" ca="1" si="9"/>
        <v>N/A</v>
      </c>
      <c r="K57" s="80" t="str">
        <f t="shared" ca="1" si="9"/>
        <v>N/A</v>
      </c>
      <c r="L57" s="80" t="str">
        <f t="shared" ca="1" si="9"/>
        <v>N/A</v>
      </c>
      <c r="M57" s="80" t="str">
        <f t="shared" ca="1" si="9"/>
        <v>N/A</v>
      </c>
      <c r="N57" s="80" t="str">
        <f t="shared" ca="1" si="9"/>
        <v>N/A</v>
      </c>
      <c r="O57" s="80" t="str">
        <f t="shared" ca="1" si="9"/>
        <v>N/A</v>
      </c>
      <c r="P57" s="80" t="str">
        <f t="shared" ca="1" si="9"/>
        <v>N/A</v>
      </c>
      <c r="Q57" s="80" t="str">
        <f t="shared" ca="1" si="9"/>
        <v>N/A</v>
      </c>
      <c r="R57" s="80" t="str">
        <f t="shared" ca="1" si="9"/>
        <v>N/A</v>
      </c>
      <c r="S57" s="63"/>
      <c r="T57" s="63"/>
      <c r="U57" s="63"/>
      <c r="V57" s="63"/>
    </row>
    <row r="58" spans="1:22">
      <c r="A58" s="31"/>
      <c r="B58" s="31"/>
      <c r="C58" s="1" t="str">
        <f>IF(ISERROR(D58),"",IF(D58="","",MAX($C$12:C57)+1))</f>
        <v/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63"/>
      <c r="T58" s="63"/>
      <c r="U58" s="63"/>
      <c r="V58" s="63"/>
    </row>
    <row r="59" spans="1:22">
      <c r="A59" s="31"/>
      <c r="B59" s="31"/>
      <c r="C59" s="1">
        <f ca="1">IF(ISERROR(D59),"",IF(D59="","",MAX($C$12:C58)+1))</f>
        <v>12</v>
      </c>
      <c r="D59" t="s">
        <v>98</v>
      </c>
      <c r="F59" s="80">
        <f ca="1">AVERAGE(G59:R59)</f>
        <v>5.8723040707641207E-2</v>
      </c>
      <c r="G59" s="80">
        <f t="shared" ref="G59:R59" si="10">AVERAGE(G13:G58)</f>
        <v>5.6014853900742373E-2</v>
      </c>
      <c r="H59" s="80">
        <f t="shared" ca="1" si="10"/>
        <v>5.5860139298355843E-2</v>
      </c>
      <c r="I59" s="80">
        <f t="shared" ca="1" si="10"/>
        <v>5.7848890085144794E-2</v>
      </c>
      <c r="J59" s="80">
        <f t="shared" ca="1" si="10"/>
        <v>5.5099540345077781E-2</v>
      </c>
      <c r="K59" s="80">
        <f t="shared" ca="1" si="10"/>
        <v>5.8160373302139669E-2</v>
      </c>
      <c r="L59" s="80">
        <f t="shared" ca="1" si="10"/>
        <v>5.9630626733741886E-2</v>
      </c>
      <c r="M59" s="80">
        <f t="shared" ca="1" si="10"/>
        <v>6.0207146273320689E-2</v>
      </c>
      <c r="N59" s="80">
        <f t="shared" ca="1" si="10"/>
        <v>5.9963363021982484E-2</v>
      </c>
      <c r="O59" s="80">
        <f t="shared" ca="1" si="10"/>
        <v>5.9560346212076051E-2</v>
      </c>
      <c r="P59" s="80">
        <f t="shared" ca="1" si="10"/>
        <v>6.0033350687327638E-2</v>
      </c>
      <c r="Q59" s="80">
        <f t="shared" ca="1" si="10"/>
        <v>6.036913447615154E-2</v>
      </c>
      <c r="R59" s="80">
        <f t="shared" ca="1" si="10"/>
        <v>6.1928724155633733E-2</v>
      </c>
      <c r="S59" s="63"/>
      <c r="T59" s="63"/>
      <c r="U59" s="63"/>
      <c r="V59" s="63"/>
    </row>
    <row r="60" spans="1:22">
      <c r="A60" s="31"/>
      <c r="B60" s="31"/>
      <c r="C60" s="1">
        <f ca="1">IF(ISERROR(D60),"",IF(D60="","",MAX($C$12:C59)+1))</f>
        <v>13</v>
      </c>
      <c r="D60" t="s">
        <v>257</v>
      </c>
      <c r="F60" s="80">
        <f ca="1">AVERAGE(G60:R60)</f>
        <v>5.8118655783286115E-2</v>
      </c>
      <c r="G60" s="80">
        <f>MEDIAN(G13:G58)</f>
        <v>5.4913294797687855E-2</v>
      </c>
      <c r="H60" s="80">
        <f t="shared" ref="H60:R60" ca="1" si="11">MEDIAN(H13:H58)</f>
        <v>5.1378660729576982E-2</v>
      </c>
      <c r="I60" s="80">
        <f t="shared" ca="1" si="11"/>
        <v>5.7234726688102894E-2</v>
      </c>
      <c r="J60" s="80">
        <f t="shared" ca="1" si="11"/>
        <v>5.1831341688526184E-2</v>
      </c>
      <c r="K60" s="80">
        <f t="shared" ca="1" si="11"/>
        <v>5.2831352093485939E-2</v>
      </c>
      <c r="L60" s="80">
        <f t="shared" ca="1" si="11"/>
        <v>5.8046425024859627E-2</v>
      </c>
      <c r="M60" s="80">
        <f t="shared" ca="1" si="11"/>
        <v>6.0334967173850174E-2</v>
      </c>
      <c r="N60" s="80">
        <f t="shared" ca="1" si="11"/>
        <v>5.9940377036525418E-2</v>
      </c>
      <c r="O60" s="80">
        <f t="shared" ca="1" si="11"/>
        <v>6.0218050884799375E-2</v>
      </c>
      <c r="P60" s="80">
        <f t="shared" ca="1" si="11"/>
        <v>6.4074327775118581E-2</v>
      </c>
      <c r="Q60" s="80">
        <f t="shared" ca="1" si="11"/>
        <v>6.3049490074609915E-2</v>
      </c>
      <c r="R60" s="80">
        <f t="shared" ca="1" si="11"/>
        <v>6.3570855432290393E-2</v>
      </c>
      <c r="S60" s="63"/>
      <c r="T60" s="63"/>
      <c r="U60" s="63"/>
      <c r="V60" s="63"/>
    </row>
    <row r="61" spans="1:22">
      <c r="A61" s="31"/>
      <c r="B61" s="31"/>
      <c r="C61" s="1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>
      <c r="A62" s="31"/>
      <c r="B62" s="31"/>
      <c r="C62" s="1"/>
    </row>
    <row r="63" spans="1:22" ht="17.25">
      <c r="A63" s="31"/>
      <c r="B63" s="31"/>
      <c r="C63" s="6"/>
      <c r="D63" s="6"/>
      <c r="E63" s="19"/>
      <c r="F63" s="139" t="s">
        <v>332</v>
      </c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</row>
    <row r="64" spans="1:22" ht="15">
      <c r="A64" s="31"/>
      <c r="B64" s="31"/>
      <c r="C64" s="6"/>
      <c r="D64" s="7"/>
      <c r="E64" s="7"/>
      <c r="F64" s="8" t="s">
        <v>258</v>
      </c>
      <c r="G64" s="8"/>
      <c r="H64" s="8"/>
      <c r="I64" s="8"/>
      <c r="J64" s="8"/>
      <c r="K64" s="8"/>
      <c r="L64" s="8"/>
      <c r="M64" s="8"/>
      <c r="N64" s="8"/>
      <c r="O64" s="7"/>
      <c r="P64" s="7"/>
      <c r="Q64" s="7"/>
      <c r="R64" s="7"/>
      <c r="S64" s="7"/>
      <c r="T64" s="7"/>
      <c r="U64" s="7"/>
    </row>
    <row r="65" spans="1:22" ht="17.25">
      <c r="A65" s="31"/>
      <c r="B65" s="31"/>
      <c r="C65" s="9" t="s">
        <v>96</v>
      </c>
      <c r="D65" s="138" t="s">
        <v>97</v>
      </c>
      <c r="E65" s="138"/>
      <c r="F65" s="10" t="s">
        <v>98</v>
      </c>
      <c r="G65" s="10" t="s">
        <v>334</v>
      </c>
      <c r="H65" s="41">
        <v>2016</v>
      </c>
      <c r="I65" s="41">
        <v>2015</v>
      </c>
      <c r="J65" s="41">
        <v>2014</v>
      </c>
      <c r="K65" s="41">
        <v>2013</v>
      </c>
      <c r="L65" s="41">
        <v>2012</v>
      </c>
      <c r="M65" s="41">
        <v>2011</v>
      </c>
      <c r="N65" s="41">
        <v>2010</v>
      </c>
      <c r="O65" s="41">
        <v>2009</v>
      </c>
      <c r="P65" s="41">
        <v>2008</v>
      </c>
      <c r="Q65" s="41">
        <v>2007</v>
      </c>
      <c r="R65" s="41">
        <v>2006</v>
      </c>
      <c r="S65" s="41">
        <v>2005</v>
      </c>
      <c r="T65" s="41">
        <v>2004</v>
      </c>
      <c r="U65" s="41">
        <v>2003</v>
      </c>
      <c r="V65" s="41">
        <v>2002</v>
      </c>
    </row>
    <row r="66" spans="1:22" ht="15">
      <c r="A66" s="42"/>
      <c r="B66" s="42"/>
      <c r="C66" s="9"/>
      <c r="D66" s="11"/>
      <c r="E66" s="11"/>
      <c r="F66" s="12">
        <v>-1</v>
      </c>
      <c r="G66" s="12">
        <f t="shared" ref="G66:V66" si="12">+F66-1</f>
        <v>-2</v>
      </c>
      <c r="H66" s="12">
        <f t="shared" si="12"/>
        <v>-3</v>
      </c>
      <c r="I66" s="12">
        <f t="shared" si="12"/>
        <v>-4</v>
      </c>
      <c r="J66" s="12">
        <f t="shared" si="12"/>
        <v>-5</v>
      </c>
      <c r="K66" s="12">
        <f t="shared" si="12"/>
        <v>-6</v>
      </c>
      <c r="L66" s="12">
        <f t="shared" si="12"/>
        <v>-7</v>
      </c>
      <c r="M66" s="12">
        <f t="shared" si="12"/>
        <v>-8</v>
      </c>
      <c r="N66" s="12">
        <f t="shared" si="12"/>
        <v>-9</v>
      </c>
      <c r="O66" s="12">
        <f t="shared" si="12"/>
        <v>-10</v>
      </c>
      <c r="P66" s="12">
        <f t="shared" si="12"/>
        <v>-11</v>
      </c>
      <c r="Q66" s="12">
        <f t="shared" si="12"/>
        <v>-12</v>
      </c>
      <c r="R66" s="12">
        <f t="shared" si="12"/>
        <v>-13</v>
      </c>
      <c r="S66" s="12">
        <f t="shared" si="12"/>
        <v>-14</v>
      </c>
      <c r="T66" s="12">
        <f t="shared" si="12"/>
        <v>-15</v>
      </c>
      <c r="U66" s="12">
        <f t="shared" si="12"/>
        <v>-16</v>
      </c>
      <c r="V66" s="12">
        <f t="shared" si="12"/>
        <v>-17</v>
      </c>
    </row>
    <row r="67" spans="1:22">
      <c r="A67" s="43"/>
      <c r="B67" s="44"/>
      <c r="C67" s="6"/>
      <c r="E67" s="22"/>
      <c r="F67" s="36"/>
      <c r="G67" s="36"/>
      <c r="H67" s="16">
        <f t="shared" ref="H67:R67" ca="1" si="13">MATCH(VALUE(LEFT(H65,4)),OFFSET(DIV_EARN_WP,-1,0,1,),0)</f>
        <v>6</v>
      </c>
      <c r="I67" s="16">
        <f t="shared" ca="1" si="13"/>
        <v>7</v>
      </c>
      <c r="J67" s="16">
        <f t="shared" ca="1" si="13"/>
        <v>8</v>
      </c>
      <c r="K67" s="16">
        <f t="shared" ca="1" si="13"/>
        <v>9</v>
      </c>
      <c r="L67" s="16">
        <f t="shared" ca="1" si="13"/>
        <v>10</v>
      </c>
      <c r="M67" s="16">
        <f t="shared" ca="1" si="13"/>
        <v>11</v>
      </c>
      <c r="N67" s="16">
        <f t="shared" ca="1" si="13"/>
        <v>12</v>
      </c>
      <c r="O67" s="16">
        <f t="shared" ca="1" si="13"/>
        <v>13</v>
      </c>
      <c r="P67" s="16">
        <f t="shared" ca="1" si="13"/>
        <v>14</v>
      </c>
      <c r="Q67" s="16">
        <f t="shared" ca="1" si="13"/>
        <v>15</v>
      </c>
      <c r="R67" s="16">
        <f t="shared" ca="1" si="13"/>
        <v>16</v>
      </c>
      <c r="S67" s="16">
        <f t="shared" ref="S67:V67" ca="1" si="14">MATCH(VALUE(LEFT(S65,4)),OFFSET(MP_CF_WP,-1,0,1,),0)</f>
        <v>17</v>
      </c>
      <c r="T67" s="16">
        <f t="shared" ca="1" si="14"/>
        <v>18</v>
      </c>
      <c r="U67" s="16">
        <f t="shared" ca="1" si="14"/>
        <v>19</v>
      </c>
      <c r="V67" s="16">
        <f t="shared" ca="1" si="14"/>
        <v>20</v>
      </c>
    </row>
    <row r="68" spans="1:22">
      <c r="A68" s="51" t="str">
        <f t="shared" ref="A68:A112" si="15">A13</f>
        <v>ATO</v>
      </c>
      <c r="B68" s="46">
        <f t="shared" ref="B68:B112" ca="1" si="16">IFERROR(MATCH(A68,OFFSET(DIV_EARN_WP,0,0,,1),0),"")</f>
        <v>9</v>
      </c>
      <c r="C68" s="1">
        <f ca="1">IF(ISERROR(D68),"",IF(D68="","",MAX($C$66:C67)+1))</f>
        <v>1</v>
      </c>
      <c r="D68" t="str">
        <f t="shared" ref="D68:D112" ca="1" si="17">D13</f>
        <v>Atmos Energy</v>
      </c>
      <c r="E68" s="22"/>
      <c r="F68" s="63">
        <f ca="1">IFERROR(AVERAGE(G68:R68),"N/A")</f>
        <v>0.58758529199352871</v>
      </c>
      <c r="G68" s="63">
        <f t="shared" ref="G68:G112" si="18">IFERROR(IF(VLOOKUP(A68,LUCurYr,16,FALSE)=0,"",VLOOKUP(A68,LUCurYr,16,FALSE)),"N/A")</f>
        <v>0.5</v>
      </c>
      <c r="H68" s="63">
        <f ca="1">IFERROR(VLOOKUP($A68,LASTYR,'2016'!$O$3,FALSE),"N/A")</f>
        <v>0.49704142011834318</v>
      </c>
      <c r="I68" s="63">
        <f t="shared" ref="I68:R77" ca="1" si="19">IFERROR(IF(INDEX(DIV_EARN_WP,$B68,I$67)=0,"N/A",INDEX(DIV_EARN_WP,$B68,I$67)),"N/A")</f>
        <v>0.50485436893203883</v>
      </c>
      <c r="J68" s="63">
        <f t="shared" ca="1" si="19"/>
        <v>0.5</v>
      </c>
      <c r="K68" s="63">
        <f t="shared" ca="1" si="19"/>
        <v>0.55999999999999994</v>
      </c>
      <c r="L68" s="63">
        <f t="shared" ca="1" si="19"/>
        <v>0.65714285714285703</v>
      </c>
      <c r="M68" s="63">
        <f t="shared" ca="1" si="19"/>
        <v>0.60176991150442483</v>
      </c>
      <c r="N68" s="63">
        <f t="shared" ca="1" si="19"/>
        <v>0.62037037037037035</v>
      </c>
      <c r="O68" s="63">
        <f t="shared" ca="1" si="19"/>
        <v>0.67005076142131981</v>
      </c>
      <c r="P68" s="63">
        <f t="shared" ca="1" si="19"/>
        <v>0.65</v>
      </c>
      <c r="Q68" s="63">
        <f t="shared" ca="1" si="19"/>
        <v>0.65979381443298968</v>
      </c>
      <c r="R68" s="63">
        <f t="shared" ca="1" si="19"/>
        <v>0.63</v>
      </c>
      <c r="S68" s="63"/>
      <c r="T68" s="63"/>
      <c r="U68" s="63"/>
      <c r="V68" s="63"/>
    </row>
    <row r="69" spans="1:22">
      <c r="A69" s="51" t="str">
        <f t="shared" si="15"/>
        <v>CPK</v>
      </c>
      <c r="B69" s="46">
        <f t="shared" ca="1" si="16"/>
        <v>16</v>
      </c>
      <c r="C69" s="1">
        <f ca="1">IF(ISERROR(D69),"",IF(D69="","",MAX($C$66:C68)+1))</f>
        <v>2</v>
      </c>
      <c r="D69" t="str">
        <f t="shared" ca="1" si="17"/>
        <v>Chesapeake Utilities</v>
      </c>
      <c r="E69" s="22"/>
      <c r="F69" s="63">
        <f t="shared" ref="F69:F112" ca="1" si="20">IFERROR(AVERAGE(G69:R69),"N/A")</f>
        <v>0.50680422432894612</v>
      </c>
      <c r="G69" s="63">
        <f t="shared" si="18"/>
        <v>0.49411764705882355</v>
      </c>
      <c r="H69" s="63">
        <f ca="1">IFERROR(VLOOKUP($A69,LASTYR,'2016'!$O$3,FALSE),"N/A")</f>
        <v>0.41608391608391609</v>
      </c>
      <c r="I69" s="63">
        <f t="shared" ca="1" si="19"/>
        <v>0.41791044776119407</v>
      </c>
      <c r="J69" s="63">
        <f t="shared" ca="1" si="19"/>
        <v>0.43198380566801614</v>
      </c>
      <c r="K69" s="63">
        <f t="shared" ca="1" si="19"/>
        <v>0.44823008849557522</v>
      </c>
      <c r="L69" s="63">
        <f t="shared" ca="1" si="19"/>
        <v>0.48168590065228295</v>
      </c>
      <c r="M69" s="63">
        <f t="shared" ca="1" si="19"/>
        <v>0.47569262937794043</v>
      </c>
      <c r="N69" s="63">
        <f t="shared" ca="1" si="19"/>
        <v>0.47802197802197799</v>
      </c>
      <c r="O69" s="63">
        <f t="shared" ca="1" si="19"/>
        <v>0.58129797627355195</v>
      </c>
      <c r="P69" s="63">
        <f t="shared" ca="1" si="19"/>
        <v>0.57974137931034486</v>
      </c>
      <c r="Q69" s="63">
        <f t="shared" ca="1" si="19"/>
        <v>0.60556844547563815</v>
      </c>
      <c r="R69" s="63">
        <f t="shared" ca="1" si="19"/>
        <v>0.67131647776809067</v>
      </c>
      <c r="S69" s="63"/>
      <c r="T69" s="63"/>
      <c r="U69" s="63"/>
      <c r="V69" s="63"/>
    </row>
    <row r="70" spans="1:22">
      <c r="A70" s="51" t="str">
        <f t="shared" si="15"/>
        <v>NJR</v>
      </c>
      <c r="B70" s="46">
        <f t="shared" ca="1" si="16"/>
        <v>42</v>
      </c>
      <c r="C70" s="1">
        <f ca="1">IF(ISERROR(D70),"",IF(D70="","",MAX($C$66:C69)+1))</f>
        <v>3</v>
      </c>
      <c r="D70" t="str">
        <f t="shared" ca="1" si="17"/>
        <v>New Jersey Resources</v>
      </c>
      <c r="E70" s="22"/>
      <c r="F70" s="63">
        <f t="shared" ca="1" si="20"/>
        <v>0.54104138504309751</v>
      </c>
      <c r="G70" s="63">
        <f t="shared" si="18"/>
        <v>0.58285714285714285</v>
      </c>
      <c r="H70" s="63">
        <f ca="1">IFERROR(VLOOKUP($A70,LASTYR,'2016'!$O$3,FALSE),"N/A")</f>
        <v>0.60869565217391297</v>
      </c>
      <c r="I70" s="63">
        <f t="shared" ca="1" si="19"/>
        <v>0.52247191011235961</v>
      </c>
      <c r="J70" s="63">
        <f t="shared" ca="1" si="19"/>
        <v>0.41105769230769229</v>
      </c>
      <c r="K70" s="63">
        <f t="shared" ca="1" si="19"/>
        <v>0.59340659340659341</v>
      </c>
      <c r="L70" s="63">
        <f t="shared" ca="1" si="19"/>
        <v>0.56826568265682664</v>
      </c>
      <c r="M70" s="63">
        <f t="shared" ca="1" si="19"/>
        <v>0.55813953488372092</v>
      </c>
      <c r="N70" s="63">
        <f t="shared" ca="1" si="19"/>
        <v>0.55284552845528456</v>
      </c>
      <c r="O70" s="63">
        <f t="shared" ca="1" si="19"/>
        <v>0.51666666666666672</v>
      </c>
      <c r="P70" s="63">
        <f t="shared" ca="1" si="19"/>
        <v>0.41111111111111109</v>
      </c>
      <c r="Q70" s="63">
        <f t="shared" ca="1" si="19"/>
        <v>0.65250965250965254</v>
      </c>
      <c r="R70" s="63">
        <f t="shared" ca="1" si="19"/>
        <v>0.51446945337620575</v>
      </c>
      <c r="S70" s="63"/>
      <c r="T70" s="63"/>
      <c r="U70" s="63"/>
      <c r="V70" s="63"/>
    </row>
    <row r="71" spans="1:22">
      <c r="A71" s="51" t="str">
        <f t="shared" si="15"/>
        <v>NI</v>
      </c>
      <c r="B71" s="46">
        <f t="shared" ca="1" si="16"/>
        <v>44</v>
      </c>
      <c r="C71" s="1">
        <f ca="1">IF(ISERROR(D71),"",IF(D71="","",MAX($C$66:C70)+1))</f>
        <v>4</v>
      </c>
      <c r="D71" t="str">
        <f t="shared" ca="1" si="17"/>
        <v>NiSource Inc.</v>
      </c>
      <c r="E71" s="22"/>
      <c r="F71" s="63">
        <f t="shared" ca="1" si="20"/>
        <v>0.81635892487484119</v>
      </c>
      <c r="G71" s="63">
        <f t="shared" si="18"/>
        <v>0.77777777777777768</v>
      </c>
      <c r="H71" s="63">
        <f ca="1">IFERROR(VLOOKUP($A71,LASTYR,'2016'!$O$3,FALSE),"N/A")</f>
        <v>0.64</v>
      </c>
      <c r="I71" s="63">
        <f t="shared" ca="1" si="19"/>
        <v>1.3174603174603174</v>
      </c>
      <c r="J71" s="63">
        <f t="shared" ca="1" si="19"/>
        <v>0.6107784431137725</v>
      </c>
      <c r="K71" s="63">
        <f t="shared" ca="1" si="19"/>
        <v>0.62420382165605093</v>
      </c>
      <c r="L71" s="63">
        <f t="shared" ca="1" si="19"/>
        <v>0.68613138686131381</v>
      </c>
      <c r="M71" s="63">
        <f t="shared" ca="1" si="19"/>
        <v>0.87619047619047619</v>
      </c>
      <c r="N71" s="63">
        <f t="shared" ca="1" si="19"/>
        <v>0.86792452830188682</v>
      </c>
      <c r="O71" s="63">
        <f t="shared" ca="1" si="19"/>
        <v>1.0952380952380953</v>
      </c>
      <c r="P71" s="63">
        <f t="shared" ca="1" si="19"/>
        <v>0.68656716417910446</v>
      </c>
      <c r="Q71" s="63">
        <f t="shared" ca="1" si="19"/>
        <v>0.80701754385964919</v>
      </c>
      <c r="R71" s="63">
        <f t="shared" ca="1" si="19"/>
        <v>0.80701754385964919</v>
      </c>
      <c r="S71" s="63"/>
      <c r="T71" s="63"/>
      <c r="U71" s="63"/>
      <c r="V71" s="63"/>
    </row>
    <row r="72" spans="1:22">
      <c r="A72" s="51" t="str">
        <f t="shared" si="15"/>
        <v>NWN</v>
      </c>
      <c r="B72" s="46">
        <f t="shared" ca="1" si="16"/>
        <v>45</v>
      </c>
      <c r="C72" s="1">
        <f ca="1">IF(ISERROR(D72),"",IF(D72="","",MAX($C$66:C71)+1))</f>
        <v>5</v>
      </c>
      <c r="D72" t="str">
        <f t="shared" ca="1" si="17"/>
        <v>Northwest Nat. Gas</v>
      </c>
      <c r="E72" s="22"/>
      <c r="F72" s="63">
        <f t="shared" ca="1" si="20"/>
        <v>0.73033367389889137</v>
      </c>
      <c r="G72" s="63">
        <f t="shared" si="18"/>
        <v>0.8355555555555555</v>
      </c>
      <c r="H72" s="63">
        <f ca="1">IFERROR(VLOOKUP($A72,LASTYR,'2016'!$O$3,FALSE),"N/A")</f>
        <v>0.88207547169811318</v>
      </c>
      <c r="I72" s="63">
        <f t="shared" ca="1" si="19"/>
        <v>0.94897959183673475</v>
      </c>
      <c r="J72" s="63">
        <f t="shared" ca="1" si="19"/>
        <v>0.85648148148148151</v>
      </c>
      <c r="K72" s="63">
        <f t="shared" ca="1" si="19"/>
        <v>0.8169642857142857</v>
      </c>
      <c r="L72" s="63">
        <f t="shared" ca="1" si="19"/>
        <v>0.80630630630630629</v>
      </c>
      <c r="M72" s="63">
        <f t="shared" ca="1" si="19"/>
        <v>0.73221757322175729</v>
      </c>
      <c r="N72" s="63">
        <f t="shared" ca="1" si="19"/>
        <v>0.61538461538461542</v>
      </c>
      <c r="O72" s="63">
        <f t="shared" ca="1" si="19"/>
        <v>0.56537102473498235</v>
      </c>
      <c r="P72" s="63">
        <f t="shared" ca="1" si="19"/>
        <v>0.59143968871595332</v>
      </c>
      <c r="Q72" s="63">
        <f t="shared" ca="1" si="19"/>
        <v>0.52173913043478259</v>
      </c>
      <c r="R72" s="63">
        <f t="shared" ca="1" si="19"/>
        <v>0.59148936170212763</v>
      </c>
      <c r="S72" s="63"/>
      <c r="T72" s="63"/>
      <c r="U72" s="63"/>
      <c r="V72" s="63"/>
    </row>
    <row r="73" spans="1:22">
      <c r="A73" s="51" t="str">
        <f t="shared" si="15"/>
        <v>OGS</v>
      </c>
      <c r="B73" s="46">
        <f t="shared" ca="1" si="16"/>
        <v>48</v>
      </c>
      <c r="C73" s="1">
        <f ca="1">IF(ISERROR(D73),"",IF(D73="","",MAX($C$66:C72)+1))</f>
        <v>6</v>
      </c>
      <c r="D73" t="str">
        <f t="shared" ca="1" si="17"/>
        <v>ONE Gas Inc.</v>
      </c>
      <c r="E73" s="22"/>
      <c r="F73" s="63">
        <f t="shared" ca="1" si="20"/>
        <v>0.5098261998449356</v>
      </c>
      <c r="G73" s="63">
        <f t="shared" si="18"/>
        <v>0.56949152542372872</v>
      </c>
      <c r="H73" s="63">
        <f ca="1">IFERROR(VLOOKUP($A73,LASTYR,'2016'!$O$3,FALSE),"N/A")</f>
        <v>0.52830188679245282</v>
      </c>
      <c r="I73" s="63">
        <f t="shared" ca="1" si="19"/>
        <v>0.5357142857142857</v>
      </c>
      <c r="J73" s="63">
        <f t="shared" ca="1" si="19"/>
        <v>0.40579710144927539</v>
      </c>
      <c r="K73" s="63" t="str">
        <f t="shared" ca="1" si="19"/>
        <v>N/A</v>
      </c>
      <c r="L73" s="63" t="str">
        <f t="shared" ca="1" si="19"/>
        <v>N/A</v>
      </c>
      <c r="M73" s="63" t="str">
        <f t="shared" ca="1" si="19"/>
        <v>N/A</v>
      </c>
      <c r="N73" s="63" t="str">
        <f t="shared" ca="1" si="19"/>
        <v>N/A</v>
      </c>
      <c r="O73" s="63" t="str">
        <f t="shared" ca="1" si="19"/>
        <v>N/A</v>
      </c>
      <c r="P73" s="63" t="str">
        <f t="shared" ca="1" si="19"/>
        <v>N/A</v>
      </c>
      <c r="Q73" s="63" t="str">
        <f t="shared" ca="1" si="19"/>
        <v>N/A</v>
      </c>
      <c r="R73" s="63" t="str">
        <f t="shared" ca="1" si="19"/>
        <v>N/A</v>
      </c>
      <c r="S73" s="63"/>
      <c r="T73" s="63"/>
      <c r="U73" s="63"/>
      <c r="V73" s="63"/>
    </row>
    <row r="74" spans="1:22">
      <c r="A74" s="51" t="str">
        <f t="shared" si="15"/>
        <v>SJI</v>
      </c>
      <c r="B74" s="46">
        <f t="shared" ca="1" si="16"/>
        <v>61</v>
      </c>
      <c r="C74" s="1">
        <f ca="1">IF(ISERROR(D74),"",IF(D74="","",MAX($C$66:C73)+1))</f>
        <v>7</v>
      </c>
      <c r="D74" t="str">
        <f t="shared" ca="1" si="17"/>
        <v>South Jersey Inds.</v>
      </c>
      <c r="E74" s="22"/>
      <c r="F74" s="63">
        <f t="shared" ca="1" si="20"/>
        <v>0.58747009732842637</v>
      </c>
      <c r="G74" s="63">
        <f t="shared" si="18"/>
        <v>0.91666666666666674</v>
      </c>
      <c r="H74" s="63">
        <f ca="1">IFERROR(VLOOKUP($A74,LASTYR,'2016'!$O$3,FALSE),"N/A")</f>
        <v>0.79104477611940294</v>
      </c>
      <c r="I74" s="63">
        <f t="shared" ca="1" si="19"/>
        <v>0.70833333333333337</v>
      </c>
      <c r="J74" s="63">
        <f t="shared" ca="1" si="19"/>
        <v>0.61341853035143767</v>
      </c>
      <c r="K74" s="63">
        <f t="shared" ca="1" si="19"/>
        <v>0.59405940594059414</v>
      </c>
      <c r="L74" s="63">
        <f t="shared" ca="1" si="19"/>
        <v>0.54455445544554459</v>
      </c>
      <c r="M74" s="63">
        <f t="shared" ca="1" si="19"/>
        <v>0.51903114186851207</v>
      </c>
      <c r="N74" s="63">
        <f t="shared" ca="1" si="19"/>
        <v>0.50370370370370365</v>
      </c>
      <c r="O74" s="63">
        <f t="shared" ca="1" si="19"/>
        <v>0.51260504201680679</v>
      </c>
      <c r="P74" s="63">
        <f t="shared" ca="1" si="19"/>
        <v>0.48898678414096919</v>
      </c>
      <c r="Q74" s="63">
        <f t="shared" ca="1" si="19"/>
        <v>0.48325358851674644</v>
      </c>
      <c r="R74" s="63">
        <f t="shared" ca="1" si="19"/>
        <v>0.37398373983739841</v>
      </c>
      <c r="S74" s="63"/>
      <c r="T74" s="63"/>
      <c r="U74" s="63"/>
      <c r="V74" s="63"/>
    </row>
    <row r="75" spans="1:22">
      <c r="A75" s="51" t="str">
        <f t="shared" si="15"/>
        <v>SWX</v>
      </c>
      <c r="B75" s="46">
        <f t="shared" ca="1" si="16"/>
        <v>63</v>
      </c>
      <c r="C75" s="1">
        <f ca="1">IF(ISERROR(D75),"",IF(D75="","",MAX($C$66:C74)+1))</f>
        <v>8</v>
      </c>
      <c r="D75" t="str">
        <f t="shared" ca="1" si="17"/>
        <v>Southwest Gas</v>
      </c>
      <c r="E75" s="22"/>
      <c r="F75" s="63">
        <f t="shared" ca="1" si="20"/>
        <v>0.49119518003492568</v>
      </c>
      <c r="G75" s="63">
        <f t="shared" si="18"/>
        <v>0.58235294117647063</v>
      </c>
      <c r="H75" s="63">
        <f ca="1">IFERROR(VLOOKUP($A75,LASTYR,'2016'!$O$3,FALSE),"N/A")</f>
        <v>0.56603773584905659</v>
      </c>
      <c r="I75" s="63">
        <f t="shared" ca="1" si="19"/>
        <v>0.5547945205479452</v>
      </c>
      <c r="J75" s="63">
        <f t="shared" ca="1" si="19"/>
        <v>0.4850498338870432</v>
      </c>
      <c r="K75" s="63">
        <f t="shared" ca="1" si="19"/>
        <v>0.42443729903536981</v>
      </c>
      <c r="L75" s="63">
        <f t="shared" ca="1" si="19"/>
        <v>0.41258741258741261</v>
      </c>
      <c r="M75" s="63">
        <f t="shared" ca="1" si="19"/>
        <v>0.43621399176954734</v>
      </c>
      <c r="N75" s="63">
        <f t="shared" ca="1" si="19"/>
        <v>0.44052863436123346</v>
      </c>
      <c r="O75" s="63">
        <f t="shared" ca="1" si="19"/>
        <v>0.48969072164948452</v>
      </c>
      <c r="P75" s="63">
        <f t="shared" ca="1" si="19"/>
        <v>0.64748201438848929</v>
      </c>
      <c r="Q75" s="63">
        <f t="shared" ca="1" si="19"/>
        <v>0.44102564102564101</v>
      </c>
      <c r="R75" s="63">
        <f t="shared" ca="1" si="19"/>
        <v>0.41414141414141414</v>
      </c>
      <c r="S75" s="63"/>
      <c r="T75" s="63"/>
      <c r="U75" s="63"/>
      <c r="V75" s="63"/>
    </row>
    <row r="76" spans="1:22">
      <c r="A76" s="51" t="str">
        <f t="shared" si="15"/>
        <v>SR</v>
      </c>
      <c r="B76" s="46">
        <f t="shared" ca="1" si="16"/>
        <v>64</v>
      </c>
      <c r="C76" s="1">
        <f ca="1">IF(ISERROR(D76),"",IF(D76="","",MAX($C$66:C75)+1))</f>
        <v>9</v>
      </c>
      <c r="D76" t="str">
        <f t="shared" ca="1" si="17"/>
        <v>Spire Inc.</v>
      </c>
      <c r="E76" s="22"/>
      <c r="F76" s="63">
        <f t="shared" ca="1" si="20"/>
        <v>0.62334046026731149</v>
      </c>
      <c r="G76" s="63">
        <f t="shared" si="18"/>
        <v>0.59154929577464799</v>
      </c>
      <c r="H76" s="63">
        <f ca="1">IFERROR(VLOOKUP($A76,LASTYR,'2016'!$O$3,FALSE),"N/A")</f>
        <v>0.60493827160493818</v>
      </c>
      <c r="I76" s="63">
        <f t="shared" ca="1" si="19"/>
        <v>0.58227848101265822</v>
      </c>
      <c r="J76" s="63">
        <f t="shared" ca="1" si="19"/>
        <v>0.74893617021276593</v>
      </c>
      <c r="K76" s="63">
        <f t="shared" ca="1" si="19"/>
        <v>0.84158415841584155</v>
      </c>
      <c r="L76" s="63">
        <f t="shared" ca="1" si="19"/>
        <v>0.59498207885304655</v>
      </c>
      <c r="M76" s="63">
        <f t="shared" ca="1" si="19"/>
        <v>0.56293706293706303</v>
      </c>
      <c r="N76" s="63">
        <f t="shared" ca="1" si="19"/>
        <v>0.64609053497942381</v>
      </c>
      <c r="O76" s="63">
        <f t="shared" ca="1" si="19"/>
        <v>0.52397260273972601</v>
      </c>
      <c r="P76" s="63">
        <f t="shared" ca="1" si="19"/>
        <v>0.56439393939393934</v>
      </c>
      <c r="Q76" s="63">
        <f t="shared" ca="1" si="19"/>
        <v>0.62770562770562766</v>
      </c>
      <c r="R76" s="63">
        <f t="shared" ca="1" si="19"/>
        <v>0.59071729957805896</v>
      </c>
      <c r="S76" s="63"/>
      <c r="T76" s="63"/>
      <c r="U76" s="63"/>
      <c r="V76" s="63"/>
    </row>
    <row r="77" spans="1:22">
      <c r="A77" s="51" t="str">
        <f t="shared" si="15"/>
        <v>UGI</v>
      </c>
      <c r="B77" s="46">
        <f t="shared" ca="1" si="16"/>
        <v>66</v>
      </c>
      <c r="C77" s="1">
        <f ca="1">IF(ISERROR(D77),"",IF(D77="","",MAX($C$66:C76)+1))</f>
        <v>10</v>
      </c>
      <c r="D77" t="str">
        <f t="shared" ca="1" si="17"/>
        <v>UGI Corp.</v>
      </c>
      <c r="E77" s="22"/>
      <c r="F77" s="63">
        <f t="shared" ca="1" si="20"/>
        <v>0.43367030957559161</v>
      </c>
      <c r="G77" s="63">
        <f t="shared" si="18"/>
        <v>0.42222222222222222</v>
      </c>
      <c r="H77" s="63">
        <f ca="1">IFERROR(VLOOKUP($A77,LASTYR,'2016'!$O$3,FALSE),"N/A")</f>
        <v>0.45365853658536592</v>
      </c>
      <c r="I77" s="63">
        <f t="shared" ca="1" si="19"/>
        <v>0.44278606965174133</v>
      </c>
      <c r="J77" s="63">
        <f t="shared" ca="1" si="19"/>
        <v>0.41197916666666667</v>
      </c>
      <c r="K77" s="63">
        <f t="shared" ca="1" si="19"/>
        <v>0.46453232893910862</v>
      </c>
      <c r="L77" s="63">
        <f t="shared" ca="1" si="19"/>
        <v>0.60272804774083544</v>
      </c>
      <c r="M77" s="63">
        <f t="shared" ca="1" si="19"/>
        <v>0.49526584122359801</v>
      </c>
      <c r="N77" s="63">
        <f t="shared" ca="1" si="19"/>
        <v>0.3780718336483932</v>
      </c>
      <c r="O77" s="63">
        <f t="shared" ca="1" si="19"/>
        <v>0.3324856961220598</v>
      </c>
      <c r="P77" s="63">
        <f t="shared" ca="1" si="19"/>
        <v>0.37905048982667672</v>
      </c>
      <c r="Q77" s="63">
        <f t="shared" ca="1" si="19"/>
        <v>0.40762711864406781</v>
      </c>
      <c r="R77" s="63">
        <f t="shared" ca="1" si="19"/>
        <v>0.41363636363636364</v>
      </c>
      <c r="S77" s="63"/>
      <c r="T77" s="63"/>
      <c r="U77" s="63"/>
      <c r="V77" s="63"/>
    </row>
    <row r="78" spans="1:22">
      <c r="A78" s="51" t="str">
        <f t="shared" si="15"/>
        <v>WGL</v>
      </c>
      <c r="B78" s="46">
        <f t="shared" ca="1" si="16"/>
        <v>73</v>
      </c>
      <c r="C78" s="1">
        <f ca="1">IF(ISERROR(D78),"",IF(D78="","",MAX($C$66:C77)+1))</f>
        <v>11</v>
      </c>
      <c r="D78" t="str">
        <f t="shared" ca="1" si="17"/>
        <v>WGL Holdings Inc.</v>
      </c>
      <c r="E78" s="22"/>
      <c r="F78" s="63">
        <f t="shared" ca="1" si="20"/>
        <v>0.6324421878826979</v>
      </c>
      <c r="G78" s="63">
        <f t="shared" si="18"/>
        <v>0.61212121212121218</v>
      </c>
      <c r="H78" s="63">
        <f ca="1">IFERROR(VLOOKUP($A78,LASTYR,'2016'!$O$3,FALSE),"N/A")</f>
        <v>0.5902140672782874</v>
      </c>
      <c r="I78" s="63">
        <f t="shared" ref="I78:R87" ca="1" si="21">IFERROR(IF(INDEX(DIV_EARN_WP,$B78,I$67)=0,"N/A",INDEX(DIV_EARN_WP,$B78,I$67)),"N/A")</f>
        <v>0.57911392405063289</v>
      </c>
      <c r="J78" s="63">
        <f t="shared" ca="1" si="21"/>
        <v>0.64179104477611937</v>
      </c>
      <c r="K78" s="63">
        <f t="shared" ca="1" si="21"/>
        <v>0.7186147186147186</v>
      </c>
      <c r="L78" s="63">
        <f t="shared" ca="1" si="21"/>
        <v>0.59328358208955223</v>
      </c>
      <c r="M78" s="63">
        <f t="shared" ca="1" si="21"/>
        <v>0.68888888888888888</v>
      </c>
      <c r="N78" s="63">
        <f t="shared" ca="1" si="21"/>
        <v>0.66079295154185025</v>
      </c>
      <c r="O78" s="63">
        <f t="shared" ca="1" si="21"/>
        <v>0.58102766798418981</v>
      </c>
      <c r="P78" s="63">
        <f t="shared" ca="1" si="21"/>
        <v>0.57704918032786878</v>
      </c>
      <c r="Q78" s="63">
        <f t="shared" ca="1" si="21"/>
        <v>0.65311004784688997</v>
      </c>
      <c r="R78" s="63">
        <f t="shared" ca="1" si="21"/>
        <v>0.69329896907216493</v>
      </c>
      <c r="S78" s="63" t="str">
        <f t="shared" ref="S78:V83" ca="1" si="22">IFERROR(IF(INDEX(MP_CF_WP,$B78,S$67)=0,"N/A",INDEX(MP_CF_WP,$B78,S$67)),"N/A")</f>
        <v>N/A</v>
      </c>
      <c r="T78" s="63" t="str">
        <f t="shared" ca="1" si="22"/>
        <v>N/A</v>
      </c>
      <c r="U78" s="63" t="str">
        <f t="shared" ca="1" si="22"/>
        <v>N/A</v>
      </c>
      <c r="V78" s="63" t="str">
        <f t="shared" ca="1" si="22"/>
        <v>N/A</v>
      </c>
    </row>
    <row r="79" spans="1:22" hidden="1">
      <c r="A79" s="51">
        <f t="shared" si="15"/>
        <v>0</v>
      </c>
      <c r="B79" s="46" t="str">
        <f t="shared" ca="1" si="16"/>
        <v/>
      </c>
      <c r="C79" s="1" t="str">
        <f>IF(ISERROR(D79),"",IF(D79="","",MAX($C$66:C78)+1))</f>
        <v/>
      </c>
      <c r="D79" t="e">
        <f t="shared" si="17"/>
        <v>#N/A</v>
      </c>
      <c r="E79" s="22"/>
      <c r="F79" s="63" t="str">
        <f t="shared" ca="1" si="20"/>
        <v>N/A</v>
      </c>
      <c r="G79" s="63" t="str">
        <f t="shared" si="18"/>
        <v>N/A</v>
      </c>
      <c r="H79" s="63" t="str">
        <f ca="1">IFERROR(VLOOKUP($A79,LASTYR,'2016'!$O$3,FALSE),"N/A")</f>
        <v>N/A</v>
      </c>
      <c r="I79" s="63" t="str">
        <f t="shared" ca="1" si="21"/>
        <v>N/A</v>
      </c>
      <c r="J79" s="63" t="str">
        <f t="shared" ca="1" si="21"/>
        <v>N/A</v>
      </c>
      <c r="K79" s="63" t="str">
        <f t="shared" ca="1" si="21"/>
        <v>N/A</v>
      </c>
      <c r="L79" s="63" t="str">
        <f t="shared" ca="1" si="21"/>
        <v>N/A</v>
      </c>
      <c r="M79" s="63" t="str">
        <f t="shared" ca="1" si="21"/>
        <v>N/A</v>
      </c>
      <c r="N79" s="63" t="str">
        <f t="shared" ca="1" si="21"/>
        <v>N/A</v>
      </c>
      <c r="O79" s="63" t="str">
        <f t="shared" ca="1" si="21"/>
        <v>N/A</v>
      </c>
      <c r="P79" s="63" t="str">
        <f t="shared" ca="1" si="21"/>
        <v>N/A</v>
      </c>
      <c r="Q79" s="63" t="str">
        <f t="shared" ca="1" si="21"/>
        <v>N/A</v>
      </c>
      <c r="R79" s="63" t="str">
        <f t="shared" ca="1" si="21"/>
        <v>N/A</v>
      </c>
      <c r="S79" s="63" t="str">
        <f t="shared" ca="1" si="22"/>
        <v>N/A</v>
      </c>
      <c r="T79" s="63" t="str">
        <f t="shared" ca="1" si="22"/>
        <v>N/A</v>
      </c>
      <c r="U79" s="63" t="str">
        <f t="shared" ca="1" si="22"/>
        <v>N/A</v>
      </c>
      <c r="V79" s="63" t="str">
        <f t="shared" ca="1" si="22"/>
        <v>N/A</v>
      </c>
    </row>
    <row r="80" spans="1:22" hidden="1">
      <c r="A80" s="51">
        <f t="shared" si="15"/>
        <v>0</v>
      </c>
      <c r="B80" s="46" t="str">
        <f t="shared" ca="1" si="16"/>
        <v/>
      </c>
      <c r="C80" s="1" t="str">
        <f>IF(ISERROR(D80),"",IF(D80="","",MAX($C$66:C79)+1))</f>
        <v/>
      </c>
      <c r="D80" t="e">
        <f t="shared" si="17"/>
        <v>#N/A</v>
      </c>
      <c r="E80" s="22"/>
      <c r="F80" s="63" t="str">
        <f t="shared" ca="1" si="20"/>
        <v>N/A</v>
      </c>
      <c r="G80" s="63" t="str">
        <f t="shared" si="18"/>
        <v>N/A</v>
      </c>
      <c r="H80" s="63" t="str">
        <f ca="1">IFERROR(VLOOKUP($A80,LASTYR,'2016'!$O$3,FALSE),"N/A")</f>
        <v>N/A</v>
      </c>
      <c r="I80" s="63" t="str">
        <f t="shared" ca="1" si="21"/>
        <v>N/A</v>
      </c>
      <c r="J80" s="63" t="str">
        <f t="shared" ca="1" si="21"/>
        <v>N/A</v>
      </c>
      <c r="K80" s="63" t="str">
        <f t="shared" ca="1" si="21"/>
        <v>N/A</v>
      </c>
      <c r="L80" s="63" t="str">
        <f t="shared" ca="1" si="21"/>
        <v>N/A</v>
      </c>
      <c r="M80" s="63" t="str">
        <f t="shared" ca="1" si="21"/>
        <v>N/A</v>
      </c>
      <c r="N80" s="63" t="str">
        <f t="shared" ca="1" si="21"/>
        <v>N/A</v>
      </c>
      <c r="O80" s="63" t="str">
        <f t="shared" ca="1" si="21"/>
        <v>N/A</v>
      </c>
      <c r="P80" s="63" t="str">
        <f t="shared" ca="1" si="21"/>
        <v>N/A</v>
      </c>
      <c r="Q80" s="63" t="str">
        <f t="shared" ca="1" si="21"/>
        <v>N/A</v>
      </c>
      <c r="R80" s="63" t="str">
        <f t="shared" ca="1" si="21"/>
        <v>N/A</v>
      </c>
      <c r="S80" s="63" t="str">
        <f t="shared" ca="1" si="22"/>
        <v>N/A</v>
      </c>
      <c r="T80" s="63" t="str">
        <f t="shared" ca="1" si="22"/>
        <v>N/A</v>
      </c>
      <c r="U80" s="63" t="str">
        <f t="shared" ca="1" si="22"/>
        <v>N/A</v>
      </c>
      <c r="V80" s="63" t="str">
        <f t="shared" ca="1" si="22"/>
        <v>N/A</v>
      </c>
    </row>
    <row r="81" spans="1:22" hidden="1">
      <c r="A81" s="51">
        <f t="shared" si="15"/>
        <v>0</v>
      </c>
      <c r="B81" s="46" t="str">
        <f t="shared" ca="1" si="16"/>
        <v/>
      </c>
      <c r="C81" s="1" t="str">
        <f>IF(ISERROR(D81),"",IF(D81="","",MAX($C$66:C80)+1))</f>
        <v/>
      </c>
      <c r="D81" t="e">
        <f t="shared" si="17"/>
        <v>#N/A</v>
      </c>
      <c r="E81" s="22"/>
      <c r="F81" s="63" t="str">
        <f t="shared" ca="1" si="20"/>
        <v>N/A</v>
      </c>
      <c r="G81" s="63" t="str">
        <f t="shared" si="18"/>
        <v>N/A</v>
      </c>
      <c r="H81" s="63" t="str">
        <f ca="1">IFERROR(VLOOKUP($A81,LASTYR,'2016'!$O$3,FALSE),"N/A")</f>
        <v>N/A</v>
      </c>
      <c r="I81" s="63" t="str">
        <f t="shared" ca="1" si="21"/>
        <v>N/A</v>
      </c>
      <c r="J81" s="63" t="str">
        <f t="shared" ca="1" si="21"/>
        <v>N/A</v>
      </c>
      <c r="K81" s="63" t="str">
        <f t="shared" ca="1" si="21"/>
        <v>N/A</v>
      </c>
      <c r="L81" s="63" t="str">
        <f t="shared" ca="1" si="21"/>
        <v>N/A</v>
      </c>
      <c r="M81" s="63" t="str">
        <f t="shared" ca="1" si="21"/>
        <v>N/A</v>
      </c>
      <c r="N81" s="63" t="str">
        <f t="shared" ca="1" si="21"/>
        <v>N/A</v>
      </c>
      <c r="O81" s="63" t="str">
        <f t="shared" ca="1" si="21"/>
        <v>N/A</v>
      </c>
      <c r="P81" s="63" t="str">
        <f t="shared" ca="1" si="21"/>
        <v>N/A</v>
      </c>
      <c r="Q81" s="63" t="str">
        <f t="shared" ca="1" si="21"/>
        <v>N/A</v>
      </c>
      <c r="R81" s="63" t="str">
        <f t="shared" ca="1" si="21"/>
        <v>N/A</v>
      </c>
      <c r="S81" s="63" t="str">
        <f t="shared" ca="1" si="22"/>
        <v>N/A</v>
      </c>
      <c r="T81" s="63" t="str">
        <f t="shared" ca="1" si="22"/>
        <v>N/A</v>
      </c>
      <c r="U81" s="63" t="str">
        <f t="shared" ca="1" si="22"/>
        <v>N/A</v>
      </c>
      <c r="V81" s="63" t="str">
        <f t="shared" ca="1" si="22"/>
        <v>N/A</v>
      </c>
    </row>
    <row r="82" spans="1:22" hidden="1">
      <c r="A82" s="51">
        <f t="shared" si="15"/>
        <v>0</v>
      </c>
      <c r="B82" s="46" t="str">
        <f t="shared" ca="1" si="16"/>
        <v/>
      </c>
      <c r="C82" s="1" t="str">
        <f>IF(ISERROR(D82),"",IF(D82="","",MAX($C$66:C81)+1))</f>
        <v/>
      </c>
      <c r="D82" t="e">
        <f t="shared" si="17"/>
        <v>#N/A</v>
      </c>
      <c r="E82" s="22"/>
      <c r="F82" s="63" t="str">
        <f t="shared" ca="1" si="20"/>
        <v>N/A</v>
      </c>
      <c r="G82" s="63" t="str">
        <f t="shared" si="18"/>
        <v>N/A</v>
      </c>
      <c r="H82" s="63" t="str">
        <f ca="1">IFERROR(VLOOKUP($A82,LASTYR,'2016'!$O$3,FALSE),"N/A")</f>
        <v>N/A</v>
      </c>
      <c r="I82" s="63" t="str">
        <f t="shared" ca="1" si="21"/>
        <v>N/A</v>
      </c>
      <c r="J82" s="63" t="str">
        <f t="shared" ca="1" si="21"/>
        <v>N/A</v>
      </c>
      <c r="K82" s="63" t="str">
        <f t="shared" ca="1" si="21"/>
        <v>N/A</v>
      </c>
      <c r="L82" s="63" t="str">
        <f t="shared" ca="1" si="21"/>
        <v>N/A</v>
      </c>
      <c r="M82" s="63" t="str">
        <f t="shared" ca="1" si="21"/>
        <v>N/A</v>
      </c>
      <c r="N82" s="63" t="str">
        <f t="shared" ca="1" si="21"/>
        <v>N/A</v>
      </c>
      <c r="O82" s="63" t="str">
        <f t="shared" ca="1" si="21"/>
        <v>N/A</v>
      </c>
      <c r="P82" s="63" t="str">
        <f t="shared" ca="1" si="21"/>
        <v>N/A</v>
      </c>
      <c r="Q82" s="63" t="str">
        <f t="shared" ca="1" si="21"/>
        <v>N/A</v>
      </c>
      <c r="R82" s="63" t="str">
        <f t="shared" ca="1" si="21"/>
        <v>N/A</v>
      </c>
      <c r="S82" s="63" t="str">
        <f t="shared" ca="1" si="22"/>
        <v>N/A</v>
      </c>
      <c r="T82" s="63" t="str">
        <f t="shared" ca="1" si="22"/>
        <v>N/A</v>
      </c>
      <c r="U82" s="63" t="str">
        <f t="shared" ca="1" si="22"/>
        <v>N/A</v>
      </c>
      <c r="V82" s="63" t="str">
        <f t="shared" ca="1" si="22"/>
        <v>N/A</v>
      </c>
    </row>
    <row r="83" spans="1:22" hidden="1">
      <c r="A83" s="51">
        <f t="shared" si="15"/>
        <v>0</v>
      </c>
      <c r="B83" s="46" t="str">
        <f t="shared" ca="1" si="16"/>
        <v/>
      </c>
      <c r="C83" s="1" t="str">
        <f>IF(ISERROR(D83),"",IF(D83="","",MAX($C$66:C82)+1))</f>
        <v/>
      </c>
      <c r="D83" t="e">
        <f t="shared" si="17"/>
        <v>#N/A</v>
      </c>
      <c r="E83" s="22"/>
      <c r="F83" s="63" t="str">
        <f t="shared" ca="1" si="20"/>
        <v>N/A</v>
      </c>
      <c r="G83" s="63" t="str">
        <f t="shared" si="18"/>
        <v>N/A</v>
      </c>
      <c r="H83" s="63" t="str">
        <f ca="1">IFERROR(VLOOKUP($A83,LASTYR,'2016'!$O$3,FALSE),"N/A")</f>
        <v>N/A</v>
      </c>
      <c r="I83" s="63" t="str">
        <f t="shared" ca="1" si="21"/>
        <v>N/A</v>
      </c>
      <c r="J83" s="63" t="str">
        <f t="shared" ca="1" si="21"/>
        <v>N/A</v>
      </c>
      <c r="K83" s="63" t="str">
        <f t="shared" ca="1" si="21"/>
        <v>N/A</v>
      </c>
      <c r="L83" s="63" t="str">
        <f t="shared" ca="1" si="21"/>
        <v>N/A</v>
      </c>
      <c r="M83" s="63" t="str">
        <f t="shared" ca="1" si="21"/>
        <v>N/A</v>
      </c>
      <c r="N83" s="63" t="str">
        <f t="shared" ca="1" si="21"/>
        <v>N/A</v>
      </c>
      <c r="O83" s="63" t="str">
        <f t="shared" ca="1" si="21"/>
        <v>N/A</v>
      </c>
      <c r="P83" s="63" t="str">
        <f t="shared" ca="1" si="21"/>
        <v>N/A</v>
      </c>
      <c r="Q83" s="63" t="str">
        <f t="shared" ca="1" si="21"/>
        <v>N/A</v>
      </c>
      <c r="R83" s="63" t="str">
        <f t="shared" ca="1" si="21"/>
        <v>N/A</v>
      </c>
      <c r="S83" s="63" t="str">
        <f t="shared" ca="1" si="22"/>
        <v>N/A</v>
      </c>
      <c r="T83" s="63" t="str">
        <f t="shared" ca="1" si="22"/>
        <v>N/A</v>
      </c>
      <c r="U83" s="63" t="str">
        <f t="shared" ca="1" si="22"/>
        <v>N/A</v>
      </c>
      <c r="V83" s="63" t="str">
        <f t="shared" ca="1" si="22"/>
        <v>N/A</v>
      </c>
    </row>
    <row r="84" spans="1:22" hidden="1">
      <c r="A84" s="51">
        <f t="shared" si="15"/>
        <v>0</v>
      </c>
      <c r="B84" s="46" t="str">
        <f t="shared" ca="1" si="16"/>
        <v/>
      </c>
      <c r="C84" s="1" t="str">
        <f>IF(ISERROR(D84),"",IF(D84="","",MAX($C$66:C83)+1))</f>
        <v/>
      </c>
      <c r="D84" t="e">
        <f t="shared" si="17"/>
        <v>#N/A</v>
      </c>
      <c r="E84" s="22"/>
      <c r="F84" s="63" t="str">
        <f t="shared" ca="1" si="20"/>
        <v>N/A</v>
      </c>
      <c r="G84" s="63" t="str">
        <f t="shared" si="18"/>
        <v>N/A</v>
      </c>
      <c r="H84" s="63" t="str">
        <f ca="1">IFERROR(VLOOKUP($A84,LASTYR,'2016'!$O$3,FALSE),"N/A")</f>
        <v>N/A</v>
      </c>
      <c r="I84" s="63" t="str">
        <f t="shared" ca="1" si="21"/>
        <v>N/A</v>
      </c>
      <c r="J84" s="63" t="str">
        <f t="shared" ca="1" si="21"/>
        <v>N/A</v>
      </c>
      <c r="K84" s="63" t="str">
        <f t="shared" ca="1" si="21"/>
        <v>N/A</v>
      </c>
      <c r="L84" s="63" t="str">
        <f t="shared" ca="1" si="21"/>
        <v>N/A</v>
      </c>
      <c r="M84" s="63" t="str">
        <f t="shared" ca="1" si="21"/>
        <v>N/A</v>
      </c>
      <c r="N84" s="63" t="str">
        <f t="shared" ca="1" si="21"/>
        <v>N/A</v>
      </c>
      <c r="O84" s="63" t="str">
        <f t="shared" ca="1" si="21"/>
        <v>N/A</v>
      </c>
      <c r="P84" s="63" t="str">
        <f t="shared" ca="1" si="21"/>
        <v>N/A</v>
      </c>
      <c r="Q84" s="63" t="str">
        <f t="shared" ca="1" si="21"/>
        <v>N/A</v>
      </c>
      <c r="R84" s="63" t="str">
        <f t="shared" ca="1" si="21"/>
        <v>N/A</v>
      </c>
      <c r="S84" s="63" t="str">
        <f t="shared" ref="S84:V101" ca="1" si="23">IFERROR(IF(INDEX(MP_CF_WP,$B84,S$67)=0,"N/A",INDEX(MP_CF_WP,$B84,S$67)),"N/A")</f>
        <v>N/A</v>
      </c>
      <c r="T84" s="63" t="str">
        <f t="shared" ca="1" si="23"/>
        <v>N/A</v>
      </c>
      <c r="U84" s="63" t="str">
        <f t="shared" ca="1" si="23"/>
        <v>N/A</v>
      </c>
      <c r="V84" s="63" t="str">
        <f t="shared" ca="1" si="23"/>
        <v>N/A</v>
      </c>
    </row>
    <row r="85" spans="1:22" hidden="1">
      <c r="A85" s="51">
        <f t="shared" si="15"/>
        <v>0</v>
      </c>
      <c r="B85" s="46" t="str">
        <f t="shared" ca="1" si="16"/>
        <v/>
      </c>
      <c r="C85" s="1" t="str">
        <f>IF(ISERROR(D85),"",IF(D85="","",MAX($C$66:C84)+1))</f>
        <v/>
      </c>
      <c r="D85" t="e">
        <f t="shared" si="17"/>
        <v>#N/A</v>
      </c>
      <c r="E85" s="22"/>
      <c r="F85" s="63" t="str">
        <f t="shared" ca="1" si="20"/>
        <v>N/A</v>
      </c>
      <c r="G85" s="63" t="str">
        <f t="shared" si="18"/>
        <v>N/A</v>
      </c>
      <c r="H85" s="63" t="str">
        <f ca="1">IFERROR(VLOOKUP($A85,LASTYR,'2016'!$O$3,FALSE),"N/A")</f>
        <v>N/A</v>
      </c>
      <c r="I85" s="63" t="str">
        <f t="shared" ca="1" si="21"/>
        <v>N/A</v>
      </c>
      <c r="J85" s="63" t="str">
        <f t="shared" ca="1" si="21"/>
        <v>N/A</v>
      </c>
      <c r="K85" s="63" t="str">
        <f t="shared" ca="1" si="21"/>
        <v>N/A</v>
      </c>
      <c r="L85" s="63" t="str">
        <f t="shared" ca="1" si="21"/>
        <v>N/A</v>
      </c>
      <c r="M85" s="63" t="str">
        <f t="shared" ca="1" si="21"/>
        <v>N/A</v>
      </c>
      <c r="N85" s="63" t="str">
        <f t="shared" ca="1" si="21"/>
        <v>N/A</v>
      </c>
      <c r="O85" s="63" t="str">
        <f t="shared" ca="1" si="21"/>
        <v>N/A</v>
      </c>
      <c r="P85" s="63" t="str">
        <f t="shared" ca="1" si="21"/>
        <v>N/A</v>
      </c>
      <c r="Q85" s="63" t="str">
        <f t="shared" ca="1" si="21"/>
        <v>N/A</v>
      </c>
      <c r="R85" s="63" t="str">
        <f t="shared" ca="1" si="21"/>
        <v>N/A</v>
      </c>
      <c r="S85" s="63" t="str">
        <f t="shared" ca="1" si="23"/>
        <v>N/A</v>
      </c>
      <c r="T85" s="63" t="str">
        <f t="shared" ca="1" si="23"/>
        <v>N/A</v>
      </c>
      <c r="U85" s="63" t="str">
        <f t="shared" ca="1" si="23"/>
        <v>N/A</v>
      </c>
      <c r="V85" s="63" t="str">
        <f t="shared" ca="1" si="23"/>
        <v>N/A</v>
      </c>
    </row>
    <row r="86" spans="1:22" hidden="1">
      <c r="A86" s="51">
        <f t="shared" si="15"/>
        <v>0</v>
      </c>
      <c r="B86" s="46" t="str">
        <f t="shared" ca="1" si="16"/>
        <v/>
      </c>
      <c r="C86" s="1" t="str">
        <f>IF(ISERROR(D86),"",IF(D86="","",MAX($C$66:C85)+1))</f>
        <v/>
      </c>
      <c r="D86" t="e">
        <f t="shared" si="17"/>
        <v>#N/A</v>
      </c>
      <c r="E86" s="22"/>
      <c r="F86" s="63" t="str">
        <f t="shared" ca="1" si="20"/>
        <v>N/A</v>
      </c>
      <c r="G86" s="63" t="str">
        <f t="shared" si="18"/>
        <v>N/A</v>
      </c>
      <c r="H86" s="63" t="str">
        <f ca="1">IFERROR(VLOOKUP($A86,LASTYR,'2016'!$O$3,FALSE),"N/A")</f>
        <v>N/A</v>
      </c>
      <c r="I86" s="63" t="str">
        <f t="shared" ca="1" si="21"/>
        <v>N/A</v>
      </c>
      <c r="J86" s="63" t="str">
        <f t="shared" ca="1" si="21"/>
        <v>N/A</v>
      </c>
      <c r="K86" s="63" t="str">
        <f t="shared" ca="1" si="21"/>
        <v>N/A</v>
      </c>
      <c r="L86" s="63" t="str">
        <f t="shared" ca="1" si="21"/>
        <v>N/A</v>
      </c>
      <c r="M86" s="63" t="str">
        <f t="shared" ca="1" si="21"/>
        <v>N/A</v>
      </c>
      <c r="N86" s="63" t="str">
        <f t="shared" ca="1" si="21"/>
        <v>N/A</v>
      </c>
      <c r="O86" s="63" t="str">
        <f t="shared" ca="1" si="21"/>
        <v>N/A</v>
      </c>
      <c r="P86" s="63" t="str">
        <f t="shared" ca="1" si="21"/>
        <v>N/A</v>
      </c>
      <c r="Q86" s="63" t="str">
        <f t="shared" ca="1" si="21"/>
        <v>N/A</v>
      </c>
      <c r="R86" s="63" t="str">
        <f t="shared" ca="1" si="21"/>
        <v>N/A</v>
      </c>
      <c r="S86" s="63" t="str">
        <f t="shared" ca="1" si="23"/>
        <v>N/A</v>
      </c>
      <c r="T86" s="63" t="str">
        <f t="shared" ca="1" si="23"/>
        <v>N/A</v>
      </c>
      <c r="U86" s="63" t="str">
        <f t="shared" ca="1" si="23"/>
        <v>N/A</v>
      </c>
      <c r="V86" s="63" t="str">
        <f t="shared" ca="1" si="23"/>
        <v>N/A</v>
      </c>
    </row>
    <row r="87" spans="1:22" hidden="1">
      <c r="A87" s="51">
        <f t="shared" si="15"/>
        <v>0</v>
      </c>
      <c r="B87" s="46" t="str">
        <f t="shared" ca="1" si="16"/>
        <v/>
      </c>
      <c r="C87" s="1" t="str">
        <f>IF(ISERROR(D87),"",IF(D87="","",MAX($C$66:C86)+1))</f>
        <v/>
      </c>
      <c r="D87" t="e">
        <f t="shared" si="17"/>
        <v>#N/A</v>
      </c>
      <c r="E87" s="22"/>
      <c r="F87" s="63" t="str">
        <f t="shared" ca="1" si="20"/>
        <v>N/A</v>
      </c>
      <c r="G87" s="63" t="str">
        <f t="shared" si="18"/>
        <v>N/A</v>
      </c>
      <c r="H87" s="63" t="str">
        <f ca="1">IFERROR(VLOOKUP($A87,LASTYR,'2016'!$O$3,FALSE),"N/A")</f>
        <v>N/A</v>
      </c>
      <c r="I87" s="63" t="str">
        <f t="shared" ca="1" si="21"/>
        <v>N/A</v>
      </c>
      <c r="J87" s="63" t="str">
        <f t="shared" ca="1" si="21"/>
        <v>N/A</v>
      </c>
      <c r="K87" s="63" t="str">
        <f t="shared" ca="1" si="21"/>
        <v>N/A</v>
      </c>
      <c r="L87" s="63" t="str">
        <f t="shared" ca="1" si="21"/>
        <v>N/A</v>
      </c>
      <c r="M87" s="63" t="str">
        <f t="shared" ca="1" si="21"/>
        <v>N/A</v>
      </c>
      <c r="N87" s="63" t="str">
        <f t="shared" ca="1" si="21"/>
        <v>N/A</v>
      </c>
      <c r="O87" s="63" t="str">
        <f t="shared" ca="1" si="21"/>
        <v>N/A</v>
      </c>
      <c r="P87" s="63" t="str">
        <f t="shared" ca="1" si="21"/>
        <v>N/A</v>
      </c>
      <c r="Q87" s="63" t="str">
        <f t="shared" ca="1" si="21"/>
        <v>N/A</v>
      </c>
      <c r="R87" s="63" t="str">
        <f t="shared" ca="1" si="21"/>
        <v>N/A</v>
      </c>
      <c r="S87" s="63" t="str">
        <f t="shared" ca="1" si="23"/>
        <v>N/A</v>
      </c>
      <c r="T87" s="63" t="str">
        <f t="shared" ca="1" si="23"/>
        <v>N/A</v>
      </c>
      <c r="U87" s="63" t="str">
        <f t="shared" ca="1" si="23"/>
        <v>N/A</v>
      </c>
      <c r="V87" s="63" t="str">
        <f t="shared" ca="1" si="23"/>
        <v>N/A</v>
      </c>
    </row>
    <row r="88" spans="1:22" hidden="1">
      <c r="A88" s="51">
        <f t="shared" si="15"/>
        <v>0</v>
      </c>
      <c r="B88" s="46" t="str">
        <f t="shared" ca="1" si="16"/>
        <v/>
      </c>
      <c r="C88" s="1" t="str">
        <f>IF(ISERROR(D88),"",IF(D88="","",MAX($C$66:C87)+1))</f>
        <v/>
      </c>
      <c r="D88" t="e">
        <f t="shared" si="17"/>
        <v>#N/A</v>
      </c>
      <c r="E88" s="22"/>
      <c r="F88" s="63" t="str">
        <f t="shared" ca="1" si="20"/>
        <v>N/A</v>
      </c>
      <c r="G88" s="63" t="str">
        <f t="shared" si="18"/>
        <v>N/A</v>
      </c>
      <c r="H88" s="63" t="str">
        <f ca="1">IFERROR(VLOOKUP($A88,LASTYR,'2016'!$O$3,FALSE),"N/A")</f>
        <v>N/A</v>
      </c>
      <c r="I88" s="63" t="str">
        <f t="shared" ref="I88:R97" ca="1" si="24">IFERROR(IF(INDEX(DIV_EARN_WP,$B88,I$67)=0,"N/A",INDEX(DIV_EARN_WP,$B88,I$67)),"N/A")</f>
        <v>N/A</v>
      </c>
      <c r="J88" s="63" t="str">
        <f t="shared" ca="1" si="24"/>
        <v>N/A</v>
      </c>
      <c r="K88" s="63" t="str">
        <f t="shared" ca="1" si="24"/>
        <v>N/A</v>
      </c>
      <c r="L88" s="63" t="str">
        <f t="shared" ca="1" si="24"/>
        <v>N/A</v>
      </c>
      <c r="M88" s="63" t="str">
        <f t="shared" ca="1" si="24"/>
        <v>N/A</v>
      </c>
      <c r="N88" s="63" t="str">
        <f t="shared" ca="1" si="24"/>
        <v>N/A</v>
      </c>
      <c r="O88" s="63" t="str">
        <f t="shared" ca="1" si="24"/>
        <v>N/A</v>
      </c>
      <c r="P88" s="63" t="str">
        <f t="shared" ca="1" si="24"/>
        <v>N/A</v>
      </c>
      <c r="Q88" s="63" t="str">
        <f t="shared" ca="1" si="24"/>
        <v>N/A</v>
      </c>
      <c r="R88" s="63" t="str">
        <f t="shared" ca="1" si="24"/>
        <v>N/A</v>
      </c>
      <c r="S88" s="63" t="str">
        <f t="shared" ca="1" si="23"/>
        <v>N/A</v>
      </c>
      <c r="T88" s="63" t="str">
        <f t="shared" ca="1" si="23"/>
        <v>N/A</v>
      </c>
      <c r="U88" s="63" t="str">
        <f t="shared" ca="1" si="23"/>
        <v>N/A</v>
      </c>
      <c r="V88" s="63" t="str">
        <f t="shared" ca="1" si="23"/>
        <v>N/A</v>
      </c>
    </row>
    <row r="89" spans="1:22" hidden="1">
      <c r="A89" s="51">
        <f t="shared" si="15"/>
        <v>0</v>
      </c>
      <c r="B89" s="46" t="str">
        <f t="shared" ca="1" si="16"/>
        <v/>
      </c>
      <c r="C89" s="1" t="str">
        <f>IF(ISERROR(D89),"",IF(D89="","",MAX($C$66:C88)+1))</f>
        <v/>
      </c>
      <c r="D89" t="e">
        <f t="shared" si="17"/>
        <v>#N/A</v>
      </c>
      <c r="E89" s="22"/>
      <c r="F89" s="63" t="str">
        <f t="shared" ca="1" si="20"/>
        <v>N/A</v>
      </c>
      <c r="G89" s="63" t="str">
        <f t="shared" si="18"/>
        <v>N/A</v>
      </c>
      <c r="H89" s="63" t="str">
        <f ca="1">IFERROR(VLOOKUP($A89,LASTYR,'2016'!$O$3,FALSE),"N/A")</f>
        <v>N/A</v>
      </c>
      <c r="I89" s="63" t="str">
        <f t="shared" ca="1" si="24"/>
        <v>N/A</v>
      </c>
      <c r="J89" s="63" t="str">
        <f t="shared" ca="1" si="24"/>
        <v>N/A</v>
      </c>
      <c r="K89" s="63" t="str">
        <f t="shared" ca="1" si="24"/>
        <v>N/A</v>
      </c>
      <c r="L89" s="63" t="str">
        <f t="shared" ca="1" si="24"/>
        <v>N/A</v>
      </c>
      <c r="M89" s="63" t="str">
        <f t="shared" ca="1" si="24"/>
        <v>N/A</v>
      </c>
      <c r="N89" s="63" t="str">
        <f t="shared" ca="1" si="24"/>
        <v>N/A</v>
      </c>
      <c r="O89" s="63" t="str">
        <f t="shared" ca="1" si="24"/>
        <v>N/A</v>
      </c>
      <c r="P89" s="63" t="str">
        <f t="shared" ca="1" si="24"/>
        <v>N/A</v>
      </c>
      <c r="Q89" s="63" t="str">
        <f t="shared" ca="1" si="24"/>
        <v>N/A</v>
      </c>
      <c r="R89" s="63" t="str">
        <f t="shared" ca="1" si="24"/>
        <v>N/A</v>
      </c>
      <c r="S89" s="63" t="str">
        <f t="shared" ca="1" si="23"/>
        <v>N/A</v>
      </c>
      <c r="T89" s="63" t="str">
        <f t="shared" ca="1" si="23"/>
        <v>N/A</v>
      </c>
      <c r="U89" s="63" t="str">
        <f t="shared" ca="1" si="23"/>
        <v>N/A</v>
      </c>
      <c r="V89" s="63" t="str">
        <f t="shared" ca="1" si="23"/>
        <v>N/A</v>
      </c>
    </row>
    <row r="90" spans="1:22" hidden="1">
      <c r="A90" s="51">
        <f t="shared" si="15"/>
        <v>0</v>
      </c>
      <c r="B90" s="46" t="str">
        <f t="shared" ca="1" si="16"/>
        <v/>
      </c>
      <c r="C90" s="1" t="str">
        <f>IF(ISERROR(D90),"",IF(D90="","",MAX($C$66:C89)+1))</f>
        <v/>
      </c>
      <c r="D90" t="e">
        <f t="shared" si="17"/>
        <v>#N/A</v>
      </c>
      <c r="E90" s="22"/>
      <c r="F90" s="63" t="str">
        <f t="shared" ca="1" si="20"/>
        <v>N/A</v>
      </c>
      <c r="G90" s="63" t="str">
        <f t="shared" si="18"/>
        <v>N/A</v>
      </c>
      <c r="H90" s="63" t="str">
        <f ca="1">IFERROR(VLOOKUP($A90,LASTYR,'2016'!$O$3,FALSE),"N/A")</f>
        <v>N/A</v>
      </c>
      <c r="I90" s="63" t="str">
        <f t="shared" ca="1" si="24"/>
        <v>N/A</v>
      </c>
      <c r="J90" s="63" t="str">
        <f t="shared" ca="1" si="24"/>
        <v>N/A</v>
      </c>
      <c r="K90" s="63" t="str">
        <f t="shared" ca="1" si="24"/>
        <v>N/A</v>
      </c>
      <c r="L90" s="63" t="str">
        <f t="shared" ca="1" si="24"/>
        <v>N/A</v>
      </c>
      <c r="M90" s="63" t="str">
        <f t="shared" ca="1" si="24"/>
        <v>N/A</v>
      </c>
      <c r="N90" s="63" t="str">
        <f t="shared" ca="1" si="24"/>
        <v>N/A</v>
      </c>
      <c r="O90" s="63" t="str">
        <f t="shared" ca="1" si="24"/>
        <v>N/A</v>
      </c>
      <c r="P90" s="63" t="str">
        <f t="shared" ca="1" si="24"/>
        <v>N/A</v>
      </c>
      <c r="Q90" s="63" t="str">
        <f t="shared" ca="1" si="24"/>
        <v>N/A</v>
      </c>
      <c r="R90" s="63" t="str">
        <f t="shared" ca="1" si="24"/>
        <v>N/A</v>
      </c>
      <c r="S90" s="63" t="str">
        <f t="shared" ca="1" si="23"/>
        <v>N/A</v>
      </c>
      <c r="T90" s="63" t="str">
        <f t="shared" ca="1" si="23"/>
        <v>N/A</v>
      </c>
      <c r="U90" s="63" t="str">
        <f t="shared" ca="1" si="23"/>
        <v>N/A</v>
      </c>
      <c r="V90" s="63" t="str">
        <f t="shared" ca="1" si="23"/>
        <v>N/A</v>
      </c>
    </row>
    <row r="91" spans="1:22" hidden="1">
      <c r="A91" s="51">
        <f t="shared" si="15"/>
        <v>0</v>
      </c>
      <c r="B91" s="46" t="str">
        <f t="shared" ca="1" si="16"/>
        <v/>
      </c>
      <c r="C91" s="1" t="str">
        <f>IF(ISERROR(D91),"",IF(D91="","",MAX($C$66:C90)+1))</f>
        <v/>
      </c>
      <c r="D91" t="e">
        <f t="shared" si="17"/>
        <v>#N/A</v>
      </c>
      <c r="E91" s="22"/>
      <c r="F91" s="63" t="str">
        <f t="shared" ca="1" si="20"/>
        <v>N/A</v>
      </c>
      <c r="G91" s="63" t="str">
        <f t="shared" si="18"/>
        <v>N/A</v>
      </c>
      <c r="H91" s="63" t="str">
        <f ca="1">IFERROR(VLOOKUP($A91,LASTYR,'2016'!$O$3,FALSE),"N/A")</f>
        <v>N/A</v>
      </c>
      <c r="I91" s="63" t="str">
        <f t="shared" ca="1" si="24"/>
        <v>N/A</v>
      </c>
      <c r="J91" s="63" t="str">
        <f t="shared" ca="1" si="24"/>
        <v>N/A</v>
      </c>
      <c r="K91" s="63" t="str">
        <f t="shared" ca="1" si="24"/>
        <v>N/A</v>
      </c>
      <c r="L91" s="63" t="str">
        <f t="shared" ca="1" si="24"/>
        <v>N/A</v>
      </c>
      <c r="M91" s="63" t="str">
        <f t="shared" ca="1" si="24"/>
        <v>N/A</v>
      </c>
      <c r="N91" s="63" t="str">
        <f t="shared" ca="1" si="24"/>
        <v>N/A</v>
      </c>
      <c r="O91" s="63" t="str">
        <f t="shared" ca="1" si="24"/>
        <v>N/A</v>
      </c>
      <c r="P91" s="63" t="str">
        <f t="shared" ca="1" si="24"/>
        <v>N/A</v>
      </c>
      <c r="Q91" s="63" t="str">
        <f t="shared" ca="1" si="24"/>
        <v>N/A</v>
      </c>
      <c r="R91" s="63" t="str">
        <f t="shared" ca="1" si="24"/>
        <v>N/A</v>
      </c>
      <c r="S91" s="63" t="str">
        <f t="shared" ca="1" si="23"/>
        <v>N/A</v>
      </c>
      <c r="T91" s="63" t="str">
        <f t="shared" ca="1" si="23"/>
        <v>N/A</v>
      </c>
      <c r="U91" s="63" t="str">
        <f t="shared" ca="1" si="23"/>
        <v>N/A</v>
      </c>
      <c r="V91" s="63" t="str">
        <f t="shared" ca="1" si="23"/>
        <v>N/A</v>
      </c>
    </row>
    <row r="92" spans="1:22" hidden="1">
      <c r="A92" s="51">
        <f t="shared" si="15"/>
        <v>0</v>
      </c>
      <c r="B92" s="46" t="str">
        <f t="shared" ca="1" si="16"/>
        <v/>
      </c>
      <c r="C92" s="1" t="str">
        <f>IF(ISERROR(D92),"",IF(D92="","",MAX($C$66:C91)+1))</f>
        <v/>
      </c>
      <c r="D92" t="e">
        <f t="shared" si="17"/>
        <v>#N/A</v>
      </c>
      <c r="E92" s="22"/>
      <c r="F92" s="63" t="str">
        <f t="shared" ca="1" si="20"/>
        <v>N/A</v>
      </c>
      <c r="G92" s="63" t="str">
        <f t="shared" si="18"/>
        <v>N/A</v>
      </c>
      <c r="H92" s="63" t="str">
        <f ca="1">IFERROR(VLOOKUP($A92,LASTYR,'2016'!$O$3,FALSE),"N/A")</f>
        <v>N/A</v>
      </c>
      <c r="I92" s="63" t="str">
        <f t="shared" ca="1" si="24"/>
        <v>N/A</v>
      </c>
      <c r="J92" s="63" t="str">
        <f t="shared" ca="1" si="24"/>
        <v>N/A</v>
      </c>
      <c r="K92" s="63" t="str">
        <f t="shared" ca="1" si="24"/>
        <v>N/A</v>
      </c>
      <c r="L92" s="63" t="str">
        <f t="shared" ca="1" si="24"/>
        <v>N/A</v>
      </c>
      <c r="M92" s="63" t="str">
        <f t="shared" ca="1" si="24"/>
        <v>N/A</v>
      </c>
      <c r="N92" s="63" t="str">
        <f t="shared" ca="1" si="24"/>
        <v>N/A</v>
      </c>
      <c r="O92" s="63" t="str">
        <f t="shared" ca="1" si="24"/>
        <v>N/A</v>
      </c>
      <c r="P92" s="63" t="str">
        <f t="shared" ca="1" si="24"/>
        <v>N/A</v>
      </c>
      <c r="Q92" s="63" t="str">
        <f t="shared" ca="1" si="24"/>
        <v>N/A</v>
      </c>
      <c r="R92" s="63" t="str">
        <f t="shared" ca="1" si="24"/>
        <v>N/A</v>
      </c>
      <c r="S92" s="63" t="str">
        <f t="shared" ca="1" si="23"/>
        <v>N/A</v>
      </c>
      <c r="T92" s="63" t="str">
        <f t="shared" ca="1" si="23"/>
        <v>N/A</v>
      </c>
      <c r="U92" s="63" t="str">
        <f t="shared" ca="1" si="23"/>
        <v>N/A</v>
      </c>
      <c r="V92" s="63" t="str">
        <f t="shared" ca="1" si="23"/>
        <v>N/A</v>
      </c>
    </row>
    <row r="93" spans="1:22" hidden="1">
      <c r="A93" s="51">
        <f t="shared" si="15"/>
        <v>0</v>
      </c>
      <c r="B93" s="46" t="str">
        <f t="shared" ca="1" si="16"/>
        <v/>
      </c>
      <c r="C93" s="1" t="str">
        <f>IF(ISERROR(D93),"",IF(D93="","",MAX($C$66:C92)+1))</f>
        <v/>
      </c>
      <c r="D93" t="e">
        <f t="shared" si="17"/>
        <v>#N/A</v>
      </c>
      <c r="E93" s="22"/>
      <c r="F93" s="63" t="str">
        <f t="shared" ca="1" si="20"/>
        <v>N/A</v>
      </c>
      <c r="G93" s="63" t="str">
        <f t="shared" si="18"/>
        <v>N/A</v>
      </c>
      <c r="H93" s="63" t="str">
        <f ca="1">IFERROR(VLOOKUP($A93,LASTYR,'2016'!$O$3,FALSE),"N/A")</f>
        <v>N/A</v>
      </c>
      <c r="I93" s="63" t="str">
        <f t="shared" ca="1" si="24"/>
        <v>N/A</v>
      </c>
      <c r="J93" s="63" t="str">
        <f t="shared" ca="1" si="24"/>
        <v>N/A</v>
      </c>
      <c r="K93" s="63" t="str">
        <f t="shared" ca="1" si="24"/>
        <v>N/A</v>
      </c>
      <c r="L93" s="63" t="str">
        <f t="shared" ca="1" si="24"/>
        <v>N/A</v>
      </c>
      <c r="M93" s="63" t="str">
        <f t="shared" ca="1" si="24"/>
        <v>N/A</v>
      </c>
      <c r="N93" s="63" t="str">
        <f t="shared" ca="1" si="24"/>
        <v>N/A</v>
      </c>
      <c r="O93" s="63" t="str">
        <f t="shared" ca="1" si="24"/>
        <v>N/A</v>
      </c>
      <c r="P93" s="63" t="str">
        <f t="shared" ca="1" si="24"/>
        <v>N/A</v>
      </c>
      <c r="Q93" s="63" t="str">
        <f t="shared" ca="1" si="24"/>
        <v>N/A</v>
      </c>
      <c r="R93" s="63" t="str">
        <f t="shared" ca="1" si="24"/>
        <v>N/A</v>
      </c>
      <c r="S93" s="63" t="str">
        <f t="shared" ca="1" si="23"/>
        <v>N/A</v>
      </c>
      <c r="T93" s="63" t="str">
        <f t="shared" ca="1" si="23"/>
        <v>N/A</v>
      </c>
      <c r="U93" s="63" t="str">
        <f t="shared" ca="1" si="23"/>
        <v>N/A</v>
      </c>
      <c r="V93" s="63" t="str">
        <f t="shared" ca="1" si="23"/>
        <v>N/A</v>
      </c>
    </row>
    <row r="94" spans="1:22" hidden="1">
      <c r="A94" s="51">
        <f t="shared" si="15"/>
        <v>0</v>
      </c>
      <c r="B94" s="46" t="str">
        <f t="shared" ca="1" si="16"/>
        <v/>
      </c>
      <c r="C94" s="1" t="str">
        <f>IF(ISERROR(D94),"",IF(D94="","",MAX($C$66:C93)+1))</f>
        <v/>
      </c>
      <c r="D94" t="e">
        <f t="shared" si="17"/>
        <v>#N/A</v>
      </c>
      <c r="E94" s="22"/>
      <c r="F94" s="63" t="str">
        <f t="shared" ca="1" si="20"/>
        <v>N/A</v>
      </c>
      <c r="G94" s="63" t="str">
        <f t="shared" si="18"/>
        <v>N/A</v>
      </c>
      <c r="H94" s="63" t="str">
        <f ca="1">IFERROR(VLOOKUP($A94,LASTYR,'2016'!$O$3,FALSE),"N/A")</f>
        <v>N/A</v>
      </c>
      <c r="I94" s="63" t="str">
        <f t="shared" ca="1" si="24"/>
        <v>N/A</v>
      </c>
      <c r="J94" s="63" t="str">
        <f t="shared" ca="1" si="24"/>
        <v>N/A</v>
      </c>
      <c r="K94" s="63" t="str">
        <f t="shared" ca="1" si="24"/>
        <v>N/A</v>
      </c>
      <c r="L94" s="63" t="str">
        <f t="shared" ca="1" si="24"/>
        <v>N/A</v>
      </c>
      <c r="M94" s="63" t="str">
        <f t="shared" ca="1" si="24"/>
        <v>N/A</v>
      </c>
      <c r="N94" s="63" t="str">
        <f t="shared" ca="1" si="24"/>
        <v>N/A</v>
      </c>
      <c r="O94" s="63" t="str">
        <f t="shared" ca="1" si="24"/>
        <v>N/A</v>
      </c>
      <c r="P94" s="63" t="str">
        <f t="shared" ca="1" si="24"/>
        <v>N/A</v>
      </c>
      <c r="Q94" s="63" t="str">
        <f t="shared" ca="1" si="24"/>
        <v>N/A</v>
      </c>
      <c r="R94" s="63" t="str">
        <f t="shared" ca="1" si="24"/>
        <v>N/A</v>
      </c>
      <c r="S94" s="63" t="str">
        <f t="shared" ca="1" si="23"/>
        <v>N/A</v>
      </c>
      <c r="T94" s="63" t="str">
        <f t="shared" ca="1" si="23"/>
        <v>N/A</v>
      </c>
      <c r="U94" s="63" t="str">
        <f t="shared" ca="1" si="23"/>
        <v>N/A</v>
      </c>
      <c r="V94" s="63" t="str">
        <f t="shared" ca="1" si="23"/>
        <v>N/A</v>
      </c>
    </row>
    <row r="95" spans="1:22" hidden="1">
      <c r="A95" s="51">
        <f t="shared" si="15"/>
        <v>0</v>
      </c>
      <c r="B95" s="46" t="str">
        <f t="shared" ca="1" si="16"/>
        <v/>
      </c>
      <c r="C95" s="1" t="str">
        <f>IF(ISERROR(D95),"",IF(D95="","",MAX($C$66:C94)+1))</f>
        <v/>
      </c>
      <c r="D95" t="e">
        <f t="shared" si="17"/>
        <v>#N/A</v>
      </c>
      <c r="E95" s="22"/>
      <c r="F95" s="63" t="str">
        <f t="shared" ca="1" si="20"/>
        <v>N/A</v>
      </c>
      <c r="G95" s="63" t="str">
        <f t="shared" si="18"/>
        <v>N/A</v>
      </c>
      <c r="H95" s="63" t="str">
        <f ca="1">IFERROR(VLOOKUP($A95,LASTYR,'2016'!$O$3,FALSE),"N/A")</f>
        <v>N/A</v>
      </c>
      <c r="I95" s="63" t="str">
        <f t="shared" ca="1" si="24"/>
        <v>N/A</v>
      </c>
      <c r="J95" s="63" t="str">
        <f t="shared" ca="1" si="24"/>
        <v>N/A</v>
      </c>
      <c r="K95" s="63" t="str">
        <f t="shared" ca="1" si="24"/>
        <v>N/A</v>
      </c>
      <c r="L95" s="63" t="str">
        <f t="shared" ca="1" si="24"/>
        <v>N/A</v>
      </c>
      <c r="M95" s="63" t="str">
        <f t="shared" ca="1" si="24"/>
        <v>N/A</v>
      </c>
      <c r="N95" s="63" t="str">
        <f t="shared" ca="1" si="24"/>
        <v>N/A</v>
      </c>
      <c r="O95" s="63" t="str">
        <f t="shared" ca="1" si="24"/>
        <v>N/A</v>
      </c>
      <c r="P95" s="63" t="str">
        <f t="shared" ca="1" si="24"/>
        <v>N/A</v>
      </c>
      <c r="Q95" s="63" t="str">
        <f t="shared" ca="1" si="24"/>
        <v>N/A</v>
      </c>
      <c r="R95" s="63" t="str">
        <f t="shared" ca="1" si="24"/>
        <v>N/A</v>
      </c>
      <c r="S95" s="63" t="str">
        <f t="shared" ca="1" si="23"/>
        <v>N/A</v>
      </c>
      <c r="T95" s="63" t="str">
        <f t="shared" ca="1" si="23"/>
        <v>N/A</v>
      </c>
      <c r="U95" s="63" t="str">
        <f t="shared" ca="1" si="23"/>
        <v>N/A</v>
      </c>
      <c r="V95" s="63" t="str">
        <f t="shared" ca="1" si="23"/>
        <v>N/A</v>
      </c>
    </row>
    <row r="96" spans="1:22" hidden="1">
      <c r="A96" s="51">
        <f t="shared" si="15"/>
        <v>0</v>
      </c>
      <c r="B96" s="46" t="str">
        <f t="shared" ca="1" si="16"/>
        <v/>
      </c>
      <c r="C96" s="1" t="str">
        <f>IF(ISERROR(D96),"",IF(D96="","",MAX($C$66:C95)+1))</f>
        <v/>
      </c>
      <c r="D96" t="e">
        <f t="shared" si="17"/>
        <v>#N/A</v>
      </c>
      <c r="E96" s="22"/>
      <c r="F96" s="63" t="str">
        <f t="shared" ca="1" si="20"/>
        <v>N/A</v>
      </c>
      <c r="G96" s="63" t="str">
        <f t="shared" si="18"/>
        <v>N/A</v>
      </c>
      <c r="H96" s="63" t="str">
        <f ca="1">IFERROR(VLOOKUP($A96,LASTYR,'2016'!$O$3,FALSE),"N/A")</f>
        <v>N/A</v>
      </c>
      <c r="I96" s="63" t="str">
        <f t="shared" ca="1" si="24"/>
        <v>N/A</v>
      </c>
      <c r="J96" s="63" t="str">
        <f t="shared" ca="1" si="24"/>
        <v>N/A</v>
      </c>
      <c r="K96" s="63" t="str">
        <f t="shared" ca="1" si="24"/>
        <v>N/A</v>
      </c>
      <c r="L96" s="63" t="str">
        <f t="shared" ca="1" si="24"/>
        <v>N/A</v>
      </c>
      <c r="M96" s="63" t="str">
        <f t="shared" ca="1" si="24"/>
        <v>N/A</v>
      </c>
      <c r="N96" s="63" t="str">
        <f t="shared" ca="1" si="24"/>
        <v>N/A</v>
      </c>
      <c r="O96" s="63" t="str">
        <f t="shared" ca="1" si="24"/>
        <v>N/A</v>
      </c>
      <c r="P96" s="63" t="str">
        <f t="shared" ca="1" si="24"/>
        <v>N/A</v>
      </c>
      <c r="Q96" s="63" t="str">
        <f t="shared" ca="1" si="24"/>
        <v>N/A</v>
      </c>
      <c r="R96" s="63" t="str">
        <f t="shared" ca="1" si="24"/>
        <v>N/A</v>
      </c>
      <c r="S96" s="63" t="str">
        <f t="shared" ca="1" si="23"/>
        <v>N/A</v>
      </c>
      <c r="T96" s="63" t="str">
        <f t="shared" ca="1" si="23"/>
        <v>N/A</v>
      </c>
      <c r="U96" s="63" t="str">
        <f t="shared" ca="1" si="23"/>
        <v>N/A</v>
      </c>
      <c r="V96" s="63" t="str">
        <f t="shared" ca="1" si="23"/>
        <v>N/A</v>
      </c>
    </row>
    <row r="97" spans="1:22" hidden="1">
      <c r="A97" s="51">
        <f t="shared" si="15"/>
        <v>0</v>
      </c>
      <c r="B97" s="46" t="str">
        <f t="shared" ca="1" si="16"/>
        <v/>
      </c>
      <c r="C97" s="1" t="str">
        <f>IF(ISERROR(D97),"",IF(D97="","",MAX($C$66:C96)+1))</f>
        <v/>
      </c>
      <c r="D97" t="e">
        <f t="shared" si="17"/>
        <v>#N/A</v>
      </c>
      <c r="E97" s="22"/>
      <c r="F97" s="63" t="str">
        <f t="shared" ca="1" si="20"/>
        <v>N/A</v>
      </c>
      <c r="G97" s="63" t="str">
        <f t="shared" si="18"/>
        <v>N/A</v>
      </c>
      <c r="H97" s="63" t="str">
        <f ca="1">IFERROR(VLOOKUP($A97,LASTYR,'2016'!$O$3,FALSE),"N/A")</f>
        <v>N/A</v>
      </c>
      <c r="I97" s="63" t="str">
        <f t="shared" ca="1" si="24"/>
        <v>N/A</v>
      </c>
      <c r="J97" s="63" t="str">
        <f t="shared" ca="1" si="24"/>
        <v>N/A</v>
      </c>
      <c r="K97" s="63" t="str">
        <f t="shared" ca="1" si="24"/>
        <v>N/A</v>
      </c>
      <c r="L97" s="63" t="str">
        <f t="shared" ca="1" si="24"/>
        <v>N/A</v>
      </c>
      <c r="M97" s="63" t="str">
        <f t="shared" ca="1" si="24"/>
        <v>N/A</v>
      </c>
      <c r="N97" s="63" t="str">
        <f t="shared" ca="1" si="24"/>
        <v>N/A</v>
      </c>
      <c r="O97" s="63" t="str">
        <f t="shared" ca="1" si="24"/>
        <v>N/A</v>
      </c>
      <c r="P97" s="63" t="str">
        <f t="shared" ca="1" si="24"/>
        <v>N/A</v>
      </c>
      <c r="Q97" s="63" t="str">
        <f t="shared" ca="1" si="24"/>
        <v>N/A</v>
      </c>
      <c r="R97" s="63" t="str">
        <f t="shared" ca="1" si="24"/>
        <v>N/A</v>
      </c>
      <c r="S97" s="63" t="str">
        <f t="shared" ca="1" si="23"/>
        <v>N/A</v>
      </c>
      <c r="T97" s="63" t="str">
        <f t="shared" ca="1" si="23"/>
        <v>N/A</v>
      </c>
      <c r="U97" s="63" t="str">
        <f t="shared" ca="1" si="23"/>
        <v>N/A</v>
      </c>
      <c r="V97" s="63" t="str">
        <f t="shared" ca="1" si="23"/>
        <v>N/A</v>
      </c>
    </row>
    <row r="98" spans="1:22" hidden="1">
      <c r="A98" s="51">
        <f t="shared" si="15"/>
        <v>0</v>
      </c>
      <c r="B98" s="46" t="str">
        <f t="shared" ca="1" si="16"/>
        <v/>
      </c>
      <c r="C98" s="1" t="str">
        <f>IF(ISERROR(D98),"",IF(D98="","",MAX($C$66:C97)+1))</f>
        <v/>
      </c>
      <c r="D98" t="e">
        <f t="shared" si="17"/>
        <v>#N/A</v>
      </c>
      <c r="E98" s="22"/>
      <c r="F98" s="63" t="str">
        <f t="shared" ca="1" si="20"/>
        <v>N/A</v>
      </c>
      <c r="G98" s="63" t="str">
        <f t="shared" si="18"/>
        <v>N/A</v>
      </c>
      <c r="H98" s="63" t="str">
        <f ca="1">IFERROR(VLOOKUP($A98,LASTYR,'2016'!$O$3,FALSE),"N/A")</f>
        <v>N/A</v>
      </c>
      <c r="I98" s="63" t="str">
        <f t="shared" ref="I98:R112" ca="1" si="25">IFERROR(IF(INDEX(DIV_EARN_WP,$B98,I$67)=0,"N/A",INDEX(DIV_EARN_WP,$B98,I$67)),"N/A")</f>
        <v>N/A</v>
      </c>
      <c r="J98" s="63" t="str">
        <f t="shared" ca="1" si="25"/>
        <v>N/A</v>
      </c>
      <c r="K98" s="63" t="str">
        <f t="shared" ca="1" si="25"/>
        <v>N/A</v>
      </c>
      <c r="L98" s="63" t="str">
        <f t="shared" ca="1" si="25"/>
        <v>N/A</v>
      </c>
      <c r="M98" s="63" t="str">
        <f t="shared" ca="1" si="25"/>
        <v>N/A</v>
      </c>
      <c r="N98" s="63" t="str">
        <f t="shared" ca="1" si="25"/>
        <v>N/A</v>
      </c>
      <c r="O98" s="63" t="str">
        <f t="shared" ca="1" si="25"/>
        <v>N/A</v>
      </c>
      <c r="P98" s="63" t="str">
        <f t="shared" ca="1" si="25"/>
        <v>N/A</v>
      </c>
      <c r="Q98" s="63" t="str">
        <f t="shared" ca="1" si="25"/>
        <v>N/A</v>
      </c>
      <c r="R98" s="63" t="str">
        <f t="shared" ca="1" si="25"/>
        <v>N/A</v>
      </c>
      <c r="S98" s="63" t="str">
        <f t="shared" ca="1" si="23"/>
        <v>N/A</v>
      </c>
      <c r="T98" s="63" t="str">
        <f t="shared" ca="1" si="23"/>
        <v>N/A</v>
      </c>
      <c r="U98" s="63" t="str">
        <f t="shared" ca="1" si="23"/>
        <v>N/A</v>
      </c>
      <c r="V98" s="63" t="str">
        <f t="shared" ca="1" si="23"/>
        <v>N/A</v>
      </c>
    </row>
    <row r="99" spans="1:22" hidden="1">
      <c r="A99" s="51">
        <f t="shared" si="15"/>
        <v>0</v>
      </c>
      <c r="B99" s="46" t="str">
        <f t="shared" ca="1" si="16"/>
        <v/>
      </c>
      <c r="C99" s="1" t="str">
        <f>IF(ISERROR(D99),"",IF(D99="","",MAX($C$66:C98)+1))</f>
        <v/>
      </c>
      <c r="D99" t="e">
        <f t="shared" si="17"/>
        <v>#N/A</v>
      </c>
      <c r="E99" s="22"/>
      <c r="F99" s="63" t="str">
        <f t="shared" ca="1" si="20"/>
        <v>N/A</v>
      </c>
      <c r="G99" s="63" t="str">
        <f t="shared" si="18"/>
        <v>N/A</v>
      </c>
      <c r="H99" s="63" t="str">
        <f ca="1">IFERROR(VLOOKUP($A99,LASTYR,'2016'!$O$3,FALSE),"N/A")</f>
        <v>N/A</v>
      </c>
      <c r="I99" s="63" t="str">
        <f t="shared" ca="1" si="25"/>
        <v>N/A</v>
      </c>
      <c r="J99" s="63" t="str">
        <f t="shared" ca="1" si="25"/>
        <v>N/A</v>
      </c>
      <c r="K99" s="63" t="str">
        <f t="shared" ca="1" si="25"/>
        <v>N/A</v>
      </c>
      <c r="L99" s="63" t="str">
        <f t="shared" ca="1" si="25"/>
        <v>N/A</v>
      </c>
      <c r="M99" s="63" t="str">
        <f t="shared" ca="1" si="25"/>
        <v>N/A</v>
      </c>
      <c r="N99" s="63" t="str">
        <f t="shared" ca="1" si="25"/>
        <v>N/A</v>
      </c>
      <c r="O99" s="63" t="str">
        <f t="shared" ca="1" si="25"/>
        <v>N/A</v>
      </c>
      <c r="P99" s="63" t="str">
        <f t="shared" ca="1" si="25"/>
        <v>N/A</v>
      </c>
      <c r="Q99" s="63" t="str">
        <f t="shared" ca="1" si="25"/>
        <v>N/A</v>
      </c>
      <c r="R99" s="63" t="str">
        <f t="shared" ca="1" si="25"/>
        <v>N/A</v>
      </c>
      <c r="S99" s="63" t="str">
        <f t="shared" ca="1" si="23"/>
        <v>N/A</v>
      </c>
      <c r="T99" s="63" t="str">
        <f t="shared" ca="1" si="23"/>
        <v>N/A</v>
      </c>
      <c r="U99" s="63" t="str">
        <f t="shared" ca="1" si="23"/>
        <v>N/A</v>
      </c>
      <c r="V99" s="63" t="str">
        <f t="shared" ca="1" si="23"/>
        <v>N/A</v>
      </c>
    </row>
    <row r="100" spans="1:22" hidden="1">
      <c r="A100" s="51">
        <f t="shared" si="15"/>
        <v>0</v>
      </c>
      <c r="B100" s="46" t="str">
        <f t="shared" ca="1" si="16"/>
        <v/>
      </c>
      <c r="C100" s="1" t="str">
        <f>IF(ISERROR(D100),"",IF(D100="","",MAX($C$66:C99)+1))</f>
        <v/>
      </c>
      <c r="D100" t="e">
        <f t="shared" si="17"/>
        <v>#N/A</v>
      </c>
      <c r="E100" s="22"/>
      <c r="F100" s="63" t="str">
        <f t="shared" ca="1" si="20"/>
        <v>N/A</v>
      </c>
      <c r="G100" s="63" t="str">
        <f t="shared" si="18"/>
        <v>N/A</v>
      </c>
      <c r="H100" s="63" t="str">
        <f ca="1">IFERROR(VLOOKUP($A100,LASTYR,'2016'!$O$3,FALSE),"N/A")</f>
        <v>N/A</v>
      </c>
      <c r="I100" s="63" t="str">
        <f t="shared" ca="1" si="25"/>
        <v>N/A</v>
      </c>
      <c r="J100" s="63" t="str">
        <f t="shared" ca="1" si="25"/>
        <v>N/A</v>
      </c>
      <c r="K100" s="63" t="str">
        <f t="shared" ca="1" si="25"/>
        <v>N/A</v>
      </c>
      <c r="L100" s="63" t="str">
        <f t="shared" ca="1" si="25"/>
        <v>N/A</v>
      </c>
      <c r="M100" s="63" t="str">
        <f t="shared" ca="1" si="25"/>
        <v>N/A</v>
      </c>
      <c r="N100" s="63" t="str">
        <f t="shared" ca="1" si="25"/>
        <v>N/A</v>
      </c>
      <c r="O100" s="63" t="str">
        <f t="shared" ca="1" si="25"/>
        <v>N/A</v>
      </c>
      <c r="P100" s="63" t="str">
        <f t="shared" ca="1" si="25"/>
        <v>N/A</v>
      </c>
      <c r="Q100" s="63" t="str">
        <f t="shared" ca="1" si="25"/>
        <v>N/A</v>
      </c>
      <c r="R100" s="63" t="str">
        <f t="shared" ca="1" si="25"/>
        <v>N/A</v>
      </c>
      <c r="S100" s="63" t="str">
        <f t="shared" ca="1" si="23"/>
        <v>N/A</v>
      </c>
      <c r="T100" s="63" t="str">
        <f t="shared" ca="1" si="23"/>
        <v>N/A</v>
      </c>
      <c r="U100" s="63" t="str">
        <f t="shared" ca="1" si="23"/>
        <v>N/A</v>
      </c>
      <c r="V100" s="63" t="str">
        <f t="shared" ca="1" si="23"/>
        <v>N/A</v>
      </c>
    </row>
    <row r="101" spans="1:22" hidden="1">
      <c r="A101" s="51">
        <f t="shared" si="15"/>
        <v>0</v>
      </c>
      <c r="B101" s="46" t="str">
        <f t="shared" ca="1" si="16"/>
        <v/>
      </c>
      <c r="C101" s="1" t="str">
        <f>IF(ISERROR(D101),"",IF(D101="","",MAX($C$66:C100)+1))</f>
        <v/>
      </c>
      <c r="D101" t="e">
        <f t="shared" si="17"/>
        <v>#N/A</v>
      </c>
      <c r="E101" s="22"/>
      <c r="F101" s="63" t="str">
        <f t="shared" ca="1" si="20"/>
        <v>N/A</v>
      </c>
      <c r="G101" s="63" t="str">
        <f t="shared" si="18"/>
        <v>N/A</v>
      </c>
      <c r="H101" s="63" t="str">
        <f ca="1">IFERROR(VLOOKUP($A101,LASTYR,'2016'!$O$3,FALSE),"N/A")</f>
        <v>N/A</v>
      </c>
      <c r="I101" s="63" t="str">
        <f t="shared" ca="1" si="25"/>
        <v>N/A</v>
      </c>
      <c r="J101" s="63" t="str">
        <f t="shared" ca="1" si="25"/>
        <v>N/A</v>
      </c>
      <c r="K101" s="63" t="str">
        <f t="shared" ca="1" si="25"/>
        <v>N/A</v>
      </c>
      <c r="L101" s="63" t="str">
        <f t="shared" ca="1" si="25"/>
        <v>N/A</v>
      </c>
      <c r="M101" s="63" t="str">
        <f t="shared" ca="1" si="25"/>
        <v>N/A</v>
      </c>
      <c r="N101" s="63" t="str">
        <f t="shared" ca="1" si="25"/>
        <v>N/A</v>
      </c>
      <c r="O101" s="63" t="str">
        <f t="shared" ca="1" si="25"/>
        <v>N/A</v>
      </c>
      <c r="P101" s="63" t="str">
        <f t="shared" ca="1" si="25"/>
        <v>N/A</v>
      </c>
      <c r="Q101" s="63" t="str">
        <f t="shared" ca="1" si="25"/>
        <v>N/A</v>
      </c>
      <c r="R101" s="63" t="str">
        <f t="shared" ca="1" si="25"/>
        <v>N/A</v>
      </c>
      <c r="S101" s="63" t="str">
        <f t="shared" ca="1" si="23"/>
        <v>N/A</v>
      </c>
      <c r="T101" s="63" t="str">
        <f t="shared" ca="1" si="23"/>
        <v>N/A</v>
      </c>
      <c r="U101" s="63" t="str">
        <f t="shared" ca="1" si="23"/>
        <v>N/A</v>
      </c>
      <c r="V101" s="63" t="str">
        <f t="shared" ca="1" si="23"/>
        <v>N/A</v>
      </c>
    </row>
    <row r="102" spans="1:22" hidden="1">
      <c r="A102" s="51">
        <f t="shared" si="15"/>
        <v>0</v>
      </c>
      <c r="B102" s="46" t="str">
        <f t="shared" ca="1" si="16"/>
        <v/>
      </c>
      <c r="C102" s="1" t="str">
        <f>IF(ISERROR(D102),"",IF(D102="","",MAX($C$66:C101)+1))</f>
        <v/>
      </c>
      <c r="D102" t="e">
        <f t="shared" si="17"/>
        <v>#N/A</v>
      </c>
      <c r="E102" s="22"/>
      <c r="F102" s="63" t="str">
        <f t="shared" ca="1" si="20"/>
        <v>N/A</v>
      </c>
      <c r="G102" s="63" t="str">
        <f t="shared" si="18"/>
        <v>N/A</v>
      </c>
      <c r="H102" s="63" t="str">
        <f ca="1">IFERROR(VLOOKUP($A102,LASTYR,'2016'!$O$3,FALSE),"N/A")</f>
        <v>N/A</v>
      </c>
      <c r="I102" s="63" t="str">
        <f t="shared" ca="1" si="25"/>
        <v>N/A</v>
      </c>
      <c r="J102" s="63" t="str">
        <f t="shared" ca="1" si="25"/>
        <v>N/A</v>
      </c>
      <c r="K102" s="63" t="str">
        <f t="shared" ca="1" si="25"/>
        <v>N/A</v>
      </c>
      <c r="L102" s="63" t="str">
        <f t="shared" ca="1" si="25"/>
        <v>N/A</v>
      </c>
      <c r="M102" s="63" t="str">
        <f t="shared" ca="1" si="25"/>
        <v>N/A</v>
      </c>
      <c r="N102" s="63" t="str">
        <f t="shared" ca="1" si="25"/>
        <v>N/A</v>
      </c>
      <c r="O102" s="63" t="str">
        <f t="shared" ca="1" si="25"/>
        <v>N/A</v>
      </c>
      <c r="P102" s="63" t="str">
        <f t="shared" ca="1" si="25"/>
        <v>N/A</v>
      </c>
      <c r="Q102" s="63" t="str">
        <f t="shared" ca="1" si="25"/>
        <v>N/A</v>
      </c>
      <c r="R102" s="63" t="str">
        <f t="shared" ca="1" si="25"/>
        <v>N/A</v>
      </c>
      <c r="S102" s="63" t="str">
        <f t="shared" ref="S102:V102" ca="1" si="26">IFERROR(IF(INDEX(MP_CF_WP,$B102,S$67)=0,"N/A",INDEX(MP_CF_WP,$B102,S$67)),"N/A")</f>
        <v>N/A</v>
      </c>
      <c r="T102" s="63" t="str">
        <f t="shared" ca="1" si="26"/>
        <v>N/A</v>
      </c>
      <c r="U102" s="63" t="str">
        <f t="shared" ca="1" si="26"/>
        <v>N/A</v>
      </c>
      <c r="V102" s="63" t="str">
        <f t="shared" ca="1" si="26"/>
        <v>N/A</v>
      </c>
    </row>
    <row r="103" spans="1:22" hidden="1">
      <c r="A103" s="51">
        <f t="shared" si="15"/>
        <v>0</v>
      </c>
      <c r="B103" s="46" t="str">
        <f t="shared" ca="1" si="16"/>
        <v/>
      </c>
      <c r="C103" s="1" t="str">
        <f>IF(ISERROR(D103),"",IF(D103="","",MAX($C$66:C102)+1))</f>
        <v/>
      </c>
      <c r="D103" t="e">
        <f t="shared" si="17"/>
        <v>#N/A</v>
      </c>
      <c r="E103" s="22"/>
      <c r="F103" s="63" t="str">
        <f t="shared" ca="1" si="20"/>
        <v>N/A</v>
      </c>
      <c r="G103" s="63" t="str">
        <f t="shared" si="18"/>
        <v>N/A</v>
      </c>
      <c r="H103" s="63" t="str">
        <f ca="1">IFERROR(VLOOKUP($A103,LASTYR,'2016'!$O$3,FALSE),"N/A")</f>
        <v>N/A</v>
      </c>
      <c r="I103" s="63" t="str">
        <f t="shared" ca="1" si="25"/>
        <v>N/A</v>
      </c>
      <c r="J103" s="63" t="str">
        <f t="shared" ca="1" si="25"/>
        <v>N/A</v>
      </c>
      <c r="K103" s="63" t="str">
        <f t="shared" ca="1" si="25"/>
        <v>N/A</v>
      </c>
      <c r="L103" s="63" t="str">
        <f t="shared" ca="1" si="25"/>
        <v>N/A</v>
      </c>
      <c r="M103" s="63" t="str">
        <f t="shared" ca="1" si="25"/>
        <v>N/A</v>
      </c>
      <c r="N103" s="63" t="str">
        <f t="shared" ca="1" si="25"/>
        <v>N/A</v>
      </c>
      <c r="O103" s="63" t="str">
        <f t="shared" ca="1" si="25"/>
        <v>N/A</v>
      </c>
      <c r="P103" s="63" t="str">
        <f t="shared" ca="1" si="25"/>
        <v>N/A</v>
      </c>
      <c r="Q103" s="63" t="str">
        <f t="shared" ca="1" si="25"/>
        <v>N/A</v>
      </c>
      <c r="R103" s="63" t="str">
        <f t="shared" ca="1" si="25"/>
        <v>N/A</v>
      </c>
      <c r="S103" s="63" t="str">
        <f t="shared" ref="S103:V112" ca="1" si="27">IFERROR(IF(INDEX(MP_CF_WP,$B103,S$67)=0,"N/A",INDEX(MP_CF_WP,$B103,S$67)),"N/A")</f>
        <v>N/A</v>
      </c>
      <c r="T103" s="63" t="str">
        <f t="shared" ca="1" si="27"/>
        <v>N/A</v>
      </c>
      <c r="U103" s="63" t="str">
        <f t="shared" ca="1" si="27"/>
        <v>N/A</v>
      </c>
      <c r="V103" s="63" t="str">
        <f t="shared" ca="1" si="27"/>
        <v>N/A</v>
      </c>
    </row>
    <row r="104" spans="1:22" hidden="1">
      <c r="A104" s="51">
        <f t="shared" si="15"/>
        <v>0</v>
      </c>
      <c r="B104" s="46" t="str">
        <f t="shared" ca="1" si="16"/>
        <v/>
      </c>
      <c r="C104" s="1" t="str">
        <f>IF(ISERROR(D104),"",IF(D104="","",MAX($C$66:C103)+1))</f>
        <v/>
      </c>
      <c r="D104" t="e">
        <f t="shared" si="17"/>
        <v>#N/A</v>
      </c>
      <c r="E104" s="22"/>
      <c r="F104" s="63" t="str">
        <f t="shared" ca="1" si="20"/>
        <v>N/A</v>
      </c>
      <c r="G104" s="63" t="str">
        <f t="shared" si="18"/>
        <v>N/A</v>
      </c>
      <c r="H104" s="63" t="str">
        <f ca="1">IFERROR(VLOOKUP($A104,LASTYR,'2016'!$O$3,FALSE),"N/A")</f>
        <v>N/A</v>
      </c>
      <c r="I104" s="63" t="str">
        <f t="shared" ca="1" si="25"/>
        <v>N/A</v>
      </c>
      <c r="J104" s="63" t="str">
        <f t="shared" ca="1" si="25"/>
        <v>N/A</v>
      </c>
      <c r="K104" s="63" t="str">
        <f t="shared" ca="1" si="25"/>
        <v>N/A</v>
      </c>
      <c r="L104" s="63" t="str">
        <f t="shared" ca="1" si="25"/>
        <v>N/A</v>
      </c>
      <c r="M104" s="63" t="str">
        <f t="shared" ca="1" si="25"/>
        <v>N/A</v>
      </c>
      <c r="N104" s="63" t="str">
        <f t="shared" ca="1" si="25"/>
        <v>N/A</v>
      </c>
      <c r="O104" s="63" t="str">
        <f t="shared" ca="1" si="25"/>
        <v>N/A</v>
      </c>
      <c r="P104" s="63" t="str">
        <f t="shared" ca="1" si="25"/>
        <v>N/A</v>
      </c>
      <c r="Q104" s="63" t="str">
        <f t="shared" ca="1" si="25"/>
        <v>N/A</v>
      </c>
      <c r="R104" s="63" t="str">
        <f t="shared" ca="1" si="25"/>
        <v>N/A</v>
      </c>
      <c r="S104" s="63" t="str">
        <f t="shared" ca="1" si="27"/>
        <v>N/A</v>
      </c>
      <c r="T104" s="63" t="str">
        <f t="shared" ca="1" si="27"/>
        <v>N/A</v>
      </c>
      <c r="U104" s="63" t="str">
        <f t="shared" ca="1" si="27"/>
        <v>N/A</v>
      </c>
      <c r="V104" s="63" t="str">
        <f t="shared" ca="1" si="27"/>
        <v>N/A</v>
      </c>
    </row>
    <row r="105" spans="1:22" hidden="1">
      <c r="A105" s="51">
        <f t="shared" si="15"/>
        <v>0</v>
      </c>
      <c r="B105" s="46" t="str">
        <f t="shared" ca="1" si="16"/>
        <v/>
      </c>
      <c r="C105" s="1" t="str">
        <f>IF(ISERROR(D105),"",IF(D105="","",MAX($C$66:C104)+1))</f>
        <v/>
      </c>
      <c r="D105" t="e">
        <f t="shared" si="17"/>
        <v>#N/A</v>
      </c>
      <c r="E105" s="22"/>
      <c r="F105" s="63" t="str">
        <f t="shared" ca="1" si="20"/>
        <v>N/A</v>
      </c>
      <c r="G105" s="63" t="str">
        <f t="shared" si="18"/>
        <v>N/A</v>
      </c>
      <c r="H105" s="63" t="str">
        <f ca="1">IFERROR(VLOOKUP($A105,LASTYR,'2016'!$O$3,FALSE),"N/A")</f>
        <v>N/A</v>
      </c>
      <c r="I105" s="63" t="str">
        <f t="shared" ca="1" si="25"/>
        <v>N/A</v>
      </c>
      <c r="J105" s="63" t="str">
        <f t="shared" ca="1" si="25"/>
        <v>N/A</v>
      </c>
      <c r="K105" s="63" t="str">
        <f t="shared" ca="1" si="25"/>
        <v>N/A</v>
      </c>
      <c r="L105" s="63" t="str">
        <f t="shared" ca="1" si="25"/>
        <v>N/A</v>
      </c>
      <c r="M105" s="63" t="str">
        <f t="shared" ca="1" si="25"/>
        <v>N/A</v>
      </c>
      <c r="N105" s="63" t="str">
        <f t="shared" ca="1" si="25"/>
        <v>N/A</v>
      </c>
      <c r="O105" s="63" t="str">
        <f t="shared" ca="1" si="25"/>
        <v>N/A</v>
      </c>
      <c r="P105" s="63" t="str">
        <f t="shared" ca="1" si="25"/>
        <v>N/A</v>
      </c>
      <c r="Q105" s="63" t="str">
        <f t="shared" ca="1" si="25"/>
        <v>N/A</v>
      </c>
      <c r="R105" s="63" t="str">
        <f t="shared" ca="1" si="25"/>
        <v>N/A</v>
      </c>
      <c r="S105" s="63" t="str">
        <f t="shared" ca="1" si="27"/>
        <v>N/A</v>
      </c>
      <c r="T105" s="63" t="str">
        <f t="shared" ca="1" si="27"/>
        <v>N/A</v>
      </c>
      <c r="U105" s="63" t="str">
        <f t="shared" ca="1" si="27"/>
        <v>N/A</v>
      </c>
      <c r="V105" s="63" t="str">
        <f t="shared" ca="1" si="27"/>
        <v>N/A</v>
      </c>
    </row>
    <row r="106" spans="1:22" hidden="1">
      <c r="A106" s="51">
        <f t="shared" si="15"/>
        <v>0</v>
      </c>
      <c r="B106" s="46" t="str">
        <f t="shared" ca="1" si="16"/>
        <v/>
      </c>
      <c r="C106" s="1" t="str">
        <f>IF(ISERROR(D106),"",IF(D106="","",MAX($C$66:C105)+1))</f>
        <v/>
      </c>
      <c r="D106" t="e">
        <f t="shared" si="17"/>
        <v>#N/A</v>
      </c>
      <c r="E106" s="22"/>
      <c r="F106" s="63" t="str">
        <f t="shared" ca="1" si="20"/>
        <v>N/A</v>
      </c>
      <c r="G106" s="63" t="str">
        <f t="shared" si="18"/>
        <v>N/A</v>
      </c>
      <c r="H106" s="63" t="str">
        <f ca="1">IFERROR(VLOOKUP($A106,LASTYR,'2016'!$O$3,FALSE),"N/A")</f>
        <v>N/A</v>
      </c>
      <c r="I106" s="63" t="str">
        <f t="shared" ca="1" si="25"/>
        <v>N/A</v>
      </c>
      <c r="J106" s="63" t="str">
        <f t="shared" ca="1" si="25"/>
        <v>N/A</v>
      </c>
      <c r="K106" s="63" t="str">
        <f t="shared" ca="1" si="25"/>
        <v>N/A</v>
      </c>
      <c r="L106" s="63" t="str">
        <f t="shared" ca="1" si="25"/>
        <v>N/A</v>
      </c>
      <c r="M106" s="63" t="str">
        <f t="shared" ca="1" si="25"/>
        <v>N/A</v>
      </c>
      <c r="N106" s="63" t="str">
        <f t="shared" ca="1" si="25"/>
        <v>N/A</v>
      </c>
      <c r="O106" s="63" t="str">
        <f t="shared" ca="1" si="25"/>
        <v>N/A</v>
      </c>
      <c r="P106" s="63" t="str">
        <f t="shared" ca="1" si="25"/>
        <v>N/A</v>
      </c>
      <c r="Q106" s="63" t="str">
        <f t="shared" ca="1" si="25"/>
        <v>N/A</v>
      </c>
      <c r="R106" s="63" t="str">
        <f t="shared" ca="1" si="25"/>
        <v>N/A</v>
      </c>
      <c r="S106" s="63" t="str">
        <f t="shared" ca="1" si="27"/>
        <v>N/A</v>
      </c>
      <c r="T106" s="63" t="str">
        <f t="shared" ca="1" si="27"/>
        <v>N/A</v>
      </c>
      <c r="U106" s="63" t="str">
        <f t="shared" ca="1" si="27"/>
        <v>N/A</v>
      </c>
      <c r="V106" s="63" t="str">
        <f t="shared" ca="1" si="27"/>
        <v>N/A</v>
      </c>
    </row>
    <row r="107" spans="1:22" hidden="1">
      <c r="A107" s="51">
        <f t="shared" si="15"/>
        <v>0</v>
      </c>
      <c r="B107" s="46" t="str">
        <f t="shared" ca="1" si="16"/>
        <v/>
      </c>
      <c r="C107" s="1" t="str">
        <f>IF(ISERROR(D107),"",IF(D107="","",MAX($C$66:C106)+1))</f>
        <v/>
      </c>
      <c r="D107" t="e">
        <f t="shared" si="17"/>
        <v>#N/A</v>
      </c>
      <c r="E107" s="22"/>
      <c r="F107" s="63" t="str">
        <f t="shared" ca="1" si="20"/>
        <v>N/A</v>
      </c>
      <c r="G107" s="63" t="str">
        <f t="shared" si="18"/>
        <v>N/A</v>
      </c>
      <c r="H107" s="63" t="str">
        <f ca="1">IFERROR(VLOOKUP($A107,LASTYR,'2016'!$O$3,FALSE),"N/A")</f>
        <v>N/A</v>
      </c>
      <c r="I107" s="63" t="str">
        <f t="shared" ca="1" si="25"/>
        <v>N/A</v>
      </c>
      <c r="J107" s="63" t="str">
        <f t="shared" ca="1" si="25"/>
        <v>N/A</v>
      </c>
      <c r="K107" s="63" t="str">
        <f t="shared" ca="1" si="25"/>
        <v>N/A</v>
      </c>
      <c r="L107" s="63" t="str">
        <f t="shared" ca="1" si="25"/>
        <v>N/A</v>
      </c>
      <c r="M107" s="63" t="str">
        <f t="shared" ca="1" si="25"/>
        <v>N/A</v>
      </c>
      <c r="N107" s="63" t="str">
        <f t="shared" ca="1" si="25"/>
        <v>N/A</v>
      </c>
      <c r="O107" s="63" t="str">
        <f t="shared" ca="1" si="25"/>
        <v>N/A</v>
      </c>
      <c r="P107" s="63" t="str">
        <f t="shared" ca="1" si="25"/>
        <v>N/A</v>
      </c>
      <c r="Q107" s="63" t="str">
        <f t="shared" ca="1" si="25"/>
        <v>N/A</v>
      </c>
      <c r="R107" s="63" t="str">
        <f t="shared" ca="1" si="25"/>
        <v>N/A</v>
      </c>
      <c r="S107" s="63" t="str">
        <f t="shared" ca="1" si="27"/>
        <v>N/A</v>
      </c>
      <c r="T107" s="63" t="str">
        <f t="shared" ca="1" si="27"/>
        <v>N/A</v>
      </c>
      <c r="U107" s="63" t="str">
        <f t="shared" ca="1" si="27"/>
        <v>N/A</v>
      </c>
      <c r="V107" s="63" t="str">
        <f t="shared" ca="1" si="27"/>
        <v>N/A</v>
      </c>
    </row>
    <row r="108" spans="1:22" hidden="1">
      <c r="A108" s="51">
        <f t="shared" si="15"/>
        <v>0</v>
      </c>
      <c r="B108" s="46" t="str">
        <f t="shared" ca="1" si="16"/>
        <v/>
      </c>
      <c r="C108" s="1" t="str">
        <f>IF(ISERROR(D108),"",IF(D108="","",MAX($C$66:C107)+1))</f>
        <v/>
      </c>
      <c r="D108" t="e">
        <f t="shared" si="17"/>
        <v>#N/A</v>
      </c>
      <c r="E108" s="22"/>
      <c r="F108" s="63" t="str">
        <f t="shared" ca="1" si="20"/>
        <v>N/A</v>
      </c>
      <c r="G108" s="63" t="str">
        <f t="shared" si="18"/>
        <v>N/A</v>
      </c>
      <c r="H108" s="63" t="str">
        <f ca="1">IFERROR(VLOOKUP($A108,LASTYR,'2016'!$O$3,FALSE),"N/A")</f>
        <v>N/A</v>
      </c>
      <c r="I108" s="63" t="str">
        <f t="shared" ca="1" si="25"/>
        <v>N/A</v>
      </c>
      <c r="J108" s="63" t="str">
        <f t="shared" ca="1" si="25"/>
        <v>N/A</v>
      </c>
      <c r="K108" s="63" t="str">
        <f t="shared" ca="1" si="25"/>
        <v>N/A</v>
      </c>
      <c r="L108" s="63" t="str">
        <f t="shared" ca="1" si="25"/>
        <v>N/A</v>
      </c>
      <c r="M108" s="63" t="str">
        <f t="shared" ca="1" si="25"/>
        <v>N/A</v>
      </c>
      <c r="N108" s="63" t="str">
        <f t="shared" ca="1" si="25"/>
        <v>N/A</v>
      </c>
      <c r="O108" s="63" t="str">
        <f t="shared" ca="1" si="25"/>
        <v>N/A</v>
      </c>
      <c r="P108" s="63" t="str">
        <f t="shared" ca="1" si="25"/>
        <v>N/A</v>
      </c>
      <c r="Q108" s="63" t="str">
        <f t="shared" ca="1" si="25"/>
        <v>N/A</v>
      </c>
      <c r="R108" s="63" t="str">
        <f t="shared" ca="1" si="25"/>
        <v>N/A</v>
      </c>
      <c r="S108" s="63" t="str">
        <f t="shared" ca="1" si="27"/>
        <v>N/A</v>
      </c>
      <c r="T108" s="63" t="str">
        <f t="shared" ca="1" si="27"/>
        <v>N/A</v>
      </c>
      <c r="U108" s="63" t="str">
        <f t="shared" ca="1" si="27"/>
        <v>N/A</v>
      </c>
      <c r="V108" s="63" t="str">
        <f t="shared" ca="1" si="27"/>
        <v>N/A</v>
      </c>
    </row>
    <row r="109" spans="1:22" hidden="1">
      <c r="A109" s="51">
        <f t="shared" si="15"/>
        <v>0</v>
      </c>
      <c r="B109" s="46" t="str">
        <f t="shared" ca="1" si="16"/>
        <v/>
      </c>
      <c r="C109" s="1" t="str">
        <f>IF(ISERROR(D109),"",IF(D109="","",MAX($C$66:C108)+1))</f>
        <v/>
      </c>
      <c r="D109" t="e">
        <f t="shared" si="17"/>
        <v>#N/A</v>
      </c>
      <c r="E109" s="22"/>
      <c r="F109" s="63" t="str">
        <f t="shared" ca="1" si="20"/>
        <v>N/A</v>
      </c>
      <c r="G109" s="63" t="str">
        <f t="shared" si="18"/>
        <v>N/A</v>
      </c>
      <c r="H109" s="63" t="str">
        <f ca="1">IFERROR(VLOOKUP($A109,LASTYR,'2016'!$O$3,FALSE),"N/A")</f>
        <v>N/A</v>
      </c>
      <c r="I109" s="63" t="str">
        <f t="shared" ca="1" si="25"/>
        <v>N/A</v>
      </c>
      <c r="J109" s="63" t="str">
        <f t="shared" ca="1" si="25"/>
        <v>N/A</v>
      </c>
      <c r="K109" s="63" t="str">
        <f t="shared" ca="1" si="25"/>
        <v>N/A</v>
      </c>
      <c r="L109" s="63" t="str">
        <f t="shared" ca="1" si="25"/>
        <v>N/A</v>
      </c>
      <c r="M109" s="63" t="str">
        <f t="shared" ca="1" si="25"/>
        <v>N/A</v>
      </c>
      <c r="N109" s="63" t="str">
        <f t="shared" ca="1" si="25"/>
        <v>N/A</v>
      </c>
      <c r="O109" s="63" t="str">
        <f t="shared" ca="1" si="25"/>
        <v>N/A</v>
      </c>
      <c r="P109" s="63" t="str">
        <f t="shared" ca="1" si="25"/>
        <v>N/A</v>
      </c>
      <c r="Q109" s="63" t="str">
        <f t="shared" ca="1" si="25"/>
        <v>N/A</v>
      </c>
      <c r="R109" s="63" t="str">
        <f t="shared" ca="1" si="25"/>
        <v>N/A</v>
      </c>
      <c r="S109" s="63" t="str">
        <f t="shared" ca="1" si="27"/>
        <v>N/A</v>
      </c>
      <c r="T109" s="63" t="str">
        <f t="shared" ca="1" si="27"/>
        <v>N/A</v>
      </c>
      <c r="U109" s="63" t="str">
        <f t="shared" ca="1" si="27"/>
        <v>N/A</v>
      </c>
      <c r="V109" s="63" t="str">
        <f t="shared" ca="1" si="27"/>
        <v>N/A</v>
      </c>
    </row>
    <row r="110" spans="1:22" hidden="1">
      <c r="A110" s="51">
        <f t="shared" si="15"/>
        <v>0</v>
      </c>
      <c r="B110" s="46" t="str">
        <f t="shared" ca="1" si="16"/>
        <v/>
      </c>
      <c r="C110" s="1" t="str">
        <f>IF(ISERROR(D110),"",IF(D110="","",MAX($C$66:C109)+1))</f>
        <v/>
      </c>
      <c r="D110" t="e">
        <f t="shared" si="17"/>
        <v>#N/A</v>
      </c>
      <c r="F110" s="63" t="str">
        <f t="shared" ca="1" si="20"/>
        <v>N/A</v>
      </c>
      <c r="G110" s="63" t="str">
        <f t="shared" si="18"/>
        <v>N/A</v>
      </c>
      <c r="H110" s="63" t="str">
        <f ca="1">IFERROR(VLOOKUP($A110,LASTYR,'2016'!$O$3,FALSE),"N/A")</f>
        <v>N/A</v>
      </c>
      <c r="I110" s="63" t="str">
        <f t="shared" ca="1" si="25"/>
        <v>N/A</v>
      </c>
      <c r="J110" s="63" t="str">
        <f t="shared" ca="1" si="25"/>
        <v>N/A</v>
      </c>
      <c r="K110" s="63" t="str">
        <f t="shared" ca="1" si="25"/>
        <v>N/A</v>
      </c>
      <c r="L110" s="63" t="str">
        <f t="shared" ca="1" si="25"/>
        <v>N/A</v>
      </c>
      <c r="M110" s="63" t="str">
        <f t="shared" ca="1" si="25"/>
        <v>N/A</v>
      </c>
      <c r="N110" s="63" t="str">
        <f t="shared" ca="1" si="25"/>
        <v>N/A</v>
      </c>
      <c r="O110" s="63" t="str">
        <f t="shared" ca="1" si="25"/>
        <v>N/A</v>
      </c>
      <c r="P110" s="63" t="str">
        <f t="shared" ca="1" si="25"/>
        <v>N/A</v>
      </c>
      <c r="Q110" s="63" t="str">
        <f t="shared" ca="1" si="25"/>
        <v>N/A</v>
      </c>
      <c r="R110" s="63" t="str">
        <f t="shared" ca="1" si="25"/>
        <v>N/A</v>
      </c>
      <c r="S110" s="63" t="str">
        <f t="shared" ca="1" si="27"/>
        <v>N/A</v>
      </c>
      <c r="T110" s="63" t="str">
        <f t="shared" ca="1" si="27"/>
        <v>N/A</v>
      </c>
      <c r="U110" s="63" t="str">
        <f t="shared" ca="1" si="27"/>
        <v>N/A</v>
      </c>
      <c r="V110" s="63" t="str">
        <f t="shared" ca="1" si="27"/>
        <v>N/A</v>
      </c>
    </row>
    <row r="111" spans="1:22" hidden="1">
      <c r="A111" s="51">
        <f t="shared" si="15"/>
        <v>0</v>
      </c>
      <c r="B111" s="46" t="str">
        <f t="shared" ca="1" si="16"/>
        <v/>
      </c>
      <c r="C111" s="1" t="str">
        <f>IF(ISERROR(D111),"",IF(D111="","",MAX($C$66:C110)+1))</f>
        <v/>
      </c>
      <c r="D111" t="e">
        <f t="shared" si="17"/>
        <v>#N/A</v>
      </c>
      <c r="F111" s="63" t="str">
        <f t="shared" ca="1" si="20"/>
        <v>N/A</v>
      </c>
      <c r="G111" s="63" t="str">
        <f t="shared" si="18"/>
        <v>N/A</v>
      </c>
      <c r="H111" s="63" t="str">
        <f ca="1">IFERROR(VLOOKUP($A111,LASTYR,'2016'!$O$3,FALSE),"N/A")</f>
        <v>N/A</v>
      </c>
      <c r="I111" s="63" t="str">
        <f t="shared" ca="1" si="25"/>
        <v>N/A</v>
      </c>
      <c r="J111" s="63" t="str">
        <f t="shared" ca="1" si="25"/>
        <v>N/A</v>
      </c>
      <c r="K111" s="63" t="str">
        <f t="shared" ca="1" si="25"/>
        <v>N/A</v>
      </c>
      <c r="L111" s="63" t="str">
        <f t="shared" ca="1" si="25"/>
        <v>N/A</v>
      </c>
      <c r="M111" s="63" t="str">
        <f t="shared" ca="1" si="25"/>
        <v>N/A</v>
      </c>
      <c r="N111" s="63" t="str">
        <f t="shared" ca="1" si="25"/>
        <v>N/A</v>
      </c>
      <c r="O111" s="63" t="str">
        <f t="shared" ca="1" si="25"/>
        <v>N/A</v>
      </c>
      <c r="P111" s="63" t="str">
        <f t="shared" ca="1" si="25"/>
        <v>N/A</v>
      </c>
      <c r="Q111" s="63" t="str">
        <f t="shared" ca="1" si="25"/>
        <v>N/A</v>
      </c>
      <c r="R111" s="63" t="str">
        <f t="shared" ca="1" si="25"/>
        <v>N/A</v>
      </c>
      <c r="S111" s="63" t="str">
        <f t="shared" ca="1" si="27"/>
        <v>N/A</v>
      </c>
      <c r="T111" s="63" t="str">
        <f t="shared" ca="1" si="27"/>
        <v>N/A</v>
      </c>
      <c r="U111" s="63" t="str">
        <f t="shared" ca="1" si="27"/>
        <v>N/A</v>
      </c>
      <c r="V111" s="63" t="str">
        <f t="shared" ca="1" si="27"/>
        <v>N/A</v>
      </c>
    </row>
    <row r="112" spans="1:22" hidden="1">
      <c r="A112" s="51">
        <f t="shared" si="15"/>
        <v>0</v>
      </c>
      <c r="B112" s="46" t="str">
        <f t="shared" ca="1" si="16"/>
        <v/>
      </c>
      <c r="C112" s="1" t="str">
        <f>IF(ISERROR(D112),"",IF(D112="","",MAX($C$66:C111)+1))</f>
        <v/>
      </c>
      <c r="D112" t="e">
        <f t="shared" si="17"/>
        <v>#N/A</v>
      </c>
      <c r="F112" s="63" t="str">
        <f t="shared" ca="1" si="20"/>
        <v>N/A</v>
      </c>
      <c r="G112" s="63" t="str">
        <f t="shared" si="18"/>
        <v>N/A</v>
      </c>
      <c r="H112" s="63" t="str">
        <f ca="1">IFERROR(VLOOKUP($A112,LASTYR,'2016'!$O$3,FALSE),"N/A")</f>
        <v>N/A</v>
      </c>
      <c r="I112" s="63" t="str">
        <f t="shared" ca="1" si="25"/>
        <v>N/A</v>
      </c>
      <c r="J112" s="63" t="str">
        <f t="shared" ca="1" si="25"/>
        <v>N/A</v>
      </c>
      <c r="K112" s="63" t="str">
        <f t="shared" ca="1" si="25"/>
        <v>N/A</v>
      </c>
      <c r="L112" s="63" t="str">
        <f t="shared" ca="1" si="25"/>
        <v>N/A</v>
      </c>
      <c r="M112" s="63" t="str">
        <f t="shared" ca="1" si="25"/>
        <v>N/A</v>
      </c>
      <c r="N112" s="63" t="str">
        <f t="shared" ca="1" si="25"/>
        <v>N/A</v>
      </c>
      <c r="O112" s="63" t="str">
        <f t="shared" ca="1" si="25"/>
        <v>N/A</v>
      </c>
      <c r="P112" s="63" t="str">
        <f t="shared" ca="1" si="25"/>
        <v>N/A</v>
      </c>
      <c r="Q112" s="63" t="str">
        <f t="shared" ca="1" si="25"/>
        <v>N/A</v>
      </c>
      <c r="R112" s="63" t="str">
        <f t="shared" ca="1" si="25"/>
        <v>N/A</v>
      </c>
      <c r="S112" s="63" t="str">
        <f t="shared" ca="1" si="27"/>
        <v>N/A</v>
      </c>
      <c r="T112" s="63" t="str">
        <f t="shared" ca="1" si="27"/>
        <v>N/A</v>
      </c>
      <c r="U112" s="63" t="str">
        <f t="shared" ca="1" si="27"/>
        <v>N/A</v>
      </c>
      <c r="V112" s="63" t="str">
        <f t="shared" ca="1" si="27"/>
        <v>N/A</v>
      </c>
    </row>
    <row r="113" spans="1:22">
      <c r="A113" s="31"/>
      <c r="B113" s="31"/>
      <c r="C113" s="1" t="str">
        <f>IF(ISERROR(D113),"",IF(D113="","",MAX($C$66:C112)+1))</f>
        <v/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1:22">
      <c r="A114" s="31"/>
      <c r="B114" s="31"/>
      <c r="C114" s="1">
        <f ca="1">IF(ISERROR(D114),"",IF(D114="","",MAX($C$66:C113)+1))</f>
        <v>12</v>
      </c>
      <c r="D114" t="s">
        <v>98</v>
      </c>
      <c r="F114" s="63">
        <f ca="1">AVERAGE(G114:R114)</f>
        <v>0.59179506636518309</v>
      </c>
      <c r="G114" s="63">
        <f t="shared" ref="G114:R114" si="28">AVERAGE(G68:G113)</f>
        <v>0.62588290787584078</v>
      </c>
      <c r="H114" s="63">
        <f t="shared" ca="1" si="28"/>
        <v>0.5980083394821627</v>
      </c>
      <c r="I114" s="63">
        <f t="shared" ca="1" si="28"/>
        <v>0.64679065912847644</v>
      </c>
      <c r="J114" s="63">
        <f t="shared" ca="1" si="28"/>
        <v>0.55611575181038819</v>
      </c>
      <c r="K114" s="63">
        <f t="shared" ca="1" si="28"/>
        <v>0.6086032700218138</v>
      </c>
      <c r="L114" s="63">
        <f t="shared" ca="1" si="28"/>
        <v>0.59476677103359776</v>
      </c>
      <c r="M114" s="63">
        <f t="shared" ca="1" si="28"/>
        <v>0.594634705186593</v>
      </c>
      <c r="N114" s="63">
        <f t="shared" ca="1" si="28"/>
        <v>0.57637346787687394</v>
      </c>
      <c r="O114" s="63">
        <f t="shared" ca="1" si="28"/>
        <v>0.58684062548468829</v>
      </c>
      <c r="P114" s="63">
        <f t="shared" ca="1" si="28"/>
        <v>0.55758217513944575</v>
      </c>
      <c r="Q114" s="63">
        <f t="shared" ca="1" si="28"/>
        <v>0.58593506104516846</v>
      </c>
      <c r="R114" s="63">
        <f t="shared" ca="1" si="28"/>
        <v>0.57000706229714737</v>
      </c>
      <c r="S114" s="63"/>
      <c r="T114" s="63"/>
      <c r="U114" s="63"/>
      <c r="V114" s="63"/>
    </row>
    <row r="115" spans="1:22">
      <c r="A115" s="31"/>
      <c r="B115" s="31"/>
      <c r="C115" s="1">
        <f ca="1">IF(ISERROR(D115),"",IF(D115="","",MAX($C$66:C114)+1))</f>
        <v>13</v>
      </c>
      <c r="D115" t="s">
        <v>257</v>
      </c>
      <c r="F115" s="63">
        <f ca="1">AVERAGE(G115:R115)</f>
        <v>0.57426603270381649</v>
      </c>
      <c r="G115" s="63">
        <f>MEDIAN(G68:G113)</f>
        <v>0.58285714285714285</v>
      </c>
      <c r="H115" s="63">
        <f t="shared" ref="H115:R115" ca="1" si="29">MEDIAN(H68:H113)</f>
        <v>0.5902140672782874</v>
      </c>
      <c r="I115" s="63">
        <f t="shared" ca="1" si="29"/>
        <v>0.5547945205479452</v>
      </c>
      <c r="J115" s="63">
        <f t="shared" ca="1" si="29"/>
        <v>0.5</v>
      </c>
      <c r="K115" s="63">
        <f t="shared" ca="1" si="29"/>
        <v>0.59373299967359383</v>
      </c>
      <c r="L115" s="63">
        <f t="shared" ca="1" si="29"/>
        <v>0.59413283047129939</v>
      </c>
      <c r="M115" s="63">
        <f t="shared" ca="1" si="29"/>
        <v>0.56053829891039197</v>
      </c>
      <c r="N115" s="63">
        <f t="shared" ca="1" si="29"/>
        <v>0.58411507191994994</v>
      </c>
      <c r="O115" s="63">
        <f t="shared" ca="1" si="29"/>
        <v>0.54467181373735418</v>
      </c>
      <c r="P115" s="63">
        <f t="shared" ca="1" si="29"/>
        <v>0.57839527981910677</v>
      </c>
      <c r="Q115" s="63">
        <f t="shared" ca="1" si="29"/>
        <v>0.61663703659063285</v>
      </c>
      <c r="R115" s="63">
        <f t="shared" ca="1" si="29"/>
        <v>0.59110333064009324</v>
      </c>
      <c r="S115" s="63"/>
      <c r="T115" s="63"/>
      <c r="U115" s="63"/>
      <c r="V115" s="63"/>
    </row>
    <row r="116" spans="1:22">
      <c r="A116" s="31"/>
      <c r="B116" s="31"/>
      <c r="C116" s="1"/>
    </row>
    <row r="117" spans="1:22">
      <c r="A117" s="31"/>
      <c r="B117" s="31"/>
      <c r="C117" s="1"/>
    </row>
    <row r="118" spans="1:22" ht="17.25">
      <c r="A118" s="31"/>
      <c r="B118" s="31"/>
      <c r="C118" s="6"/>
      <c r="D118" s="6"/>
      <c r="E118" s="19"/>
      <c r="F118" s="139" t="s">
        <v>333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</row>
    <row r="119" spans="1:22" ht="15">
      <c r="A119" s="31"/>
      <c r="B119" s="31"/>
      <c r="C119" s="6"/>
      <c r="D119" s="7"/>
      <c r="E119" s="7"/>
      <c r="F119" s="8" t="s">
        <v>258</v>
      </c>
      <c r="G119" s="8"/>
      <c r="H119" s="8"/>
      <c r="I119" s="8"/>
      <c r="J119" s="8"/>
      <c r="K119" s="8"/>
      <c r="L119" s="8"/>
      <c r="M119" s="8"/>
      <c r="N119" s="8"/>
      <c r="O119" s="7"/>
      <c r="P119" s="7"/>
      <c r="Q119" s="7"/>
      <c r="R119" s="7"/>
      <c r="S119" s="7"/>
      <c r="T119" s="7"/>
      <c r="U119" s="7"/>
    </row>
    <row r="120" spans="1:22" ht="17.25">
      <c r="A120" s="31"/>
      <c r="B120" s="31"/>
      <c r="C120" s="9" t="s">
        <v>96</v>
      </c>
      <c r="D120" s="138" t="s">
        <v>97</v>
      </c>
      <c r="E120" s="138"/>
      <c r="F120" s="10" t="s">
        <v>98</v>
      </c>
      <c r="G120" s="10" t="s">
        <v>335</v>
      </c>
      <c r="H120" s="41">
        <v>2016</v>
      </c>
      <c r="I120" s="41">
        <v>2015</v>
      </c>
      <c r="J120" s="41">
        <v>2014</v>
      </c>
      <c r="K120" s="41">
        <v>2013</v>
      </c>
      <c r="L120" s="41">
        <v>2012</v>
      </c>
      <c r="M120" s="41">
        <v>2011</v>
      </c>
      <c r="N120" s="41">
        <v>2010</v>
      </c>
      <c r="O120" s="41">
        <v>2009</v>
      </c>
      <c r="P120" s="41">
        <v>2008</v>
      </c>
      <c r="Q120" s="41">
        <v>2007</v>
      </c>
      <c r="R120" s="41">
        <v>2006</v>
      </c>
      <c r="S120" s="41">
        <v>2005</v>
      </c>
      <c r="T120" s="41"/>
      <c r="U120" s="41"/>
      <c r="V120" s="41"/>
    </row>
    <row r="121" spans="1:22" ht="15">
      <c r="A121" s="42"/>
      <c r="B121" s="42"/>
      <c r="C121" s="9"/>
      <c r="D121" s="11"/>
      <c r="E121" s="11"/>
      <c r="F121" s="12">
        <v>-1</v>
      </c>
      <c r="G121" s="12">
        <f t="shared" ref="G121:S121" si="30">+F121-1</f>
        <v>-2</v>
      </c>
      <c r="H121" s="12">
        <f t="shared" si="30"/>
        <v>-3</v>
      </c>
      <c r="I121" s="12">
        <f t="shared" si="30"/>
        <v>-4</v>
      </c>
      <c r="J121" s="12">
        <f t="shared" si="30"/>
        <v>-5</v>
      </c>
      <c r="K121" s="12">
        <f t="shared" si="30"/>
        <v>-6</v>
      </c>
      <c r="L121" s="12">
        <f t="shared" si="30"/>
        <v>-7</v>
      </c>
      <c r="M121" s="12">
        <f t="shared" si="30"/>
        <v>-8</v>
      </c>
      <c r="N121" s="12">
        <f t="shared" si="30"/>
        <v>-9</v>
      </c>
      <c r="O121" s="12">
        <f t="shared" si="30"/>
        <v>-10</v>
      </c>
      <c r="P121" s="12">
        <f t="shared" si="30"/>
        <v>-11</v>
      </c>
      <c r="Q121" s="12">
        <f t="shared" si="30"/>
        <v>-12</v>
      </c>
      <c r="R121" s="12">
        <f t="shared" si="30"/>
        <v>-13</v>
      </c>
      <c r="S121" s="12">
        <f t="shared" si="30"/>
        <v>-14</v>
      </c>
      <c r="T121" s="12"/>
      <c r="U121" s="12"/>
      <c r="V121" s="12"/>
    </row>
    <row r="122" spans="1:22">
      <c r="A122" s="43"/>
      <c r="B122" s="44"/>
      <c r="C122" s="6"/>
      <c r="E122" s="22"/>
      <c r="F122" s="36"/>
      <c r="G122" s="36"/>
      <c r="H122" s="16">
        <f t="shared" ref="H122:V122" ca="1" si="31">MATCH(VALUE(LEFT(H120,4)),OFFSET(CF_CAP_WP,-1,0,1,),0)</f>
        <v>6</v>
      </c>
      <c r="I122" s="16">
        <f t="shared" ca="1" si="31"/>
        <v>7</v>
      </c>
      <c r="J122" s="16">
        <f t="shared" ca="1" si="31"/>
        <v>8</v>
      </c>
      <c r="K122" s="16">
        <f t="shared" ca="1" si="31"/>
        <v>9</v>
      </c>
      <c r="L122" s="16">
        <f t="shared" ca="1" si="31"/>
        <v>10</v>
      </c>
      <c r="M122" s="16">
        <f t="shared" ca="1" si="31"/>
        <v>11</v>
      </c>
      <c r="N122" s="16">
        <f t="shared" ca="1" si="31"/>
        <v>12</v>
      </c>
      <c r="O122" s="16">
        <f t="shared" ca="1" si="31"/>
        <v>13</v>
      </c>
      <c r="P122" s="16">
        <f t="shared" ca="1" si="31"/>
        <v>14</v>
      </c>
      <c r="Q122" s="16">
        <f t="shared" ca="1" si="31"/>
        <v>15</v>
      </c>
      <c r="R122" s="16">
        <f t="shared" ca="1" si="31"/>
        <v>16</v>
      </c>
      <c r="S122" s="16" t="e">
        <f t="shared" ca="1" si="31"/>
        <v>#N/A</v>
      </c>
      <c r="T122" s="16" t="e">
        <f t="shared" ca="1" si="31"/>
        <v>#VALUE!</v>
      </c>
      <c r="U122" s="16" t="e">
        <f t="shared" ca="1" si="31"/>
        <v>#VALUE!</v>
      </c>
      <c r="V122" s="16" t="e">
        <f t="shared" ca="1" si="31"/>
        <v>#VALUE!</v>
      </c>
    </row>
    <row r="123" spans="1:22">
      <c r="A123" s="51" t="str">
        <f t="shared" ref="A123:A167" si="32">A13</f>
        <v>ATO</v>
      </c>
      <c r="B123" s="46">
        <f t="shared" ref="B123:B167" ca="1" si="33">MATCH(A123,OFFSET(CF_CAP_WP,0,0,,1),0)</f>
        <v>9</v>
      </c>
      <c r="C123" s="1">
        <f ca="1">IF(ISERROR(D123),"",IF(D123="","",MAX($C$121:C122)+1))</f>
        <v>1</v>
      </c>
      <c r="D123" t="str">
        <f t="shared" ref="D123:D167" ca="1" si="34">D13</f>
        <v>Atmos Energy</v>
      </c>
      <c r="E123" s="22"/>
      <c r="F123" s="63">
        <f ca="1">AVERAGE(G123:R123)</f>
        <v>0.69800065454863025</v>
      </c>
      <c r="G123" s="63">
        <f t="shared" ref="G123:G167" si="35">IFERROR(IF(VLOOKUP(A123,LUCurYr,17,FALSE)=0,"",VLOOKUP(A123,LUCurYr,17,FALSE)),"N/A")</f>
        <v>0.59090909090909094</v>
      </c>
      <c r="H123" s="63">
        <f ca="1">IFERROR(VLOOKUP($A123,LASTYR,'2016'!$P$3,FALSE),"N/A")</f>
        <v>0.5917957544463569</v>
      </c>
      <c r="I123" s="63">
        <f t="shared" ref="I123:R132" ca="1" si="36">IFERROR(IF(INDEX(CF_CAP_WP,$B123,I$122)=0,"N/A",INDEX(CF_CAP_WP,$B123,I$122)),"N/A")</f>
        <v>0.60495368924966175</v>
      </c>
      <c r="J123" s="63">
        <f t="shared" ca="1" si="36"/>
        <v>0.6510817307692307</v>
      </c>
      <c r="K123" s="63">
        <f t="shared" ca="1" si="36"/>
        <v>0.55121741928563772</v>
      </c>
      <c r="L123" s="63">
        <f t="shared" ca="1" si="36"/>
        <v>0.58638098756310786</v>
      </c>
      <c r="M123" s="63">
        <f t="shared" ca="1" si="36"/>
        <v>0.68444702130743595</v>
      </c>
      <c r="N123" s="63">
        <f t="shared" ca="1" si="36"/>
        <v>0.77068793619142573</v>
      </c>
      <c r="O123" s="63">
        <f t="shared" ca="1" si="36"/>
        <v>0.77892824704813812</v>
      </c>
      <c r="P123" s="63">
        <f t="shared" ca="1" si="36"/>
        <v>0.80634615384615371</v>
      </c>
      <c r="Q123" s="63">
        <f t="shared" ca="1" si="36"/>
        <v>0.94127020259503758</v>
      </c>
      <c r="R123" s="63">
        <f t="shared" ca="1" si="36"/>
        <v>0.81798962137228526</v>
      </c>
      <c r="S123" s="63"/>
      <c r="T123" s="17"/>
      <c r="U123" s="17"/>
      <c r="V123" s="17"/>
    </row>
    <row r="124" spans="1:22">
      <c r="A124" s="51" t="str">
        <f t="shared" si="32"/>
        <v>CPK</v>
      </c>
      <c r="B124" s="46">
        <f t="shared" ca="1" si="33"/>
        <v>16</v>
      </c>
      <c r="C124" s="1">
        <f ca="1">IF(ISERROR(D124),"",IF(D124="","",MAX($C$121:C123)+1))</f>
        <v>2</v>
      </c>
      <c r="D124" t="str">
        <f t="shared" ca="1" si="34"/>
        <v>Chesapeake Utilities</v>
      </c>
      <c r="E124" s="22"/>
      <c r="F124" s="63">
        <f t="shared" ref="F124:F167" ca="1" si="37">AVERAGE(G124:R124)</f>
        <v>0.757827166048196</v>
      </c>
      <c r="G124" s="63">
        <f t="shared" si="35"/>
        <v>0.45631067961165045</v>
      </c>
      <c r="H124" s="63">
        <f ca="1">IFERROR(VLOOKUP($A124,LASTYR,'2016'!$P$3,FALSE),"N/A")</f>
        <v>0.4955369997120645</v>
      </c>
      <c r="I124" s="63">
        <f t="shared" ca="1" si="36"/>
        <v>0.53347412882787748</v>
      </c>
      <c r="J124" s="63">
        <f t="shared" ca="1" si="36"/>
        <v>0.71006006006006006</v>
      </c>
      <c r="K124" s="63">
        <f t="shared" ca="1" si="36"/>
        <v>0.64736528728788334</v>
      </c>
      <c r="L124" s="63">
        <f t="shared" ca="1" si="36"/>
        <v>0.79048380647740912</v>
      </c>
      <c r="M124" s="63">
        <f t="shared" ca="1" si="36"/>
        <v>1.1244661378889567</v>
      </c>
      <c r="N124" s="63">
        <f t="shared" ca="1" si="36"/>
        <v>1.0997168921044354</v>
      </c>
      <c r="O124" s="63">
        <f t="shared" ca="1" si="36"/>
        <v>1.1377118644067798</v>
      </c>
      <c r="P124" s="63">
        <f t="shared" ca="1" si="36"/>
        <v>0.83250083250083251</v>
      </c>
      <c r="Q124" s="63">
        <f t="shared" ca="1" si="36"/>
        <v>0.81897952551186226</v>
      </c>
      <c r="R124" s="63">
        <f t="shared" ca="1" si="36"/>
        <v>0.44731977818853974</v>
      </c>
      <c r="S124" s="63"/>
      <c r="T124" s="17"/>
      <c r="U124" s="17"/>
      <c r="V124" s="17"/>
    </row>
    <row r="125" spans="1:22">
      <c r="A125" s="51" t="str">
        <f t="shared" si="32"/>
        <v>NJR</v>
      </c>
      <c r="B125" s="46">
        <f t="shared" ca="1" si="33"/>
        <v>42</v>
      </c>
      <c r="C125" s="1">
        <f ca="1">IF(ISERROR(D125),"",IF(D125="","",MAX($C$121:C124)+1))</f>
        <v>3</v>
      </c>
      <c r="D125" t="str">
        <f t="shared" ca="1" si="34"/>
        <v>New Jersey Resources</v>
      </c>
      <c r="E125" s="22"/>
      <c r="F125" s="63">
        <f t="shared" ca="1" si="37"/>
        <v>1.4908643087459827</v>
      </c>
      <c r="G125" s="63">
        <f t="shared" si="35"/>
        <v>1.1860465116279069</v>
      </c>
      <c r="H125" s="63">
        <f ca="1">IFERROR(VLOOKUP($A125,LASTYR,'2016'!$P$3,FALSE),"N/A")</f>
        <v>0.59213699951760734</v>
      </c>
      <c r="I125" s="63">
        <f t="shared" ca="1" si="36"/>
        <v>0.67207878626563744</v>
      </c>
      <c r="J125" s="63">
        <f t="shared" ca="1" si="36"/>
        <v>1.7905449770190414</v>
      </c>
      <c r="K125" s="63">
        <f t="shared" ca="1" si="36"/>
        <v>1.4577677224736048</v>
      </c>
      <c r="L125" s="63">
        <f t="shared" ca="1" si="36"/>
        <v>1.4769108280254777</v>
      </c>
      <c r="M125" s="63">
        <f t="shared" ca="1" si="36"/>
        <v>1.5057573073516386</v>
      </c>
      <c r="N125" s="63">
        <f t="shared" ca="1" si="36"/>
        <v>1.547528517110266</v>
      </c>
      <c r="O125" s="63">
        <f t="shared" ca="1" si="36"/>
        <v>1.7486157253599113</v>
      </c>
      <c r="P125" s="63">
        <f t="shared" ca="1" si="36"/>
        <v>2.1058139534883722</v>
      </c>
      <c r="Q125" s="63">
        <f t="shared" ca="1" si="36"/>
        <v>1.6712328767123288</v>
      </c>
      <c r="R125" s="63">
        <f t="shared" ca="1" si="36"/>
        <v>2.1359374999999998</v>
      </c>
      <c r="S125" s="63"/>
      <c r="T125" s="17"/>
      <c r="U125" s="17"/>
      <c r="V125" s="17"/>
    </row>
    <row r="126" spans="1:22">
      <c r="A126" s="51" t="str">
        <f t="shared" si="32"/>
        <v>NI</v>
      </c>
      <c r="B126" s="46">
        <f t="shared" ca="1" si="33"/>
        <v>44</v>
      </c>
      <c r="C126" s="1">
        <f ca="1">IF(ISERROR(D126),"",IF(D126="","",MAX($C$121:C125)+1))</f>
        <v>4</v>
      </c>
      <c r="D126" t="str">
        <f t="shared" ca="1" si="34"/>
        <v>NiSource Inc.</v>
      </c>
      <c r="E126" s="22"/>
      <c r="F126" s="63">
        <f t="shared" ca="1" si="37"/>
        <v>0.8144158219719696</v>
      </c>
      <c r="G126" s="63">
        <f t="shared" si="35"/>
        <v>0.54081632653061218</v>
      </c>
      <c r="H126" s="63">
        <f ca="1">IFERROR(VLOOKUP($A126,LASTYR,'2016'!$P$3,FALSE),"N/A")</f>
        <v>0.59320920043811609</v>
      </c>
      <c r="I126" s="63">
        <f t="shared" ca="1" si="36"/>
        <v>0.53142589118198869</v>
      </c>
      <c r="J126" s="63">
        <f t="shared" ca="1" si="36"/>
        <v>0.56005608350210323</v>
      </c>
      <c r="K126" s="63">
        <f t="shared" ca="1" si="36"/>
        <v>0.56816285666611044</v>
      </c>
      <c r="L126" s="63">
        <f t="shared" ca="1" si="36"/>
        <v>0.64886128364389228</v>
      </c>
      <c r="M126" s="63">
        <f t="shared" ca="1" si="36"/>
        <v>0.74824473420260784</v>
      </c>
      <c r="N126" s="63">
        <f t="shared" ca="1" si="36"/>
        <v>1.108408617095205</v>
      </c>
      <c r="O126" s="63">
        <f t="shared" ca="1" si="36"/>
        <v>1.0551994301994303</v>
      </c>
      <c r="P126" s="63">
        <f t="shared" ca="1" si="36"/>
        <v>0.93834841628959276</v>
      </c>
      <c r="Q126" s="63">
        <f t="shared" ca="1" si="36"/>
        <v>1.1144347826086958</v>
      </c>
      <c r="R126" s="63">
        <f t="shared" ca="1" si="36"/>
        <v>1.3658222413052812</v>
      </c>
      <c r="S126" s="63"/>
      <c r="T126" s="17"/>
      <c r="U126" s="17"/>
      <c r="V126" s="17"/>
    </row>
    <row r="127" spans="1:22">
      <c r="A127" s="51" t="str">
        <f t="shared" si="32"/>
        <v>NWN</v>
      </c>
      <c r="B127" s="46">
        <f t="shared" ca="1" si="33"/>
        <v>45</v>
      </c>
      <c r="C127" s="1">
        <f ca="1">IF(ISERROR(D127),"",IF(D127="","",MAX($C$121:C126)+1))</f>
        <v>5</v>
      </c>
      <c r="D127" t="str">
        <f t="shared" ca="1" si="34"/>
        <v>Northwest Nat. Gas</v>
      </c>
      <c r="E127" s="22"/>
      <c r="F127" s="63">
        <f t="shared" ca="1" si="37"/>
        <v>1.0788661611662167</v>
      </c>
      <c r="G127" s="63">
        <f t="shared" si="35"/>
        <v>0.87096774193548387</v>
      </c>
      <c r="H127" s="63">
        <f ca="1">IFERROR(VLOOKUP($A127,LASTYR,'2016'!$P$3,FALSE),"N/A")</f>
        <v>1.0119023189000615</v>
      </c>
      <c r="I127" s="63">
        <f t="shared" ca="1" si="36"/>
        <v>1.1233409610983982</v>
      </c>
      <c r="J127" s="63">
        <f t="shared" ca="1" si="36"/>
        <v>1.1481144934120855</v>
      </c>
      <c r="K127" s="63">
        <f t="shared" ca="1" si="36"/>
        <v>0.98206977197427392</v>
      </c>
      <c r="L127" s="63">
        <f t="shared" ca="1" si="36"/>
        <v>1.0063200815494393</v>
      </c>
      <c r="M127" s="63">
        <f t="shared" ca="1" si="36"/>
        <v>1.3321799307958477</v>
      </c>
      <c r="N127" s="63">
        <f t="shared" ca="1" si="36"/>
        <v>0.55448615121377387</v>
      </c>
      <c r="O127" s="63">
        <f t="shared" ca="1" si="36"/>
        <v>1.0208128804241114</v>
      </c>
      <c r="P127" s="63">
        <f t="shared" ca="1" si="36"/>
        <v>1.3524464831804281</v>
      </c>
      <c r="Q127" s="63">
        <f t="shared" ca="1" si="36"/>
        <v>1.2081751172660262</v>
      </c>
      <c r="R127" s="63">
        <f t="shared" ca="1" si="36"/>
        <v>1.3355780022446688</v>
      </c>
      <c r="S127" s="63"/>
      <c r="T127" s="17"/>
      <c r="U127" s="17"/>
      <c r="V127" s="17"/>
    </row>
    <row r="128" spans="1:22">
      <c r="A128" s="51" t="str">
        <f t="shared" si="32"/>
        <v>OGS</v>
      </c>
      <c r="B128" s="46">
        <f t="shared" ca="1" si="33"/>
        <v>48</v>
      </c>
      <c r="C128" s="1">
        <f ca="1">IF(ISERROR(D128),"",IF(D128="","",MAX($C$121:C127)+1))</f>
        <v>6</v>
      </c>
      <c r="D128" t="str">
        <f t="shared" ca="1" si="34"/>
        <v>ONE Gas Inc.</v>
      </c>
      <c r="E128" s="22"/>
      <c r="F128" s="63">
        <f t="shared" ca="1" si="37"/>
        <v>0.86374790798209133</v>
      </c>
      <c r="G128" s="63">
        <f t="shared" si="35"/>
        <v>0.88721804511278191</v>
      </c>
      <c r="H128" s="63">
        <f ca="1">IFERROR(VLOOKUP($A128,LASTYR,'2016'!$P$3,FALSE),"N/A")</f>
        <v>0.91864005412719896</v>
      </c>
      <c r="I128" s="63">
        <f t="shared" ca="1" si="36"/>
        <v>0.85635653409090917</v>
      </c>
      <c r="J128" s="63">
        <f t="shared" ca="1" si="36"/>
        <v>0.79277699859747552</v>
      </c>
      <c r="K128" s="63" t="str">
        <f t="shared" ca="1" si="36"/>
        <v>N/A</v>
      </c>
      <c r="L128" s="63" t="str">
        <f t="shared" ca="1" si="36"/>
        <v>N/A</v>
      </c>
      <c r="M128" s="63" t="str">
        <f t="shared" ca="1" si="36"/>
        <v>N/A</v>
      </c>
      <c r="N128" s="63" t="str">
        <f t="shared" ca="1" si="36"/>
        <v>N/A</v>
      </c>
      <c r="O128" s="63" t="str">
        <f t="shared" ca="1" si="36"/>
        <v>N/A</v>
      </c>
      <c r="P128" s="63" t="str">
        <f t="shared" ca="1" si="36"/>
        <v>N/A</v>
      </c>
      <c r="Q128" s="63" t="str">
        <f t="shared" ca="1" si="36"/>
        <v>N/A</v>
      </c>
      <c r="R128" s="63" t="str">
        <f t="shared" ca="1" si="36"/>
        <v>N/A</v>
      </c>
      <c r="S128" s="63"/>
      <c r="T128" s="17"/>
      <c r="U128" s="17"/>
      <c r="V128" s="17"/>
    </row>
    <row r="129" spans="1:22">
      <c r="A129" s="51" t="str">
        <f t="shared" si="32"/>
        <v>SJI</v>
      </c>
      <c r="B129" s="46">
        <f t="shared" ca="1" si="33"/>
        <v>61</v>
      </c>
      <c r="C129" s="1">
        <f ca="1">IF(ISERROR(D129),"",IF(D129="","",MAX($C$121:C128)+1))</f>
        <v>7</v>
      </c>
      <c r="D129" t="str">
        <f t="shared" ca="1" si="34"/>
        <v>South Jersey Inds.</v>
      </c>
      <c r="E129" s="22"/>
      <c r="F129" s="63">
        <f t="shared" ca="1" si="37"/>
        <v>0.90237428877935244</v>
      </c>
      <c r="G129" s="63">
        <f t="shared" si="35"/>
        <v>0.70588235294117652</v>
      </c>
      <c r="H129" s="63">
        <f ca="1">IFERROR(VLOOKUP($A129,LASTYR,'2016'!$P$3,FALSE),"N/A")</f>
        <v>0.76472269868496279</v>
      </c>
      <c r="I129" s="63">
        <f t="shared" ca="1" si="36"/>
        <v>0.49609856262833674</v>
      </c>
      <c r="J129" s="63">
        <f t="shared" ca="1" si="36"/>
        <v>0.53281468182724911</v>
      </c>
      <c r="K129" s="63">
        <f t="shared" ca="1" si="36"/>
        <v>0.51167596610870014</v>
      </c>
      <c r="L129" s="63">
        <f t="shared" ca="1" si="36"/>
        <v>0.5845386533665835</v>
      </c>
      <c r="M129" s="63">
        <f t="shared" ca="1" si="36"/>
        <v>0.69774718397997493</v>
      </c>
      <c r="N129" s="63">
        <f t="shared" ca="1" si="36"/>
        <v>0.753042233357194</v>
      </c>
      <c r="O129" s="63">
        <f t="shared" ca="1" si="36"/>
        <v>1.0136314067611778</v>
      </c>
      <c r="P129" s="63">
        <f t="shared" ca="1" si="36"/>
        <v>1.6679462571976966</v>
      </c>
      <c r="Q129" s="63">
        <f t="shared" ca="1" si="36"/>
        <v>1.7046908315565032</v>
      </c>
      <c r="R129" s="63">
        <f t="shared" ca="1" si="36"/>
        <v>1.395700636942675</v>
      </c>
      <c r="S129" s="63"/>
      <c r="T129" s="17"/>
      <c r="U129" s="17"/>
      <c r="V129" s="17"/>
    </row>
    <row r="130" spans="1:22">
      <c r="A130" s="51" t="str">
        <f t="shared" si="32"/>
        <v>SWX</v>
      </c>
      <c r="B130" s="46">
        <f t="shared" ca="1" si="33"/>
        <v>63</v>
      </c>
      <c r="C130" s="1">
        <f ca="1">IF(ISERROR(D130),"",IF(D130="","",MAX($C$121:C129)+1))</f>
        <v>8</v>
      </c>
      <c r="D130" t="str">
        <f t="shared" ca="1" si="34"/>
        <v>Southwest Gas</v>
      </c>
      <c r="E130" s="22"/>
      <c r="F130" s="63">
        <f t="shared" ca="1" si="37"/>
        <v>0.93961951787544795</v>
      </c>
      <c r="G130" s="63">
        <f t="shared" si="35"/>
        <v>0.84474885844748859</v>
      </c>
      <c r="H130" s="63">
        <f ca="1">IFERROR(VLOOKUP($A130,LASTYR,'2016'!$P$3,FALSE),"N/A")</f>
        <v>0.83312410329985664</v>
      </c>
      <c r="I130" s="63">
        <f t="shared" ca="1" si="36"/>
        <v>0.83699029126213587</v>
      </c>
      <c r="J130" s="63">
        <f t="shared" ca="1" si="36"/>
        <v>0.99308404641894255</v>
      </c>
      <c r="K130" s="63">
        <f t="shared" ca="1" si="36"/>
        <v>1.0491219139730212</v>
      </c>
      <c r="L130" s="63">
        <f t="shared" ca="1" si="36"/>
        <v>0.9015743440233237</v>
      </c>
      <c r="M130" s="63">
        <f t="shared" ca="1" si="36"/>
        <v>0.82098914354644159</v>
      </c>
      <c r="N130" s="63">
        <f t="shared" ca="1" si="36"/>
        <v>1.3662507929794883</v>
      </c>
      <c r="O130" s="63">
        <f t="shared" ca="1" si="36"/>
        <v>1.2793017456359101</v>
      </c>
      <c r="P130" s="63">
        <f t="shared" ca="1" si="36"/>
        <v>0.84824845451869302</v>
      </c>
      <c r="Q130" s="63">
        <f t="shared" ca="1" si="36"/>
        <v>0.77973125706392055</v>
      </c>
      <c r="R130" s="63">
        <f t="shared" ca="1" si="36"/>
        <v>0.72226926333615582</v>
      </c>
      <c r="S130" s="63"/>
      <c r="T130" s="17"/>
      <c r="U130" s="17"/>
      <c r="V130" s="17"/>
    </row>
    <row r="131" spans="1:22">
      <c r="A131" s="51" t="str">
        <f t="shared" si="32"/>
        <v>SR</v>
      </c>
      <c r="B131" s="46">
        <f t="shared" ca="1" si="33"/>
        <v>64</v>
      </c>
      <c r="C131" s="1">
        <f ca="1">IF(ISERROR(D131),"",IF(D131="","",MAX($C$121:C130)+1))</f>
        <v>9</v>
      </c>
      <c r="D131" t="str">
        <f t="shared" ca="1" si="34"/>
        <v>Spire Inc.</v>
      </c>
      <c r="E131" s="22"/>
      <c r="F131" s="63">
        <f t="shared" ca="1" si="37"/>
        <v>1.243204478437349</v>
      </c>
      <c r="G131" s="63">
        <f t="shared" si="35"/>
        <v>0.91851851851851851</v>
      </c>
      <c r="H131" s="63">
        <f ca="1">IFERROR(VLOOKUP($A131,LASTYR,'2016'!$P$3,FALSE),"N/A")</f>
        <v>0.95844357976653705</v>
      </c>
      <c r="I131" s="63">
        <f t="shared" ca="1" si="36"/>
        <v>0.92070616397366845</v>
      </c>
      <c r="J131" s="63">
        <f t="shared" ca="1" si="36"/>
        <v>0.97651515151515156</v>
      </c>
      <c r="K131" s="63">
        <f t="shared" ca="1" si="36"/>
        <v>0.78025</v>
      </c>
      <c r="L131" s="63">
        <f t="shared" ca="1" si="36"/>
        <v>0.94985495234148365</v>
      </c>
      <c r="M131" s="63">
        <f t="shared" ca="1" si="36"/>
        <v>1.5316749585406302</v>
      </c>
      <c r="N131" s="63">
        <f t="shared" ca="1" si="36"/>
        <v>1.6069612827532265</v>
      </c>
      <c r="O131" s="63">
        <f t="shared" ca="1" si="36"/>
        <v>1.9284807448159123</v>
      </c>
      <c r="P131" s="63">
        <f t="shared" ca="1" si="36"/>
        <v>1.63986013986014</v>
      </c>
      <c r="Q131" s="63">
        <f t="shared" ca="1" si="36"/>
        <v>1.424264705882353</v>
      </c>
      <c r="R131" s="63">
        <f t="shared" ca="1" si="36"/>
        <v>1.2829235432805659</v>
      </c>
      <c r="S131" s="63"/>
      <c r="T131" s="17"/>
      <c r="U131" s="17"/>
      <c r="V131" s="17"/>
    </row>
    <row r="132" spans="1:22">
      <c r="A132" s="51" t="str">
        <f t="shared" si="32"/>
        <v>UGI</v>
      </c>
      <c r="B132" s="46">
        <f t="shared" ca="1" si="33"/>
        <v>66</v>
      </c>
      <c r="C132" s="1">
        <f ca="1">IF(ISERROR(D132),"",IF(D132="","",MAX($C$121:C131)+1))</f>
        <v>10</v>
      </c>
      <c r="D132" t="str">
        <f t="shared" ca="1" si="34"/>
        <v>UGI Corp.</v>
      </c>
      <c r="E132" s="22"/>
      <c r="F132" s="63">
        <f t="shared" ca="1" si="37"/>
        <v>1.4867901839384638</v>
      </c>
      <c r="G132" s="63">
        <f t="shared" si="35"/>
        <v>1.4461538461538461</v>
      </c>
      <c r="H132" s="63">
        <f ca="1">IFERROR(VLOOKUP($A132,LASTYR,'2016'!$P$3,FALSE),"N/A")</f>
        <v>1.3495085995085996</v>
      </c>
      <c r="I132" s="63">
        <f t="shared" ca="1" si="36"/>
        <v>1.4837685250529287</v>
      </c>
      <c r="J132" s="63">
        <f t="shared" ca="1" si="36"/>
        <v>1.5323251417769377</v>
      </c>
      <c r="K132" s="63">
        <f t="shared" ca="1" si="36"/>
        <v>1.319268635724332</v>
      </c>
      <c r="L132" s="63">
        <f t="shared" ca="1" si="36"/>
        <v>1.518426294820717</v>
      </c>
      <c r="M132" s="63">
        <f t="shared" ca="1" si="36"/>
        <v>1.2776744186046511</v>
      </c>
      <c r="N132" s="63">
        <f t="shared" ca="1" si="36"/>
        <v>1.3563653573118788</v>
      </c>
      <c r="O132" s="63">
        <f t="shared" ca="1" si="36"/>
        <v>1.5229357798165137</v>
      </c>
      <c r="P132" s="63">
        <f t="shared" ca="1" si="36"/>
        <v>1.7224149895905623</v>
      </c>
      <c r="Q132" s="63">
        <f t="shared" ca="1" si="36"/>
        <v>1.6179211469534052</v>
      </c>
      <c r="R132" s="63">
        <f t="shared" ca="1" si="36"/>
        <v>1.6947194719471945</v>
      </c>
      <c r="S132" s="63"/>
      <c r="T132" s="17"/>
      <c r="U132" s="17"/>
      <c r="V132" s="17"/>
    </row>
    <row r="133" spans="1:22">
      <c r="A133" s="51" t="str">
        <f t="shared" si="32"/>
        <v>WGL</v>
      </c>
      <c r="B133" s="46">
        <f t="shared" ca="1" si="33"/>
        <v>73</v>
      </c>
      <c r="C133" s="1">
        <f ca="1">IF(ISERROR(D133),"",IF(D133="","",MAX($C$121:C132)+1))</f>
        <v>11</v>
      </c>
      <c r="D133" t="str">
        <f t="shared" ca="1" si="34"/>
        <v>WGL Holdings Inc.</v>
      </c>
      <c r="E133" s="22"/>
      <c r="F133" s="63">
        <f t="shared" ca="1" si="37"/>
        <v>1.0112237949625991</v>
      </c>
      <c r="G133" s="63">
        <f t="shared" si="35"/>
        <v>0.53773584905660377</v>
      </c>
      <c r="H133" s="63">
        <f ca="1">IFERROR(VLOOKUP($A133,LASTYR,'2016'!$P$3,FALSE),"N/A")</f>
        <v>0.55874092009685239</v>
      </c>
      <c r="I133" s="63">
        <f t="shared" ref="I133:R142" ca="1" si="38">IFERROR(IF(INDEX(CF_CAP_WP,$B133,I$122)=0,"N/A",INDEX(CF_CAP_WP,$B133,I$122)),"N/A")</f>
        <v>0.60057902637786831</v>
      </c>
      <c r="J133" s="63">
        <f t="shared" ca="1" si="38"/>
        <v>0.62934312311524843</v>
      </c>
      <c r="K133" s="63">
        <f t="shared" ca="1" si="38"/>
        <v>0.70953326713008935</v>
      </c>
      <c r="L133" s="63">
        <f t="shared" ca="1" si="38"/>
        <v>0.93003693065244164</v>
      </c>
      <c r="M133" s="63">
        <f t="shared" ca="1" si="38"/>
        <v>1.0193040386080772</v>
      </c>
      <c r="N133" s="63">
        <f t="shared" ca="1" si="38"/>
        <v>1.5971250971250972</v>
      </c>
      <c r="O133" s="63">
        <f t="shared" ca="1" si="38"/>
        <v>1.6039711191335739</v>
      </c>
      <c r="P133" s="63">
        <f t="shared" ca="1" si="38"/>
        <v>1.6046597633136095</v>
      </c>
      <c r="Q133" s="63">
        <f t="shared" ca="1" si="38"/>
        <v>1.1683198076345056</v>
      </c>
      <c r="R133" s="63">
        <f t="shared" ca="1" si="38"/>
        <v>1.1753365973072216</v>
      </c>
      <c r="S133" s="63"/>
      <c r="T133" s="17"/>
      <c r="U133" s="17"/>
      <c r="V133" s="17"/>
    </row>
    <row r="134" spans="1:22" hidden="1">
      <c r="A134" s="51">
        <f t="shared" si="32"/>
        <v>0</v>
      </c>
      <c r="B134" s="46" t="e">
        <f t="shared" ca="1" si="33"/>
        <v>#N/A</v>
      </c>
      <c r="C134" s="1" t="str">
        <f>IF(ISERROR(D134),"",IF(D134="","",MAX($C$121:C133)+1))</f>
        <v/>
      </c>
      <c r="D134" t="e">
        <f t="shared" si="34"/>
        <v>#N/A</v>
      </c>
      <c r="E134" s="22"/>
      <c r="F134" s="63" t="e">
        <f t="shared" ca="1" si="37"/>
        <v>#DIV/0!</v>
      </c>
      <c r="G134" s="63" t="str">
        <f t="shared" si="35"/>
        <v>N/A</v>
      </c>
      <c r="H134" s="63" t="str">
        <f ca="1">IFERROR(VLOOKUP($A134,LASTYR,'2016'!$P$3,FALSE),"N/A")</f>
        <v>N/A</v>
      </c>
      <c r="I134" s="63" t="str">
        <f t="shared" ca="1" si="38"/>
        <v>N/A</v>
      </c>
      <c r="J134" s="63" t="str">
        <f t="shared" ca="1" si="38"/>
        <v>N/A</v>
      </c>
      <c r="K134" s="63" t="str">
        <f t="shared" ca="1" si="38"/>
        <v>N/A</v>
      </c>
      <c r="L134" s="63" t="str">
        <f t="shared" ca="1" si="38"/>
        <v>N/A</v>
      </c>
      <c r="M134" s="63" t="str">
        <f t="shared" ca="1" si="38"/>
        <v>N/A</v>
      </c>
      <c r="N134" s="63" t="str">
        <f t="shared" ca="1" si="38"/>
        <v>N/A</v>
      </c>
      <c r="O134" s="63" t="str">
        <f t="shared" ca="1" si="38"/>
        <v>N/A</v>
      </c>
      <c r="P134" s="63" t="str">
        <f t="shared" ca="1" si="38"/>
        <v>N/A</v>
      </c>
      <c r="Q134" s="63" t="str">
        <f t="shared" ca="1" si="38"/>
        <v>N/A</v>
      </c>
      <c r="R134" s="63" t="str">
        <f t="shared" ca="1" si="38"/>
        <v>N/A</v>
      </c>
      <c r="S134" s="63"/>
      <c r="T134" s="17"/>
      <c r="U134" s="17"/>
      <c r="V134" s="17"/>
    </row>
    <row r="135" spans="1:22" hidden="1">
      <c r="A135" s="51">
        <f t="shared" si="32"/>
        <v>0</v>
      </c>
      <c r="B135" s="46" t="e">
        <f t="shared" ca="1" si="33"/>
        <v>#N/A</v>
      </c>
      <c r="C135" s="1" t="str">
        <f>IF(ISERROR(D135),"",IF(D135="","",MAX($C$121:C134)+1))</f>
        <v/>
      </c>
      <c r="D135" t="e">
        <f t="shared" si="34"/>
        <v>#N/A</v>
      </c>
      <c r="E135" s="22"/>
      <c r="F135" s="63" t="e">
        <f t="shared" ca="1" si="37"/>
        <v>#DIV/0!</v>
      </c>
      <c r="G135" s="63" t="str">
        <f t="shared" si="35"/>
        <v>N/A</v>
      </c>
      <c r="H135" s="63" t="str">
        <f ca="1">IFERROR(VLOOKUP($A135,LASTYR,'2016'!$P$3,FALSE),"N/A")</f>
        <v>N/A</v>
      </c>
      <c r="I135" s="63" t="str">
        <f t="shared" ca="1" si="38"/>
        <v>N/A</v>
      </c>
      <c r="J135" s="63" t="str">
        <f t="shared" ca="1" si="38"/>
        <v>N/A</v>
      </c>
      <c r="K135" s="63" t="str">
        <f t="shared" ca="1" si="38"/>
        <v>N/A</v>
      </c>
      <c r="L135" s="63" t="str">
        <f t="shared" ca="1" si="38"/>
        <v>N/A</v>
      </c>
      <c r="M135" s="63" t="str">
        <f t="shared" ca="1" si="38"/>
        <v>N/A</v>
      </c>
      <c r="N135" s="63" t="str">
        <f t="shared" ca="1" si="38"/>
        <v>N/A</v>
      </c>
      <c r="O135" s="63" t="str">
        <f t="shared" ca="1" si="38"/>
        <v>N/A</v>
      </c>
      <c r="P135" s="63" t="str">
        <f t="shared" ca="1" si="38"/>
        <v>N/A</v>
      </c>
      <c r="Q135" s="63" t="str">
        <f t="shared" ca="1" si="38"/>
        <v>N/A</v>
      </c>
      <c r="R135" s="63" t="str">
        <f t="shared" ca="1" si="38"/>
        <v>N/A</v>
      </c>
      <c r="S135" s="63"/>
      <c r="T135" s="17"/>
      <c r="U135" s="17"/>
      <c r="V135" s="17"/>
    </row>
    <row r="136" spans="1:22" hidden="1">
      <c r="A136" s="51">
        <f t="shared" si="32"/>
        <v>0</v>
      </c>
      <c r="B136" s="46" t="e">
        <f t="shared" ca="1" si="33"/>
        <v>#N/A</v>
      </c>
      <c r="C136" s="1" t="str">
        <f>IF(ISERROR(D136),"",IF(D136="","",MAX($C$121:C135)+1))</f>
        <v/>
      </c>
      <c r="D136" t="e">
        <f t="shared" si="34"/>
        <v>#N/A</v>
      </c>
      <c r="E136" s="22"/>
      <c r="F136" s="63" t="e">
        <f t="shared" ca="1" si="37"/>
        <v>#DIV/0!</v>
      </c>
      <c r="G136" s="63" t="str">
        <f t="shared" si="35"/>
        <v>N/A</v>
      </c>
      <c r="H136" s="63" t="str">
        <f ca="1">IFERROR(VLOOKUP($A136,LASTYR,'2016'!$P$3,FALSE),"N/A")</f>
        <v>N/A</v>
      </c>
      <c r="I136" s="63" t="str">
        <f t="shared" ca="1" si="38"/>
        <v>N/A</v>
      </c>
      <c r="J136" s="63" t="str">
        <f t="shared" ca="1" si="38"/>
        <v>N/A</v>
      </c>
      <c r="K136" s="63" t="str">
        <f t="shared" ca="1" si="38"/>
        <v>N/A</v>
      </c>
      <c r="L136" s="63" t="str">
        <f t="shared" ca="1" si="38"/>
        <v>N/A</v>
      </c>
      <c r="M136" s="63" t="str">
        <f t="shared" ca="1" si="38"/>
        <v>N/A</v>
      </c>
      <c r="N136" s="63" t="str">
        <f t="shared" ca="1" si="38"/>
        <v>N/A</v>
      </c>
      <c r="O136" s="63" t="str">
        <f t="shared" ca="1" si="38"/>
        <v>N/A</v>
      </c>
      <c r="P136" s="63" t="str">
        <f t="shared" ca="1" si="38"/>
        <v>N/A</v>
      </c>
      <c r="Q136" s="63" t="str">
        <f t="shared" ca="1" si="38"/>
        <v>N/A</v>
      </c>
      <c r="R136" s="63" t="str">
        <f t="shared" ca="1" si="38"/>
        <v>N/A</v>
      </c>
      <c r="S136" s="63"/>
      <c r="T136" s="17"/>
      <c r="U136" s="17"/>
      <c r="V136" s="17"/>
    </row>
    <row r="137" spans="1:22" hidden="1">
      <c r="A137" s="51">
        <f t="shared" si="32"/>
        <v>0</v>
      </c>
      <c r="B137" s="46" t="e">
        <f t="shared" ca="1" si="33"/>
        <v>#N/A</v>
      </c>
      <c r="C137" s="1" t="str">
        <f>IF(ISERROR(D137),"",IF(D137="","",MAX($C$121:C136)+1))</f>
        <v/>
      </c>
      <c r="D137" t="e">
        <f t="shared" si="34"/>
        <v>#N/A</v>
      </c>
      <c r="E137" s="22"/>
      <c r="F137" s="63" t="e">
        <f t="shared" ca="1" si="37"/>
        <v>#DIV/0!</v>
      </c>
      <c r="G137" s="63" t="str">
        <f t="shared" si="35"/>
        <v>N/A</v>
      </c>
      <c r="H137" s="63" t="str">
        <f ca="1">IFERROR(VLOOKUP($A137,LASTYR,'2016'!$P$3,FALSE),"N/A")</f>
        <v>N/A</v>
      </c>
      <c r="I137" s="63" t="str">
        <f t="shared" ca="1" si="38"/>
        <v>N/A</v>
      </c>
      <c r="J137" s="63" t="str">
        <f t="shared" ca="1" si="38"/>
        <v>N/A</v>
      </c>
      <c r="K137" s="63" t="str">
        <f t="shared" ca="1" si="38"/>
        <v>N/A</v>
      </c>
      <c r="L137" s="63" t="str">
        <f t="shared" ca="1" si="38"/>
        <v>N/A</v>
      </c>
      <c r="M137" s="63" t="str">
        <f t="shared" ca="1" si="38"/>
        <v>N/A</v>
      </c>
      <c r="N137" s="63" t="str">
        <f t="shared" ca="1" si="38"/>
        <v>N/A</v>
      </c>
      <c r="O137" s="63" t="str">
        <f t="shared" ca="1" si="38"/>
        <v>N/A</v>
      </c>
      <c r="P137" s="63" t="str">
        <f t="shared" ca="1" si="38"/>
        <v>N/A</v>
      </c>
      <c r="Q137" s="63" t="str">
        <f t="shared" ca="1" si="38"/>
        <v>N/A</v>
      </c>
      <c r="R137" s="63" t="str">
        <f t="shared" ca="1" si="38"/>
        <v>N/A</v>
      </c>
      <c r="S137" s="63"/>
      <c r="T137" s="17"/>
      <c r="U137" s="17"/>
      <c r="V137" s="17"/>
    </row>
    <row r="138" spans="1:22" hidden="1">
      <c r="A138" s="51">
        <f t="shared" si="32"/>
        <v>0</v>
      </c>
      <c r="B138" s="46" t="e">
        <f t="shared" ca="1" si="33"/>
        <v>#N/A</v>
      </c>
      <c r="C138" s="1" t="str">
        <f>IF(ISERROR(D138),"",IF(D138="","",MAX($C$121:C137)+1))</f>
        <v/>
      </c>
      <c r="D138" t="e">
        <f t="shared" si="34"/>
        <v>#N/A</v>
      </c>
      <c r="E138" s="22"/>
      <c r="F138" s="63" t="e">
        <f t="shared" ca="1" si="37"/>
        <v>#DIV/0!</v>
      </c>
      <c r="G138" s="63" t="str">
        <f t="shared" si="35"/>
        <v>N/A</v>
      </c>
      <c r="H138" s="63" t="str">
        <f ca="1">IFERROR(VLOOKUP($A138,LASTYR,'2016'!$P$3,FALSE),"N/A")</f>
        <v>N/A</v>
      </c>
      <c r="I138" s="63" t="str">
        <f t="shared" ca="1" si="38"/>
        <v>N/A</v>
      </c>
      <c r="J138" s="63" t="str">
        <f t="shared" ca="1" si="38"/>
        <v>N/A</v>
      </c>
      <c r="K138" s="63" t="str">
        <f t="shared" ca="1" si="38"/>
        <v>N/A</v>
      </c>
      <c r="L138" s="63" t="str">
        <f t="shared" ca="1" si="38"/>
        <v>N/A</v>
      </c>
      <c r="M138" s="63" t="str">
        <f t="shared" ca="1" si="38"/>
        <v>N/A</v>
      </c>
      <c r="N138" s="63" t="str">
        <f t="shared" ca="1" si="38"/>
        <v>N/A</v>
      </c>
      <c r="O138" s="63" t="str">
        <f t="shared" ca="1" si="38"/>
        <v>N/A</v>
      </c>
      <c r="P138" s="63" t="str">
        <f t="shared" ca="1" si="38"/>
        <v>N/A</v>
      </c>
      <c r="Q138" s="63" t="str">
        <f t="shared" ca="1" si="38"/>
        <v>N/A</v>
      </c>
      <c r="R138" s="63" t="str">
        <f t="shared" ca="1" si="38"/>
        <v>N/A</v>
      </c>
      <c r="S138" s="63"/>
      <c r="T138" s="17"/>
      <c r="U138" s="17"/>
      <c r="V138" s="17"/>
    </row>
    <row r="139" spans="1:22" hidden="1">
      <c r="A139" s="51">
        <f t="shared" si="32"/>
        <v>0</v>
      </c>
      <c r="B139" s="46" t="e">
        <f t="shared" ca="1" si="33"/>
        <v>#N/A</v>
      </c>
      <c r="C139" s="1" t="str">
        <f>IF(ISERROR(D139),"",IF(D139="","",MAX($C$121:C138)+1))</f>
        <v/>
      </c>
      <c r="D139" t="e">
        <f t="shared" si="34"/>
        <v>#N/A</v>
      </c>
      <c r="E139" s="22"/>
      <c r="F139" s="63" t="e">
        <f t="shared" ca="1" si="37"/>
        <v>#DIV/0!</v>
      </c>
      <c r="G139" s="63" t="str">
        <f t="shared" si="35"/>
        <v>N/A</v>
      </c>
      <c r="H139" s="63" t="str">
        <f ca="1">IFERROR(VLOOKUP($A139,LASTYR,'2016'!$P$3,FALSE),"N/A")</f>
        <v>N/A</v>
      </c>
      <c r="I139" s="63" t="str">
        <f t="shared" ca="1" si="38"/>
        <v>N/A</v>
      </c>
      <c r="J139" s="63" t="str">
        <f t="shared" ca="1" si="38"/>
        <v>N/A</v>
      </c>
      <c r="K139" s="63" t="str">
        <f t="shared" ca="1" si="38"/>
        <v>N/A</v>
      </c>
      <c r="L139" s="63" t="str">
        <f t="shared" ca="1" si="38"/>
        <v>N/A</v>
      </c>
      <c r="M139" s="63" t="str">
        <f t="shared" ca="1" si="38"/>
        <v>N/A</v>
      </c>
      <c r="N139" s="63" t="str">
        <f t="shared" ca="1" si="38"/>
        <v>N/A</v>
      </c>
      <c r="O139" s="63" t="str">
        <f t="shared" ca="1" si="38"/>
        <v>N/A</v>
      </c>
      <c r="P139" s="63" t="str">
        <f t="shared" ca="1" si="38"/>
        <v>N/A</v>
      </c>
      <c r="Q139" s="63" t="str">
        <f t="shared" ca="1" si="38"/>
        <v>N/A</v>
      </c>
      <c r="R139" s="63" t="str">
        <f t="shared" ca="1" si="38"/>
        <v>N/A</v>
      </c>
      <c r="S139" s="63"/>
      <c r="T139" s="17"/>
      <c r="U139" s="17"/>
      <c r="V139" s="17"/>
    </row>
    <row r="140" spans="1:22" hidden="1">
      <c r="A140" s="51">
        <f t="shared" si="32"/>
        <v>0</v>
      </c>
      <c r="B140" s="46" t="e">
        <f t="shared" ca="1" si="33"/>
        <v>#N/A</v>
      </c>
      <c r="C140" s="1" t="str">
        <f>IF(ISERROR(D140),"",IF(D140="","",MAX($C$121:C139)+1))</f>
        <v/>
      </c>
      <c r="D140" t="e">
        <f t="shared" si="34"/>
        <v>#N/A</v>
      </c>
      <c r="E140" s="22"/>
      <c r="F140" s="63" t="e">
        <f t="shared" ca="1" si="37"/>
        <v>#DIV/0!</v>
      </c>
      <c r="G140" s="63" t="str">
        <f t="shared" si="35"/>
        <v>N/A</v>
      </c>
      <c r="H140" s="63" t="str">
        <f ca="1">IFERROR(VLOOKUP($A140,LASTYR,'2016'!$P$3,FALSE),"N/A")</f>
        <v>N/A</v>
      </c>
      <c r="I140" s="63" t="str">
        <f t="shared" ca="1" si="38"/>
        <v>N/A</v>
      </c>
      <c r="J140" s="63" t="str">
        <f t="shared" ca="1" si="38"/>
        <v>N/A</v>
      </c>
      <c r="K140" s="63" t="str">
        <f t="shared" ca="1" si="38"/>
        <v>N/A</v>
      </c>
      <c r="L140" s="63" t="str">
        <f t="shared" ca="1" si="38"/>
        <v>N/A</v>
      </c>
      <c r="M140" s="63" t="str">
        <f t="shared" ca="1" si="38"/>
        <v>N/A</v>
      </c>
      <c r="N140" s="63" t="str">
        <f t="shared" ca="1" si="38"/>
        <v>N/A</v>
      </c>
      <c r="O140" s="63" t="str">
        <f t="shared" ca="1" si="38"/>
        <v>N/A</v>
      </c>
      <c r="P140" s="63" t="str">
        <f t="shared" ca="1" si="38"/>
        <v>N/A</v>
      </c>
      <c r="Q140" s="63" t="str">
        <f t="shared" ca="1" si="38"/>
        <v>N/A</v>
      </c>
      <c r="R140" s="63" t="str">
        <f t="shared" ca="1" si="38"/>
        <v>N/A</v>
      </c>
      <c r="S140" s="63"/>
      <c r="T140" s="17"/>
      <c r="U140" s="17"/>
      <c r="V140" s="17"/>
    </row>
    <row r="141" spans="1:22" hidden="1">
      <c r="A141" s="51">
        <f t="shared" si="32"/>
        <v>0</v>
      </c>
      <c r="B141" s="46" t="e">
        <f t="shared" ca="1" si="33"/>
        <v>#N/A</v>
      </c>
      <c r="C141" s="1" t="str">
        <f>IF(ISERROR(D141),"",IF(D141="","",MAX($C$121:C140)+1))</f>
        <v/>
      </c>
      <c r="D141" t="e">
        <f t="shared" si="34"/>
        <v>#N/A</v>
      </c>
      <c r="E141" s="22"/>
      <c r="F141" s="63" t="e">
        <f t="shared" ca="1" si="37"/>
        <v>#DIV/0!</v>
      </c>
      <c r="G141" s="63" t="str">
        <f t="shared" si="35"/>
        <v>N/A</v>
      </c>
      <c r="H141" s="63" t="str">
        <f ca="1">IFERROR(VLOOKUP($A141,LASTYR,'2016'!$P$3,FALSE),"N/A")</f>
        <v>N/A</v>
      </c>
      <c r="I141" s="63" t="str">
        <f t="shared" ca="1" si="38"/>
        <v>N/A</v>
      </c>
      <c r="J141" s="63" t="str">
        <f t="shared" ca="1" si="38"/>
        <v>N/A</v>
      </c>
      <c r="K141" s="63" t="str">
        <f t="shared" ca="1" si="38"/>
        <v>N/A</v>
      </c>
      <c r="L141" s="63" t="str">
        <f t="shared" ca="1" si="38"/>
        <v>N/A</v>
      </c>
      <c r="M141" s="63" t="str">
        <f t="shared" ca="1" si="38"/>
        <v>N/A</v>
      </c>
      <c r="N141" s="63" t="str">
        <f t="shared" ca="1" si="38"/>
        <v>N/A</v>
      </c>
      <c r="O141" s="63" t="str">
        <f t="shared" ca="1" si="38"/>
        <v>N/A</v>
      </c>
      <c r="P141" s="63" t="str">
        <f t="shared" ca="1" si="38"/>
        <v>N/A</v>
      </c>
      <c r="Q141" s="63" t="str">
        <f t="shared" ca="1" si="38"/>
        <v>N/A</v>
      </c>
      <c r="R141" s="63" t="str">
        <f t="shared" ca="1" si="38"/>
        <v>N/A</v>
      </c>
      <c r="S141" s="63"/>
      <c r="T141" s="17"/>
      <c r="U141" s="17"/>
      <c r="V141" s="17"/>
    </row>
    <row r="142" spans="1:22" hidden="1">
      <c r="A142" s="51">
        <f t="shared" si="32"/>
        <v>0</v>
      </c>
      <c r="B142" s="46" t="e">
        <f t="shared" ca="1" si="33"/>
        <v>#N/A</v>
      </c>
      <c r="C142" s="1" t="str">
        <f>IF(ISERROR(D142),"",IF(D142="","",MAX($C$121:C141)+1))</f>
        <v/>
      </c>
      <c r="D142" t="e">
        <f t="shared" si="34"/>
        <v>#N/A</v>
      </c>
      <c r="E142" s="22"/>
      <c r="F142" s="63" t="e">
        <f t="shared" ca="1" si="37"/>
        <v>#DIV/0!</v>
      </c>
      <c r="G142" s="63" t="str">
        <f t="shared" si="35"/>
        <v>N/A</v>
      </c>
      <c r="H142" s="63" t="str">
        <f ca="1">IFERROR(VLOOKUP($A142,LASTYR,'2016'!$P$3,FALSE),"N/A")</f>
        <v>N/A</v>
      </c>
      <c r="I142" s="63" t="str">
        <f t="shared" ca="1" si="38"/>
        <v>N/A</v>
      </c>
      <c r="J142" s="63" t="str">
        <f t="shared" ca="1" si="38"/>
        <v>N/A</v>
      </c>
      <c r="K142" s="63" t="str">
        <f t="shared" ca="1" si="38"/>
        <v>N/A</v>
      </c>
      <c r="L142" s="63" t="str">
        <f t="shared" ca="1" si="38"/>
        <v>N/A</v>
      </c>
      <c r="M142" s="63" t="str">
        <f t="shared" ca="1" si="38"/>
        <v>N/A</v>
      </c>
      <c r="N142" s="63" t="str">
        <f t="shared" ca="1" si="38"/>
        <v>N/A</v>
      </c>
      <c r="O142" s="63" t="str">
        <f t="shared" ca="1" si="38"/>
        <v>N/A</v>
      </c>
      <c r="P142" s="63" t="str">
        <f t="shared" ca="1" si="38"/>
        <v>N/A</v>
      </c>
      <c r="Q142" s="63" t="str">
        <f t="shared" ca="1" si="38"/>
        <v>N/A</v>
      </c>
      <c r="R142" s="63" t="str">
        <f t="shared" ca="1" si="38"/>
        <v>N/A</v>
      </c>
      <c r="S142" s="63"/>
      <c r="T142" s="17"/>
      <c r="U142" s="17"/>
      <c r="V142" s="17"/>
    </row>
    <row r="143" spans="1:22" hidden="1">
      <c r="A143" s="51">
        <f t="shared" si="32"/>
        <v>0</v>
      </c>
      <c r="B143" s="46" t="e">
        <f t="shared" ca="1" si="33"/>
        <v>#N/A</v>
      </c>
      <c r="C143" s="1" t="str">
        <f>IF(ISERROR(D143),"",IF(D143="","",MAX($C$121:C142)+1))</f>
        <v/>
      </c>
      <c r="D143" t="e">
        <f t="shared" si="34"/>
        <v>#N/A</v>
      </c>
      <c r="E143" s="22"/>
      <c r="F143" s="63" t="e">
        <f t="shared" ca="1" si="37"/>
        <v>#DIV/0!</v>
      </c>
      <c r="G143" s="63" t="str">
        <f t="shared" si="35"/>
        <v>N/A</v>
      </c>
      <c r="H143" s="63" t="str">
        <f ca="1">IFERROR(VLOOKUP($A143,LASTYR,'2016'!$P$3,FALSE),"N/A")</f>
        <v>N/A</v>
      </c>
      <c r="I143" s="63" t="str">
        <f t="shared" ref="I143:R152" ca="1" si="39">IFERROR(IF(INDEX(CF_CAP_WP,$B143,I$122)=0,"N/A",INDEX(CF_CAP_WP,$B143,I$122)),"N/A")</f>
        <v>N/A</v>
      </c>
      <c r="J143" s="63" t="str">
        <f t="shared" ca="1" si="39"/>
        <v>N/A</v>
      </c>
      <c r="K143" s="63" t="str">
        <f t="shared" ca="1" si="39"/>
        <v>N/A</v>
      </c>
      <c r="L143" s="63" t="str">
        <f t="shared" ca="1" si="39"/>
        <v>N/A</v>
      </c>
      <c r="M143" s="63" t="str">
        <f t="shared" ca="1" si="39"/>
        <v>N/A</v>
      </c>
      <c r="N143" s="63" t="str">
        <f t="shared" ca="1" si="39"/>
        <v>N/A</v>
      </c>
      <c r="O143" s="63" t="str">
        <f t="shared" ca="1" si="39"/>
        <v>N/A</v>
      </c>
      <c r="P143" s="63" t="str">
        <f t="shared" ca="1" si="39"/>
        <v>N/A</v>
      </c>
      <c r="Q143" s="63" t="str">
        <f t="shared" ca="1" si="39"/>
        <v>N/A</v>
      </c>
      <c r="R143" s="63" t="str">
        <f t="shared" ca="1" si="39"/>
        <v>N/A</v>
      </c>
      <c r="S143" s="63"/>
      <c r="T143" s="17"/>
      <c r="U143" s="17"/>
      <c r="V143" s="17"/>
    </row>
    <row r="144" spans="1:22" hidden="1">
      <c r="A144" s="51">
        <f t="shared" si="32"/>
        <v>0</v>
      </c>
      <c r="B144" s="46" t="e">
        <f t="shared" ca="1" si="33"/>
        <v>#N/A</v>
      </c>
      <c r="C144" s="1" t="str">
        <f>IF(ISERROR(D144),"",IF(D144="","",MAX($C$121:C143)+1))</f>
        <v/>
      </c>
      <c r="D144" t="e">
        <f t="shared" si="34"/>
        <v>#N/A</v>
      </c>
      <c r="E144" s="22"/>
      <c r="F144" s="63" t="e">
        <f t="shared" ca="1" si="37"/>
        <v>#DIV/0!</v>
      </c>
      <c r="G144" s="63" t="str">
        <f t="shared" si="35"/>
        <v>N/A</v>
      </c>
      <c r="H144" s="63" t="str">
        <f ca="1">IFERROR(VLOOKUP($A144,LASTYR,'2016'!$P$3,FALSE),"N/A")</f>
        <v>N/A</v>
      </c>
      <c r="I144" s="63" t="str">
        <f t="shared" ca="1" si="39"/>
        <v>N/A</v>
      </c>
      <c r="J144" s="63" t="str">
        <f t="shared" ca="1" si="39"/>
        <v>N/A</v>
      </c>
      <c r="K144" s="63" t="str">
        <f t="shared" ca="1" si="39"/>
        <v>N/A</v>
      </c>
      <c r="L144" s="63" t="str">
        <f t="shared" ca="1" si="39"/>
        <v>N/A</v>
      </c>
      <c r="M144" s="63" t="str">
        <f t="shared" ca="1" si="39"/>
        <v>N/A</v>
      </c>
      <c r="N144" s="63" t="str">
        <f t="shared" ca="1" si="39"/>
        <v>N/A</v>
      </c>
      <c r="O144" s="63" t="str">
        <f t="shared" ca="1" si="39"/>
        <v>N/A</v>
      </c>
      <c r="P144" s="63" t="str">
        <f t="shared" ca="1" si="39"/>
        <v>N/A</v>
      </c>
      <c r="Q144" s="63" t="str">
        <f t="shared" ca="1" si="39"/>
        <v>N/A</v>
      </c>
      <c r="R144" s="63" t="str">
        <f t="shared" ca="1" si="39"/>
        <v>N/A</v>
      </c>
      <c r="S144" s="63"/>
      <c r="T144" s="17"/>
      <c r="U144" s="17"/>
      <c r="V144" s="17"/>
    </row>
    <row r="145" spans="1:22" hidden="1">
      <c r="A145" s="51">
        <f t="shared" si="32"/>
        <v>0</v>
      </c>
      <c r="B145" s="46" t="e">
        <f t="shared" ca="1" si="33"/>
        <v>#N/A</v>
      </c>
      <c r="C145" s="1" t="str">
        <f>IF(ISERROR(D145),"",IF(D145="","",MAX($C$121:C144)+1))</f>
        <v/>
      </c>
      <c r="D145" t="e">
        <f t="shared" si="34"/>
        <v>#N/A</v>
      </c>
      <c r="E145" s="22"/>
      <c r="F145" s="63" t="e">
        <f t="shared" ca="1" si="37"/>
        <v>#DIV/0!</v>
      </c>
      <c r="G145" s="63" t="str">
        <f t="shared" si="35"/>
        <v>N/A</v>
      </c>
      <c r="H145" s="63" t="str">
        <f ca="1">IFERROR(VLOOKUP($A145,LASTYR,'2016'!$P$3,FALSE),"N/A")</f>
        <v>N/A</v>
      </c>
      <c r="I145" s="63" t="str">
        <f t="shared" ca="1" si="39"/>
        <v>N/A</v>
      </c>
      <c r="J145" s="63" t="str">
        <f t="shared" ca="1" si="39"/>
        <v>N/A</v>
      </c>
      <c r="K145" s="63" t="str">
        <f t="shared" ca="1" si="39"/>
        <v>N/A</v>
      </c>
      <c r="L145" s="63" t="str">
        <f t="shared" ca="1" si="39"/>
        <v>N/A</v>
      </c>
      <c r="M145" s="63" t="str">
        <f t="shared" ca="1" si="39"/>
        <v>N/A</v>
      </c>
      <c r="N145" s="63" t="str">
        <f t="shared" ca="1" si="39"/>
        <v>N/A</v>
      </c>
      <c r="O145" s="63" t="str">
        <f t="shared" ca="1" si="39"/>
        <v>N/A</v>
      </c>
      <c r="P145" s="63" t="str">
        <f t="shared" ca="1" si="39"/>
        <v>N/A</v>
      </c>
      <c r="Q145" s="63" t="str">
        <f t="shared" ca="1" si="39"/>
        <v>N/A</v>
      </c>
      <c r="R145" s="63" t="str">
        <f t="shared" ca="1" si="39"/>
        <v>N/A</v>
      </c>
      <c r="S145" s="63"/>
      <c r="T145" s="17"/>
      <c r="U145" s="17"/>
      <c r="V145" s="17"/>
    </row>
    <row r="146" spans="1:22" hidden="1">
      <c r="A146" s="51">
        <f t="shared" si="32"/>
        <v>0</v>
      </c>
      <c r="B146" s="46" t="e">
        <f t="shared" ca="1" si="33"/>
        <v>#N/A</v>
      </c>
      <c r="C146" s="1" t="str">
        <f>IF(ISERROR(D146),"",IF(D146="","",MAX($C$121:C145)+1))</f>
        <v/>
      </c>
      <c r="D146" t="e">
        <f t="shared" si="34"/>
        <v>#N/A</v>
      </c>
      <c r="E146" s="22"/>
      <c r="F146" s="63" t="e">
        <f t="shared" ca="1" si="37"/>
        <v>#DIV/0!</v>
      </c>
      <c r="G146" s="63" t="str">
        <f t="shared" si="35"/>
        <v>N/A</v>
      </c>
      <c r="H146" s="63" t="str">
        <f ca="1">IFERROR(VLOOKUP($A146,LASTYR,'2016'!$P$3,FALSE),"N/A")</f>
        <v>N/A</v>
      </c>
      <c r="I146" s="63" t="str">
        <f t="shared" ca="1" si="39"/>
        <v>N/A</v>
      </c>
      <c r="J146" s="63" t="str">
        <f t="shared" ca="1" si="39"/>
        <v>N/A</v>
      </c>
      <c r="K146" s="63" t="str">
        <f t="shared" ca="1" si="39"/>
        <v>N/A</v>
      </c>
      <c r="L146" s="63" t="str">
        <f t="shared" ca="1" si="39"/>
        <v>N/A</v>
      </c>
      <c r="M146" s="63" t="str">
        <f t="shared" ca="1" si="39"/>
        <v>N/A</v>
      </c>
      <c r="N146" s="63" t="str">
        <f t="shared" ca="1" si="39"/>
        <v>N/A</v>
      </c>
      <c r="O146" s="63" t="str">
        <f t="shared" ca="1" si="39"/>
        <v>N/A</v>
      </c>
      <c r="P146" s="63" t="str">
        <f t="shared" ca="1" si="39"/>
        <v>N/A</v>
      </c>
      <c r="Q146" s="63" t="str">
        <f t="shared" ca="1" si="39"/>
        <v>N/A</v>
      </c>
      <c r="R146" s="63" t="str">
        <f t="shared" ca="1" si="39"/>
        <v>N/A</v>
      </c>
      <c r="S146" s="63"/>
      <c r="T146" s="17"/>
      <c r="U146" s="17"/>
      <c r="V146" s="17"/>
    </row>
    <row r="147" spans="1:22" hidden="1">
      <c r="A147" s="51">
        <f t="shared" si="32"/>
        <v>0</v>
      </c>
      <c r="B147" s="46" t="e">
        <f t="shared" ca="1" si="33"/>
        <v>#N/A</v>
      </c>
      <c r="C147" s="1" t="str">
        <f>IF(ISERROR(D147),"",IF(D147="","",MAX($C$121:C146)+1))</f>
        <v/>
      </c>
      <c r="D147" t="e">
        <f t="shared" si="34"/>
        <v>#N/A</v>
      </c>
      <c r="E147" s="22"/>
      <c r="F147" s="63" t="e">
        <f t="shared" ca="1" si="37"/>
        <v>#DIV/0!</v>
      </c>
      <c r="G147" s="63" t="str">
        <f t="shared" si="35"/>
        <v>N/A</v>
      </c>
      <c r="H147" s="63" t="str">
        <f ca="1">IFERROR(VLOOKUP($A147,LASTYR,'2016'!$P$3,FALSE),"N/A")</f>
        <v>N/A</v>
      </c>
      <c r="I147" s="63" t="str">
        <f t="shared" ca="1" si="39"/>
        <v>N/A</v>
      </c>
      <c r="J147" s="63" t="str">
        <f t="shared" ca="1" si="39"/>
        <v>N/A</v>
      </c>
      <c r="K147" s="63" t="str">
        <f t="shared" ca="1" si="39"/>
        <v>N/A</v>
      </c>
      <c r="L147" s="63" t="str">
        <f t="shared" ca="1" si="39"/>
        <v>N/A</v>
      </c>
      <c r="M147" s="63" t="str">
        <f t="shared" ca="1" si="39"/>
        <v>N/A</v>
      </c>
      <c r="N147" s="63" t="str">
        <f t="shared" ca="1" si="39"/>
        <v>N/A</v>
      </c>
      <c r="O147" s="63" t="str">
        <f t="shared" ca="1" si="39"/>
        <v>N/A</v>
      </c>
      <c r="P147" s="63" t="str">
        <f t="shared" ca="1" si="39"/>
        <v>N/A</v>
      </c>
      <c r="Q147" s="63" t="str">
        <f t="shared" ca="1" si="39"/>
        <v>N/A</v>
      </c>
      <c r="R147" s="63" t="str">
        <f t="shared" ca="1" si="39"/>
        <v>N/A</v>
      </c>
      <c r="S147" s="63"/>
      <c r="T147" s="17"/>
      <c r="U147" s="17"/>
      <c r="V147" s="17"/>
    </row>
    <row r="148" spans="1:22" hidden="1">
      <c r="A148" s="51">
        <f t="shared" si="32"/>
        <v>0</v>
      </c>
      <c r="B148" s="46" t="e">
        <f t="shared" ca="1" si="33"/>
        <v>#N/A</v>
      </c>
      <c r="C148" s="1" t="str">
        <f>IF(ISERROR(D148),"",IF(D148="","",MAX($C$121:C147)+1))</f>
        <v/>
      </c>
      <c r="D148" t="e">
        <f t="shared" si="34"/>
        <v>#N/A</v>
      </c>
      <c r="E148" s="22"/>
      <c r="F148" s="63" t="e">
        <f t="shared" ca="1" si="37"/>
        <v>#DIV/0!</v>
      </c>
      <c r="G148" s="63" t="str">
        <f t="shared" si="35"/>
        <v>N/A</v>
      </c>
      <c r="H148" s="63" t="str">
        <f ca="1">IFERROR(VLOOKUP($A148,LASTYR,'2016'!$P$3,FALSE),"N/A")</f>
        <v>N/A</v>
      </c>
      <c r="I148" s="63" t="str">
        <f t="shared" ca="1" si="39"/>
        <v>N/A</v>
      </c>
      <c r="J148" s="63" t="str">
        <f t="shared" ca="1" si="39"/>
        <v>N/A</v>
      </c>
      <c r="K148" s="63" t="str">
        <f t="shared" ca="1" si="39"/>
        <v>N/A</v>
      </c>
      <c r="L148" s="63" t="str">
        <f t="shared" ca="1" si="39"/>
        <v>N/A</v>
      </c>
      <c r="M148" s="63" t="str">
        <f t="shared" ca="1" si="39"/>
        <v>N/A</v>
      </c>
      <c r="N148" s="63" t="str">
        <f t="shared" ca="1" si="39"/>
        <v>N/A</v>
      </c>
      <c r="O148" s="63" t="str">
        <f t="shared" ca="1" si="39"/>
        <v>N/A</v>
      </c>
      <c r="P148" s="63" t="str">
        <f t="shared" ca="1" si="39"/>
        <v>N/A</v>
      </c>
      <c r="Q148" s="63" t="str">
        <f t="shared" ca="1" si="39"/>
        <v>N/A</v>
      </c>
      <c r="R148" s="63" t="str">
        <f t="shared" ca="1" si="39"/>
        <v>N/A</v>
      </c>
      <c r="S148" s="63"/>
      <c r="T148" s="17"/>
      <c r="U148" s="17"/>
      <c r="V148" s="17"/>
    </row>
    <row r="149" spans="1:22" hidden="1">
      <c r="A149" s="51">
        <f t="shared" si="32"/>
        <v>0</v>
      </c>
      <c r="B149" s="46" t="e">
        <f t="shared" ca="1" si="33"/>
        <v>#N/A</v>
      </c>
      <c r="C149" s="1" t="str">
        <f>IF(ISERROR(D149),"",IF(D149="","",MAX($C$121:C148)+1))</f>
        <v/>
      </c>
      <c r="D149" t="e">
        <f t="shared" si="34"/>
        <v>#N/A</v>
      </c>
      <c r="E149" s="22"/>
      <c r="F149" s="63" t="e">
        <f t="shared" ca="1" si="37"/>
        <v>#DIV/0!</v>
      </c>
      <c r="G149" s="63" t="str">
        <f t="shared" si="35"/>
        <v>N/A</v>
      </c>
      <c r="H149" s="63" t="str">
        <f ca="1">IFERROR(VLOOKUP($A149,LASTYR,'2016'!$P$3,FALSE),"N/A")</f>
        <v>N/A</v>
      </c>
      <c r="I149" s="63" t="str">
        <f t="shared" ca="1" si="39"/>
        <v>N/A</v>
      </c>
      <c r="J149" s="63" t="str">
        <f t="shared" ca="1" si="39"/>
        <v>N/A</v>
      </c>
      <c r="K149" s="63" t="str">
        <f t="shared" ca="1" si="39"/>
        <v>N/A</v>
      </c>
      <c r="L149" s="63" t="str">
        <f t="shared" ca="1" si="39"/>
        <v>N/A</v>
      </c>
      <c r="M149" s="63" t="str">
        <f t="shared" ca="1" si="39"/>
        <v>N/A</v>
      </c>
      <c r="N149" s="63" t="str">
        <f t="shared" ca="1" si="39"/>
        <v>N/A</v>
      </c>
      <c r="O149" s="63" t="str">
        <f t="shared" ca="1" si="39"/>
        <v>N/A</v>
      </c>
      <c r="P149" s="63" t="str">
        <f t="shared" ca="1" si="39"/>
        <v>N/A</v>
      </c>
      <c r="Q149" s="63" t="str">
        <f t="shared" ca="1" si="39"/>
        <v>N/A</v>
      </c>
      <c r="R149" s="63" t="str">
        <f t="shared" ca="1" si="39"/>
        <v>N/A</v>
      </c>
      <c r="S149" s="63"/>
      <c r="T149" s="17"/>
      <c r="U149" s="17"/>
      <c r="V149" s="17"/>
    </row>
    <row r="150" spans="1:22" hidden="1">
      <c r="A150" s="51">
        <f t="shared" si="32"/>
        <v>0</v>
      </c>
      <c r="B150" s="46" t="e">
        <f t="shared" ca="1" si="33"/>
        <v>#N/A</v>
      </c>
      <c r="C150" s="1" t="str">
        <f>IF(ISERROR(D150),"",IF(D150="","",MAX($C$121:C149)+1))</f>
        <v/>
      </c>
      <c r="D150" t="e">
        <f t="shared" si="34"/>
        <v>#N/A</v>
      </c>
      <c r="E150" s="22"/>
      <c r="F150" s="63" t="e">
        <f t="shared" ca="1" si="37"/>
        <v>#DIV/0!</v>
      </c>
      <c r="G150" s="63" t="str">
        <f t="shared" si="35"/>
        <v>N/A</v>
      </c>
      <c r="H150" s="63" t="str">
        <f ca="1">IFERROR(VLOOKUP($A150,LASTYR,'2016'!$P$3,FALSE),"N/A")</f>
        <v>N/A</v>
      </c>
      <c r="I150" s="63" t="str">
        <f t="shared" ca="1" si="39"/>
        <v>N/A</v>
      </c>
      <c r="J150" s="63" t="str">
        <f t="shared" ca="1" si="39"/>
        <v>N/A</v>
      </c>
      <c r="K150" s="63" t="str">
        <f t="shared" ca="1" si="39"/>
        <v>N/A</v>
      </c>
      <c r="L150" s="63" t="str">
        <f t="shared" ca="1" si="39"/>
        <v>N/A</v>
      </c>
      <c r="M150" s="63" t="str">
        <f t="shared" ca="1" si="39"/>
        <v>N/A</v>
      </c>
      <c r="N150" s="63" t="str">
        <f t="shared" ca="1" si="39"/>
        <v>N/A</v>
      </c>
      <c r="O150" s="63" t="str">
        <f t="shared" ca="1" si="39"/>
        <v>N/A</v>
      </c>
      <c r="P150" s="63" t="str">
        <f t="shared" ca="1" si="39"/>
        <v>N/A</v>
      </c>
      <c r="Q150" s="63" t="str">
        <f t="shared" ca="1" si="39"/>
        <v>N/A</v>
      </c>
      <c r="R150" s="63" t="str">
        <f t="shared" ca="1" si="39"/>
        <v>N/A</v>
      </c>
      <c r="S150" s="63"/>
      <c r="T150" s="17"/>
      <c r="U150" s="17"/>
      <c r="V150" s="17"/>
    </row>
    <row r="151" spans="1:22" hidden="1">
      <c r="A151" s="51">
        <f t="shared" si="32"/>
        <v>0</v>
      </c>
      <c r="B151" s="46" t="e">
        <f t="shared" ca="1" si="33"/>
        <v>#N/A</v>
      </c>
      <c r="C151" s="1" t="str">
        <f>IF(ISERROR(D151),"",IF(D151="","",MAX($C$121:C150)+1))</f>
        <v/>
      </c>
      <c r="D151" t="e">
        <f t="shared" si="34"/>
        <v>#N/A</v>
      </c>
      <c r="E151" s="22"/>
      <c r="F151" s="63" t="e">
        <f t="shared" ca="1" si="37"/>
        <v>#DIV/0!</v>
      </c>
      <c r="G151" s="63" t="str">
        <f t="shared" si="35"/>
        <v>N/A</v>
      </c>
      <c r="H151" s="63" t="str">
        <f ca="1">IFERROR(VLOOKUP($A151,LASTYR,'2016'!$P$3,FALSE),"N/A")</f>
        <v>N/A</v>
      </c>
      <c r="I151" s="63" t="str">
        <f t="shared" ca="1" si="39"/>
        <v>N/A</v>
      </c>
      <c r="J151" s="63" t="str">
        <f t="shared" ca="1" si="39"/>
        <v>N/A</v>
      </c>
      <c r="K151" s="63" t="str">
        <f t="shared" ca="1" si="39"/>
        <v>N/A</v>
      </c>
      <c r="L151" s="63" t="str">
        <f t="shared" ca="1" si="39"/>
        <v>N/A</v>
      </c>
      <c r="M151" s="63" t="str">
        <f t="shared" ca="1" si="39"/>
        <v>N/A</v>
      </c>
      <c r="N151" s="63" t="str">
        <f t="shared" ca="1" si="39"/>
        <v>N/A</v>
      </c>
      <c r="O151" s="63" t="str">
        <f t="shared" ca="1" si="39"/>
        <v>N/A</v>
      </c>
      <c r="P151" s="63" t="str">
        <f t="shared" ca="1" si="39"/>
        <v>N/A</v>
      </c>
      <c r="Q151" s="63" t="str">
        <f t="shared" ca="1" si="39"/>
        <v>N/A</v>
      </c>
      <c r="R151" s="63" t="str">
        <f t="shared" ca="1" si="39"/>
        <v>N/A</v>
      </c>
      <c r="S151" s="63"/>
      <c r="T151" s="17"/>
      <c r="U151" s="17"/>
      <c r="V151" s="17"/>
    </row>
    <row r="152" spans="1:22" hidden="1">
      <c r="A152" s="51">
        <f t="shared" si="32"/>
        <v>0</v>
      </c>
      <c r="B152" s="46" t="e">
        <f t="shared" ca="1" si="33"/>
        <v>#N/A</v>
      </c>
      <c r="C152" s="1" t="str">
        <f>IF(ISERROR(D152),"",IF(D152="","",MAX($C$121:C151)+1))</f>
        <v/>
      </c>
      <c r="D152" t="e">
        <f t="shared" si="34"/>
        <v>#N/A</v>
      </c>
      <c r="E152" s="22"/>
      <c r="F152" s="63" t="e">
        <f t="shared" ca="1" si="37"/>
        <v>#DIV/0!</v>
      </c>
      <c r="G152" s="63" t="str">
        <f t="shared" si="35"/>
        <v>N/A</v>
      </c>
      <c r="H152" s="63" t="str">
        <f ca="1">IFERROR(VLOOKUP($A152,LASTYR,'2016'!$P$3,FALSE),"N/A")</f>
        <v>N/A</v>
      </c>
      <c r="I152" s="63" t="str">
        <f t="shared" ca="1" si="39"/>
        <v>N/A</v>
      </c>
      <c r="J152" s="63" t="str">
        <f t="shared" ca="1" si="39"/>
        <v>N/A</v>
      </c>
      <c r="K152" s="63" t="str">
        <f t="shared" ca="1" si="39"/>
        <v>N/A</v>
      </c>
      <c r="L152" s="63" t="str">
        <f t="shared" ca="1" si="39"/>
        <v>N/A</v>
      </c>
      <c r="M152" s="63" t="str">
        <f t="shared" ca="1" si="39"/>
        <v>N/A</v>
      </c>
      <c r="N152" s="63" t="str">
        <f t="shared" ca="1" si="39"/>
        <v>N/A</v>
      </c>
      <c r="O152" s="63" t="str">
        <f t="shared" ca="1" si="39"/>
        <v>N/A</v>
      </c>
      <c r="P152" s="63" t="str">
        <f t="shared" ca="1" si="39"/>
        <v>N/A</v>
      </c>
      <c r="Q152" s="63" t="str">
        <f t="shared" ca="1" si="39"/>
        <v>N/A</v>
      </c>
      <c r="R152" s="63" t="str">
        <f t="shared" ca="1" si="39"/>
        <v>N/A</v>
      </c>
      <c r="S152" s="63"/>
      <c r="T152" s="17"/>
      <c r="U152" s="17"/>
      <c r="V152" s="17"/>
    </row>
    <row r="153" spans="1:22" hidden="1">
      <c r="A153" s="51">
        <f t="shared" si="32"/>
        <v>0</v>
      </c>
      <c r="B153" s="46" t="e">
        <f t="shared" ca="1" si="33"/>
        <v>#N/A</v>
      </c>
      <c r="C153" s="1" t="str">
        <f>IF(ISERROR(D153),"",IF(D153="","",MAX($C$121:C152)+1))</f>
        <v/>
      </c>
      <c r="D153" t="e">
        <f t="shared" si="34"/>
        <v>#N/A</v>
      </c>
      <c r="E153" s="22"/>
      <c r="F153" s="63" t="e">
        <f t="shared" ca="1" si="37"/>
        <v>#DIV/0!</v>
      </c>
      <c r="G153" s="63" t="str">
        <f t="shared" si="35"/>
        <v>N/A</v>
      </c>
      <c r="H153" s="63" t="str">
        <f ca="1">IFERROR(VLOOKUP($A153,LASTYR,'2016'!$P$3,FALSE),"N/A")</f>
        <v>N/A</v>
      </c>
      <c r="I153" s="63" t="str">
        <f t="shared" ref="I153:R167" ca="1" si="40">IFERROR(IF(INDEX(CF_CAP_WP,$B153,I$122)=0,"N/A",INDEX(CF_CAP_WP,$B153,I$122)),"N/A")</f>
        <v>N/A</v>
      </c>
      <c r="J153" s="63" t="str">
        <f t="shared" ca="1" si="40"/>
        <v>N/A</v>
      </c>
      <c r="K153" s="63" t="str">
        <f t="shared" ca="1" si="40"/>
        <v>N/A</v>
      </c>
      <c r="L153" s="63" t="str">
        <f t="shared" ca="1" si="40"/>
        <v>N/A</v>
      </c>
      <c r="M153" s="63" t="str">
        <f t="shared" ca="1" si="40"/>
        <v>N/A</v>
      </c>
      <c r="N153" s="63" t="str">
        <f t="shared" ca="1" si="40"/>
        <v>N/A</v>
      </c>
      <c r="O153" s="63" t="str">
        <f t="shared" ca="1" si="40"/>
        <v>N/A</v>
      </c>
      <c r="P153" s="63" t="str">
        <f t="shared" ca="1" si="40"/>
        <v>N/A</v>
      </c>
      <c r="Q153" s="63" t="str">
        <f t="shared" ca="1" si="40"/>
        <v>N/A</v>
      </c>
      <c r="R153" s="63" t="str">
        <f t="shared" ca="1" si="40"/>
        <v>N/A</v>
      </c>
      <c r="S153" s="63"/>
      <c r="T153" s="17"/>
      <c r="U153" s="17"/>
      <c r="V153" s="17"/>
    </row>
    <row r="154" spans="1:22" hidden="1">
      <c r="A154" s="51">
        <f t="shared" si="32"/>
        <v>0</v>
      </c>
      <c r="B154" s="46" t="e">
        <f t="shared" ca="1" si="33"/>
        <v>#N/A</v>
      </c>
      <c r="C154" s="1" t="str">
        <f>IF(ISERROR(D154),"",IF(D154="","",MAX($C$121:C153)+1))</f>
        <v/>
      </c>
      <c r="D154" t="e">
        <f t="shared" si="34"/>
        <v>#N/A</v>
      </c>
      <c r="E154" s="22"/>
      <c r="F154" s="63" t="e">
        <f t="shared" ca="1" si="37"/>
        <v>#DIV/0!</v>
      </c>
      <c r="G154" s="63" t="str">
        <f t="shared" si="35"/>
        <v>N/A</v>
      </c>
      <c r="H154" s="63" t="str">
        <f ca="1">IFERROR(VLOOKUP($A154,LASTYR,'2016'!$P$3,FALSE),"N/A")</f>
        <v>N/A</v>
      </c>
      <c r="I154" s="63" t="str">
        <f t="shared" ca="1" si="40"/>
        <v>N/A</v>
      </c>
      <c r="J154" s="63" t="str">
        <f t="shared" ca="1" si="40"/>
        <v>N/A</v>
      </c>
      <c r="K154" s="63" t="str">
        <f t="shared" ca="1" si="40"/>
        <v>N/A</v>
      </c>
      <c r="L154" s="63" t="str">
        <f t="shared" ca="1" si="40"/>
        <v>N/A</v>
      </c>
      <c r="M154" s="63" t="str">
        <f t="shared" ca="1" si="40"/>
        <v>N/A</v>
      </c>
      <c r="N154" s="63" t="str">
        <f t="shared" ca="1" si="40"/>
        <v>N/A</v>
      </c>
      <c r="O154" s="63" t="str">
        <f t="shared" ca="1" si="40"/>
        <v>N/A</v>
      </c>
      <c r="P154" s="63" t="str">
        <f t="shared" ca="1" si="40"/>
        <v>N/A</v>
      </c>
      <c r="Q154" s="63" t="str">
        <f t="shared" ca="1" si="40"/>
        <v>N/A</v>
      </c>
      <c r="R154" s="63" t="str">
        <f t="shared" ca="1" si="40"/>
        <v>N/A</v>
      </c>
      <c r="S154" s="63"/>
      <c r="T154" s="17"/>
      <c r="U154" s="17"/>
      <c r="V154" s="17"/>
    </row>
    <row r="155" spans="1:22" hidden="1">
      <c r="A155" s="51">
        <f t="shared" si="32"/>
        <v>0</v>
      </c>
      <c r="B155" s="46" t="e">
        <f t="shared" ca="1" si="33"/>
        <v>#N/A</v>
      </c>
      <c r="C155" s="1" t="str">
        <f>IF(ISERROR(D155),"",IF(D155="","",MAX($C$121:C154)+1))</f>
        <v/>
      </c>
      <c r="D155" t="e">
        <f t="shared" si="34"/>
        <v>#N/A</v>
      </c>
      <c r="E155" s="22"/>
      <c r="F155" s="63" t="e">
        <f t="shared" ca="1" si="37"/>
        <v>#DIV/0!</v>
      </c>
      <c r="G155" s="63" t="str">
        <f t="shared" si="35"/>
        <v>N/A</v>
      </c>
      <c r="H155" s="63" t="str">
        <f ca="1">IFERROR(VLOOKUP($A155,LASTYR,'2016'!$P$3,FALSE),"N/A")</f>
        <v>N/A</v>
      </c>
      <c r="I155" s="63" t="str">
        <f t="shared" ca="1" si="40"/>
        <v>N/A</v>
      </c>
      <c r="J155" s="63" t="str">
        <f t="shared" ca="1" si="40"/>
        <v>N/A</v>
      </c>
      <c r="K155" s="63" t="str">
        <f t="shared" ca="1" si="40"/>
        <v>N/A</v>
      </c>
      <c r="L155" s="63" t="str">
        <f t="shared" ca="1" si="40"/>
        <v>N/A</v>
      </c>
      <c r="M155" s="63" t="str">
        <f t="shared" ca="1" si="40"/>
        <v>N/A</v>
      </c>
      <c r="N155" s="63" t="str">
        <f t="shared" ca="1" si="40"/>
        <v>N/A</v>
      </c>
      <c r="O155" s="63" t="str">
        <f t="shared" ca="1" si="40"/>
        <v>N/A</v>
      </c>
      <c r="P155" s="63" t="str">
        <f t="shared" ca="1" si="40"/>
        <v>N/A</v>
      </c>
      <c r="Q155" s="63" t="str">
        <f t="shared" ca="1" si="40"/>
        <v>N/A</v>
      </c>
      <c r="R155" s="63" t="str">
        <f t="shared" ca="1" si="40"/>
        <v>N/A</v>
      </c>
      <c r="S155" s="63"/>
      <c r="T155" s="17"/>
      <c r="U155" s="17"/>
      <c r="V155" s="17"/>
    </row>
    <row r="156" spans="1:22" hidden="1">
      <c r="A156" s="51">
        <f t="shared" si="32"/>
        <v>0</v>
      </c>
      <c r="B156" s="46" t="e">
        <f t="shared" ca="1" si="33"/>
        <v>#N/A</v>
      </c>
      <c r="C156" s="1" t="str">
        <f>IF(ISERROR(D156),"",IF(D156="","",MAX($C$121:C155)+1))</f>
        <v/>
      </c>
      <c r="D156" t="e">
        <f t="shared" si="34"/>
        <v>#N/A</v>
      </c>
      <c r="E156" s="22"/>
      <c r="F156" s="63" t="e">
        <f t="shared" ca="1" si="37"/>
        <v>#DIV/0!</v>
      </c>
      <c r="G156" s="63" t="str">
        <f t="shared" si="35"/>
        <v>N/A</v>
      </c>
      <c r="H156" s="63" t="str">
        <f ca="1">IFERROR(VLOOKUP($A156,LASTYR,'2016'!$P$3,FALSE),"N/A")</f>
        <v>N/A</v>
      </c>
      <c r="I156" s="63" t="str">
        <f t="shared" ca="1" si="40"/>
        <v>N/A</v>
      </c>
      <c r="J156" s="63" t="str">
        <f t="shared" ca="1" si="40"/>
        <v>N/A</v>
      </c>
      <c r="K156" s="63" t="str">
        <f t="shared" ca="1" si="40"/>
        <v>N/A</v>
      </c>
      <c r="L156" s="63" t="str">
        <f t="shared" ca="1" si="40"/>
        <v>N/A</v>
      </c>
      <c r="M156" s="63" t="str">
        <f t="shared" ca="1" si="40"/>
        <v>N/A</v>
      </c>
      <c r="N156" s="63" t="str">
        <f t="shared" ca="1" si="40"/>
        <v>N/A</v>
      </c>
      <c r="O156" s="63" t="str">
        <f t="shared" ca="1" si="40"/>
        <v>N/A</v>
      </c>
      <c r="P156" s="63" t="str">
        <f t="shared" ca="1" si="40"/>
        <v>N/A</v>
      </c>
      <c r="Q156" s="63" t="str">
        <f t="shared" ca="1" si="40"/>
        <v>N/A</v>
      </c>
      <c r="R156" s="63" t="str">
        <f t="shared" ca="1" si="40"/>
        <v>N/A</v>
      </c>
      <c r="S156" s="63"/>
      <c r="T156" s="17"/>
      <c r="U156" s="17"/>
      <c r="V156" s="17"/>
    </row>
    <row r="157" spans="1:22" hidden="1">
      <c r="A157" s="51">
        <f t="shared" si="32"/>
        <v>0</v>
      </c>
      <c r="B157" s="46" t="e">
        <f t="shared" ca="1" si="33"/>
        <v>#N/A</v>
      </c>
      <c r="C157" s="1" t="str">
        <f>IF(ISERROR(D157),"",IF(D157="","",MAX($C$121:C156)+1))</f>
        <v/>
      </c>
      <c r="D157" t="e">
        <f t="shared" si="34"/>
        <v>#N/A</v>
      </c>
      <c r="E157" s="22"/>
      <c r="F157" s="63" t="e">
        <f t="shared" ca="1" si="37"/>
        <v>#DIV/0!</v>
      </c>
      <c r="G157" s="63" t="str">
        <f t="shared" si="35"/>
        <v>N/A</v>
      </c>
      <c r="H157" s="63" t="str">
        <f ca="1">IFERROR(VLOOKUP($A157,LASTYR,'2016'!$P$3,FALSE),"N/A")</f>
        <v>N/A</v>
      </c>
      <c r="I157" s="63" t="str">
        <f t="shared" ca="1" si="40"/>
        <v>N/A</v>
      </c>
      <c r="J157" s="63" t="str">
        <f t="shared" ca="1" si="40"/>
        <v>N/A</v>
      </c>
      <c r="K157" s="63" t="str">
        <f t="shared" ca="1" si="40"/>
        <v>N/A</v>
      </c>
      <c r="L157" s="63" t="str">
        <f t="shared" ca="1" si="40"/>
        <v>N/A</v>
      </c>
      <c r="M157" s="63" t="str">
        <f t="shared" ca="1" si="40"/>
        <v>N/A</v>
      </c>
      <c r="N157" s="63" t="str">
        <f t="shared" ca="1" si="40"/>
        <v>N/A</v>
      </c>
      <c r="O157" s="63" t="str">
        <f t="shared" ca="1" si="40"/>
        <v>N/A</v>
      </c>
      <c r="P157" s="63" t="str">
        <f t="shared" ca="1" si="40"/>
        <v>N/A</v>
      </c>
      <c r="Q157" s="63" t="str">
        <f t="shared" ca="1" si="40"/>
        <v>N/A</v>
      </c>
      <c r="R157" s="63" t="str">
        <f t="shared" ca="1" si="40"/>
        <v>N/A</v>
      </c>
      <c r="S157" s="63"/>
      <c r="T157" s="17"/>
      <c r="U157" s="17"/>
      <c r="V157" s="17"/>
    </row>
    <row r="158" spans="1:22" hidden="1">
      <c r="A158" s="51">
        <f t="shared" si="32"/>
        <v>0</v>
      </c>
      <c r="B158" s="46" t="e">
        <f t="shared" ca="1" si="33"/>
        <v>#N/A</v>
      </c>
      <c r="C158" s="1" t="str">
        <f>IF(ISERROR(D158),"",IF(D158="","",MAX($C$121:C157)+1))</f>
        <v/>
      </c>
      <c r="D158" t="e">
        <f t="shared" si="34"/>
        <v>#N/A</v>
      </c>
      <c r="E158" s="22"/>
      <c r="F158" s="63" t="e">
        <f t="shared" ca="1" si="37"/>
        <v>#DIV/0!</v>
      </c>
      <c r="G158" s="63" t="str">
        <f t="shared" si="35"/>
        <v>N/A</v>
      </c>
      <c r="H158" s="63" t="str">
        <f ca="1">IFERROR(VLOOKUP($A158,LASTYR,'2016'!$P$3,FALSE),"N/A")</f>
        <v>N/A</v>
      </c>
      <c r="I158" s="63" t="str">
        <f t="shared" ca="1" si="40"/>
        <v>N/A</v>
      </c>
      <c r="J158" s="63" t="str">
        <f t="shared" ca="1" si="40"/>
        <v>N/A</v>
      </c>
      <c r="K158" s="63" t="str">
        <f t="shared" ca="1" si="40"/>
        <v>N/A</v>
      </c>
      <c r="L158" s="63" t="str">
        <f t="shared" ca="1" si="40"/>
        <v>N/A</v>
      </c>
      <c r="M158" s="63" t="str">
        <f t="shared" ca="1" si="40"/>
        <v>N/A</v>
      </c>
      <c r="N158" s="63" t="str">
        <f t="shared" ca="1" si="40"/>
        <v>N/A</v>
      </c>
      <c r="O158" s="63" t="str">
        <f t="shared" ca="1" si="40"/>
        <v>N/A</v>
      </c>
      <c r="P158" s="63" t="str">
        <f t="shared" ca="1" si="40"/>
        <v>N/A</v>
      </c>
      <c r="Q158" s="63" t="str">
        <f t="shared" ca="1" si="40"/>
        <v>N/A</v>
      </c>
      <c r="R158" s="63" t="str">
        <f t="shared" ca="1" si="40"/>
        <v>N/A</v>
      </c>
      <c r="S158" s="63"/>
      <c r="T158" s="17"/>
      <c r="U158" s="17"/>
      <c r="V158" s="17"/>
    </row>
    <row r="159" spans="1:22" hidden="1">
      <c r="A159" s="51">
        <f t="shared" si="32"/>
        <v>0</v>
      </c>
      <c r="B159" s="46" t="e">
        <f t="shared" ca="1" si="33"/>
        <v>#N/A</v>
      </c>
      <c r="C159" s="1" t="str">
        <f>IF(ISERROR(D159),"",IF(D159="","",MAX($C$121:C158)+1))</f>
        <v/>
      </c>
      <c r="D159" t="e">
        <f t="shared" si="34"/>
        <v>#N/A</v>
      </c>
      <c r="E159" s="22"/>
      <c r="F159" s="63" t="e">
        <f t="shared" ca="1" si="37"/>
        <v>#DIV/0!</v>
      </c>
      <c r="G159" s="63" t="str">
        <f t="shared" si="35"/>
        <v>N/A</v>
      </c>
      <c r="H159" s="63" t="str">
        <f ca="1">IFERROR(VLOOKUP($A159,LASTYR,'2016'!$P$3,FALSE),"N/A")</f>
        <v>N/A</v>
      </c>
      <c r="I159" s="63" t="str">
        <f t="shared" ca="1" si="40"/>
        <v>N/A</v>
      </c>
      <c r="J159" s="63" t="str">
        <f t="shared" ca="1" si="40"/>
        <v>N/A</v>
      </c>
      <c r="K159" s="63" t="str">
        <f t="shared" ca="1" si="40"/>
        <v>N/A</v>
      </c>
      <c r="L159" s="63" t="str">
        <f t="shared" ca="1" si="40"/>
        <v>N/A</v>
      </c>
      <c r="M159" s="63" t="str">
        <f t="shared" ca="1" si="40"/>
        <v>N/A</v>
      </c>
      <c r="N159" s="63" t="str">
        <f t="shared" ca="1" si="40"/>
        <v>N/A</v>
      </c>
      <c r="O159" s="63" t="str">
        <f t="shared" ca="1" si="40"/>
        <v>N/A</v>
      </c>
      <c r="P159" s="63" t="str">
        <f t="shared" ca="1" si="40"/>
        <v>N/A</v>
      </c>
      <c r="Q159" s="63" t="str">
        <f t="shared" ca="1" si="40"/>
        <v>N/A</v>
      </c>
      <c r="R159" s="63" t="str">
        <f t="shared" ca="1" si="40"/>
        <v>N/A</v>
      </c>
      <c r="S159" s="63"/>
      <c r="T159" s="17"/>
      <c r="U159" s="17"/>
      <c r="V159" s="17"/>
    </row>
    <row r="160" spans="1:22" hidden="1">
      <c r="A160" s="51">
        <f t="shared" si="32"/>
        <v>0</v>
      </c>
      <c r="B160" s="46" t="e">
        <f t="shared" ca="1" si="33"/>
        <v>#N/A</v>
      </c>
      <c r="C160" s="1" t="str">
        <f>IF(ISERROR(D160),"",IF(D160="","",MAX($C$121:C159)+1))</f>
        <v/>
      </c>
      <c r="D160" t="e">
        <f t="shared" si="34"/>
        <v>#N/A</v>
      </c>
      <c r="E160" s="22"/>
      <c r="F160" s="63" t="e">
        <f t="shared" ca="1" si="37"/>
        <v>#DIV/0!</v>
      </c>
      <c r="G160" s="63" t="str">
        <f t="shared" si="35"/>
        <v>N/A</v>
      </c>
      <c r="H160" s="63" t="str">
        <f ca="1">IFERROR(VLOOKUP($A160,LASTYR,'2016'!$P$3,FALSE),"N/A")</f>
        <v>N/A</v>
      </c>
      <c r="I160" s="63" t="str">
        <f t="shared" ca="1" si="40"/>
        <v>N/A</v>
      </c>
      <c r="J160" s="63" t="str">
        <f t="shared" ca="1" si="40"/>
        <v>N/A</v>
      </c>
      <c r="K160" s="63" t="str">
        <f t="shared" ca="1" si="40"/>
        <v>N/A</v>
      </c>
      <c r="L160" s="63" t="str">
        <f t="shared" ca="1" si="40"/>
        <v>N/A</v>
      </c>
      <c r="M160" s="63" t="str">
        <f t="shared" ca="1" si="40"/>
        <v>N/A</v>
      </c>
      <c r="N160" s="63" t="str">
        <f t="shared" ca="1" si="40"/>
        <v>N/A</v>
      </c>
      <c r="O160" s="63" t="str">
        <f t="shared" ca="1" si="40"/>
        <v>N/A</v>
      </c>
      <c r="P160" s="63" t="str">
        <f t="shared" ca="1" si="40"/>
        <v>N/A</v>
      </c>
      <c r="Q160" s="63" t="str">
        <f t="shared" ca="1" si="40"/>
        <v>N/A</v>
      </c>
      <c r="R160" s="63" t="str">
        <f t="shared" ca="1" si="40"/>
        <v>N/A</v>
      </c>
      <c r="S160" s="63"/>
      <c r="T160" s="17"/>
      <c r="U160" s="17"/>
      <c r="V160" s="17"/>
    </row>
    <row r="161" spans="1:22" hidden="1">
      <c r="A161" s="51">
        <f t="shared" si="32"/>
        <v>0</v>
      </c>
      <c r="B161" s="46" t="e">
        <f t="shared" ca="1" si="33"/>
        <v>#N/A</v>
      </c>
      <c r="C161" s="1" t="str">
        <f>IF(ISERROR(D161),"",IF(D161="","",MAX($C$121:C160)+1))</f>
        <v/>
      </c>
      <c r="D161" t="e">
        <f t="shared" si="34"/>
        <v>#N/A</v>
      </c>
      <c r="E161" s="22"/>
      <c r="F161" s="63" t="e">
        <f t="shared" ca="1" si="37"/>
        <v>#DIV/0!</v>
      </c>
      <c r="G161" s="63" t="str">
        <f t="shared" si="35"/>
        <v>N/A</v>
      </c>
      <c r="H161" s="63" t="str">
        <f ca="1">IFERROR(VLOOKUP($A161,LASTYR,'2016'!$P$3,FALSE),"N/A")</f>
        <v>N/A</v>
      </c>
      <c r="I161" s="63" t="str">
        <f t="shared" ca="1" si="40"/>
        <v>N/A</v>
      </c>
      <c r="J161" s="63" t="str">
        <f t="shared" ca="1" si="40"/>
        <v>N/A</v>
      </c>
      <c r="K161" s="63" t="str">
        <f t="shared" ca="1" si="40"/>
        <v>N/A</v>
      </c>
      <c r="L161" s="63" t="str">
        <f t="shared" ca="1" si="40"/>
        <v>N/A</v>
      </c>
      <c r="M161" s="63" t="str">
        <f t="shared" ca="1" si="40"/>
        <v>N/A</v>
      </c>
      <c r="N161" s="63" t="str">
        <f t="shared" ca="1" si="40"/>
        <v>N/A</v>
      </c>
      <c r="O161" s="63" t="str">
        <f t="shared" ca="1" si="40"/>
        <v>N/A</v>
      </c>
      <c r="P161" s="63" t="str">
        <f t="shared" ca="1" si="40"/>
        <v>N/A</v>
      </c>
      <c r="Q161" s="63" t="str">
        <f t="shared" ca="1" si="40"/>
        <v>N/A</v>
      </c>
      <c r="R161" s="63" t="str">
        <f t="shared" ca="1" si="40"/>
        <v>N/A</v>
      </c>
      <c r="S161" s="63"/>
      <c r="T161" s="17"/>
      <c r="U161" s="17"/>
      <c r="V161" s="17"/>
    </row>
    <row r="162" spans="1:22" hidden="1">
      <c r="A162" s="51">
        <f t="shared" si="32"/>
        <v>0</v>
      </c>
      <c r="B162" s="46" t="e">
        <f t="shared" ca="1" si="33"/>
        <v>#N/A</v>
      </c>
      <c r="C162" s="1" t="str">
        <f>IF(ISERROR(D162),"",IF(D162="","",MAX($C$121:C161)+1))</f>
        <v/>
      </c>
      <c r="D162" t="e">
        <f t="shared" si="34"/>
        <v>#N/A</v>
      </c>
      <c r="E162" s="22"/>
      <c r="F162" s="63" t="e">
        <f t="shared" ca="1" si="37"/>
        <v>#DIV/0!</v>
      </c>
      <c r="G162" s="63" t="str">
        <f t="shared" si="35"/>
        <v>N/A</v>
      </c>
      <c r="H162" s="63" t="str">
        <f ca="1">IFERROR(VLOOKUP($A162,LASTYR,'2016'!$P$3,FALSE),"N/A")</f>
        <v>N/A</v>
      </c>
      <c r="I162" s="63" t="str">
        <f t="shared" ca="1" si="40"/>
        <v>N/A</v>
      </c>
      <c r="J162" s="63" t="str">
        <f t="shared" ca="1" si="40"/>
        <v>N/A</v>
      </c>
      <c r="K162" s="63" t="str">
        <f t="shared" ca="1" si="40"/>
        <v>N/A</v>
      </c>
      <c r="L162" s="63" t="str">
        <f t="shared" ca="1" si="40"/>
        <v>N/A</v>
      </c>
      <c r="M162" s="63" t="str">
        <f t="shared" ca="1" si="40"/>
        <v>N/A</v>
      </c>
      <c r="N162" s="63" t="str">
        <f t="shared" ca="1" si="40"/>
        <v>N/A</v>
      </c>
      <c r="O162" s="63" t="str">
        <f t="shared" ca="1" si="40"/>
        <v>N/A</v>
      </c>
      <c r="P162" s="63" t="str">
        <f t="shared" ca="1" si="40"/>
        <v>N/A</v>
      </c>
      <c r="Q162" s="63" t="str">
        <f t="shared" ca="1" si="40"/>
        <v>N/A</v>
      </c>
      <c r="R162" s="63" t="str">
        <f t="shared" ca="1" si="40"/>
        <v>N/A</v>
      </c>
      <c r="S162" s="63"/>
      <c r="T162" s="17"/>
      <c r="U162" s="17"/>
      <c r="V162" s="17"/>
    </row>
    <row r="163" spans="1:22" hidden="1">
      <c r="A163" s="51">
        <f t="shared" si="32"/>
        <v>0</v>
      </c>
      <c r="B163" s="46" t="e">
        <f t="shared" ca="1" si="33"/>
        <v>#N/A</v>
      </c>
      <c r="C163" s="1" t="str">
        <f>IF(ISERROR(D163),"",IF(D163="","",MAX($C$121:C162)+1))</f>
        <v/>
      </c>
      <c r="D163" t="e">
        <f t="shared" si="34"/>
        <v>#N/A</v>
      </c>
      <c r="E163" s="22"/>
      <c r="F163" s="63" t="e">
        <f t="shared" ca="1" si="37"/>
        <v>#DIV/0!</v>
      </c>
      <c r="G163" s="63" t="str">
        <f t="shared" si="35"/>
        <v>N/A</v>
      </c>
      <c r="H163" s="63" t="str">
        <f ca="1">IFERROR(VLOOKUP($A163,LASTYR,'2016'!$P$3,FALSE),"N/A")</f>
        <v>N/A</v>
      </c>
      <c r="I163" s="63" t="str">
        <f t="shared" ca="1" si="40"/>
        <v>N/A</v>
      </c>
      <c r="J163" s="63" t="str">
        <f t="shared" ca="1" si="40"/>
        <v>N/A</v>
      </c>
      <c r="K163" s="63" t="str">
        <f t="shared" ca="1" si="40"/>
        <v>N/A</v>
      </c>
      <c r="L163" s="63" t="str">
        <f t="shared" ca="1" si="40"/>
        <v>N/A</v>
      </c>
      <c r="M163" s="63" t="str">
        <f t="shared" ca="1" si="40"/>
        <v>N/A</v>
      </c>
      <c r="N163" s="63" t="str">
        <f t="shared" ca="1" si="40"/>
        <v>N/A</v>
      </c>
      <c r="O163" s="63" t="str">
        <f t="shared" ca="1" si="40"/>
        <v>N/A</v>
      </c>
      <c r="P163" s="63" t="str">
        <f t="shared" ca="1" si="40"/>
        <v>N/A</v>
      </c>
      <c r="Q163" s="63" t="str">
        <f t="shared" ca="1" si="40"/>
        <v>N/A</v>
      </c>
      <c r="R163" s="63" t="str">
        <f t="shared" ca="1" si="40"/>
        <v>N/A</v>
      </c>
      <c r="S163" s="63"/>
      <c r="T163" s="17"/>
      <c r="U163" s="17"/>
      <c r="V163" s="17"/>
    </row>
    <row r="164" spans="1:22" hidden="1">
      <c r="A164" s="51">
        <f t="shared" si="32"/>
        <v>0</v>
      </c>
      <c r="B164" s="46" t="e">
        <f t="shared" ca="1" si="33"/>
        <v>#N/A</v>
      </c>
      <c r="C164" s="1" t="str">
        <f>IF(ISERROR(D164),"",IF(D164="","",MAX($C$121:C163)+1))</f>
        <v/>
      </c>
      <c r="D164" t="e">
        <f t="shared" si="34"/>
        <v>#N/A</v>
      </c>
      <c r="E164" s="22"/>
      <c r="F164" s="63" t="e">
        <f t="shared" ca="1" si="37"/>
        <v>#DIV/0!</v>
      </c>
      <c r="G164" s="63" t="str">
        <f t="shared" si="35"/>
        <v>N/A</v>
      </c>
      <c r="H164" s="63" t="str">
        <f ca="1">IFERROR(VLOOKUP($A164,LASTYR,'2016'!$P$3,FALSE),"N/A")</f>
        <v>N/A</v>
      </c>
      <c r="I164" s="63" t="str">
        <f t="shared" ca="1" si="40"/>
        <v>N/A</v>
      </c>
      <c r="J164" s="63" t="str">
        <f t="shared" ca="1" si="40"/>
        <v>N/A</v>
      </c>
      <c r="K164" s="63" t="str">
        <f t="shared" ca="1" si="40"/>
        <v>N/A</v>
      </c>
      <c r="L164" s="63" t="str">
        <f t="shared" ca="1" si="40"/>
        <v>N/A</v>
      </c>
      <c r="M164" s="63" t="str">
        <f t="shared" ca="1" si="40"/>
        <v>N/A</v>
      </c>
      <c r="N164" s="63" t="str">
        <f t="shared" ca="1" si="40"/>
        <v>N/A</v>
      </c>
      <c r="O164" s="63" t="str">
        <f t="shared" ca="1" si="40"/>
        <v>N/A</v>
      </c>
      <c r="P164" s="63" t="str">
        <f t="shared" ca="1" si="40"/>
        <v>N/A</v>
      </c>
      <c r="Q164" s="63" t="str">
        <f t="shared" ca="1" si="40"/>
        <v>N/A</v>
      </c>
      <c r="R164" s="63" t="str">
        <f t="shared" ca="1" si="40"/>
        <v>N/A</v>
      </c>
      <c r="S164" s="63"/>
      <c r="T164" s="17"/>
      <c r="U164" s="17"/>
      <c r="V164" s="17"/>
    </row>
    <row r="165" spans="1:22" hidden="1">
      <c r="A165" s="51">
        <f t="shared" si="32"/>
        <v>0</v>
      </c>
      <c r="B165" s="46" t="e">
        <f t="shared" ca="1" si="33"/>
        <v>#N/A</v>
      </c>
      <c r="C165" s="1" t="str">
        <f>IF(ISERROR(D165),"",IF(D165="","",MAX($C$121:C164)+1))</f>
        <v/>
      </c>
      <c r="D165" t="e">
        <f t="shared" si="34"/>
        <v>#N/A</v>
      </c>
      <c r="F165" s="63" t="e">
        <f t="shared" ca="1" si="37"/>
        <v>#DIV/0!</v>
      </c>
      <c r="G165" s="63" t="str">
        <f t="shared" si="35"/>
        <v>N/A</v>
      </c>
      <c r="H165" s="63" t="str">
        <f ca="1">IFERROR(VLOOKUP($A165,LASTYR,'2016'!$P$3,FALSE),"N/A")</f>
        <v>N/A</v>
      </c>
      <c r="I165" s="63" t="str">
        <f t="shared" ca="1" si="40"/>
        <v>N/A</v>
      </c>
      <c r="J165" s="63" t="str">
        <f t="shared" ca="1" si="40"/>
        <v>N/A</v>
      </c>
      <c r="K165" s="63" t="str">
        <f t="shared" ca="1" si="40"/>
        <v>N/A</v>
      </c>
      <c r="L165" s="63" t="str">
        <f t="shared" ca="1" si="40"/>
        <v>N/A</v>
      </c>
      <c r="M165" s="63" t="str">
        <f t="shared" ca="1" si="40"/>
        <v>N/A</v>
      </c>
      <c r="N165" s="63" t="str">
        <f t="shared" ca="1" si="40"/>
        <v>N/A</v>
      </c>
      <c r="O165" s="63" t="str">
        <f t="shared" ca="1" si="40"/>
        <v>N/A</v>
      </c>
      <c r="P165" s="63" t="str">
        <f t="shared" ca="1" si="40"/>
        <v>N/A</v>
      </c>
      <c r="Q165" s="63" t="str">
        <f t="shared" ca="1" si="40"/>
        <v>N/A</v>
      </c>
      <c r="R165" s="63" t="str">
        <f t="shared" ca="1" si="40"/>
        <v>N/A</v>
      </c>
      <c r="S165" s="63"/>
      <c r="T165" s="17"/>
      <c r="U165" s="17"/>
      <c r="V165" s="17"/>
    </row>
    <row r="166" spans="1:22" hidden="1">
      <c r="A166" s="51">
        <f t="shared" si="32"/>
        <v>0</v>
      </c>
      <c r="B166" s="46" t="e">
        <f t="shared" ca="1" si="33"/>
        <v>#N/A</v>
      </c>
      <c r="C166" s="1" t="str">
        <f>IF(ISERROR(D166),"",IF(D166="","",MAX($C$121:C165)+1))</f>
        <v/>
      </c>
      <c r="D166" t="e">
        <f t="shared" si="34"/>
        <v>#N/A</v>
      </c>
      <c r="F166" s="63" t="e">
        <f t="shared" ca="1" si="37"/>
        <v>#DIV/0!</v>
      </c>
      <c r="G166" s="63" t="str">
        <f t="shared" si="35"/>
        <v>N/A</v>
      </c>
      <c r="H166" s="63" t="str">
        <f ca="1">IFERROR(VLOOKUP($A166,LASTYR,'2016'!$P$3,FALSE),"N/A")</f>
        <v>N/A</v>
      </c>
      <c r="I166" s="63" t="str">
        <f t="shared" ca="1" si="40"/>
        <v>N/A</v>
      </c>
      <c r="J166" s="63" t="str">
        <f t="shared" ca="1" si="40"/>
        <v>N/A</v>
      </c>
      <c r="K166" s="63" t="str">
        <f t="shared" ca="1" si="40"/>
        <v>N/A</v>
      </c>
      <c r="L166" s="63" t="str">
        <f t="shared" ca="1" si="40"/>
        <v>N/A</v>
      </c>
      <c r="M166" s="63" t="str">
        <f t="shared" ca="1" si="40"/>
        <v>N/A</v>
      </c>
      <c r="N166" s="63" t="str">
        <f t="shared" ca="1" si="40"/>
        <v>N/A</v>
      </c>
      <c r="O166" s="63" t="str">
        <f t="shared" ca="1" si="40"/>
        <v>N/A</v>
      </c>
      <c r="P166" s="63" t="str">
        <f t="shared" ca="1" si="40"/>
        <v>N/A</v>
      </c>
      <c r="Q166" s="63" t="str">
        <f t="shared" ca="1" si="40"/>
        <v>N/A</v>
      </c>
      <c r="R166" s="63" t="str">
        <f t="shared" ca="1" si="40"/>
        <v>N/A</v>
      </c>
      <c r="S166" s="63"/>
      <c r="T166" s="17"/>
      <c r="U166" s="17"/>
      <c r="V166" s="17"/>
    </row>
    <row r="167" spans="1:22" hidden="1">
      <c r="A167" s="51">
        <f t="shared" si="32"/>
        <v>0</v>
      </c>
      <c r="B167" s="46" t="e">
        <f t="shared" ca="1" si="33"/>
        <v>#N/A</v>
      </c>
      <c r="C167" s="1" t="str">
        <f>IF(ISERROR(D167),"",IF(D167="","",MAX($C$121:C166)+1))</f>
        <v/>
      </c>
      <c r="D167" t="e">
        <f t="shared" si="34"/>
        <v>#N/A</v>
      </c>
      <c r="F167" s="63" t="e">
        <f t="shared" ca="1" si="37"/>
        <v>#DIV/0!</v>
      </c>
      <c r="G167" s="63" t="str">
        <f t="shared" si="35"/>
        <v>N/A</v>
      </c>
      <c r="H167" s="63" t="str">
        <f ca="1">IFERROR(VLOOKUP($A167,LASTYR,'2016'!$P$3,FALSE),"N/A")</f>
        <v>N/A</v>
      </c>
      <c r="I167" s="63" t="str">
        <f t="shared" ca="1" si="40"/>
        <v>N/A</v>
      </c>
      <c r="J167" s="63" t="str">
        <f t="shared" ca="1" si="40"/>
        <v>N/A</v>
      </c>
      <c r="K167" s="63" t="str">
        <f t="shared" ca="1" si="40"/>
        <v>N/A</v>
      </c>
      <c r="L167" s="63" t="str">
        <f t="shared" ca="1" si="40"/>
        <v>N/A</v>
      </c>
      <c r="M167" s="63" t="str">
        <f t="shared" ca="1" si="40"/>
        <v>N/A</v>
      </c>
      <c r="N167" s="63" t="str">
        <f t="shared" ca="1" si="40"/>
        <v>N/A</v>
      </c>
      <c r="O167" s="63" t="str">
        <f t="shared" ca="1" si="40"/>
        <v>N/A</v>
      </c>
      <c r="P167" s="63" t="str">
        <f t="shared" ca="1" si="40"/>
        <v>N/A</v>
      </c>
      <c r="Q167" s="63" t="str">
        <f t="shared" ca="1" si="40"/>
        <v>N/A</v>
      </c>
      <c r="R167" s="63" t="str">
        <f t="shared" ca="1" si="40"/>
        <v>N/A</v>
      </c>
      <c r="S167" s="63"/>
      <c r="T167" s="17"/>
      <c r="U167" s="17"/>
      <c r="V167" s="17"/>
    </row>
    <row r="168" spans="1:22">
      <c r="A168" s="31"/>
      <c r="B168" s="31"/>
      <c r="C168" s="1" t="str">
        <f>IF(ISERROR(D168),"",IF(D168="","",MAX($C$121:C167)+1))</f>
        <v/>
      </c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17"/>
      <c r="U168" s="17"/>
    </row>
    <row r="169" spans="1:22">
      <c r="A169" s="31"/>
      <c r="B169" s="31"/>
      <c r="C169" s="1">
        <f ca="1">IF(ISERROR(D169),"",IF(D169="","",MAX($C$121:C168)+1))</f>
        <v>12</v>
      </c>
      <c r="D169" t="s">
        <v>98</v>
      </c>
      <c r="F169" s="63">
        <f ca="1">AVERAGE(G169:R169)</f>
        <v>1.0433605693548798</v>
      </c>
      <c r="G169" s="63">
        <f t="shared" ref="G169:R169" si="41">AVERAGE(G123:G168)</f>
        <v>0.81684616553137812</v>
      </c>
      <c r="H169" s="63">
        <f t="shared" ca="1" si="41"/>
        <v>0.78797829349983772</v>
      </c>
      <c r="I169" s="63">
        <f t="shared" ca="1" si="41"/>
        <v>0.78725205090994654</v>
      </c>
      <c r="J169" s="63">
        <f t="shared" ca="1" si="41"/>
        <v>0.93788331709213857</v>
      </c>
      <c r="K169" s="63">
        <f t="shared" ca="1" si="41"/>
        <v>0.85764328406236534</v>
      </c>
      <c r="L169" s="63">
        <f t="shared" ca="1" si="41"/>
        <v>0.93933881624638749</v>
      </c>
      <c r="M169" s="63">
        <f t="shared" ca="1" si="41"/>
        <v>1.0742484874826261</v>
      </c>
      <c r="N169" s="63">
        <f t="shared" ca="1" si="41"/>
        <v>1.176057287724199</v>
      </c>
      <c r="O169" s="63">
        <f t="shared" ca="1" si="41"/>
        <v>1.308958894360146</v>
      </c>
      <c r="P169" s="63">
        <f t="shared" ca="1" si="41"/>
        <v>1.3518585443786082</v>
      </c>
      <c r="Q169" s="63">
        <f t="shared" ca="1" si="41"/>
        <v>1.2449020253784637</v>
      </c>
      <c r="R169" s="63">
        <f t="shared" ca="1" si="41"/>
        <v>1.2373596655924588</v>
      </c>
      <c r="S169" s="63"/>
      <c r="T169" s="17"/>
      <c r="U169" s="17"/>
      <c r="V169" s="17"/>
    </row>
    <row r="170" spans="1:22">
      <c r="A170" s="31"/>
      <c r="B170" s="31"/>
      <c r="C170" s="1">
        <f ca="1">IF(ISERROR(D170),"",IF(D170="","",MAX($C$121:C169)+1))</f>
        <v>13</v>
      </c>
      <c r="D170" t="s">
        <v>257</v>
      </c>
      <c r="F170" s="63">
        <f ca="1">AVERAGE(G170:R170)</f>
        <v>1.0186545709859831</v>
      </c>
      <c r="G170" s="63">
        <f>MEDIAN(G123:G168)</f>
        <v>0.84474885844748859</v>
      </c>
      <c r="H170" s="63">
        <f t="shared" ref="H170:R170" ca="1" si="42">MEDIAN(H123:H168)</f>
        <v>0.76472269868496279</v>
      </c>
      <c r="I170" s="63">
        <f t="shared" ca="1" si="42"/>
        <v>0.67207878626563744</v>
      </c>
      <c r="J170" s="63">
        <f t="shared" ca="1" si="42"/>
        <v>0.79277699859747552</v>
      </c>
      <c r="K170" s="63">
        <f t="shared" ca="1" si="42"/>
        <v>0.74489163356504462</v>
      </c>
      <c r="L170" s="63">
        <f t="shared" ca="1" si="42"/>
        <v>0.91580563733788267</v>
      </c>
      <c r="M170" s="63">
        <f t="shared" ca="1" si="42"/>
        <v>1.0718850882485169</v>
      </c>
      <c r="N170" s="63">
        <f t="shared" ca="1" si="42"/>
        <v>1.232386987203542</v>
      </c>
      <c r="O170" s="63">
        <f t="shared" ca="1" si="42"/>
        <v>1.208506805021345</v>
      </c>
      <c r="P170" s="63">
        <f t="shared" ca="1" si="42"/>
        <v>1.4785531232470188</v>
      </c>
      <c r="Q170" s="63">
        <f t="shared" ca="1" si="42"/>
        <v>1.1882474624502659</v>
      </c>
      <c r="R170" s="63">
        <f t="shared" ca="1" si="42"/>
        <v>1.3092507727626175</v>
      </c>
      <c r="S170" s="63"/>
      <c r="T170" s="17"/>
      <c r="U170" s="17"/>
      <c r="V170" s="17"/>
    </row>
    <row r="171" spans="1:22">
      <c r="A171" s="31"/>
      <c r="B171" s="31"/>
      <c r="C171" s="1"/>
    </row>
    <row r="172" spans="1:22">
      <c r="A172" s="31"/>
      <c r="B172" s="31"/>
      <c r="D172" s="18"/>
    </row>
    <row r="173" spans="1:22">
      <c r="A173" s="31"/>
      <c r="B173" s="31"/>
      <c r="D173" s="20" t="s">
        <v>107</v>
      </c>
    </row>
    <row r="174" spans="1:22" ht="16.5">
      <c r="A174" s="31"/>
      <c r="B174" s="31"/>
      <c r="D174" s="79">
        <v>1</v>
      </c>
      <c r="E174" s="21" t="str">
        <f>"The Value Line Investment Survey Investment Analyzer Software, downloaded on "&amp;TEXT('2016'!$A$1,"mmmm d, yyyy.")</f>
        <v>The Value Line Investment Survey Investment Analyzer Software, downloaded on June 21, 2017.</v>
      </c>
    </row>
    <row r="175" spans="1:22" ht="16.5">
      <c r="A175" s="31"/>
      <c r="B175" s="31"/>
      <c r="D175" s="79">
        <v>2</v>
      </c>
      <c r="E175" s="21" t="str">
        <f>"The Value Line Investment Survey, "&amp;'2017 Data (WP)'!$D$2</f>
        <v>The Value Line Investment Survey, September 1, 2017.</v>
      </c>
    </row>
    <row r="176" spans="1:22">
      <c r="A176" s="31"/>
      <c r="B176" s="31"/>
      <c r="D176" s="20" t="s">
        <v>336</v>
      </c>
    </row>
    <row r="177" spans="1:5" ht="16.5">
      <c r="A177" s="31"/>
      <c r="B177" s="31"/>
      <c r="D177" s="79" t="s">
        <v>362</v>
      </c>
      <c r="E177" s="21" t="str">
        <f>"Based on the projected 2017 Dividends Declared per share and Book Value per share, published in The Value Line Investment Survey, "&amp;'2017 Data (WP)'!$D$2</f>
        <v>Based on the projected 2017 Dividends Declared per share and Book Value per share, published in The Value Line Investment Survey, September 1, 2017.</v>
      </c>
    </row>
    <row r="178" spans="1:5" ht="16.5">
      <c r="A178" s="31"/>
      <c r="B178" s="31"/>
      <c r="D178" s="79" t="s">
        <v>363</v>
      </c>
      <c r="E178" s="21" t="str">
        <f>"Based on the projected 2017 Dividends Declared per share and Earnings per share, published in The Value Line Investment Survey, "&amp;'2017 Data (WP)'!$D$2</f>
        <v>Based on the projected 2017 Dividends Declared per share and Earnings per share, published in The Value Line Investment Survey, September 1, 2017.</v>
      </c>
    </row>
    <row r="179" spans="1:5" ht="16.5">
      <c r="A179" s="31"/>
      <c r="B179" s="31"/>
      <c r="D179" s="79" t="s">
        <v>364</v>
      </c>
      <c r="E179" s="21" t="str">
        <f>"Based on the projected 2017 Cash Flow per share and Capital Spending per share, published in The Value Line Investment Survey, "&amp;'2017 Data (WP)'!$D$2</f>
        <v>Based on the projected 2017 Cash Flow per share and Capital Spending per share, published in The Value Line Investment Survey, September 1, 2017.</v>
      </c>
    </row>
    <row r="180" spans="1:5">
      <c r="D180" s="23"/>
    </row>
  </sheetData>
  <mergeCells count="9">
    <mergeCell ref="D65:E65"/>
    <mergeCell ref="F118:V118"/>
    <mergeCell ref="D120:E120"/>
    <mergeCell ref="C1:V1"/>
    <mergeCell ref="C4:V4"/>
    <mergeCell ref="C5:V5"/>
    <mergeCell ref="F8:V8"/>
    <mergeCell ref="D10:E10"/>
    <mergeCell ref="F63:V63"/>
  </mergeCells>
  <printOptions horizontalCentered="1"/>
  <pageMargins left="0.7" right="0.7" top="1" bottom="0.75" header="0.55000000000000004" footer="0.51"/>
  <pageSetup scale="54" orientation="portrait" useFirstPageNumber="1" r:id="rId1"/>
  <headerFooter>
    <oddHeader>&amp;R&amp;20 Exhibit MPG-2
Page 4 of 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6"/>
  <sheetViews>
    <sheetView zoomScale="70" zoomScaleNormal="70" workbookViewId="0"/>
  </sheetViews>
  <sheetFormatPr defaultRowHeight="14.25"/>
  <cols>
    <col min="1" max="2" width="8" customWidth="1"/>
    <col min="3" max="3" width="4.75" bestFit="1" customWidth="1"/>
    <col min="4" max="4" width="1.75" customWidth="1"/>
    <col min="5" max="5" width="20.875" customWidth="1"/>
    <col min="6" max="18" width="9" customWidth="1"/>
  </cols>
  <sheetData>
    <row r="1" spans="1:18" ht="27.75">
      <c r="C1" s="140" t="s">
        <v>370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ht="20.25">
      <c r="C4" s="141" t="s">
        <v>382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ht="18">
      <c r="C5" s="142" t="s">
        <v>275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18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">
      <c r="C8" s="6"/>
      <c r="D8" s="7"/>
      <c r="E8" s="7"/>
      <c r="F8" s="143" t="s">
        <v>379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</row>
    <row r="9" spans="1:18" ht="15">
      <c r="A9" s="42" t="s">
        <v>99</v>
      </c>
      <c r="B9" s="42" t="s">
        <v>241</v>
      </c>
      <c r="C9" s="6"/>
      <c r="D9" s="7"/>
      <c r="E9" s="7"/>
      <c r="F9" s="8" t="s">
        <v>258</v>
      </c>
      <c r="G9" s="117">
        <v>2017</v>
      </c>
      <c r="H9" s="8"/>
      <c r="I9" s="8"/>
      <c r="J9" s="8"/>
      <c r="K9" s="8"/>
      <c r="L9" s="8"/>
      <c r="M9" s="7"/>
      <c r="N9" s="7"/>
      <c r="O9" s="7"/>
      <c r="P9" s="7"/>
      <c r="Q9" s="7"/>
      <c r="R9" s="7"/>
    </row>
    <row r="10" spans="1:18" ht="17.25">
      <c r="A10" s="42" t="s">
        <v>100</v>
      </c>
      <c r="B10" s="42" t="s">
        <v>242</v>
      </c>
      <c r="C10" s="9" t="s">
        <v>96</v>
      </c>
      <c r="D10" s="138" t="s">
        <v>97</v>
      </c>
      <c r="E10" s="138"/>
      <c r="F10" s="10" t="s">
        <v>98</v>
      </c>
      <c r="G10" s="41" t="s">
        <v>330</v>
      </c>
      <c r="H10" s="41">
        <v>2016</v>
      </c>
      <c r="I10" s="41">
        <v>2015</v>
      </c>
      <c r="J10" s="41">
        <v>2014</v>
      </c>
      <c r="K10" s="41">
        <v>2013</v>
      </c>
      <c r="L10" s="41">
        <v>2012</v>
      </c>
      <c r="M10" s="41">
        <v>2011</v>
      </c>
      <c r="N10" s="41">
        <v>2010</v>
      </c>
      <c r="O10" s="41">
        <v>2009</v>
      </c>
      <c r="P10" s="41">
        <v>2008</v>
      </c>
      <c r="Q10" s="41">
        <v>2007</v>
      </c>
      <c r="R10" s="41">
        <v>2006</v>
      </c>
    </row>
    <row r="11" spans="1:18" ht="15">
      <c r="A11" s="42"/>
      <c r="B11" s="42"/>
      <c r="C11" s="9"/>
      <c r="D11" s="102"/>
      <c r="E11" s="102"/>
      <c r="F11" s="12">
        <v>-1</v>
      </c>
      <c r="G11" s="12">
        <f t="shared" ref="G11:R11" si="0">+F11-1</f>
        <v>-2</v>
      </c>
      <c r="H11" s="12">
        <f t="shared" si="0"/>
        <v>-3</v>
      </c>
      <c r="I11" s="12">
        <f t="shared" si="0"/>
        <v>-4</v>
      </c>
      <c r="J11" s="12">
        <f t="shared" si="0"/>
        <v>-5</v>
      </c>
      <c r="K11" s="12">
        <f t="shared" si="0"/>
        <v>-6</v>
      </c>
      <c r="L11" s="12">
        <f t="shared" si="0"/>
        <v>-7</v>
      </c>
      <c r="M11" s="12">
        <f t="shared" si="0"/>
        <v>-8</v>
      </c>
      <c r="N11" s="12">
        <f t="shared" si="0"/>
        <v>-9</v>
      </c>
      <c r="O11" s="12">
        <f t="shared" si="0"/>
        <v>-10</v>
      </c>
      <c r="P11" s="12">
        <f t="shared" si="0"/>
        <v>-11</v>
      </c>
      <c r="Q11" s="12">
        <f t="shared" si="0"/>
        <v>-12</v>
      </c>
      <c r="R11" s="12">
        <f t="shared" si="0"/>
        <v>-13</v>
      </c>
    </row>
    <row r="12" spans="1:18" ht="15">
      <c r="A12" s="43"/>
      <c r="B12" s="44"/>
      <c r="C12" s="9"/>
      <c r="D12" s="14" t="s">
        <v>101</v>
      </c>
      <c r="E12" s="11"/>
      <c r="F12" s="36"/>
      <c r="G12" s="36"/>
      <c r="H12" s="16">
        <f ca="1">MATCH(H10,OFFSET(DIV_BV_WP,-1,0,1,),0)</f>
        <v>6</v>
      </c>
      <c r="I12" s="16">
        <f t="shared" ref="I12:R12" ca="1" si="1">MATCH(I10,OFFSET(DIV_MP_WP,-1,0,1,),0)</f>
        <v>7</v>
      </c>
      <c r="J12" s="16">
        <f t="shared" ca="1" si="1"/>
        <v>8</v>
      </c>
      <c r="K12" s="16">
        <f t="shared" ca="1" si="1"/>
        <v>9</v>
      </c>
      <c r="L12" s="16">
        <f t="shared" ca="1" si="1"/>
        <v>10</v>
      </c>
      <c r="M12" s="16">
        <f t="shared" ca="1" si="1"/>
        <v>11</v>
      </c>
      <c r="N12" s="16">
        <f t="shared" ca="1" si="1"/>
        <v>12</v>
      </c>
      <c r="O12" s="16">
        <f t="shared" ca="1" si="1"/>
        <v>13</v>
      </c>
      <c r="P12" s="16">
        <f t="shared" ca="1" si="1"/>
        <v>14</v>
      </c>
      <c r="Q12" s="16">
        <f t="shared" ca="1" si="1"/>
        <v>15</v>
      </c>
      <c r="R12" s="16">
        <f t="shared" ca="1" si="1"/>
        <v>16</v>
      </c>
    </row>
    <row r="13" spans="1:18">
      <c r="A13" s="45" t="s">
        <v>165</v>
      </c>
      <c r="B13" s="118">
        <f t="shared" ref="B13:B57" ca="1" si="2">IFERROR(MATCH(A13,OFFSET(DIV_MP_WP,0,0,,1),0),"")</f>
        <v>4</v>
      </c>
      <c r="C13" s="1">
        <f ca="1">IF(ISERROR(D13),"",IF(D13="","",MAX($C$12:C12)+1))</f>
        <v>1</v>
      </c>
      <c r="D13" t="str">
        <f t="shared" ref="D13:D57" ca="1" si="3">VLOOKUP(A13,LUCurYr,2,FALSE)</f>
        <v>Amer. States Water</v>
      </c>
      <c r="E13" s="15"/>
      <c r="F13" s="80">
        <f t="shared" ref="F13:F57" ca="1" si="4">IFERROR(AVERAGE(G13:R13),"N/A")</f>
        <v>2.6647043041518756E-2</v>
      </c>
      <c r="G13" s="80">
        <f t="shared" ref="G13:G57" si="5">IFERROR(IF(VLOOKUP(A13,LUCurYr,18,FALSE)=0,"",VLOOKUP(A13,LUCurYr,18,FALSE)),"N/A")</f>
        <v>2.1304347826086957E-2</v>
      </c>
      <c r="H13" s="80">
        <f ca="1">IFERROR(VLOOKUP($A13,LASTYR,'2016'!$Q$3,FALSE),"N/A")</f>
        <v>2.204481319794506E-2</v>
      </c>
      <c r="I13" s="80">
        <f t="shared" ref="I13:R28" ca="1" si="6">IFERROR(INDEX(DIV_MP_WP,$B13,I$12),"N/A")</f>
        <v>2.2090231265006952E-2</v>
      </c>
      <c r="J13" s="80">
        <f t="shared" ca="1" si="6"/>
        <v>2.633997908016102E-2</v>
      </c>
      <c r="K13" s="80">
        <f t="shared" ca="1" si="6"/>
        <v>2.7498371806932483E-2</v>
      </c>
      <c r="L13" s="80">
        <f t="shared" ca="1" si="6"/>
        <v>3.1491767506447131E-2</v>
      </c>
      <c r="M13" s="80">
        <f t="shared" ca="1" si="6"/>
        <v>3.1976744186046513E-2</v>
      </c>
      <c r="N13" s="80">
        <f t="shared" ca="1" si="6"/>
        <v>2.9778948574046501E-2</v>
      </c>
      <c r="O13" s="80">
        <f t="shared" ca="1" si="6"/>
        <v>2.9413477779719262E-2</v>
      </c>
      <c r="P13" s="80">
        <f t="shared" ca="1" si="6"/>
        <v>2.8566531451751129E-2</v>
      </c>
      <c r="Q13" s="80">
        <f t="shared" ca="1" si="6"/>
        <v>2.4584683433626495E-2</v>
      </c>
      <c r="R13" s="80">
        <f t="shared" ca="1" si="6"/>
        <v>2.467462039045553E-2</v>
      </c>
    </row>
    <row r="14" spans="1:18">
      <c r="A14" s="45" t="s">
        <v>167</v>
      </c>
      <c r="B14" s="118">
        <f t="shared" ca="1" si="2"/>
        <v>5</v>
      </c>
      <c r="C14" s="1">
        <f ca="1">IF(ISERROR(D14),"",IF(D14="","",MAX($C$12:C13)+1))</f>
        <v>2</v>
      </c>
      <c r="D14" t="str">
        <f t="shared" ca="1" si="3"/>
        <v>Amer. Water Works</v>
      </c>
      <c r="E14" s="15"/>
      <c r="F14" s="80">
        <f t="shared" ca="1" si="4"/>
        <v>2.7677098688685342E-2</v>
      </c>
      <c r="G14" s="80">
        <f t="shared" si="5"/>
        <v>2.1059516023544802E-2</v>
      </c>
      <c r="H14" s="80">
        <f ca="1">IFERROR(VLOOKUP($A14,LASTYR,'2016'!$Q$3,FALSE),"N/A")</f>
        <v>2.0246818357115309E-2</v>
      </c>
      <c r="I14" s="80">
        <f t="shared" ca="1" si="6"/>
        <v>2.4565486415101312E-2</v>
      </c>
      <c r="J14" s="80">
        <f t="shared" ca="1" si="6"/>
        <v>2.5292113459166821E-2</v>
      </c>
      <c r="K14" s="80">
        <f t="shared" ca="1" si="6"/>
        <v>2.0489304095421615E-2</v>
      </c>
      <c r="L14" s="80">
        <f t="shared" ca="1" si="6"/>
        <v>3.4324293657097465E-2</v>
      </c>
      <c r="M14" s="80">
        <f t="shared" ca="1" si="6"/>
        <v>3.1149413352715191E-2</v>
      </c>
      <c r="N14" s="80">
        <f t="shared" ca="1" si="6"/>
        <v>3.846497897844172E-2</v>
      </c>
      <c r="O14" s="80">
        <f t="shared" ca="1" si="6"/>
        <v>4.1956610724519033E-2</v>
      </c>
      <c r="P14" s="80">
        <f t="shared" ca="1" si="6"/>
        <v>1.9222451823730117E-2</v>
      </c>
      <c r="Q14" s="80" t="str">
        <f t="shared" ca="1" si="6"/>
        <v>N/A</v>
      </c>
      <c r="R14" s="80" t="str">
        <f t="shared" ca="1" si="6"/>
        <v>N/A</v>
      </c>
    </row>
    <row r="15" spans="1:18">
      <c r="A15" s="45" t="s">
        <v>171</v>
      </c>
      <c r="B15" s="118">
        <f t="shared" ca="1" si="2"/>
        <v>8</v>
      </c>
      <c r="C15" s="1">
        <f ca="1">IF(ISERROR(D15),"",IF(D15="","",MAX($C$12:C14)+1))</f>
        <v>3</v>
      </c>
      <c r="D15" t="str">
        <f t="shared" ca="1" si="3"/>
        <v>Aqua America</v>
      </c>
      <c r="E15" s="15"/>
      <c r="F15" s="80">
        <f t="shared" ca="1" si="4"/>
        <v>2.5753914635158689E-2</v>
      </c>
      <c r="G15" s="80">
        <f t="shared" si="5"/>
        <v>2.5078369905956115E-2</v>
      </c>
      <c r="H15" s="80">
        <f ca="1">IFERROR(VLOOKUP($A15,LASTYR,'2016'!$Q$3,FALSE),"N/A")</f>
        <v>2.3492809295533192E-2</v>
      </c>
      <c r="I15" s="80">
        <f t="shared" ca="1" si="6"/>
        <v>2.5746268656716417E-2</v>
      </c>
      <c r="J15" s="80">
        <f t="shared" ca="1" si="6"/>
        <v>2.5288002247822423E-2</v>
      </c>
      <c r="K15" s="80">
        <f t="shared" ca="1" si="6"/>
        <v>2.3606984411249948E-2</v>
      </c>
      <c r="L15" s="80">
        <f t="shared" ca="1" si="6"/>
        <v>2.8020283339432274E-2</v>
      </c>
      <c r="M15" s="80">
        <f t="shared" ca="1" si="6"/>
        <v>2.8497116363225151E-2</v>
      </c>
      <c r="N15" s="80">
        <f t="shared" ca="1" si="6"/>
        <v>3.1101739588824458E-2</v>
      </c>
      <c r="O15" s="80">
        <f t="shared" ca="1" si="6"/>
        <v>3.0929284408828903E-2</v>
      </c>
      <c r="P15" s="80">
        <f t="shared" ca="1" si="6"/>
        <v>2.8025827723588404E-2</v>
      </c>
      <c r="Q15" s="80">
        <f t="shared" ca="1" si="6"/>
        <v>2.1147703491573962E-2</v>
      </c>
      <c r="R15" s="80">
        <f t="shared" ca="1" si="6"/>
        <v>1.811258618915303E-2</v>
      </c>
    </row>
    <row r="16" spans="1:18">
      <c r="A16" s="45" t="s">
        <v>177</v>
      </c>
      <c r="B16" s="118">
        <f t="shared" ca="1" si="2"/>
        <v>13</v>
      </c>
      <c r="C16" s="1">
        <f ca="1">IF(ISERROR(D16),"",IF(D16="","",MAX($C$12:C15)+1))</f>
        <v>4</v>
      </c>
      <c r="D16" t="str">
        <f t="shared" ca="1" si="3"/>
        <v>California Water</v>
      </c>
      <c r="E16" s="15"/>
      <c r="F16" s="80">
        <f t="shared" ca="1" si="4"/>
        <v>2.9354984747635343E-2</v>
      </c>
      <c r="G16" s="80">
        <f t="shared" si="5"/>
        <v>2.0055710306406686E-2</v>
      </c>
      <c r="H16" s="80">
        <f ca="1">IFERROR(VLOOKUP($A16,LASTYR,'2016'!$Q$3,FALSE),"N/A")</f>
        <v>2.3041474654377878E-2</v>
      </c>
      <c r="I16" s="80">
        <f t="shared" ca="1" si="6"/>
        <v>2.8771417529093488E-2</v>
      </c>
      <c r="J16" s="80">
        <f t="shared" ca="1" si="6"/>
        <v>2.7739842949812226E-2</v>
      </c>
      <c r="K16" s="80">
        <f t="shared" ca="1" si="6"/>
        <v>3.1176929072486363E-2</v>
      </c>
      <c r="L16" s="80">
        <f t="shared" ca="1" si="6"/>
        <v>3.4547049791620967E-2</v>
      </c>
      <c r="M16" s="80">
        <f t="shared" ca="1" si="6"/>
        <v>3.3610230626297956E-2</v>
      </c>
      <c r="N16" s="80">
        <f t="shared" ca="1" si="6"/>
        <v>3.2395056351064405E-2</v>
      </c>
      <c r="O16" s="80">
        <f t="shared" ca="1" si="6"/>
        <v>3.0738772533083256E-2</v>
      </c>
      <c r="P16" s="80">
        <f t="shared" ca="1" si="6"/>
        <v>3.1153477473639366E-2</v>
      </c>
      <c r="Q16" s="80">
        <f t="shared" ca="1" si="6"/>
        <v>2.9678145627590441E-2</v>
      </c>
      <c r="R16" s="80">
        <f t="shared" ca="1" si="6"/>
        <v>2.9351710056151094E-2</v>
      </c>
    </row>
    <row r="17" spans="1:18">
      <c r="A17" s="45" t="s">
        <v>180</v>
      </c>
      <c r="B17" s="118">
        <f t="shared" ca="1" si="2"/>
        <v>19</v>
      </c>
      <c r="C17" s="1">
        <f ca="1">IF(ISERROR(D17),"",IF(D17="","",MAX($C$12:C16)+1))</f>
        <v>5</v>
      </c>
      <c r="D17" t="str">
        <f t="shared" ca="1" si="3"/>
        <v>Conn. Water Services</v>
      </c>
      <c r="E17" s="15"/>
      <c r="F17" s="80">
        <f t="shared" ca="1" si="4"/>
        <v>3.2724857895012921E-2</v>
      </c>
      <c r="G17" s="80">
        <f t="shared" si="5"/>
        <v>2.088495575221239E-2</v>
      </c>
      <c r="H17" s="80">
        <f ca="1">IFERROR(VLOOKUP($A17,LASTYR,'2016'!$Q$3,FALSE),"N/A")</f>
        <v>2.312472900708195E-2</v>
      </c>
      <c r="I17" s="80">
        <f t="shared" ca="1" si="6"/>
        <v>2.9282985191176062E-2</v>
      </c>
      <c r="J17" s="80">
        <f t="shared" ca="1" si="6"/>
        <v>3.0022888736957881E-2</v>
      </c>
      <c r="K17" s="80">
        <f t="shared" ca="1" si="6"/>
        <v>3.2142740004591816E-2</v>
      </c>
      <c r="L17" s="80">
        <f t="shared" ca="1" si="6"/>
        <v>3.2367915303954956E-2</v>
      </c>
      <c r="M17" s="80">
        <f t="shared" ca="1" si="6"/>
        <v>3.6174716182412928E-2</v>
      </c>
      <c r="N17" s="80">
        <f t="shared" ca="1" si="6"/>
        <v>3.939030655934235E-2</v>
      </c>
      <c r="O17" s="80">
        <f t="shared" ca="1" si="6"/>
        <v>4.1092137704319243E-2</v>
      </c>
      <c r="P17" s="80">
        <f t="shared" ca="1" si="6"/>
        <v>3.5763634885800206E-2</v>
      </c>
      <c r="Q17" s="80">
        <f t="shared" ca="1" si="6"/>
        <v>3.6023353070266238E-2</v>
      </c>
      <c r="R17" s="80">
        <f t="shared" ca="1" si="6"/>
        <v>3.6427932342039109E-2</v>
      </c>
    </row>
    <row r="18" spans="1:18">
      <c r="A18" s="45" t="s">
        <v>182</v>
      </c>
      <c r="B18" s="118">
        <f t="shared" ca="1" si="2"/>
        <v>21</v>
      </c>
      <c r="C18" s="1">
        <f ca="1">IF(ISERROR(D18),"",IF(D18="","",MAX($C$12:C17)+1))</f>
        <v>6</v>
      </c>
      <c r="D18" t="str">
        <f t="shared" ca="1" si="3"/>
        <v>Consolidated Water</v>
      </c>
      <c r="E18" s="15"/>
      <c r="F18" s="80">
        <f t="shared" ca="1" si="4"/>
        <v>2.3085129661391628E-2</v>
      </c>
      <c r="G18" s="80">
        <f t="shared" si="5"/>
        <v>2.6086956521739129E-2</v>
      </c>
      <c r="H18" s="80">
        <f ca="1">IFERROR(VLOOKUP($A18,LASTYR,'2016'!$Q$3,FALSE),"N/A")</f>
        <v>2.4797487187964949E-2</v>
      </c>
      <c r="I18" s="80">
        <f t="shared" ca="1" si="6"/>
        <v>2.5922405599239608E-2</v>
      </c>
      <c r="J18" s="80">
        <f t="shared" ca="1" si="6"/>
        <v>2.52503997979968E-2</v>
      </c>
      <c r="K18" s="80">
        <f t="shared" ca="1" si="6"/>
        <v>2.5833118057349523E-2</v>
      </c>
      <c r="L18" s="80">
        <f t="shared" ca="1" si="6"/>
        <v>3.7759597230962866E-2</v>
      </c>
      <c r="M18" s="80">
        <f t="shared" ca="1" si="6"/>
        <v>3.1897926634768738E-2</v>
      </c>
      <c r="N18" s="80">
        <f t="shared" ca="1" si="6"/>
        <v>2.596728122565567E-2</v>
      </c>
      <c r="O18" s="80">
        <f t="shared" ca="1" si="6"/>
        <v>1.9882127387630479E-2</v>
      </c>
      <c r="P18" s="80">
        <f t="shared" ca="1" si="6"/>
        <v>1.7200317544323895E-2</v>
      </c>
      <c r="Q18" s="80">
        <f t="shared" ca="1" si="6"/>
        <v>6.9747478360397746E-3</v>
      </c>
      <c r="R18" s="80">
        <f t="shared" ca="1" si="6"/>
        <v>9.4491909130280712E-3</v>
      </c>
    </row>
    <row r="19" spans="1:18">
      <c r="A19" s="45" t="s">
        <v>188</v>
      </c>
      <c r="B19" s="118">
        <f t="shared" ca="1" si="2"/>
        <v>41</v>
      </c>
      <c r="C19" s="1">
        <f ca="1">IF(ISERROR(D19),"",IF(D19="","",MAX($C$12:C18)+1))</f>
        <v>7</v>
      </c>
      <c r="D19" t="str">
        <f t="shared" ca="1" si="3"/>
        <v>Middlesex Water</v>
      </c>
      <c r="E19" s="15"/>
      <c r="F19" s="80">
        <f t="shared" ca="1" si="4"/>
        <v>3.6233800665575029E-2</v>
      </c>
      <c r="G19" s="80">
        <f t="shared" si="5"/>
        <v>2.24E-2</v>
      </c>
      <c r="H19" s="80">
        <f ca="1">IFERROR(VLOOKUP($A19,LASTYR,'2016'!$Q$3,FALSE),"N/A")</f>
        <v>2.283130827917491E-2</v>
      </c>
      <c r="I19" s="80">
        <f t="shared" ca="1" si="6"/>
        <v>3.3284721626490522E-2</v>
      </c>
      <c r="J19" s="80">
        <f t="shared" ca="1" si="6"/>
        <v>3.652465294399234E-2</v>
      </c>
      <c r="K19" s="80">
        <f t="shared" ca="1" si="6"/>
        <v>3.7102734663710273E-2</v>
      </c>
      <c r="L19" s="80">
        <f t="shared" ca="1" si="6"/>
        <v>3.9635122159394007E-2</v>
      </c>
      <c r="M19" s="80">
        <f t="shared" ca="1" si="6"/>
        <v>4.0164383561643834E-2</v>
      </c>
      <c r="N19" s="80">
        <f t="shared" ca="1" si="6"/>
        <v>4.2288120722933843E-2</v>
      </c>
      <c r="O19" s="80">
        <f t="shared" ca="1" si="6"/>
        <v>4.711868887126619E-2</v>
      </c>
      <c r="P19" s="80">
        <f t="shared" ca="1" si="6"/>
        <v>3.9895579138527891E-2</v>
      </c>
      <c r="Q19" s="80">
        <f t="shared" ca="1" si="6"/>
        <v>3.6897029070386535E-2</v>
      </c>
      <c r="R19" s="80">
        <f t="shared" ca="1" si="6"/>
        <v>3.6663266949379998E-2</v>
      </c>
    </row>
    <row r="20" spans="1:18">
      <c r="A20" s="45" t="s">
        <v>196</v>
      </c>
      <c r="B20" s="118">
        <f t="shared" ca="1" si="2"/>
        <v>60</v>
      </c>
      <c r="C20" s="1">
        <f ca="1">IF(ISERROR(D20),"",IF(D20="","",MAX($C$12:C19)+1))</f>
        <v>8</v>
      </c>
      <c r="D20" t="str">
        <f t="shared" ca="1" si="3"/>
        <v>SJW Corp.</v>
      </c>
      <c r="E20" s="15"/>
      <c r="F20" s="80">
        <f t="shared" ca="1" si="4"/>
        <v>2.4258801806605043E-2</v>
      </c>
      <c r="G20" s="80">
        <f t="shared" si="5"/>
        <v>1.7092337917485264E-2</v>
      </c>
      <c r="H20" s="80">
        <f ca="1">IFERROR(VLOOKUP($A20,LASTYR,'2016'!$Q$3,FALSE),"N/A")</f>
        <v>2.0105741306128529E-2</v>
      </c>
      <c r="I20" s="80">
        <f t="shared" ca="1" si="6"/>
        <v>2.5334545926984541E-2</v>
      </c>
      <c r="J20" s="80">
        <f t="shared" ca="1" si="6"/>
        <v>2.6391723555492998E-2</v>
      </c>
      <c r="K20" s="80">
        <f t="shared" ca="1" si="6"/>
        <v>2.678112847604373E-2</v>
      </c>
      <c r="L20" s="80">
        <f t="shared" ca="1" si="6"/>
        <v>2.9543941411451398E-2</v>
      </c>
      <c r="M20" s="80">
        <f t="shared" ca="1" si="6"/>
        <v>2.9357954303705906E-2</v>
      </c>
      <c r="N20" s="80">
        <f t="shared" ca="1" si="6"/>
        <v>2.7797081306462822E-2</v>
      </c>
      <c r="O20" s="80">
        <f t="shared" ca="1" si="6"/>
        <v>2.8423772609819126E-2</v>
      </c>
      <c r="P20" s="80">
        <f t="shared" ca="1" si="6"/>
        <v>2.2677730117431967E-2</v>
      </c>
      <c r="Q20" s="80">
        <f t="shared" ca="1" si="6"/>
        <v>1.7403060637441028E-2</v>
      </c>
      <c r="R20" s="80">
        <f t="shared" ca="1" si="6"/>
        <v>2.0196604110813223E-2</v>
      </c>
    </row>
    <row r="21" spans="1:18">
      <c r="A21" s="45" t="s">
        <v>208</v>
      </c>
      <c r="B21" s="118">
        <f t="shared" ca="1" si="2"/>
        <v>75</v>
      </c>
      <c r="C21" s="1">
        <f ca="1">IF(ISERROR(D21),"",IF(D21="","",MAX($C$12:C20)+1))</f>
        <v>9</v>
      </c>
      <c r="D21" t="str">
        <f t="shared" ca="1" si="3"/>
        <v>York Water Co. (The)</v>
      </c>
      <c r="E21" s="15"/>
      <c r="F21" s="80">
        <f t="shared" ca="1" si="4"/>
        <v>2.8487404584045892E-2</v>
      </c>
      <c r="G21" s="80">
        <f t="shared" si="5"/>
        <v>1.8435754189944135E-2</v>
      </c>
      <c r="H21" s="80">
        <f ca="1">IFERROR(VLOOKUP($A21,LASTYR,'2016'!$Q$3,FALSE),"N/A")</f>
        <v>2.0896908584317368E-2</v>
      </c>
      <c r="I21" s="80">
        <f t="shared" ca="1" si="6"/>
        <v>2.629618267081562E-2</v>
      </c>
      <c r="J21" s="80">
        <f t="shared" ca="1" si="6"/>
        <v>2.7863023040576744E-2</v>
      </c>
      <c r="K21" s="80">
        <f t="shared" ca="1" si="6"/>
        <v>2.8024572269888821E-2</v>
      </c>
      <c r="L21" s="80">
        <f t="shared" ca="1" si="6"/>
        <v>3.0624999999999999E-2</v>
      </c>
      <c r="M21" s="80">
        <f t="shared" ca="1" si="6"/>
        <v>3.1049313615742653E-2</v>
      </c>
      <c r="N21" s="80">
        <f t="shared" ca="1" si="6"/>
        <v>3.5007817279586705E-2</v>
      </c>
      <c r="O21" s="80">
        <f t="shared" ca="1" si="6"/>
        <v>3.6155769917827797E-2</v>
      </c>
      <c r="P21" s="80">
        <f t="shared" ca="1" si="6"/>
        <v>3.490862364363221E-2</v>
      </c>
      <c r="Q21" s="80">
        <f t="shared" ca="1" si="6"/>
        <v>2.753623188405797E-2</v>
      </c>
      <c r="R21" s="80">
        <f t="shared" ca="1" si="6"/>
        <v>2.5049657912160673E-2</v>
      </c>
    </row>
    <row r="22" spans="1:18" hidden="1">
      <c r="A22" s="45"/>
      <c r="B22" s="118" t="str">
        <f t="shared" ca="1" si="2"/>
        <v/>
      </c>
      <c r="C22" s="1" t="str">
        <f>IF(ISERROR(D22),"",IF(D22="","",MAX($C$12:C21)+1))</f>
        <v/>
      </c>
      <c r="D22" t="e">
        <f t="shared" si="3"/>
        <v>#N/A</v>
      </c>
      <c r="E22" s="15"/>
      <c r="F22" s="80" t="str">
        <f t="shared" ca="1" si="4"/>
        <v>N/A</v>
      </c>
      <c r="G22" s="80" t="str">
        <f t="shared" si="5"/>
        <v>N/A</v>
      </c>
      <c r="H22" s="80" t="str">
        <f ca="1">IFERROR(VLOOKUP($A22,LASTYR,'2016'!$Q$3,FALSE),"N/A")</f>
        <v>N/A</v>
      </c>
      <c r="I22" s="80" t="str">
        <f t="shared" ca="1" si="6"/>
        <v>N/A</v>
      </c>
      <c r="J22" s="80" t="str">
        <f t="shared" ca="1" si="6"/>
        <v>N/A</v>
      </c>
      <c r="K22" s="80" t="str">
        <f t="shared" ca="1" si="6"/>
        <v>N/A</v>
      </c>
      <c r="L22" s="80" t="str">
        <f t="shared" ca="1" si="6"/>
        <v>N/A</v>
      </c>
      <c r="M22" s="80" t="str">
        <f t="shared" ca="1" si="6"/>
        <v>N/A</v>
      </c>
      <c r="N22" s="80" t="str">
        <f t="shared" ca="1" si="6"/>
        <v>N/A</v>
      </c>
      <c r="O22" s="80" t="str">
        <f t="shared" ca="1" si="6"/>
        <v>N/A</v>
      </c>
      <c r="P22" s="80" t="str">
        <f t="shared" ca="1" si="6"/>
        <v>N/A</v>
      </c>
      <c r="Q22" s="80" t="str">
        <f t="shared" ca="1" si="6"/>
        <v>N/A</v>
      </c>
      <c r="R22" s="80" t="str">
        <f t="shared" ca="1" si="6"/>
        <v>N/A</v>
      </c>
    </row>
    <row r="23" spans="1:18" hidden="1">
      <c r="A23" s="45"/>
      <c r="B23" s="118" t="str">
        <f t="shared" ca="1" si="2"/>
        <v/>
      </c>
      <c r="C23" s="1" t="str">
        <f>IF(ISERROR(D23),"",IF(D23="","",MAX($C$12:C22)+1))</f>
        <v/>
      </c>
      <c r="D23" t="e">
        <f t="shared" si="3"/>
        <v>#N/A</v>
      </c>
      <c r="E23" s="15"/>
      <c r="F23" s="80" t="str">
        <f t="shared" ca="1" si="4"/>
        <v>N/A</v>
      </c>
      <c r="G23" s="80" t="str">
        <f t="shared" si="5"/>
        <v>N/A</v>
      </c>
      <c r="H23" s="80" t="str">
        <f ca="1">IFERROR(VLOOKUP($A23,LASTYR,'2016'!$Q$3,FALSE),"N/A")</f>
        <v>N/A</v>
      </c>
      <c r="I23" s="80" t="str">
        <f t="shared" ca="1" si="6"/>
        <v>N/A</v>
      </c>
      <c r="J23" s="80" t="str">
        <f t="shared" ca="1" si="6"/>
        <v>N/A</v>
      </c>
      <c r="K23" s="80" t="str">
        <f t="shared" ca="1" si="6"/>
        <v>N/A</v>
      </c>
      <c r="L23" s="80" t="str">
        <f t="shared" ca="1" si="6"/>
        <v>N/A</v>
      </c>
      <c r="M23" s="80" t="str">
        <f t="shared" ca="1" si="6"/>
        <v>N/A</v>
      </c>
      <c r="N23" s="80" t="str">
        <f t="shared" ca="1" si="6"/>
        <v>N/A</v>
      </c>
      <c r="O23" s="80" t="str">
        <f t="shared" ca="1" si="6"/>
        <v>N/A</v>
      </c>
      <c r="P23" s="80" t="str">
        <f t="shared" ca="1" si="6"/>
        <v>N/A</v>
      </c>
      <c r="Q23" s="80" t="str">
        <f t="shared" ca="1" si="6"/>
        <v>N/A</v>
      </c>
      <c r="R23" s="80" t="str">
        <f t="shared" ca="1" si="6"/>
        <v>N/A</v>
      </c>
    </row>
    <row r="24" spans="1:18" hidden="1">
      <c r="A24" s="45"/>
      <c r="B24" s="118" t="str">
        <f t="shared" ca="1" si="2"/>
        <v/>
      </c>
      <c r="C24" s="1" t="str">
        <f>IF(ISERROR(D24),"",IF(D24="","",MAX($C$12:C23)+1))</f>
        <v/>
      </c>
      <c r="D24" t="e">
        <f t="shared" si="3"/>
        <v>#N/A</v>
      </c>
      <c r="E24" s="15"/>
      <c r="F24" s="80" t="str">
        <f t="shared" ca="1" si="4"/>
        <v>N/A</v>
      </c>
      <c r="G24" s="80" t="str">
        <f t="shared" si="5"/>
        <v>N/A</v>
      </c>
      <c r="H24" s="80" t="str">
        <f ca="1">IFERROR(VLOOKUP($A24,LASTYR,'2016'!$Q$3,FALSE),"N/A")</f>
        <v>N/A</v>
      </c>
      <c r="I24" s="80" t="str">
        <f t="shared" ca="1" si="6"/>
        <v>N/A</v>
      </c>
      <c r="J24" s="80" t="str">
        <f t="shared" ca="1" si="6"/>
        <v>N/A</v>
      </c>
      <c r="K24" s="80" t="str">
        <f t="shared" ca="1" si="6"/>
        <v>N/A</v>
      </c>
      <c r="L24" s="80" t="str">
        <f t="shared" ca="1" si="6"/>
        <v>N/A</v>
      </c>
      <c r="M24" s="80" t="str">
        <f t="shared" ca="1" si="6"/>
        <v>N/A</v>
      </c>
      <c r="N24" s="80" t="str">
        <f t="shared" ca="1" si="6"/>
        <v>N/A</v>
      </c>
      <c r="O24" s="80" t="str">
        <f t="shared" ca="1" si="6"/>
        <v>N/A</v>
      </c>
      <c r="P24" s="80" t="str">
        <f t="shared" ca="1" si="6"/>
        <v>N/A</v>
      </c>
      <c r="Q24" s="80" t="str">
        <f t="shared" ca="1" si="6"/>
        <v>N/A</v>
      </c>
      <c r="R24" s="80" t="str">
        <f t="shared" ca="1" si="6"/>
        <v>N/A</v>
      </c>
    </row>
    <row r="25" spans="1:18" hidden="1">
      <c r="A25" s="45"/>
      <c r="B25" s="118" t="str">
        <f t="shared" ca="1" si="2"/>
        <v/>
      </c>
      <c r="C25" s="1" t="str">
        <f>IF(ISERROR(D25),"",IF(D25="","",MAX($C$12:C24)+1))</f>
        <v/>
      </c>
      <c r="D25" t="e">
        <f t="shared" si="3"/>
        <v>#N/A</v>
      </c>
      <c r="E25" s="15"/>
      <c r="F25" s="80" t="str">
        <f t="shared" ca="1" si="4"/>
        <v>N/A</v>
      </c>
      <c r="G25" s="80" t="str">
        <f t="shared" si="5"/>
        <v>N/A</v>
      </c>
      <c r="H25" s="80" t="str">
        <f ca="1">IFERROR(VLOOKUP($A25,LASTYR,'2016'!$Q$3,FALSE),"N/A")</f>
        <v>N/A</v>
      </c>
      <c r="I25" s="80" t="str">
        <f t="shared" ca="1" si="6"/>
        <v>N/A</v>
      </c>
      <c r="J25" s="80" t="str">
        <f t="shared" ca="1" si="6"/>
        <v>N/A</v>
      </c>
      <c r="K25" s="80" t="str">
        <f t="shared" ca="1" si="6"/>
        <v>N/A</v>
      </c>
      <c r="L25" s="80" t="str">
        <f t="shared" ca="1" si="6"/>
        <v>N/A</v>
      </c>
      <c r="M25" s="80" t="str">
        <f t="shared" ca="1" si="6"/>
        <v>N/A</v>
      </c>
      <c r="N25" s="80" t="str">
        <f t="shared" ca="1" si="6"/>
        <v>N/A</v>
      </c>
      <c r="O25" s="80" t="str">
        <f t="shared" ca="1" si="6"/>
        <v>N/A</v>
      </c>
      <c r="P25" s="80" t="str">
        <f t="shared" ca="1" si="6"/>
        <v>N/A</v>
      </c>
      <c r="Q25" s="80" t="str">
        <f t="shared" ca="1" si="6"/>
        <v>N/A</v>
      </c>
      <c r="R25" s="80" t="str">
        <f t="shared" ca="1" si="6"/>
        <v>N/A</v>
      </c>
    </row>
    <row r="26" spans="1:18" hidden="1">
      <c r="A26" s="45"/>
      <c r="B26" s="118" t="str">
        <f t="shared" ca="1" si="2"/>
        <v/>
      </c>
      <c r="C26" s="1" t="str">
        <f>IF(ISERROR(D26),"",IF(D26="","",MAX($C$12:C25)+1))</f>
        <v/>
      </c>
      <c r="D26" t="e">
        <f t="shared" si="3"/>
        <v>#N/A</v>
      </c>
      <c r="E26" s="15"/>
      <c r="F26" s="80" t="str">
        <f t="shared" ca="1" si="4"/>
        <v>N/A</v>
      </c>
      <c r="G26" s="80" t="str">
        <f t="shared" si="5"/>
        <v>N/A</v>
      </c>
      <c r="H26" s="80" t="str">
        <f ca="1">IFERROR(VLOOKUP($A26,LASTYR,'2016'!$Q$3,FALSE),"N/A")</f>
        <v>N/A</v>
      </c>
      <c r="I26" s="80" t="str">
        <f t="shared" ca="1" si="6"/>
        <v>N/A</v>
      </c>
      <c r="J26" s="80" t="str">
        <f t="shared" ca="1" si="6"/>
        <v>N/A</v>
      </c>
      <c r="K26" s="80" t="str">
        <f t="shared" ca="1" si="6"/>
        <v>N/A</v>
      </c>
      <c r="L26" s="80" t="str">
        <f t="shared" ca="1" si="6"/>
        <v>N/A</v>
      </c>
      <c r="M26" s="80" t="str">
        <f t="shared" ca="1" si="6"/>
        <v>N/A</v>
      </c>
      <c r="N26" s="80" t="str">
        <f t="shared" ca="1" si="6"/>
        <v>N/A</v>
      </c>
      <c r="O26" s="80" t="str">
        <f t="shared" ca="1" si="6"/>
        <v>N/A</v>
      </c>
      <c r="P26" s="80" t="str">
        <f t="shared" ca="1" si="6"/>
        <v>N/A</v>
      </c>
      <c r="Q26" s="80" t="str">
        <f t="shared" ca="1" si="6"/>
        <v>N/A</v>
      </c>
      <c r="R26" s="80" t="str">
        <f t="shared" ca="1" si="6"/>
        <v>N/A</v>
      </c>
    </row>
    <row r="27" spans="1:18" hidden="1">
      <c r="A27" s="45"/>
      <c r="B27" s="118" t="str">
        <f t="shared" ca="1" si="2"/>
        <v/>
      </c>
      <c r="C27" s="1" t="str">
        <f>IF(ISERROR(D27),"",IF(D27="","",MAX($C$12:C26)+1))</f>
        <v/>
      </c>
      <c r="D27" t="e">
        <f t="shared" si="3"/>
        <v>#N/A</v>
      </c>
      <c r="E27" s="15"/>
      <c r="F27" s="80" t="str">
        <f t="shared" ca="1" si="4"/>
        <v>N/A</v>
      </c>
      <c r="G27" s="80" t="str">
        <f t="shared" si="5"/>
        <v>N/A</v>
      </c>
      <c r="H27" s="80" t="str">
        <f ca="1">IFERROR(VLOOKUP($A27,LASTYR,'2016'!$Q$3,FALSE),"N/A")</f>
        <v>N/A</v>
      </c>
      <c r="I27" s="80" t="str">
        <f t="shared" ca="1" si="6"/>
        <v>N/A</v>
      </c>
      <c r="J27" s="80" t="str">
        <f t="shared" ca="1" si="6"/>
        <v>N/A</v>
      </c>
      <c r="K27" s="80" t="str">
        <f t="shared" ca="1" si="6"/>
        <v>N/A</v>
      </c>
      <c r="L27" s="80" t="str">
        <f t="shared" ca="1" si="6"/>
        <v>N/A</v>
      </c>
      <c r="M27" s="80" t="str">
        <f t="shared" ca="1" si="6"/>
        <v>N/A</v>
      </c>
      <c r="N27" s="80" t="str">
        <f t="shared" ca="1" si="6"/>
        <v>N/A</v>
      </c>
      <c r="O27" s="80" t="str">
        <f t="shared" ca="1" si="6"/>
        <v>N/A</v>
      </c>
      <c r="P27" s="80" t="str">
        <f t="shared" ca="1" si="6"/>
        <v>N/A</v>
      </c>
      <c r="Q27" s="80" t="str">
        <f t="shared" ca="1" si="6"/>
        <v>N/A</v>
      </c>
      <c r="R27" s="80" t="str">
        <f t="shared" ca="1" si="6"/>
        <v>N/A</v>
      </c>
    </row>
    <row r="28" spans="1:18" hidden="1">
      <c r="A28" s="45"/>
      <c r="B28" s="118" t="str">
        <f t="shared" ca="1" si="2"/>
        <v/>
      </c>
      <c r="C28" s="1" t="str">
        <f>IF(ISERROR(D28),"",IF(D28="","",MAX($C$12:C27)+1))</f>
        <v/>
      </c>
      <c r="D28" t="e">
        <f t="shared" si="3"/>
        <v>#N/A</v>
      </c>
      <c r="E28" s="15"/>
      <c r="F28" s="80" t="str">
        <f t="shared" ca="1" si="4"/>
        <v>N/A</v>
      </c>
      <c r="G28" s="80" t="str">
        <f t="shared" si="5"/>
        <v>N/A</v>
      </c>
      <c r="H28" s="80" t="str">
        <f ca="1">IFERROR(VLOOKUP($A28,LASTYR,'2016'!$Q$3,FALSE),"N/A")</f>
        <v>N/A</v>
      </c>
      <c r="I28" s="80" t="str">
        <f t="shared" ca="1" si="6"/>
        <v>N/A</v>
      </c>
      <c r="J28" s="80" t="str">
        <f t="shared" ca="1" si="6"/>
        <v>N/A</v>
      </c>
      <c r="K28" s="80" t="str">
        <f t="shared" ca="1" si="6"/>
        <v>N/A</v>
      </c>
      <c r="L28" s="80" t="str">
        <f t="shared" ca="1" si="6"/>
        <v>N/A</v>
      </c>
      <c r="M28" s="80" t="str">
        <f t="shared" ca="1" si="6"/>
        <v>N/A</v>
      </c>
      <c r="N28" s="80" t="str">
        <f t="shared" ca="1" si="6"/>
        <v>N/A</v>
      </c>
      <c r="O28" s="80" t="str">
        <f t="shared" ca="1" si="6"/>
        <v>N/A</v>
      </c>
      <c r="P28" s="80" t="str">
        <f t="shared" ca="1" si="6"/>
        <v>N/A</v>
      </c>
      <c r="Q28" s="80" t="str">
        <f t="shared" ca="1" si="6"/>
        <v>N/A</v>
      </c>
      <c r="R28" s="80" t="str">
        <f t="shared" ca="1" si="6"/>
        <v>N/A</v>
      </c>
    </row>
    <row r="29" spans="1:18" hidden="1">
      <c r="A29" s="45"/>
      <c r="B29" s="118" t="str">
        <f t="shared" ca="1" si="2"/>
        <v/>
      </c>
      <c r="C29" s="1" t="str">
        <f>IF(ISERROR(D29),"",IF(D29="","",MAX($C$12:C28)+1))</f>
        <v/>
      </c>
      <c r="D29" t="e">
        <f t="shared" si="3"/>
        <v>#N/A</v>
      </c>
      <c r="E29" s="15"/>
      <c r="F29" s="80" t="str">
        <f t="shared" ca="1" si="4"/>
        <v>N/A</v>
      </c>
      <c r="G29" s="80" t="str">
        <f t="shared" si="5"/>
        <v>N/A</v>
      </c>
      <c r="H29" s="80" t="str">
        <f ca="1">IFERROR(VLOOKUP($A29,LASTYR,'2016'!$Q$3,FALSE),"N/A")</f>
        <v>N/A</v>
      </c>
      <c r="I29" s="80" t="str">
        <f t="shared" ref="I29:R44" ca="1" si="7">IFERROR(INDEX(DIV_MP_WP,$B29,I$12),"N/A")</f>
        <v>N/A</v>
      </c>
      <c r="J29" s="80" t="str">
        <f t="shared" ca="1" si="7"/>
        <v>N/A</v>
      </c>
      <c r="K29" s="80" t="str">
        <f t="shared" ca="1" si="7"/>
        <v>N/A</v>
      </c>
      <c r="L29" s="80" t="str">
        <f t="shared" ca="1" si="7"/>
        <v>N/A</v>
      </c>
      <c r="M29" s="80" t="str">
        <f t="shared" ca="1" si="7"/>
        <v>N/A</v>
      </c>
      <c r="N29" s="80" t="str">
        <f t="shared" ca="1" si="7"/>
        <v>N/A</v>
      </c>
      <c r="O29" s="80" t="str">
        <f t="shared" ca="1" si="7"/>
        <v>N/A</v>
      </c>
      <c r="P29" s="80" t="str">
        <f t="shared" ca="1" si="7"/>
        <v>N/A</v>
      </c>
      <c r="Q29" s="80" t="str">
        <f t="shared" ca="1" si="7"/>
        <v>N/A</v>
      </c>
      <c r="R29" s="80" t="str">
        <f t="shared" ca="1" si="7"/>
        <v>N/A</v>
      </c>
    </row>
    <row r="30" spans="1:18" hidden="1">
      <c r="A30" s="45"/>
      <c r="B30" s="118" t="str">
        <f t="shared" ca="1" si="2"/>
        <v/>
      </c>
      <c r="C30" s="1" t="str">
        <f>IF(ISERROR(D30),"",IF(D30="","",MAX($C$12:C29)+1))</f>
        <v/>
      </c>
      <c r="D30" t="e">
        <f t="shared" si="3"/>
        <v>#N/A</v>
      </c>
      <c r="E30" s="15"/>
      <c r="F30" s="80" t="str">
        <f t="shared" ca="1" si="4"/>
        <v>N/A</v>
      </c>
      <c r="G30" s="80" t="str">
        <f t="shared" si="5"/>
        <v>N/A</v>
      </c>
      <c r="H30" s="80" t="str">
        <f ca="1">IFERROR(VLOOKUP($A30,LASTYR,'2016'!$Q$3,FALSE),"N/A")</f>
        <v>N/A</v>
      </c>
      <c r="I30" s="80" t="str">
        <f t="shared" ca="1" si="7"/>
        <v>N/A</v>
      </c>
      <c r="J30" s="80" t="str">
        <f t="shared" ca="1" si="7"/>
        <v>N/A</v>
      </c>
      <c r="K30" s="80" t="str">
        <f t="shared" ca="1" si="7"/>
        <v>N/A</v>
      </c>
      <c r="L30" s="80" t="str">
        <f t="shared" ca="1" si="7"/>
        <v>N/A</v>
      </c>
      <c r="M30" s="80" t="str">
        <f t="shared" ca="1" si="7"/>
        <v>N/A</v>
      </c>
      <c r="N30" s="80" t="str">
        <f t="shared" ca="1" si="7"/>
        <v>N/A</v>
      </c>
      <c r="O30" s="80" t="str">
        <f t="shared" ca="1" si="7"/>
        <v>N/A</v>
      </c>
      <c r="P30" s="80" t="str">
        <f t="shared" ca="1" si="7"/>
        <v>N/A</v>
      </c>
      <c r="Q30" s="80" t="str">
        <f t="shared" ca="1" si="7"/>
        <v>N/A</v>
      </c>
      <c r="R30" s="80" t="str">
        <f t="shared" ca="1" si="7"/>
        <v>N/A</v>
      </c>
    </row>
    <row r="31" spans="1:18" hidden="1">
      <c r="A31" s="45"/>
      <c r="B31" s="118" t="str">
        <f t="shared" ca="1" si="2"/>
        <v/>
      </c>
      <c r="C31" s="1" t="str">
        <f>IF(ISERROR(D31),"",IF(D31="","",MAX($C$12:C30)+1))</f>
        <v/>
      </c>
      <c r="D31" t="e">
        <f t="shared" si="3"/>
        <v>#N/A</v>
      </c>
      <c r="E31" s="15"/>
      <c r="F31" s="80" t="str">
        <f t="shared" ca="1" si="4"/>
        <v>N/A</v>
      </c>
      <c r="G31" s="80" t="str">
        <f t="shared" si="5"/>
        <v>N/A</v>
      </c>
      <c r="H31" s="80" t="str">
        <f ca="1">IFERROR(VLOOKUP($A31,LASTYR,'2016'!$Q$3,FALSE),"N/A")</f>
        <v>N/A</v>
      </c>
      <c r="I31" s="80" t="str">
        <f t="shared" ca="1" si="7"/>
        <v>N/A</v>
      </c>
      <c r="J31" s="80" t="str">
        <f t="shared" ca="1" si="7"/>
        <v>N/A</v>
      </c>
      <c r="K31" s="80" t="str">
        <f t="shared" ca="1" si="7"/>
        <v>N/A</v>
      </c>
      <c r="L31" s="80" t="str">
        <f t="shared" ca="1" si="7"/>
        <v>N/A</v>
      </c>
      <c r="M31" s="80" t="str">
        <f t="shared" ca="1" si="7"/>
        <v>N/A</v>
      </c>
      <c r="N31" s="80" t="str">
        <f t="shared" ca="1" si="7"/>
        <v>N/A</v>
      </c>
      <c r="O31" s="80" t="str">
        <f t="shared" ca="1" si="7"/>
        <v>N/A</v>
      </c>
      <c r="P31" s="80" t="str">
        <f t="shared" ca="1" si="7"/>
        <v>N/A</v>
      </c>
      <c r="Q31" s="80" t="str">
        <f t="shared" ca="1" si="7"/>
        <v>N/A</v>
      </c>
      <c r="R31" s="80" t="str">
        <f t="shared" ca="1" si="7"/>
        <v>N/A</v>
      </c>
    </row>
    <row r="32" spans="1:18" hidden="1">
      <c r="A32" s="45"/>
      <c r="B32" s="118" t="str">
        <f t="shared" ca="1" si="2"/>
        <v/>
      </c>
      <c r="C32" s="1" t="str">
        <f>IF(ISERROR(D32),"",IF(D32="","",MAX($C$12:C31)+1))</f>
        <v/>
      </c>
      <c r="D32" t="e">
        <f t="shared" si="3"/>
        <v>#N/A</v>
      </c>
      <c r="E32" s="15"/>
      <c r="F32" s="80" t="str">
        <f t="shared" ca="1" si="4"/>
        <v>N/A</v>
      </c>
      <c r="G32" s="80" t="str">
        <f t="shared" si="5"/>
        <v>N/A</v>
      </c>
      <c r="H32" s="80" t="str">
        <f ca="1">IFERROR(VLOOKUP($A32,LASTYR,'2016'!$Q$3,FALSE),"N/A")</f>
        <v>N/A</v>
      </c>
      <c r="I32" s="80" t="str">
        <f t="shared" ca="1" si="7"/>
        <v>N/A</v>
      </c>
      <c r="J32" s="80" t="str">
        <f t="shared" ca="1" si="7"/>
        <v>N/A</v>
      </c>
      <c r="K32" s="80" t="str">
        <f t="shared" ca="1" si="7"/>
        <v>N/A</v>
      </c>
      <c r="L32" s="80" t="str">
        <f t="shared" ca="1" si="7"/>
        <v>N/A</v>
      </c>
      <c r="M32" s="80" t="str">
        <f t="shared" ca="1" si="7"/>
        <v>N/A</v>
      </c>
      <c r="N32" s="80" t="str">
        <f t="shared" ca="1" si="7"/>
        <v>N/A</v>
      </c>
      <c r="O32" s="80" t="str">
        <f t="shared" ca="1" si="7"/>
        <v>N/A</v>
      </c>
      <c r="P32" s="80" t="str">
        <f t="shared" ca="1" si="7"/>
        <v>N/A</v>
      </c>
      <c r="Q32" s="80" t="str">
        <f t="shared" ca="1" si="7"/>
        <v>N/A</v>
      </c>
      <c r="R32" s="80" t="str">
        <f t="shared" ca="1" si="7"/>
        <v>N/A</v>
      </c>
    </row>
    <row r="33" spans="1:18" hidden="1">
      <c r="A33" s="45"/>
      <c r="B33" s="118" t="str">
        <f t="shared" ca="1" si="2"/>
        <v/>
      </c>
      <c r="C33" s="1" t="str">
        <f>IF(ISERROR(D33),"",IF(D33="","",MAX($C$12:C32)+1))</f>
        <v/>
      </c>
      <c r="D33" t="e">
        <f t="shared" si="3"/>
        <v>#N/A</v>
      </c>
      <c r="E33" s="15"/>
      <c r="F33" s="80" t="str">
        <f t="shared" ca="1" si="4"/>
        <v>N/A</v>
      </c>
      <c r="G33" s="80" t="str">
        <f t="shared" si="5"/>
        <v>N/A</v>
      </c>
      <c r="H33" s="80" t="str">
        <f ca="1">IFERROR(VLOOKUP($A33,LASTYR,'2016'!$Q$3,FALSE),"N/A")</f>
        <v>N/A</v>
      </c>
      <c r="I33" s="80" t="str">
        <f t="shared" ca="1" si="7"/>
        <v>N/A</v>
      </c>
      <c r="J33" s="80" t="str">
        <f t="shared" ca="1" si="7"/>
        <v>N/A</v>
      </c>
      <c r="K33" s="80" t="str">
        <f t="shared" ca="1" si="7"/>
        <v>N/A</v>
      </c>
      <c r="L33" s="80" t="str">
        <f t="shared" ca="1" si="7"/>
        <v>N/A</v>
      </c>
      <c r="M33" s="80" t="str">
        <f t="shared" ca="1" si="7"/>
        <v>N/A</v>
      </c>
      <c r="N33" s="80" t="str">
        <f t="shared" ca="1" si="7"/>
        <v>N/A</v>
      </c>
      <c r="O33" s="80" t="str">
        <f t="shared" ca="1" si="7"/>
        <v>N/A</v>
      </c>
      <c r="P33" s="80" t="str">
        <f t="shared" ca="1" si="7"/>
        <v>N/A</v>
      </c>
      <c r="Q33" s="80" t="str">
        <f t="shared" ca="1" si="7"/>
        <v>N/A</v>
      </c>
      <c r="R33" s="80" t="str">
        <f t="shared" ca="1" si="7"/>
        <v>N/A</v>
      </c>
    </row>
    <row r="34" spans="1:18" hidden="1">
      <c r="A34" s="45"/>
      <c r="B34" s="118" t="str">
        <f t="shared" ca="1" si="2"/>
        <v/>
      </c>
      <c r="C34" s="1" t="str">
        <f>IF(ISERROR(D34),"",IF(D34="","",MAX($C$12:C33)+1))</f>
        <v/>
      </c>
      <c r="D34" t="e">
        <f t="shared" si="3"/>
        <v>#N/A</v>
      </c>
      <c r="E34" s="15"/>
      <c r="F34" s="80" t="str">
        <f t="shared" ca="1" si="4"/>
        <v>N/A</v>
      </c>
      <c r="G34" s="80" t="str">
        <f t="shared" si="5"/>
        <v>N/A</v>
      </c>
      <c r="H34" s="80" t="str">
        <f ca="1">IFERROR(VLOOKUP($A34,LASTYR,'2016'!$Q$3,FALSE),"N/A")</f>
        <v>N/A</v>
      </c>
      <c r="I34" s="80" t="str">
        <f t="shared" ca="1" si="7"/>
        <v>N/A</v>
      </c>
      <c r="J34" s="80" t="str">
        <f t="shared" ca="1" si="7"/>
        <v>N/A</v>
      </c>
      <c r="K34" s="80" t="str">
        <f t="shared" ca="1" si="7"/>
        <v>N/A</v>
      </c>
      <c r="L34" s="80" t="str">
        <f t="shared" ca="1" si="7"/>
        <v>N/A</v>
      </c>
      <c r="M34" s="80" t="str">
        <f t="shared" ca="1" si="7"/>
        <v>N/A</v>
      </c>
      <c r="N34" s="80" t="str">
        <f t="shared" ca="1" si="7"/>
        <v>N/A</v>
      </c>
      <c r="O34" s="80" t="str">
        <f t="shared" ca="1" si="7"/>
        <v>N/A</v>
      </c>
      <c r="P34" s="80" t="str">
        <f t="shared" ca="1" si="7"/>
        <v>N/A</v>
      </c>
      <c r="Q34" s="80" t="str">
        <f t="shared" ca="1" si="7"/>
        <v>N/A</v>
      </c>
      <c r="R34" s="80" t="str">
        <f t="shared" ca="1" si="7"/>
        <v>N/A</v>
      </c>
    </row>
    <row r="35" spans="1:18" hidden="1">
      <c r="A35" s="45"/>
      <c r="B35" s="118" t="str">
        <f t="shared" ca="1" si="2"/>
        <v/>
      </c>
      <c r="C35" s="1" t="str">
        <f>IF(ISERROR(D35),"",IF(D35="","",MAX($C$12:C34)+1))</f>
        <v/>
      </c>
      <c r="D35" t="e">
        <f t="shared" si="3"/>
        <v>#N/A</v>
      </c>
      <c r="E35" s="15"/>
      <c r="F35" s="80" t="str">
        <f t="shared" ca="1" si="4"/>
        <v>N/A</v>
      </c>
      <c r="G35" s="80" t="str">
        <f t="shared" si="5"/>
        <v>N/A</v>
      </c>
      <c r="H35" s="80" t="str">
        <f ca="1">IFERROR(VLOOKUP($A35,LASTYR,'2016'!$Q$3,FALSE),"N/A")</f>
        <v>N/A</v>
      </c>
      <c r="I35" s="80" t="str">
        <f t="shared" ca="1" si="7"/>
        <v>N/A</v>
      </c>
      <c r="J35" s="80" t="str">
        <f t="shared" ca="1" si="7"/>
        <v>N/A</v>
      </c>
      <c r="K35" s="80" t="str">
        <f t="shared" ca="1" si="7"/>
        <v>N/A</v>
      </c>
      <c r="L35" s="80" t="str">
        <f t="shared" ca="1" si="7"/>
        <v>N/A</v>
      </c>
      <c r="M35" s="80" t="str">
        <f t="shared" ca="1" si="7"/>
        <v>N/A</v>
      </c>
      <c r="N35" s="80" t="str">
        <f t="shared" ca="1" si="7"/>
        <v>N/A</v>
      </c>
      <c r="O35" s="80" t="str">
        <f t="shared" ca="1" si="7"/>
        <v>N/A</v>
      </c>
      <c r="P35" s="80" t="str">
        <f t="shared" ca="1" si="7"/>
        <v>N/A</v>
      </c>
      <c r="Q35" s="80" t="str">
        <f t="shared" ca="1" si="7"/>
        <v>N/A</v>
      </c>
      <c r="R35" s="80" t="str">
        <f t="shared" ca="1" si="7"/>
        <v>N/A</v>
      </c>
    </row>
    <row r="36" spans="1:18" hidden="1">
      <c r="A36" s="45"/>
      <c r="B36" s="118" t="str">
        <f t="shared" ca="1" si="2"/>
        <v/>
      </c>
      <c r="C36" s="1" t="str">
        <f>IF(ISERROR(D36),"",IF(D36="","",MAX($C$12:C35)+1))</f>
        <v/>
      </c>
      <c r="D36" t="e">
        <f t="shared" si="3"/>
        <v>#N/A</v>
      </c>
      <c r="E36" s="15"/>
      <c r="F36" s="80" t="str">
        <f t="shared" ca="1" si="4"/>
        <v>N/A</v>
      </c>
      <c r="G36" s="80" t="str">
        <f t="shared" si="5"/>
        <v>N/A</v>
      </c>
      <c r="H36" s="80" t="str">
        <f ca="1">IFERROR(VLOOKUP($A36,LASTYR,'2016'!$Q$3,FALSE),"N/A")</f>
        <v>N/A</v>
      </c>
      <c r="I36" s="80" t="str">
        <f t="shared" ca="1" si="7"/>
        <v>N/A</v>
      </c>
      <c r="J36" s="80" t="str">
        <f t="shared" ca="1" si="7"/>
        <v>N/A</v>
      </c>
      <c r="K36" s="80" t="str">
        <f t="shared" ca="1" si="7"/>
        <v>N/A</v>
      </c>
      <c r="L36" s="80" t="str">
        <f t="shared" ca="1" si="7"/>
        <v>N/A</v>
      </c>
      <c r="M36" s="80" t="str">
        <f t="shared" ca="1" si="7"/>
        <v>N/A</v>
      </c>
      <c r="N36" s="80" t="str">
        <f t="shared" ca="1" si="7"/>
        <v>N/A</v>
      </c>
      <c r="O36" s="80" t="str">
        <f t="shared" ca="1" si="7"/>
        <v>N/A</v>
      </c>
      <c r="P36" s="80" t="str">
        <f t="shared" ca="1" si="7"/>
        <v>N/A</v>
      </c>
      <c r="Q36" s="80" t="str">
        <f t="shared" ca="1" si="7"/>
        <v>N/A</v>
      </c>
      <c r="R36" s="80" t="str">
        <f t="shared" ca="1" si="7"/>
        <v>N/A</v>
      </c>
    </row>
    <row r="37" spans="1:18" hidden="1">
      <c r="A37" s="45"/>
      <c r="B37" s="118" t="str">
        <f t="shared" ca="1" si="2"/>
        <v/>
      </c>
      <c r="C37" s="1" t="str">
        <f>IF(ISERROR(D37),"",IF(D37="","",MAX($C$12:C36)+1))</f>
        <v/>
      </c>
      <c r="D37" t="e">
        <f t="shared" si="3"/>
        <v>#N/A</v>
      </c>
      <c r="E37" s="15"/>
      <c r="F37" s="80" t="str">
        <f t="shared" ca="1" si="4"/>
        <v>N/A</v>
      </c>
      <c r="G37" s="80" t="str">
        <f t="shared" si="5"/>
        <v>N/A</v>
      </c>
      <c r="H37" s="80" t="str">
        <f ca="1">IFERROR(VLOOKUP($A37,LASTYR,'2016'!$Q$3,FALSE),"N/A")</f>
        <v>N/A</v>
      </c>
      <c r="I37" s="80" t="str">
        <f t="shared" ca="1" si="7"/>
        <v>N/A</v>
      </c>
      <c r="J37" s="80" t="str">
        <f t="shared" ca="1" si="7"/>
        <v>N/A</v>
      </c>
      <c r="K37" s="80" t="str">
        <f t="shared" ca="1" si="7"/>
        <v>N/A</v>
      </c>
      <c r="L37" s="80" t="str">
        <f t="shared" ca="1" si="7"/>
        <v>N/A</v>
      </c>
      <c r="M37" s="80" t="str">
        <f t="shared" ca="1" si="7"/>
        <v>N/A</v>
      </c>
      <c r="N37" s="80" t="str">
        <f t="shared" ca="1" si="7"/>
        <v>N/A</v>
      </c>
      <c r="O37" s="80" t="str">
        <f t="shared" ca="1" si="7"/>
        <v>N/A</v>
      </c>
      <c r="P37" s="80" t="str">
        <f t="shared" ca="1" si="7"/>
        <v>N/A</v>
      </c>
      <c r="Q37" s="80" t="str">
        <f t="shared" ca="1" si="7"/>
        <v>N/A</v>
      </c>
      <c r="R37" s="80" t="str">
        <f t="shared" ca="1" si="7"/>
        <v>N/A</v>
      </c>
    </row>
    <row r="38" spans="1:18" hidden="1">
      <c r="A38" s="45"/>
      <c r="B38" s="118" t="str">
        <f t="shared" ca="1" si="2"/>
        <v/>
      </c>
      <c r="C38" s="1" t="str">
        <f>IF(ISERROR(D38),"",IF(D38="","",MAX($C$12:C37)+1))</f>
        <v/>
      </c>
      <c r="D38" t="e">
        <f t="shared" si="3"/>
        <v>#N/A</v>
      </c>
      <c r="E38" s="15"/>
      <c r="F38" s="80" t="str">
        <f t="shared" ca="1" si="4"/>
        <v>N/A</v>
      </c>
      <c r="G38" s="80" t="str">
        <f t="shared" si="5"/>
        <v>N/A</v>
      </c>
      <c r="H38" s="80" t="str">
        <f ca="1">IFERROR(VLOOKUP($A38,LASTYR,'2016'!$Q$3,FALSE),"N/A")</f>
        <v>N/A</v>
      </c>
      <c r="I38" s="80" t="str">
        <f t="shared" ca="1" si="7"/>
        <v>N/A</v>
      </c>
      <c r="J38" s="80" t="str">
        <f t="shared" ca="1" si="7"/>
        <v>N/A</v>
      </c>
      <c r="K38" s="80" t="str">
        <f t="shared" ca="1" si="7"/>
        <v>N/A</v>
      </c>
      <c r="L38" s="80" t="str">
        <f t="shared" ca="1" si="7"/>
        <v>N/A</v>
      </c>
      <c r="M38" s="80" t="str">
        <f t="shared" ca="1" si="7"/>
        <v>N/A</v>
      </c>
      <c r="N38" s="80" t="str">
        <f t="shared" ca="1" si="7"/>
        <v>N/A</v>
      </c>
      <c r="O38" s="80" t="str">
        <f t="shared" ca="1" si="7"/>
        <v>N/A</v>
      </c>
      <c r="P38" s="80" t="str">
        <f t="shared" ca="1" si="7"/>
        <v>N/A</v>
      </c>
      <c r="Q38" s="80" t="str">
        <f t="shared" ca="1" si="7"/>
        <v>N/A</v>
      </c>
      <c r="R38" s="80" t="str">
        <f t="shared" ca="1" si="7"/>
        <v>N/A</v>
      </c>
    </row>
    <row r="39" spans="1:18" hidden="1">
      <c r="A39" s="45"/>
      <c r="B39" s="118" t="str">
        <f t="shared" ca="1" si="2"/>
        <v/>
      </c>
      <c r="C39" s="1" t="str">
        <f>IF(ISERROR(D39),"",IF(D39="","",MAX($C$12:C38)+1))</f>
        <v/>
      </c>
      <c r="D39" t="e">
        <f t="shared" si="3"/>
        <v>#N/A</v>
      </c>
      <c r="E39" s="15"/>
      <c r="F39" s="80" t="str">
        <f t="shared" ca="1" si="4"/>
        <v>N/A</v>
      </c>
      <c r="G39" s="80" t="str">
        <f t="shared" si="5"/>
        <v>N/A</v>
      </c>
      <c r="H39" s="80" t="str">
        <f ca="1">IFERROR(VLOOKUP($A39,LASTYR,'2016'!$Q$3,FALSE),"N/A")</f>
        <v>N/A</v>
      </c>
      <c r="I39" s="80" t="str">
        <f t="shared" ca="1" si="7"/>
        <v>N/A</v>
      </c>
      <c r="J39" s="80" t="str">
        <f t="shared" ca="1" si="7"/>
        <v>N/A</v>
      </c>
      <c r="K39" s="80" t="str">
        <f t="shared" ca="1" si="7"/>
        <v>N/A</v>
      </c>
      <c r="L39" s="80" t="str">
        <f t="shared" ca="1" si="7"/>
        <v>N/A</v>
      </c>
      <c r="M39" s="80" t="str">
        <f t="shared" ca="1" si="7"/>
        <v>N/A</v>
      </c>
      <c r="N39" s="80" t="str">
        <f t="shared" ca="1" si="7"/>
        <v>N/A</v>
      </c>
      <c r="O39" s="80" t="str">
        <f t="shared" ca="1" si="7"/>
        <v>N/A</v>
      </c>
      <c r="P39" s="80" t="str">
        <f t="shared" ca="1" si="7"/>
        <v>N/A</v>
      </c>
      <c r="Q39" s="80" t="str">
        <f t="shared" ca="1" si="7"/>
        <v>N/A</v>
      </c>
      <c r="R39" s="80" t="str">
        <f t="shared" ca="1" si="7"/>
        <v>N/A</v>
      </c>
    </row>
    <row r="40" spans="1:18" hidden="1">
      <c r="A40" s="45"/>
      <c r="B40" s="118" t="str">
        <f t="shared" ca="1" si="2"/>
        <v/>
      </c>
      <c r="C40" s="1" t="str">
        <f>IF(ISERROR(D40),"",IF(D40="","",MAX($C$12:C39)+1))</f>
        <v/>
      </c>
      <c r="D40" t="e">
        <f t="shared" si="3"/>
        <v>#N/A</v>
      </c>
      <c r="E40" s="15"/>
      <c r="F40" s="80" t="str">
        <f t="shared" ca="1" si="4"/>
        <v>N/A</v>
      </c>
      <c r="G40" s="80" t="str">
        <f t="shared" si="5"/>
        <v>N/A</v>
      </c>
      <c r="H40" s="80" t="str">
        <f ca="1">IFERROR(VLOOKUP($A40,LASTYR,'2016'!$Q$3,FALSE),"N/A")</f>
        <v>N/A</v>
      </c>
      <c r="I40" s="80" t="str">
        <f t="shared" ca="1" si="7"/>
        <v>N/A</v>
      </c>
      <c r="J40" s="80" t="str">
        <f t="shared" ca="1" si="7"/>
        <v>N/A</v>
      </c>
      <c r="K40" s="80" t="str">
        <f t="shared" ca="1" si="7"/>
        <v>N/A</v>
      </c>
      <c r="L40" s="80" t="str">
        <f t="shared" ca="1" si="7"/>
        <v>N/A</v>
      </c>
      <c r="M40" s="80" t="str">
        <f t="shared" ca="1" si="7"/>
        <v>N/A</v>
      </c>
      <c r="N40" s="80" t="str">
        <f t="shared" ca="1" si="7"/>
        <v>N/A</v>
      </c>
      <c r="O40" s="80" t="str">
        <f t="shared" ca="1" si="7"/>
        <v>N/A</v>
      </c>
      <c r="P40" s="80" t="str">
        <f t="shared" ca="1" si="7"/>
        <v>N/A</v>
      </c>
      <c r="Q40" s="80" t="str">
        <f t="shared" ca="1" si="7"/>
        <v>N/A</v>
      </c>
      <c r="R40" s="80" t="str">
        <f t="shared" ca="1" si="7"/>
        <v>N/A</v>
      </c>
    </row>
    <row r="41" spans="1:18" hidden="1">
      <c r="A41" s="45"/>
      <c r="B41" s="118" t="str">
        <f t="shared" ca="1" si="2"/>
        <v/>
      </c>
      <c r="C41" s="1" t="str">
        <f>IF(ISERROR(D41),"",IF(D41="","",MAX($C$12:C40)+1))</f>
        <v/>
      </c>
      <c r="D41" t="e">
        <f t="shared" si="3"/>
        <v>#N/A</v>
      </c>
      <c r="E41" s="15"/>
      <c r="F41" s="80" t="str">
        <f t="shared" ca="1" si="4"/>
        <v>N/A</v>
      </c>
      <c r="G41" s="80" t="str">
        <f t="shared" si="5"/>
        <v>N/A</v>
      </c>
      <c r="H41" s="80" t="str">
        <f ca="1">IFERROR(VLOOKUP($A41,LASTYR,'2016'!$Q$3,FALSE),"N/A")</f>
        <v>N/A</v>
      </c>
      <c r="I41" s="80" t="str">
        <f t="shared" ca="1" si="7"/>
        <v>N/A</v>
      </c>
      <c r="J41" s="80" t="str">
        <f t="shared" ca="1" si="7"/>
        <v>N/A</v>
      </c>
      <c r="K41" s="80" t="str">
        <f t="shared" ca="1" si="7"/>
        <v>N/A</v>
      </c>
      <c r="L41" s="80" t="str">
        <f t="shared" ca="1" si="7"/>
        <v>N/A</v>
      </c>
      <c r="M41" s="80" t="str">
        <f t="shared" ca="1" si="7"/>
        <v>N/A</v>
      </c>
      <c r="N41" s="80" t="str">
        <f t="shared" ca="1" si="7"/>
        <v>N/A</v>
      </c>
      <c r="O41" s="80" t="str">
        <f t="shared" ca="1" si="7"/>
        <v>N/A</v>
      </c>
      <c r="P41" s="80" t="str">
        <f t="shared" ca="1" si="7"/>
        <v>N/A</v>
      </c>
      <c r="Q41" s="80" t="str">
        <f t="shared" ca="1" si="7"/>
        <v>N/A</v>
      </c>
      <c r="R41" s="80" t="str">
        <f t="shared" ca="1" si="7"/>
        <v>N/A</v>
      </c>
    </row>
    <row r="42" spans="1:18" hidden="1">
      <c r="A42" s="45"/>
      <c r="B42" s="118" t="str">
        <f t="shared" ca="1" si="2"/>
        <v/>
      </c>
      <c r="C42" s="1" t="str">
        <f>IF(ISERROR(D42),"",IF(D42="","",MAX($C$12:C41)+1))</f>
        <v/>
      </c>
      <c r="D42" t="e">
        <f t="shared" si="3"/>
        <v>#N/A</v>
      </c>
      <c r="E42" s="15"/>
      <c r="F42" s="80" t="str">
        <f t="shared" ca="1" si="4"/>
        <v>N/A</v>
      </c>
      <c r="G42" s="80" t="str">
        <f t="shared" si="5"/>
        <v>N/A</v>
      </c>
      <c r="H42" s="80" t="str">
        <f ca="1">IFERROR(VLOOKUP($A42,LASTYR,'2016'!$Q$3,FALSE),"N/A")</f>
        <v>N/A</v>
      </c>
      <c r="I42" s="80" t="str">
        <f t="shared" ca="1" si="7"/>
        <v>N/A</v>
      </c>
      <c r="J42" s="80" t="str">
        <f t="shared" ca="1" si="7"/>
        <v>N/A</v>
      </c>
      <c r="K42" s="80" t="str">
        <f t="shared" ca="1" si="7"/>
        <v>N/A</v>
      </c>
      <c r="L42" s="80" t="str">
        <f t="shared" ca="1" si="7"/>
        <v>N/A</v>
      </c>
      <c r="M42" s="80" t="str">
        <f t="shared" ca="1" si="7"/>
        <v>N/A</v>
      </c>
      <c r="N42" s="80" t="str">
        <f t="shared" ca="1" si="7"/>
        <v>N/A</v>
      </c>
      <c r="O42" s="80" t="str">
        <f t="shared" ca="1" si="7"/>
        <v>N/A</v>
      </c>
      <c r="P42" s="80" t="str">
        <f t="shared" ca="1" si="7"/>
        <v>N/A</v>
      </c>
      <c r="Q42" s="80" t="str">
        <f t="shared" ca="1" si="7"/>
        <v>N/A</v>
      </c>
      <c r="R42" s="80" t="str">
        <f t="shared" ca="1" si="7"/>
        <v>N/A</v>
      </c>
    </row>
    <row r="43" spans="1:18" hidden="1">
      <c r="A43" s="45"/>
      <c r="B43" s="118" t="str">
        <f t="shared" ca="1" si="2"/>
        <v/>
      </c>
      <c r="C43" s="1" t="str">
        <f>IF(ISERROR(D43),"",IF(D43="","",MAX($C$12:C42)+1))</f>
        <v/>
      </c>
      <c r="D43" t="e">
        <f t="shared" si="3"/>
        <v>#N/A</v>
      </c>
      <c r="E43" s="15"/>
      <c r="F43" s="80" t="str">
        <f t="shared" ca="1" si="4"/>
        <v>N/A</v>
      </c>
      <c r="G43" s="80" t="str">
        <f t="shared" si="5"/>
        <v>N/A</v>
      </c>
      <c r="H43" s="80" t="str">
        <f ca="1">IFERROR(VLOOKUP($A43,LASTYR,'2016'!$Q$3,FALSE),"N/A")</f>
        <v>N/A</v>
      </c>
      <c r="I43" s="80" t="str">
        <f t="shared" ca="1" si="7"/>
        <v>N/A</v>
      </c>
      <c r="J43" s="80" t="str">
        <f t="shared" ca="1" si="7"/>
        <v>N/A</v>
      </c>
      <c r="K43" s="80" t="str">
        <f t="shared" ca="1" si="7"/>
        <v>N/A</v>
      </c>
      <c r="L43" s="80" t="str">
        <f t="shared" ca="1" si="7"/>
        <v>N/A</v>
      </c>
      <c r="M43" s="80" t="str">
        <f t="shared" ca="1" si="7"/>
        <v>N/A</v>
      </c>
      <c r="N43" s="80" t="str">
        <f t="shared" ca="1" si="7"/>
        <v>N/A</v>
      </c>
      <c r="O43" s="80" t="str">
        <f t="shared" ca="1" si="7"/>
        <v>N/A</v>
      </c>
      <c r="P43" s="80" t="str">
        <f t="shared" ca="1" si="7"/>
        <v>N/A</v>
      </c>
      <c r="Q43" s="80" t="str">
        <f t="shared" ca="1" si="7"/>
        <v>N/A</v>
      </c>
      <c r="R43" s="80" t="str">
        <f t="shared" ca="1" si="7"/>
        <v>N/A</v>
      </c>
    </row>
    <row r="44" spans="1:18" hidden="1">
      <c r="A44" s="45"/>
      <c r="B44" s="118" t="str">
        <f t="shared" ca="1" si="2"/>
        <v/>
      </c>
      <c r="C44" s="1" t="str">
        <f>IF(ISERROR(D44),"",IF(D44="","",MAX($C$12:C43)+1))</f>
        <v/>
      </c>
      <c r="D44" t="e">
        <f t="shared" si="3"/>
        <v>#N/A</v>
      </c>
      <c r="E44" s="15"/>
      <c r="F44" s="80" t="str">
        <f t="shared" ca="1" si="4"/>
        <v>N/A</v>
      </c>
      <c r="G44" s="80" t="str">
        <f t="shared" si="5"/>
        <v>N/A</v>
      </c>
      <c r="H44" s="80" t="str">
        <f ca="1">IFERROR(VLOOKUP($A44,LASTYR,'2016'!$Q$3,FALSE),"N/A")</f>
        <v>N/A</v>
      </c>
      <c r="I44" s="80" t="str">
        <f t="shared" ca="1" si="7"/>
        <v>N/A</v>
      </c>
      <c r="J44" s="80" t="str">
        <f t="shared" ca="1" si="7"/>
        <v>N/A</v>
      </c>
      <c r="K44" s="80" t="str">
        <f t="shared" ca="1" si="7"/>
        <v>N/A</v>
      </c>
      <c r="L44" s="80" t="str">
        <f t="shared" ca="1" si="7"/>
        <v>N/A</v>
      </c>
      <c r="M44" s="80" t="str">
        <f t="shared" ca="1" si="7"/>
        <v>N/A</v>
      </c>
      <c r="N44" s="80" t="str">
        <f t="shared" ca="1" si="7"/>
        <v>N/A</v>
      </c>
      <c r="O44" s="80" t="str">
        <f t="shared" ca="1" si="7"/>
        <v>N/A</v>
      </c>
      <c r="P44" s="80" t="str">
        <f t="shared" ca="1" si="7"/>
        <v>N/A</v>
      </c>
      <c r="Q44" s="80" t="str">
        <f t="shared" ca="1" si="7"/>
        <v>N/A</v>
      </c>
      <c r="R44" s="80" t="str">
        <f t="shared" ca="1" si="7"/>
        <v>N/A</v>
      </c>
    </row>
    <row r="45" spans="1:18" hidden="1">
      <c r="A45" s="45"/>
      <c r="B45" s="118" t="str">
        <f t="shared" ca="1" si="2"/>
        <v/>
      </c>
      <c r="C45" s="1" t="str">
        <f>IF(ISERROR(D45),"",IF(D45="","",MAX($C$12:C44)+1))</f>
        <v/>
      </c>
      <c r="D45" t="e">
        <f t="shared" si="3"/>
        <v>#N/A</v>
      </c>
      <c r="E45" s="15"/>
      <c r="F45" s="80" t="str">
        <f t="shared" ca="1" si="4"/>
        <v>N/A</v>
      </c>
      <c r="G45" s="80" t="str">
        <f t="shared" si="5"/>
        <v>N/A</v>
      </c>
      <c r="H45" s="80" t="str">
        <f ca="1">IFERROR(VLOOKUP($A45,LASTYR,'2016'!$Q$3,FALSE),"N/A")</f>
        <v>N/A</v>
      </c>
      <c r="I45" s="80" t="str">
        <f t="shared" ref="I45:R57" ca="1" si="8">IFERROR(INDEX(DIV_MP_WP,$B45,I$12),"N/A")</f>
        <v>N/A</v>
      </c>
      <c r="J45" s="80" t="str">
        <f t="shared" ca="1" si="8"/>
        <v>N/A</v>
      </c>
      <c r="K45" s="80" t="str">
        <f t="shared" ca="1" si="8"/>
        <v>N/A</v>
      </c>
      <c r="L45" s="80" t="str">
        <f t="shared" ca="1" si="8"/>
        <v>N/A</v>
      </c>
      <c r="M45" s="80" t="str">
        <f t="shared" ca="1" si="8"/>
        <v>N/A</v>
      </c>
      <c r="N45" s="80" t="str">
        <f t="shared" ca="1" si="8"/>
        <v>N/A</v>
      </c>
      <c r="O45" s="80" t="str">
        <f t="shared" ca="1" si="8"/>
        <v>N/A</v>
      </c>
      <c r="P45" s="80" t="str">
        <f t="shared" ca="1" si="8"/>
        <v>N/A</v>
      </c>
      <c r="Q45" s="80" t="str">
        <f t="shared" ca="1" si="8"/>
        <v>N/A</v>
      </c>
      <c r="R45" s="80" t="str">
        <f t="shared" ca="1" si="8"/>
        <v>N/A</v>
      </c>
    </row>
    <row r="46" spans="1:18" hidden="1">
      <c r="A46" s="45"/>
      <c r="B46" s="118" t="str">
        <f t="shared" ca="1" si="2"/>
        <v/>
      </c>
      <c r="C46" s="1" t="str">
        <f>IF(ISERROR(D46),"",IF(D46="","",MAX($C$12:C45)+1))</f>
        <v/>
      </c>
      <c r="D46" t="e">
        <f t="shared" si="3"/>
        <v>#N/A</v>
      </c>
      <c r="E46" s="15"/>
      <c r="F46" s="80" t="str">
        <f t="shared" ca="1" si="4"/>
        <v>N/A</v>
      </c>
      <c r="G46" s="80" t="str">
        <f t="shared" si="5"/>
        <v>N/A</v>
      </c>
      <c r="H46" s="80" t="str">
        <f ca="1">IFERROR(VLOOKUP($A46,LASTYR,'2016'!$Q$3,FALSE),"N/A")</f>
        <v>N/A</v>
      </c>
      <c r="I46" s="80" t="str">
        <f t="shared" ca="1" si="8"/>
        <v>N/A</v>
      </c>
      <c r="J46" s="80" t="str">
        <f t="shared" ca="1" si="8"/>
        <v>N/A</v>
      </c>
      <c r="K46" s="80" t="str">
        <f t="shared" ca="1" si="8"/>
        <v>N/A</v>
      </c>
      <c r="L46" s="80" t="str">
        <f t="shared" ca="1" si="8"/>
        <v>N/A</v>
      </c>
      <c r="M46" s="80" t="str">
        <f t="shared" ca="1" si="8"/>
        <v>N/A</v>
      </c>
      <c r="N46" s="80" t="str">
        <f t="shared" ca="1" si="8"/>
        <v>N/A</v>
      </c>
      <c r="O46" s="80" t="str">
        <f t="shared" ca="1" si="8"/>
        <v>N/A</v>
      </c>
      <c r="P46" s="80" t="str">
        <f t="shared" ca="1" si="8"/>
        <v>N/A</v>
      </c>
      <c r="Q46" s="80" t="str">
        <f t="shared" ca="1" si="8"/>
        <v>N/A</v>
      </c>
      <c r="R46" s="80" t="str">
        <f t="shared" ca="1" si="8"/>
        <v>N/A</v>
      </c>
    </row>
    <row r="47" spans="1:18" hidden="1">
      <c r="A47" s="45"/>
      <c r="B47" s="118" t="str">
        <f t="shared" ca="1" si="2"/>
        <v/>
      </c>
      <c r="C47" s="1" t="str">
        <f>IF(ISERROR(D47),"",IF(D47="","",MAX($C$12:C46)+1))</f>
        <v/>
      </c>
      <c r="D47" t="e">
        <f t="shared" si="3"/>
        <v>#N/A</v>
      </c>
      <c r="E47" s="15"/>
      <c r="F47" s="80" t="str">
        <f t="shared" ca="1" si="4"/>
        <v>N/A</v>
      </c>
      <c r="G47" s="80" t="str">
        <f t="shared" si="5"/>
        <v>N/A</v>
      </c>
      <c r="H47" s="80" t="str">
        <f ca="1">IFERROR(VLOOKUP($A47,LASTYR,'2016'!$Q$3,FALSE),"N/A")</f>
        <v>N/A</v>
      </c>
      <c r="I47" s="80" t="str">
        <f t="shared" ca="1" si="8"/>
        <v>N/A</v>
      </c>
      <c r="J47" s="80" t="str">
        <f t="shared" ca="1" si="8"/>
        <v>N/A</v>
      </c>
      <c r="K47" s="80" t="str">
        <f t="shared" ca="1" si="8"/>
        <v>N/A</v>
      </c>
      <c r="L47" s="80" t="str">
        <f t="shared" ca="1" si="8"/>
        <v>N/A</v>
      </c>
      <c r="M47" s="80" t="str">
        <f t="shared" ca="1" si="8"/>
        <v>N/A</v>
      </c>
      <c r="N47" s="80" t="str">
        <f t="shared" ca="1" si="8"/>
        <v>N/A</v>
      </c>
      <c r="O47" s="80" t="str">
        <f t="shared" ca="1" si="8"/>
        <v>N/A</v>
      </c>
      <c r="P47" s="80" t="str">
        <f t="shared" ca="1" si="8"/>
        <v>N/A</v>
      </c>
      <c r="Q47" s="80" t="str">
        <f t="shared" ca="1" si="8"/>
        <v>N/A</v>
      </c>
      <c r="R47" s="80" t="str">
        <f t="shared" ca="1" si="8"/>
        <v>N/A</v>
      </c>
    </row>
    <row r="48" spans="1:18" hidden="1">
      <c r="A48" s="45"/>
      <c r="B48" s="118" t="str">
        <f t="shared" ca="1" si="2"/>
        <v/>
      </c>
      <c r="C48" s="1" t="str">
        <f>IF(ISERROR(D48),"",IF(D48="","",MAX($C$12:C47)+1))</f>
        <v/>
      </c>
      <c r="D48" t="e">
        <f t="shared" si="3"/>
        <v>#N/A</v>
      </c>
      <c r="E48" s="15"/>
      <c r="F48" s="80" t="str">
        <f t="shared" ca="1" si="4"/>
        <v>N/A</v>
      </c>
      <c r="G48" s="80" t="str">
        <f t="shared" si="5"/>
        <v>N/A</v>
      </c>
      <c r="H48" s="80" t="str">
        <f ca="1">IFERROR(VLOOKUP($A48,LASTYR,'2016'!$Q$3,FALSE),"N/A")</f>
        <v>N/A</v>
      </c>
      <c r="I48" s="80" t="str">
        <f t="shared" ca="1" si="8"/>
        <v>N/A</v>
      </c>
      <c r="J48" s="80" t="str">
        <f t="shared" ca="1" si="8"/>
        <v>N/A</v>
      </c>
      <c r="K48" s="80" t="str">
        <f t="shared" ca="1" si="8"/>
        <v>N/A</v>
      </c>
      <c r="L48" s="80" t="str">
        <f t="shared" ca="1" si="8"/>
        <v>N/A</v>
      </c>
      <c r="M48" s="80" t="str">
        <f t="shared" ca="1" si="8"/>
        <v>N/A</v>
      </c>
      <c r="N48" s="80" t="str">
        <f t="shared" ca="1" si="8"/>
        <v>N/A</v>
      </c>
      <c r="O48" s="80" t="str">
        <f t="shared" ca="1" si="8"/>
        <v>N/A</v>
      </c>
      <c r="P48" s="80" t="str">
        <f t="shared" ca="1" si="8"/>
        <v>N/A</v>
      </c>
      <c r="Q48" s="80" t="str">
        <f t="shared" ca="1" si="8"/>
        <v>N/A</v>
      </c>
      <c r="R48" s="80" t="str">
        <f t="shared" ca="1" si="8"/>
        <v>N/A</v>
      </c>
    </row>
    <row r="49" spans="1:18" hidden="1">
      <c r="A49" s="45"/>
      <c r="B49" s="118" t="str">
        <f t="shared" ca="1" si="2"/>
        <v/>
      </c>
      <c r="C49" s="1" t="str">
        <f>IF(ISERROR(D49),"",IF(D49="","",MAX($C$12:C48)+1))</f>
        <v/>
      </c>
      <c r="D49" t="e">
        <f t="shared" si="3"/>
        <v>#N/A</v>
      </c>
      <c r="E49" s="15"/>
      <c r="F49" s="80" t="str">
        <f t="shared" ca="1" si="4"/>
        <v>N/A</v>
      </c>
      <c r="G49" s="80" t="str">
        <f t="shared" si="5"/>
        <v>N/A</v>
      </c>
      <c r="H49" s="80" t="str">
        <f ca="1">IFERROR(VLOOKUP($A49,LASTYR,'2016'!$Q$3,FALSE),"N/A")</f>
        <v>N/A</v>
      </c>
      <c r="I49" s="80" t="str">
        <f t="shared" ca="1" si="8"/>
        <v>N/A</v>
      </c>
      <c r="J49" s="80" t="str">
        <f t="shared" ca="1" si="8"/>
        <v>N/A</v>
      </c>
      <c r="K49" s="80" t="str">
        <f t="shared" ca="1" si="8"/>
        <v>N/A</v>
      </c>
      <c r="L49" s="80" t="str">
        <f t="shared" ca="1" si="8"/>
        <v>N/A</v>
      </c>
      <c r="M49" s="80" t="str">
        <f t="shared" ca="1" si="8"/>
        <v>N/A</v>
      </c>
      <c r="N49" s="80" t="str">
        <f t="shared" ca="1" si="8"/>
        <v>N/A</v>
      </c>
      <c r="O49" s="80" t="str">
        <f t="shared" ca="1" si="8"/>
        <v>N/A</v>
      </c>
      <c r="P49" s="80" t="str">
        <f t="shared" ca="1" si="8"/>
        <v>N/A</v>
      </c>
      <c r="Q49" s="80" t="str">
        <f t="shared" ca="1" si="8"/>
        <v>N/A</v>
      </c>
      <c r="R49" s="80" t="str">
        <f t="shared" ca="1" si="8"/>
        <v>N/A</v>
      </c>
    </row>
    <row r="50" spans="1:18" hidden="1">
      <c r="A50" s="45"/>
      <c r="B50" s="118" t="str">
        <f t="shared" ca="1" si="2"/>
        <v/>
      </c>
      <c r="C50" s="1" t="str">
        <f>IF(ISERROR(D50),"",IF(D50="","",MAX($C$12:C49)+1))</f>
        <v/>
      </c>
      <c r="D50" t="e">
        <f t="shared" si="3"/>
        <v>#N/A</v>
      </c>
      <c r="E50" s="15"/>
      <c r="F50" s="80" t="str">
        <f t="shared" ca="1" si="4"/>
        <v>N/A</v>
      </c>
      <c r="G50" s="80" t="str">
        <f t="shared" si="5"/>
        <v>N/A</v>
      </c>
      <c r="H50" s="80" t="str">
        <f ca="1">IFERROR(VLOOKUP($A50,LASTYR,'2016'!$Q$3,FALSE),"N/A")</f>
        <v>N/A</v>
      </c>
      <c r="I50" s="80" t="str">
        <f t="shared" ca="1" si="8"/>
        <v>N/A</v>
      </c>
      <c r="J50" s="80" t="str">
        <f t="shared" ca="1" si="8"/>
        <v>N/A</v>
      </c>
      <c r="K50" s="80" t="str">
        <f t="shared" ca="1" si="8"/>
        <v>N/A</v>
      </c>
      <c r="L50" s="80" t="str">
        <f t="shared" ca="1" si="8"/>
        <v>N/A</v>
      </c>
      <c r="M50" s="80" t="str">
        <f t="shared" ca="1" si="8"/>
        <v>N/A</v>
      </c>
      <c r="N50" s="80" t="str">
        <f t="shared" ca="1" si="8"/>
        <v>N/A</v>
      </c>
      <c r="O50" s="80" t="str">
        <f t="shared" ca="1" si="8"/>
        <v>N/A</v>
      </c>
      <c r="P50" s="80" t="str">
        <f t="shared" ca="1" si="8"/>
        <v>N/A</v>
      </c>
      <c r="Q50" s="80" t="str">
        <f t="shared" ca="1" si="8"/>
        <v>N/A</v>
      </c>
      <c r="R50" s="80" t="str">
        <f t="shared" ca="1" si="8"/>
        <v>N/A</v>
      </c>
    </row>
    <row r="51" spans="1:18" hidden="1">
      <c r="A51" s="45"/>
      <c r="B51" s="118" t="str">
        <f t="shared" ca="1" si="2"/>
        <v/>
      </c>
      <c r="C51" s="1" t="str">
        <f>IF(ISERROR(D51),"",IF(D51="","",MAX($C$12:C50)+1))</f>
        <v/>
      </c>
      <c r="D51" t="e">
        <f t="shared" si="3"/>
        <v>#N/A</v>
      </c>
      <c r="E51" s="15"/>
      <c r="F51" s="80" t="str">
        <f t="shared" ca="1" si="4"/>
        <v>N/A</v>
      </c>
      <c r="G51" s="80" t="str">
        <f t="shared" si="5"/>
        <v>N/A</v>
      </c>
      <c r="H51" s="80" t="str">
        <f ca="1">IFERROR(VLOOKUP($A51,LASTYR,'2016'!$Q$3,FALSE),"N/A")</f>
        <v>N/A</v>
      </c>
      <c r="I51" s="80" t="str">
        <f t="shared" ca="1" si="8"/>
        <v>N/A</v>
      </c>
      <c r="J51" s="80" t="str">
        <f t="shared" ca="1" si="8"/>
        <v>N/A</v>
      </c>
      <c r="K51" s="80" t="str">
        <f t="shared" ca="1" si="8"/>
        <v>N/A</v>
      </c>
      <c r="L51" s="80" t="str">
        <f t="shared" ca="1" si="8"/>
        <v>N/A</v>
      </c>
      <c r="M51" s="80" t="str">
        <f t="shared" ca="1" si="8"/>
        <v>N/A</v>
      </c>
      <c r="N51" s="80" t="str">
        <f t="shared" ca="1" si="8"/>
        <v>N/A</v>
      </c>
      <c r="O51" s="80" t="str">
        <f t="shared" ca="1" si="8"/>
        <v>N/A</v>
      </c>
      <c r="P51" s="80" t="str">
        <f t="shared" ca="1" si="8"/>
        <v>N/A</v>
      </c>
      <c r="Q51" s="80" t="str">
        <f t="shared" ca="1" si="8"/>
        <v>N/A</v>
      </c>
      <c r="R51" s="80" t="str">
        <f t="shared" ca="1" si="8"/>
        <v>N/A</v>
      </c>
    </row>
    <row r="52" spans="1:18" hidden="1">
      <c r="A52" s="45"/>
      <c r="B52" s="118" t="str">
        <f t="shared" ca="1" si="2"/>
        <v/>
      </c>
      <c r="C52" s="1" t="str">
        <f>IF(ISERROR(D52),"",IF(D52="","",MAX($C$12:C51)+1))</f>
        <v/>
      </c>
      <c r="D52" t="e">
        <f t="shared" si="3"/>
        <v>#N/A</v>
      </c>
      <c r="E52" s="15"/>
      <c r="F52" s="80" t="str">
        <f t="shared" ca="1" si="4"/>
        <v>N/A</v>
      </c>
      <c r="G52" s="80" t="str">
        <f t="shared" si="5"/>
        <v>N/A</v>
      </c>
      <c r="H52" s="80" t="str">
        <f ca="1">IFERROR(VLOOKUP($A52,LASTYR,'2016'!$Q$3,FALSE),"N/A")</f>
        <v>N/A</v>
      </c>
      <c r="I52" s="80" t="str">
        <f t="shared" ca="1" si="8"/>
        <v>N/A</v>
      </c>
      <c r="J52" s="80" t="str">
        <f t="shared" ca="1" si="8"/>
        <v>N/A</v>
      </c>
      <c r="K52" s="80" t="str">
        <f t="shared" ca="1" si="8"/>
        <v>N/A</v>
      </c>
      <c r="L52" s="80" t="str">
        <f t="shared" ca="1" si="8"/>
        <v>N/A</v>
      </c>
      <c r="M52" s="80" t="str">
        <f t="shared" ca="1" si="8"/>
        <v>N/A</v>
      </c>
      <c r="N52" s="80" t="str">
        <f t="shared" ca="1" si="8"/>
        <v>N/A</v>
      </c>
      <c r="O52" s="80" t="str">
        <f t="shared" ca="1" si="8"/>
        <v>N/A</v>
      </c>
      <c r="P52" s="80" t="str">
        <f t="shared" ca="1" si="8"/>
        <v>N/A</v>
      </c>
      <c r="Q52" s="80" t="str">
        <f t="shared" ca="1" si="8"/>
        <v>N/A</v>
      </c>
      <c r="R52" s="80" t="str">
        <f t="shared" ca="1" si="8"/>
        <v>N/A</v>
      </c>
    </row>
    <row r="53" spans="1:18" hidden="1">
      <c r="A53" s="45"/>
      <c r="B53" s="118" t="str">
        <f t="shared" ca="1" si="2"/>
        <v/>
      </c>
      <c r="C53" s="1" t="str">
        <f>IF(ISERROR(D53),"",IF(D53="","",MAX($C$12:C52)+1))</f>
        <v/>
      </c>
      <c r="D53" t="e">
        <f t="shared" si="3"/>
        <v>#N/A</v>
      </c>
      <c r="E53" s="15"/>
      <c r="F53" s="80" t="str">
        <f t="shared" ca="1" si="4"/>
        <v>N/A</v>
      </c>
      <c r="G53" s="80" t="str">
        <f t="shared" si="5"/>
        <v>N/A</v>
      </c>
      <c r="H53" s="80" t="str">
        <f ca="1">IFERROR(VLOOKUP($A53,LASTYR,'2016'!$Q$3,FALSE),"N/A")</f>
        <v>N/A</v>
      </c>
      <c r="I53" s="80" t="str">
        <f t="shared" ca="1" si="8"/>
        <v>N/A</v>
      </c>
      <c r="J53" s="80" t="str">
        <f t="shared" ca="1" si="8"/>
        <v>N/A</v>
      </c>
      <c r="K53" s="80" t="str">
        <f t="shared" ca="1" si="8"/>
        <v>N/A</v>
      </c>
      <c r="L53" s="80" t="str">
        <f t="shared" ca="1" si="8"/>
        <v>N/A</v>
      </c>
      <c r="M53" s="80" t="str">
        <f t="shared" ca="1" si="8"/>
        <v>N/A</v>
      </c>
      <c r="N53" s="80" t="str">
        <f t="shared" ca="1" si="8"/>
        <v>N/A</v>
      </c>
      <c r="O53" s="80" t="str">
        <f t="shared" ca="1" si="8"/>
        <v>N/A</v>
      </c>
      <c r="P53" s="80" t="str">
        <f t="shared" ca="1" si="8"/>
        <v>N/A</v>
      </c>
      <c r="Q53" s="80" t="str">
        <f t="shared" ca="1" si="8"/>
        <v>N/A</v>
      </c>
      <c r="R53" s="80" t="str">
        <f t="shared" ca="1" si="8"/>
        <v>N/A</v>
      </c>
    </row>
    <row r="54" spans="1:18" hidden="1">
      <c r="A54" s="45"/>
      <c r="B54" s="118" t="str">
        <f t="shared" ca="1" si="2"/>
        <v/>
      </c>
      <c r="C54" s="1" t="str">
        <f>IF(ISERROR(D54),"",IF(D54="","",MAX($C$12:C53)+1))</f>
        <v/>
      </c>
      <c r="D54" t="e">
        <f t="shared" si="3"/>
        <v>#N/A</v>
      </c>
      <c r="E54" s="15"/>
      <c r="F54" s="80" t="str">
        <f t="shared" ca="1" si="4"/>
        <v>N/A</v>
      </c>
      <c r="G54" s="80" t="str">
        <f t="shared" si="5"/>
        <v>N/A</v>
      </c>
      <c r="H54" s="80" t="str">
        <f ca="1">IFERROR(VLOOKUP($A54,LASTYR,'2016'!$Q$3,FALSE),"N/A")</f>
        <v>N/A</v>
      </c>
      <c r="I54" s="80" t="str">
        <f t="shared" ca="1" si="8"/>
        <v>N/A</v>
      </c>
      <c r="J54" s="80" t="str">
        <f t="shared" ca="1" si="8"/>
        <v>N/A</v>
      </c>
      <c r="K54" s="80" t="str">
        <f t="shared" ca="1" si="8"/>
        <v>N/A</v>
      </c>
      <c r="L54" s="80" t="str">
        <f t="shared" ca="1" si="8"/>
        <v>N/A</v>
      </c>
      <c r="M54" s="80" t="str">
        <f t="shared" ca="1" si="8"/>
        <v>N/A</v>
      </c>
      <c r="N54" s="80" t="str">
        <f t="shared" ca="1" si="8"/>
        <v>N/A</v>
      </c>
      <c r="O54" s="80" t="str">
        <f t="shared" ca="1" si="8"/>
        <v>N/A</v>
      </c>
      <c r="P54" s="80" t="str">
        <f t="shared" ca="1" si="8"/>
        <v>N/A</v>
      </c>
      <c r="Q54" s="80" t="str">
        <f t="shared" ca="1" si="8"/>
        <v>N/A</v>
      </c>
      <c r="R54" s="80" t="str">
        <f t="shared" ca="1" si="8"/>
        <v>N/A</v>
      </c>
    </row>
    <row r="55" spans="1:18" hidden="1">
      <c r="A55" s="51"/>
      <c r="B55" s="118" t="str">
        <f t="shared" ca="1" si="2"/>
        <v/>
      </c>
      <c r="C55" s="1" t="str">
        <f>IF(ISERROR(D55),"",IF(D55="","",MAX($C$12:C54)+1))</f>
        <v/>
      </c>
      <c r="D55" t="e">
        <f t="shared" si="3"/>
        <v>#N/A</v>
      </c>
      <c r="F55" s="80" t="str">
        <f t="shared" ca="1" si="4"/>
        <v>N/A</v>
      </c>
      <c r="G55" s="80" t="str">
        <f t="shared" si="5"/>
        <v>N/A</v>
      </c>
      <c r="H55" s="80" t="str">
        <f ca="1">IFERROR(VLOOKUP($A55,LASTYR,'2016'!$Q$3,FALSE),"N/A")</f>
        <v>N/A</v>
      </c>
      <c r="I55" s="80" t="str">
        <f t="shared" ca="1" si="8"/>
        <v>N/A</v>
      </c>
      <c r="J55" s="80" t="str">
        <f t="shared" ca="1" si="8"/>
        <v>N/A</v>
      </c>
      <c r="K55" s="80" t="str">
        <f t="shared" ca="1" si="8"/>
        <v>N/A</v>
      </c>
      <c r="L55" s="80" t="str">
        <f t="shared" ca="1" si="8"/>
        <v>N/A</v>
      </c>
      <c r="M55" s="80" t="str">
        <f t="shared" ca="1" si="8"/>
        <v>N/A</v>
      </c>
      <c r="N55" s="80" t="str">
        <f t="shared" ca="1" si="8"/>
        <v>N/A</v>
      </c>
      <c r="O55" s="80" t="str">
        <f t="shared" ca="1" si="8"/>
        <v>N/A</v>
      </c>
      <c r="P55" s="80" t="str">
        <f t="shared" ca="1" si="8"/>
        <v>N/A</v>
      </c>
      <c r="Q55" s="80" t="str">
        <f t="shared" ca="1" si="8"/>
        <v>N/A</v>
      </c>
      <c r="R55" s="80" t="str">
        <f t="shared" ca="1" si="8"/>
        <v>N/A</v>
      </c>
    </row>
    <row r="56" spans="1:18" hidden="1">
      <c r="A56" s="51"/>
      <c r="B56" s="118" t="str">
        <f t="shared" ca="1" si="2"/>
        <v/>
      </c>
      <c r="C56" s="1" t="str">
        <f>IF(ISERROR(D56),"",IF(D56="","",MAX($C$12:C55)+1))</f>
        <v/>
      </c>
      <c r="D56" t="e">
        <f t="shared" si="3"/>
        <v>#N/A</v>
      </c>
      <c r="F56" s="80" t="str">
        <f t="shared" ca="1" si="4"/>
        <v>N/A</v>
      </c>
      <c r="G56" s="80" t="str">
        <f t="shared" si="5"/>
        <v>N/A</v>
      </c>
      <c r="H56" s="80" t="str">
        <f ca="1">IFERROR(VLOOKUP($A56,LASTYR,'2016'!$Q$3,FALSE),"N/A")</f>
        <v>N/A</v>
      </c>
      <c r="I56" s="80" t="str">
        <f t="shared" ca="1" si="8"/>
        <v>N/A</v>
      </c>
      <c r="J56" s="80" t="str">
        <f t="shared" ca="1" si="8"/>
        <v>N/A</v>
      </c>
      <c r="K56" s="80" t="str">
        <f t="shared" ca="1" si="8"/>
        <v>N/A</v>
      </c>
      <c r="L56" s="80" t="str">
        <f t="shared" ca="1" si="8"/>
        <v>N/A</v>
      </c>
      <c r="M56" s="80" t="str">
        <f t="shared" ca="1" si="8"/>
        <v>N/A</v>
      </c>
      <c r="N56" s="80" t="str">
        <f t="shared" ca="1" si="8"/>
        <v>N/A</v>
      </c>
      <c r="O56" s="80" t="str">
        <f t="shared" ca="1" si="8"/>
        <v>N/A</v>
      </c>
      <c r="P56" s="80" t="str">
        <f t="shared" ca="1" si="8"/>
        <v>N/A</v>
      </c>
      <c r="Q56" s="80" t="str">
        <f t="shared" ca="1" si="8"/>
        <v>N/A</v>
      </c>
      <c r="R56" s="80" t="str">
        <f t="shared" ca="1" si="8"/>
        <v>N/A</v>
      </c>
    </row>
    <row r="57" spans="1:18" hidden="1">
      <c r="A57" s="51"/>
      <c r="B57" s="118" t="str">
        <f t="shared" ca="1" si="2"/>
        <v/>
      </c>
      <c r="C57" s="1" t="str">
        <f>IF(ISERROR(D57),"",IF(D57="","",MAX($C$12:C56)+1))</f>
        <v/>
      </c>
      <c r="D57" t="e">
        <f t="shared" si="3"/>
        <v>#N/A</v>
      </c>
      <c r="F57" s="80" t="str">
        <f t="shared" ca="1" si="4"/>
        <v>N/A</v>
      </c>
      <c r="G57" s="80" t="str">
        <f t="shared" si="5"/>
        <v>N/A</v>
      </c>
      <c r="H57" s="80" t="str">
        <f ca="1">IFERROR(VLOOKUP($A57,LASTYR,'2016'!$Q$3,FALSE),"N/A")</f>
        <v>N/A</v>
      </c>
      <c r="I57" s="80" t="str">
        <f t="shared" ca="1" si="8"/>
        <v>N/A</v>
      </c>
      <c r="J57" s="80" t="str">
        <f t="shared" ca="1" si="8"/>
        <v>N/A</v>
      </c>
      <c r="K57" s="80" t="str">
        <f t="shared" ca="1" si="8"/>
        <v>N/A</v>
      </c>
      <c r="L57" s="80" t="str">
        <f t="shared" ca="1" si="8"/>
        <v>N/A</v>
      </c>
      <c r="M57" s="80" t="str">
        <f t="shared" ca="1" si="8"/>
        <v>N/A</v>
      </c>
      <c r="N57" s="80" t="str">
        <f t="shared" ca="1" si="8"/>
        <v>N/A</v>
      </c>
      <c r="O57" s="80" t="str">
        <f t="shared" ca="1" si="8"/>
        <v>N/A</v>
      </c>
      <c r="P57" s="80" t="str">
        <f t="shared" ca="1" si="8"/>
        <v>N/A</v>
      </c>
      <c r="Q57" s="80" t="str">
        <f t="shared" ca="1" si="8"/>
        <v>N/A</v>
      </c>
      <c r="R57" s="80" t="str">
        <f t="shared" ca="1" si="8"/>
        <v>N/A</v>
      </c>
    </row>
    <row r="58" spans="1:18">
      <c r="A58" s="31"/>
      <c r="B58" s="31"/>
      <c r="C58" s="1" t="str">
        <f>IF(ISERROR(D58),"",IF(D58="","",MAX($C$12:C57)+1))</f>
        <v/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ht="15">
      <c r="A59" s="31"/>
      <c r="B59" s="31"/>
      <c r="C59" s="1">
        <f ca="1">IF(ISERROR(D59),"",IF(D59="","",MAX($C$12:C58)+1))</f>
        <v>10</v>
      </c>
      <c r="D59" s="112" t="s">
        <v>98</v>
      </c>
      <c r="E59" s="112"/>
      <c r="F59" s="116">
        <f ca="1">AVERAGE(G59:R59)</f>
        <v>2.8197625433513368E-2</v>
      </c>
      <c r="G59" s="116">
        <f t="shared" ref="G59:R59" si="9">AVERAGE(G13:G58)</f>
        <v>2.1377549827041722E-2</v>
      </c>
      <c r="H59" s="116">
        <f t="shared" ca="1" si="9"/>
        <v>2.2286898874404347E-2</v>
      </c>
      <c r="I59" s="116">
        <f t="shared" ca="1" si="9"/>
        <v>2.6810471653402723E-2</v>
      </c>
      <c r="J59" s="116">
        <f t="shared" ca="1" si="9"/>
        <v>2.7856958423553253E-2</v>
      </c>
      <c r="K59" s="116">
        <f t="shared" ca="1" si="9"/>
        <v>2.807287587307495E-2</v>
      </c>
      <c r="L59" s="116">
        <f t="shared" ca="1" si="9"/>
        <v>3.3146107822262336E-2</v>
      </c>
      <c r="M59" s="116">
        <f t="shared" ca="1" si="9"/>
        <v>3.2653088758506539E-2</v>
      </c>
      <c r="N59" s="116">
        <f t="shared" ca="1" si="9"/>
        <v>3.3576814509595383E-2</v>
      </c>
      <c r="O59" s="116">
        <f t="shared" ca="1" si="9"/>
        <v>3.3967849104112588E-2</v>
      </c>
      <c r="P59" s="116">
        <f t="shared" ca="1" si="9"/>
        <v>2.8601574866936128E-2</v>
      </c>
      <c r="Q59" s="116">
        <f t="shared" ca="1" si="9"/>
        <v>2.5030619381372805E-2</v>
      </c>
      <c r="R59" s="116">
        <f t="shared" ca="1" si="9"/>
        <v>2.4990696107897593E-2</v>
      </c>
    </row>
    <row r="60" spans="1:18">
      <c r="A60" s="31"/>
      <c r="B60" s="31"/>
      <c r="C60" s="1">
        <f ca="1">IF(ISERROR(D60),"",IF(D60="","",MAX($C$12:C59)+1))</f>
        <v>11</v>
      </c>
      <c r="D60" t="s">
        <v>257</v>
      </c>
      <c r="F60" s="80">
        <f ca="1">AVERAGE(G60:R60)</f>
        <v>2.7565219685408607E-2</v>
      </c>
      <c r="G60" s="80">
        <f t="shared" ref="G60:R60" si="10">MEDIAN(G13:G58)</f>
        <v>2.1059516023544802E-2</v>
      </c>
      <c r="H60" s="80">
        <f t="shared" ca="1" si="10"/>
        <v>2.283130827917491E-2</v>
      </c>
      <c r="I60" s="80">
        <f t="shared" ca="1" si="10"/>
        <v>2.5922405599239608E-2</v>
      </c>
      <c r="J60" s="80">
        <f t="shared" ca="1" si="10"/>
        <v>2.6391723555492998E-2</v>
      </c>
      <c r="K60" s="80">
        <f t="shared" ca="1" si="10"/>
        <v>2.7498371806932483E-2</v>
      </c>
      <c r="L60" s="80">
        <f t="shared" ca="1" si="10"/>
        <v>3.2367915303954956E-2</v>
      </c>
      <c r="M60" s="80">
        <f t="shared" ca="1" si="10"/>
        <v>3.1897926634768738E-2</v>
      </c>
      <c r="N60" s="80">
        <f t="shared" ca="1" si="10"/>
        <v>3.2395056351064405E-2</v>
      </c>
      <c r="O60" s="80">
        <f t="shared" ca="1" si="10"/>
        <v>3.0929284408828903E-2</v>
      </c>
      <c r="P60" s="80">
        <f t="shared" ca="1" si="10"/>
        <v>2.8566531451751129E-2</v>
      </c>
      <c r="Q60" s="80">
        <f t="shared" ca="1" si="10"/>
        <v>2.6060457658842233E-2</v>
      </c>
      <c r="R60" s="80">
        <f t="shared" ca="1" si="10"/>
        <v>2.4862139151308103E-2</v>
      </c>
    </row>
    <row r="61" spans="1:18">
      <c r="A61" s="31"/>
      <c r="B61" s="31"/>
      <c r="C61" s="1" t="str">
        <f>IF(ISERROR(D61),"",IF(D61="","",MAX($C$12:C60)+1))</f>
        <v/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>
      <c r="A62" s="31"/>
      <c r="B62" s="31"/>
      <c r="C62" s="1" t="str">
        <f>IF(ISERROR(D62),"",IF(D62="","",MAX($C$12:C61)+1))</f>
        <v/>
      </c>
    </row>
    <row r="63" spans="1:18" s="103" customFormat="1" ht="29.45" customHeight="1">
      <c r="C63" s="115">
        <f ca="1">IF(ISERROR(D63),"",IF(D63="","",MAX($C$12:C62)+1))</f>
        <v>12</v>
      </c>
      <c r="D63" s="144" t="s">
        <v>378</v>
      </c>
      <c r="E63" s="144"/>
      <c r="F63" s="114">
        <f>AVERAGE(G63:R63)</f>
        <v>5.0180576683828991E-2</v>
      </c>
      <c r="G63" s="114">
        <f>VLOOKUP(2017,'Annual Yields (WP)'!$B$6:$C$43,2,FALSE)</f>
        <v>4.0725393956729763E-2</v>
      </c>
      <c r="H63" s="114">
        <f>VLOOKUP(H10,'Annual Yields (WP)'!$B$6:$C$43,2,FALSE)</f>
        <v>3.930199127182251E-2</v>
      </c>
      <c r="I63" s="114">
        <f>VLOOKUP(I10,'Annual Yields (WP)'!$B$6:$C$43,2,FALSE)</f>
        <v>4.1153967589428117E-2</v>
      </c>
      <c r="J63" s="114">
        <f>VLOOKUP(J10,'Annual Yields (WP)'!$B$6:$C$43,2,FALSE)</f>
        <v>4.2774094021446961E-2</v>
      </c>
      <c r="K63" s="114">
        <f>VLOOKUP(K10,'Annual Yields (WP)'!$B$6:$C$43,2,FALSE)</f>
        <v>4.4759707479483019E-2</v>
      </c>
      <c r="L63" s="114">
        <f>VLOOKUP(L10,'Annual Yields (WP)'!$B$6:$C$43,2,FALSE)</f>
        <v>4.1308564221010043E-2</v>
      </c>
      <c r="M63" s="114">
        <f>VLOOKUP(M10,'Annual Yields (WP)'!$B$6:$C$43,2,FALSE)</f>
        <v>5.0407157265811221E-2</v>
      </c>
      <c r="N63" s="114">
        <f>VLOOKUP(N10,'Annual Yields (WP)'!$B$6:$C$43,2,FALSE)</f>
        <v>5.4644377733549555E-2</v>
      </c>
      <c r="O63" s="114">
        <f>VLOOKUP(O10,'Annual Yields (WP)'!$B$6:$C$43,2,FALSE)</f>
        <v>6.0391666666666656E-2</v>
      </c>
      <c r="P63" s="114">
        <f>VLOOKUP(P10,'Annual Yields (WP)'!$B$6:$C$43,2,FALSE)</f>
        <v>6.5283333333333332E-2</v>
      </c>
      <c r="Q63" s="114">
        <f>VLOOKUP(Q10,'Annual Yields (WP)'!$B$6:$C$43,2,FALSE)</f>
        <v>6.0733333333333334E-2</v>
      </c>
      <c r="R63" s="114">
        <f>VLOOKUP(R10,'Annual Yields (WP)'!$B$6:$C$43,2,FALSE)</f>
        <v>6.0683333333333332E-2</v>
      </c>
    </row>
    <row r="64" spans="1:18" s="103" customFormat="1" ht="15">
      <c r="C64" s="1" t="str">
        <f>IF(ISERROR(D64),"",IF(D64="","",MAX($C$12:C63)+1))</f>
        <v/>
      </c>
      <c r="D64"/>
      <c r="E64"/>
      <c r="F64" s="80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2:18" s="103" customFormat="1" ht="15">
      <c r="C65" s="1" t="str">
        <f>IF(ISERROR(D65),"",IF(D65="","",MAX($C$12:C64)+1))</f>
        <v/>
      </c>
      <c r="D65" s="109"/>
      <c r="E65" s="109"/>
      <c r="F65" s="8"/>
      <c r="G65" s="8"/>
      <c r="H65" s="8"/>
      <c r="I65" s="8"/>
      <c r="J65" s="8"/>
      <c r="K65" s="8"/>
      <c r="L65" s="8"/>
      <c r="M65" s="8"/>
      <c r="N65" s="8"/>
      <c r="O65" s="109"/>
      <c r="P65" s="109"/>
      <c r="Q65" s="109"/>
      <c r="R65" s="109"/>
    </row>
    <row r="66" spans="2:18" s="103" customFormat="1" ht="15">
      <c r="C66" s="1">
        <f ca="1">IF(ISERROR(D66),"",IF(D66="","",MAX($C$12:C65)+1))</f>
        <v>13</v>
      </c>
      <c r="D66" s="112" t="s">
        <v>377</v>
      </c>
      <c r="E66"/>
      <c r="F66" s="111">
        <f t="shared" ref="F66:R66" ca="1" si="11">F63-F59</f>
        <v>2.1982951250315623E-2</v>
      </c>
      <c r="G66" s="111">
        <f t="shared" si="11"/>
        <v>1.9347844129688041E-2</v>
      </c>
      <c r="H66" s="111">
        <f t="shared" ca="1" si="11"/>
        <v>1.7015092397418163E-2</v>
      </c>
      <c r="I66" s="111">
        <f t="shared" ca="1" si="11"/>
        <v>1.4343495936025394E-2</v>
      </c>
      <c r="J66" s="111">
        <f t="shared" ca="1" si="11"/>
        <v>1.4917135597893708E-2</v>
      </c>
      <c r="K66" s="111">
        <f t="shared" ca="1" si="11"/>
        <v>1.6686831606408069E-2</v>
      </c>
      <c r="L66" s="111">
        <f t="shared" ca="1" si="11"/>
        <v>8.162456398747707E-3</v>
      </c>
      <c r="M66" s="111">
        <f t="shared" ca="1" si="11"/>
        <v>1.7754068507304682E-2</v>
      </c>
      <c r="N66" s="111">
        <f t="shared" ca="1" si="11"/>
        <v>2.1067563223954172E-2</v>
      </c>
      <c r="O66" s="111">
        <f t="shared" ca="1" si="11"/>
        <v>2.6423817562554068E-2</v>
      </c>
      <c r="P66" s="111">
        <f t="shared" ca="1" si="11"/>
        <v>3.6681758466397207E-2</v>
      </c>
      <c r="Q66" s="111">
        <f t="shared" ca="1" si="11"/>
        <v>3.5702713951960528E-2</v>
      </c>
      <c r="R66" s="111">
        <f t="shared" ca="1" si="11"/>
        <v>3.5692637225435739E-2</v>
      </c>
    </row>
    <row r="67" spans="2:18" s="103" customFormat="1" ht="15">
      <c r="C67" s="10"/>
      <c r="D67" s="10"/>
      <c r="E67" s="10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2:18" s="103" customFormat="1">
      <c r="B68" s="106"/>
      <c r="C68" s="107"/>
      <c r="E68" s="20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2:18" s="103" customFormat="1">
      <c r="B69" s="106"/>
      <c r="C69" s="107"/>
      <c r="E69" s="20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</row>
    <row r="70" spans="2:18" s="103" customFormat="1">
      <c r="B70" s="106"/>
      <c r="C70" s="107"/>
      <c r="E70" s="20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</row>
    <row r="71" spans="2:18" s="103" customFormat="1">
      <c r="B71" s="106"/>
      <c r="C71" s="107"/>
      <c r="E71" s="20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</row>
    <row r="72" spans="2:18" s="103" customFormat="1">
      <c r="B72" s="106"/>
      <c r="C72" s="107"/>
      <c r="E72" s="20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</row>
    <row r="73" spans="2:18" s="103" customFormat="1">
      <c r="B73" s="106"/>
      <c r="C73" s="107"/>
      <c r="E73" s="20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</row>
    <row r="74" spans="2:18" s="103" customFormat="1">
      <c r="B74" s="106"/>
      <c r="C74" s="107"/>
      <c r="E74" s="20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</row>
    <row r="75" spans="2:18" s="103" customFormat="1">
      <c r="B75" s="106"/>
      <c r="C75" s="107"/>
      <c r="E75" s="20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</row>
    <row r="76" spans="2:18" s="103" customFormat="1">
      <c r="B76" s="106"/>
      <c r="C76" s="107"/>
      <c r="E76" s="20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</row>
    <row r="77" spans="2:18" s="103" customFormat="1">
      <c r="B77" s="106"/>
      <c r="C77" s="107"/>
      <c r="E77" s="20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</row>
    <row r="78" spans="2:18" s="103" customFormat="1">
      <c r="B78" s="106"/>
      <c r="C78" s="107"/>
      <c r="E78" s="20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</row>
    <row r="79" spans="2:18" s="103" customFormat="1">
      <c r="B79" s="106"/>
      <c r="C79" s="107"/>
      <c r="E79" s="20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</row>
    <row r="80" spans="2:18" s="103" customFormat="1">
      <c r="B80" s="106"/>
      <c r="C80" s="107"/>
      <c r="E80" s="20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</row>
    <row r="81" spans="2:18" s="103" customFormat="1">
      <c r="B81" s="106"/>
      <c r="C81" s="107"/>
      <c r="E81" s="20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</row>
    <row r="82" spans="2:18" s="103" customFormat="1">
      <c r="B82" s="106"/>
      <c r="C82" s="107"/>
      <c r="E82" s="20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</row>
    <row r="83" spans="2:18" s="103" customFormat="1">
      <c r="B83" s="106"/>
      <c r="C83" s="107"/>
      <c r="E83" s="20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</row>
    <row r="84" spans="2:18" s="103" customFormat="1">
      <c r="B84" s="106"/>
      <c r="C84" s="107"/>
      <c r="E84" s="20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</row>
    <row r="85" spans="2:18" s="103" customFormat="1">
      <c r="B85" s="106"/>
      <c r="C85" s="107"/>
      <c r="E85" s="20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</row>
    <row r="86" spans="2:18" s="103" customFormat="1">
      <c r="B86" s="106"/>
      <c r="C86" s="107"/>
      <c r="E86" s="20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</row>
    <row r="87" spans="2:18" s="103" customFormat="1">
      <c r="B87" s="106"/>
      <c r="C87" s="107"/>
      <c r="E87" s="20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2:18" s="103" customFormat="1">
      <c r="B88" s="106"/>
      <c r="C88" s="107"/>
      <c r="E88" s="20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</row>
    <row r="89" spans="2:18" s="103" customFormat="1">
      <c r="B89" s="106"/>
      <c r="C89" s="107"/>
      <c r="E89" s="20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</row>
    <row r="90" spans="2:18" s="103" customFormat="1">
      <c r="B90" s="106"/>
      <c r="C90" s="107"/>
      <c r="E90" s="20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</row>
    <row r="91" spans="2:18" s="103" customFormat="1">
      <c r="B91" s="106"/>
      <c r="C91" s="107"/>
      <c r="E91" s="20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</row>
    <row r="92" spans="2:18" s="103" customFormat="1">
      <c r="B92" s="106"/>
      <c r="C92" s="107"/>
      <c r="E92" s="20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</row>
    <row r="93" spans="2:18" s="103" customFormat="1">
      <c r="B93" s="106"/>
      <c r="C93" s="107"/>
      <c r="E93" s="20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2:18" s="103" customFormat="1">
      <c r="B94" s="106"/>
      <c r="C94" s="107"/>
      <c r="E94" s="20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2:18" s="103" customFormat="1">
      <c r="B95" s="106"/>
      <c r="C95" s="107"/>
      <c r="E95" s="20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2:18" s="103" customFormat="1">
      <c r="B96" s="106"/>
      <c r="C96" s="107"/>
      <c r="E96" s="20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</row>
    <row r="97" spans="1:18" s="103" customFormat="1">
      <c r="B97" s="106"/>
      <c r="C97" s="107"/>
      <c r="E97" s="20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</row>
    <row r="98" spans="1:18" s="103" customFormat="1">
      <c r="B98" s="106"/>
      <c r="C98" s="107"/>
      <c r="E98" s="20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</row>
    <row r="99" spans="1:18" s="103" customFormat="1">
      <c r="B99" s="106"/>
      <c r="C99" s="107"/>
      <c r="E99" s="20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</row>
    <row r="100" spans="1:18" s="103" customFormat="1">
      <c r="B100" s="106"/>
      <c r="C100" s="107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</row>
    <row r="101" spans="1:18" s="103" customFormat="1">
      <c r="B101" s="106"/>
      <c r="C101" s="107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</row>
    <row r="102" spans="1:18" s="103" customFormat="1">
      <c r="B102" s="106"/>
      <c r="C102" s="107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</row>
    <row r="103" spans="1:18" s="103" customFormat="1">
      <c r="C103" s="107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</row>
    <row r="104" spans="1:18" s="103" customFormat="1">
      <c r="C104" s="107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</row>
    <row r="105" spans="1:18" s="103" customFormat="1">
      <c r="C105" s="107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</row>
    <row r="106" spans="1:18" s="103" customFormat="1">
      <c r="C106" s="107"/>
    </row>
    <row r="107" spans="1:18" s="103" customFormat="1">
      <c r="C107" s="107"/>
    </row>
    <row r="108" spans="1:18" s="103" customFormat="1" ht="15">
      <c r="C108" s="108"/>
      <c r="D108" s="108"/>
      <c r="E108" s="110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</row>
    <row r="109" spans="1:18" s="103" customFormat="1">
      <c r="B109" s="106"/>
      <c r="C109" s="107"/>
      <c r="D109" s="18"/>
      <c r="E109" s="91"/>
      <c r="F109"/>
      <c r="G109"/>
      <c r="H109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</row>
    <row r="110" spans="1:18" s="103" customFormat="1">
      <c r="B110" s="106"/>
      <c r="C110" s="1"/>
      <c r="D110" s="20" t="s">
        <v>107</v>
      </c>
      <c r="E110"/>
      <c r="F110"/>
      <c r="G110"/>
      <c r="H110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1:18" s="103" customFormat="1" ht="16.5">
      <c r="B111" s="106"/>
      <c r="C111"/>
      <c r="D111" s="79">
        <v>1</v>
      </c>
      <c r="E111" s="21" t="str">
        <f>"The Value Line Investment Survey Investment Analyzer Software, downloaded on "&amp;TEXT('[1]2016'!$A$1,"mmmm d, yyyy.")</f>
        <v>The Value Line Investment Survey Investment Analyzer Software, downloaded on June 21, 2017.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ht="16.5">
      <c r="A112" s="31"/>
      <c r="B112" s="31"/>
      <c r="D112" s="79">
        <v>2</v>
      </c>
      <c r="E112" s="21" t="str">
        <f>"The Value Line Investment Survey, "&amp;'2017 Data (WP)'!$D$3</f>
        <v>The Value Line Investment Survey, July 14, 2017.</v>
      </c>
    </row>
    <row r="113" spans="1:5" ht="16.5">
      <c r="A113" s="31"/>
      <c r="B113" s="31"/>
      <c r="D113" s="79">
        <v>3</v>
      </c>
      <c r="E113" t="s">
        <v>376</v>
      </c>
    </row>
    <row r="114" spans="1:5">
      <c r="A114" s="31"/>
      <c r="B114" s="31"/>
      <c r="D114" s="20" t="s">
        <v>336</v>
      </c>
    </row>
    <row r="115" spans="1:5" ht="16.5">
      <c r="A115" s="31"/>
      <c r="B115" s="31"/>
      <c r="D115" s="79" t="s">
        <v>362</v>
      </c>
      <c r="E115" s="21" t="str">
        <f>"Based on the average of the high and low price for 2017 and the projected 2017 Dividends Declared per share, published in The Value Line Investment Survey, "&amp;'2017 Data (WP)'!$D$3</f>
        <v>Based on the average of the high and low price for 2017 and the projected 2017 Dividends Declared per share, published in The Value Line Investment Survey, July 14, 2017.</v>
      </c>
    </row>
    <row r="116" spans="1:5">
      <c r="A116" s="31"/>
      <c r="B116" s="31"/>
    </row>
  </sheetData>
  <mergeCells count="7">
    <mergeCell ref="F108:R108"/>
    <mergeCell ref="C1:R1"/>
    <mergeCell ref="C4:R4"/>
    <mergeCell ref="C5:R5"/>
    <mergeCell ref="F8:R8"/>
    <mergeCell ref="D10:E10"/>
    <mergeCell ref="D63:E63"/>
  </mergeCells>
  <printOptions horizontalCentered="1"/>
  <pageMargins left="0.7" right="0.7" top="1" bottom="0.75" header="0.55000000000000004" footer="0.51"/>
  <pageSetup scale="57" fitToHeight="0" orientation="portrait" useFirstPageNumber="1" r:id="rId1"/>
  <headerFooter>
    <oddFooter>&amp;R&amp;18Schedule MPG-1
Page 2 of 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/>
  <dimension ref="A1:S79"/>
  <sheetViews>
    <sheetView zoomScale="70" zoomScaleNormal="70" workbookViewId="0"/>
  </sheetViews>
  <sheetFormatPr defaultRowHeight="14.25"/>
  <cols>
    <col min="1" max="1" width="17.5" bestFit="1" customWidth="1"/>
    <col min="2" max="2" width="7.125" customWidth="1"/>
    <col min="3" max="3" width="18.75" customWidth="1"/>
    <col min="4" max="4" width="4.625" customWidth="1"/>
    <col min="5" max="5" width="8.25" customWidth="1"/>
    <col min="6" max="65" width="8.75" customWidth="1"/>
  </cols>
  <sheetData>
    <row r="1" spans="1:19">
      <c r="A1" t="s">
        <v>218</v>
      </c>
    </row>
    <row r="2" spans="1:19">
      <c r="A2" t="s">
        <v>220</v>
      </c>
      <c r="C2" s="70" t="s">
        <v>316</v>
      </c>
      <c r="E2" s="29">
        <v>42850</v>
      </c>
      <c r="F2" s="29">
        <v>42718</v>
      </c>
      <c r="G2" s="29">
        <v>42718</v>
      </c>
      <c r="H2" s="29">
        <v>42718</v>
      </c>
      <c r="I2" s="29">
        <v>42718</v>
      </c>
      <c r="J2" s="29">
        <v>42718</v>
      </c>
      <c r="K2" s="29">
        <v>42718</v>
      </c>
      <c r="L2" s="29">
        <v>42718</v>
      </c>
      <c r="M2" s="29">
        <v>42718</v>
      </c>
      <c r="N2" s="29">
        <v>42718</v>
      </c>
      <c r="O2" s="29">
        <v>42718</v>
      </c>
    </row>
    <row r="3" spans="1:19"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.75" thickBot="1">
      <c r="E4" s="49">
        <v>2016</v>
      </c>
      <c r="F4" s="47">
        <v>2015</v>
      </c>
      <c r="G4" s="47">
        <v>2014</v>
      </c>
      <c r="H4" s="47">
        <v>2013</v>
      </c>
      <c r="I4" s="47">
        <v>2012</v>
      </c>
      <c r="J4" s="47">
        <v>2011</v>
      </c>
      <c r="K4" s="47">
        <v>2010</v>
      </c>
      <c r="L4" s="47">
        <v>2009</v>
      </c>
      <c r="M4" s="47">
        <v>2008</v>
      </c>
      <c r="N4" s="47">
        <v>2007</v>
      </c>
      <c r="O4" s="47">
        <v>2006</v>
      </c>
      <c r="P4" s="47">
        <v>2005</v>
      </c>
      <c r="Q4" s="47">
        <v>2004</v>
      </c>
      <c r="R4" s="47">
        <v>2003</v>
      </c>
      <c r="S4" s="47">
        <v>2002</v>
      </c>
    </row>
    <row r="5" spans="1:19">
      <c r="A5" t="str">
        <f>IFERROR(INDEX('2017 Data (WP)'!$C$9:$C$72,MATCH($B5,'2017 Data (WP)'!$D$9:$D$72,0)),"")</f>
        <v>Electric Util. (Central)</v>
      </c>
      <c r="B5" t="s">
        <v>0</v>
      </c>
      <c r="C5" t="s">
        <v>91</v>
      </c>
      <c r="D5" s="34"/>
      <c r="E5" s="68">
        <f>IF(IFERROR(INDEX('2016'!$C$5:$C$72,MATCH('P-E Ratio (WP)'!B5,'2016'!$A$5:$A$72,0)),0)=0,"N/A",INDEX('2016'!$C$5:$C$72,MATCH('P-E Ratio (WP)'!B5,'2016'!$A$5:$A$72,0)))</f>
        <v>18.632000000000001</v>
      </c>
      <c r="F5" s="28">
        <v>15.055999999999999</v>
      </c>
      <c r="G5" s="28">
        <v>17.228999999999999</v>
      </c>
      <c r="H5" s="28">
        <v>18.594000000000001</v>
      </c>
      <c r="I5" s="28">
        <v>15.881</v>
      </c>
      <c r="J5" s="28">
        <v>14.662000000000001</v>
      </c>
      <c r="K5" s="28">
        <v>15.976000000000001</v>
      </c>
      <c r="L5" s="28">
        <v>16.079999999999998</v>
      </c>
      <c r="M5" s="28">
        <v>13.948</v>
      </c>
      <c r="N5" s="28">
        <v>14.781000000000001</v>
      </c>
      <c r="O5" s="28">
        <v>16.545000000000002</v>
      </c>
      <c r="P5" s="39">
        <v>17.905999999999999</v>
      </c>
      <c r="Q5" s="39">
        <v>25.213000000000001</v>
      </c>
      <c r="R5" s="39" t="s">
        <v>106</v>
      </c>
      <c r="S5" s="39" t="s">
        <v>106</v>
      </c>
    </row>
    <row r="6" spans="1:19">
      <c r="A6" t="str">
        <f>IFERROR(INDEX('2017 Data (WP)'!$C$9:$C$72,MATCH($B6,'2017 Data (WP)'!$D$9:$D$72,0)),"")</f>
        <v>Electric Util. (Central)</v>
      </c>
      <c r="B6" t="s">
        <v>1</v>
      </c>
      <c r="C6" t="s">
        <v>84</v>
      </c>
      <c r="D6" s="34"/>
      <c r="E6" s="68">
        <f>IF(IFERROR(INDEX('2016'!$C$5:$C$72,MATCH('P-E Ratio (WP)'!B6,'2016'!$A$5:$A$72,0)),0)=0,"N/A",INDEX('2016'!$C$5:$C$72,MATCH('P-E Ratio (WP)'!B6,'2016'!$A$5:$A$72,0)))</f>
        <v>22.303999999999998</v>
      </c>
      <c r="F6" s="28">
        <v>18.071999999999999</v>
      </c>
      <c r="G6" s="28">
        <v>16.603000000000002</v>
      </c>
      <c r="H6" s="28">
        <v>15.276</v>
      </c>
      <c r="I6" s="28">
        <v>14.497999999999999</v>
      </c>
      <c r="J6" s="28">
        <v>14.451000000000001</v>
      </c>
      <c r="K6" s="28">
        <v>12.473000000000001</v>
      </c>
      <c r="L6" s="28">
        <v>13.861000000000001</v>
      </c>
      <c r="M6" s="28">
        <v>13.433</v>
      </c>
      <c r="N6" s="28">
        <v>15.077</v>
      </c>
      <c r="O6" s="28">
        <v>16.82</v>
      </c>
      <c r="P6" s="39">
        <v>12.587999999999999</v>
      </c>
      <c r="Q6" s="39">
        <v>14.002000000000001</v>
      </c>
      <c r="R6" s="39">
        <v>12.692</v>
      </c>
      <c r="S6" s="39">
        <v>19.934000000000001</v>
      </c>
    </row>
    <row r="7" spans="1:19">
      <c r="A7" t="str">
        <f>IFERROR(INDEX('2017 Data (WP)'!$C$9:$C$72,MATCH($B7,'2017 Data (WP)'!$D$9:$D$72,0)),"")</f>
        <v>Water Utility</v>
      </c>
      <c r="B7" s="31" t="s">
        <v>165</v>
      </c>
      <c r="C7" s="31" t="s">
        <v>164</v>
      </c>
      <c r="D7" s="34"/>
      <c r="E7" s="68">
        <f>IF(IFERROR(INDEX('2016'!$C$5:$C$72,MATCH('P-E Ratio (WP)'!B7,'2016'!$A$5:$A$72,0)),0)=0,"N/A",INDEX('2016'!$C$5:$C$72,MATCH('P-E Ratio (WP)'!B7,'2016'!$A$5:$A$72,0)))</f>
        <v>25.593</v>
      </c>
      <c r="F7" s="28">
        <v>24.728000000000002</v>
      </c>
      <c r="G7" s="28">
        <v>20.094999999999999</v>
      </c>
      <c r="H7" s="28">
        <v>17.166</v>
      </c>
      <c r="I7" s="28">
        <v>14.301</v>
      </c>
      <c r="J7" s="28">
        <v>15.356999999999999</v>
      </c>
      <c r="K7" s="28">
        <v>15.731999999999999</v>
      </c>
      <c r="L7" s="28">
        <v>21.196000000000002</v>
      </c>
      <c r="M7" s="28">
        <v>22.585000000000001</v>
      </c>
      <c r="N7" s="28">
        <v>24.004000000000001</v>
      </c>
      <c r="O7" s="28">
        <v>27.728999999999999</v>
      </c>
    </row>
    <row r="8" spans="1:19">
      <c r="A8" t="str">
        <f>IFERROR(INDEX('2017 Data (WP)'!$C$9:$C$72,MATCH($B8,'2017 Data (WP)'!$D$9:$D$72,0)),"")</f>
        <v>Water Utility</v>
      </c>
      <c r="B8" s="31" t="s">
        <v>167</v>
      </c>
      <c r="C8" s="31" t="s">
        <v>166</v>
      </c>
      <c r="D8" s="34"/>
      <c r="E8" s="68">
        <f>IF(IFERROR(INDEX('2016'!$C$5:$C$72,MATCH('P-E Ratio (WP)'!B8,'2016'!$A$5:$A$72,0)),0)=0,"N/A",INDEX('2016'!$C$5:$C$72,MATCH('P-E Ratio (WP)'!B8,'2016'!$A$5:$A$72,0)))</f>
        <v>27.710999999999999</v>
      </c>
      <c r="F8" s="28">
        <v>20.507999999999999</v>
      </c>
      <c r="G8" s="28">
        <v>20.016999999999999</v>
      </c>
      <c r="H8" s="28">
        <v>19.901</v>
      </c>
      <c r="I8" s="28">
        <v>16.707000000000001</v>
      </c>
      <c r="J8" s="28">
        <v>16.797999999999998</v>
      </c>
      <c r="K8" s="28">
        <v>14.613</v>
      </c>
      <c r="L8" s="28">
        <v>15.635</v>
      </c>
      <c r="M8" s="28">
        <v>18.917000000000002</v>
      </c>
      <c r="N8" s="28" t="s">
        <v>106</v>
      </c>
      <c r="O8" s="28" t="s">
        <v>106</v>
      </c>
    </row>
    <row r="9" spans="1:19">
      <c r="A9" t="str">
        <f>IFERROR(INDEX('2017 Data (WP)'!$C$9:$C$72,MATCH($B9,'2017 Data (WP)'!$D$9:$D$72,0)),"")</f>
        <v>Electric Util. (Central)</v>
      </c>
      <c r="B9" t="s">
        <v>3</v>
      </c>
      <c r="C9" t="s">
        <v>80</v>
      </c>
      <c r="D9" s="34"/>
      <c r="E9" s="68">
        <f>IF(IFERROR(INDEX('2016'!$C$5:$C$72,MATCH('P-E Ratio (WP)'!B9,'2016'!$A$5:$A$72,0)),0)=0,"N/A",INDEX('2016'!$C$5:$C$72,MATCH('P-E Ratio (WP)'!B9,'2016'!$A$5:$A$72,0)))</f>
        <v>18.294</v>
      </c>
      <c r="F9" s="28">
        <v>17.545000000000002</v>
      </c>
      <c r="G9" s="28">
        <v>16.706</v>
      </c>
      <c r="H9" s="28">
        <v>16.516999999999999</v>
      </c>
      <c r="I9" s="28">
        <v>13.351000000000001</v>
      </c>
      <c r="J9" s="28">
        <v>11.933999999999999</v>
      </c>
      <c r="K9" s="28">
        <v>9.6549999999999994</v>
      </c>
      <c r="L9" s="28">
        <v>9.2609999999999992</v>
      </c>
      <c r="M9" s="28">
        <v>14.205</v>
      </c>
      <c r="N9" s="28">
        <v>17.45</v>
      </c>
      <c r="O9" s="28">
        <v>19.385000000000002</v>
      </c>
      <c r="P9" s="39">
        <v>16.716000000000001</v>
      </c>
      <c r="Q9" s="39">
        <v>16.276</v>
      </c>
      <c r="R9" s="39">
        <v>13.505000000000001</v>
      </c>
      <c r="S9" s="39">
        <v>15.779</v>
      </c>
    </row>
    <row r="10" spans="1:19">
      <c r="A10" t="str">
        <f>IFERROR(INDEX('2017 Data (WP)'!$C$9:$C$72,MATCH($B10,'2017 Data (WP)'!$D$9:$D$72,0)),"")</f>
        <v>Electric Util. (Central)</v>
      </c>
      <c r="B10" t="s">
        <v>2</v>
      </c>
      <c r="C10" t="s">
        <v>103</v>
      </c>
      <c r="D10" s="34"/>
      <c r="E10" s="68">
        <f>IF(IFERROR(INDEX('2016'!$C$5:$C$72,MATCH('P-E Ratio (WP)'!B10,'2016'!$A$5:$A$72,0)),0)=0,"N/A",INDEX('2016'!$C$5:$C$72,MATCH('P-E Ratio (WP)'!B10,'2016'!$A$5:$A$72,0)))</f>
        <v>15.157</v>
      </c>
      <c r="F10" s="28">
        <v>15.769</v>
      </c>
      <c r="G10" s="28">
        <v>15.875999999999999</v>
      </c>
      <c r="H10" s="28">
        <v>14.494</v>
      </c>
      <c r="I10" s="28">
        <v>13.766999999999999</v>
      </c>
      <c r="J10" s="28">
        <v>11.917999999999999</v>
      </c>
      <c r="K10" s="28">
        <v>13.416</v>
      </c>
      <c r="L10" s="28">
        <v>10.032</v>
      </c>
      <c r="M10" s="28">
        <v>13.061</v>
      </c>
      <c r="N10" s="28">
        <v>16.268000000000001</v>
      </c>
      <c r="O10" s="28">
        <v>12.906000000000001</v>
      </c>
      <c r="P10" s="39">
        <v>13.695</v>
      </c>
      <c r="Q10" s="39">
        <v>12.420999999999999</v>
      </c>
      <c r="R10" s="39">
        <v>10.662000000000001</v>
      </c>
      <c r="S10" s="39">
        <v>12.676</v>
      </c>
    </row>
    <row r="11" spans="1:19">
      <c r="A11" t="str">
        <f>IFERROR(INDEX('2017 Data (WP)'!$C$9:$C$72,MATCH($B11,'2017 Data (WP)'!$D$9:$D$72,0)),"")</f>
        <v>Water Utility</v>
      </c>
      <c r="B11" s="31" t="s">
        <v>171</v>
      </c>
      <c r="C11" s="31" t="s">
        <v>170</v>
      </c>
      <c r="D11" s="34"/>
      <c r="E11" s="68">
        <f>IF(IFERROR(INDEX('2016'!$C$5:$C$72,MATCH('P-E Ratio (WP)'!B11,'2016'!$A$5:$A$72,0)),0)=0,"N/A",INDEX('2016'!$C$5:$C$72,MATCH('P-E Ratio (WP)'!B11,'2016'!$A$5:$A$72,0)))</f>
        <v>23.863</v>
      </c>
      <c r="F11" s="28">
        <v>23.509</v>
      </c>
      <c r="G11" s="28">
        <v>20.760999999999999</v>
      </c>
      <c r="H11" s="28">
        <v>21.18</v>
      </c>
      <c r="I11" s="28">
        <v>21.937000000000001</v>
      </c>
      <c r="J11" s="28">
        <v>21.257000000000001</v>
      </c>
      <c r="K11" s="28">
        <v>21.077999999999999</v>
      </c>
      <c r="L11" s="28">
        <v>23.094000000000001</v>
      </c>
      <c r="M11" s="28">
        <v>24.928000000000001</v>
      </c>
      <c r="N11" s="28">
        <v>31.968</v>
      </c>
      <c r="O11" s="28">
        <v>34.704000000000001</v>
      </c>
    </row>
    <row r="12" spans="1:19">
      <c r="A12" t="str">
        <f>IFERROR(INDEX('2017 Data (WP)'!$C$9:$C$72,MATCH($B12,'2017 Data (WP)'!$D$9:$D$72,0)),"")</f>
        <v>Natural Gas Utility</v>
      </c>
      <c r="B12" s="31" t="s">
        <v>175</v>
      </c>
      <c r="C12" s="31" t="s">
        <v>174</v>
      </c>
      <c r="D12" s="34"/>
      <c r="E12" s="68">
        <f>IF(IFERROR(INDEX('2016'!$C$5:$C$72,MATCH('P-E Ratio (WP)'!B12,'2016'!$A$5:$A$72,0)),0)=0,"N/A",INDEX('2016'!$C$5:$C$72,MATCH('P-E Ratio (WP)'!B12,'2016'!$A$5:$A$72,0)))</f>
        <v>20.8</v>
      </c>
      <c r="F12" s="28">
        <v>17.501000000000001</v>
      </c>
      <c r="G12" s="28">
        <v>16.091999999999999</v>
      </c>
      <c r="H12" s="28">
        <v>15.872999999999999</v>
      </c>
      <c r="I12" s="28">
        <v>15.93</v>
      </c>
      <c r="J12" s="28">
        <v>14.355</v>
      </c>
      <c r="K12" s="28">
        <v>13.21</v>
      </c>
      <c r="L12" s="28">
        <v>12.538</v>
      </c>
      <c r="M12" s="28">
        <v>13.585000000000001</v>
      </c>
      <c r="N12" s="28">
        <v>15.866</v>
      </c>
      <c r="O12" s="28">
        <v>13.523999999999999</v>
      </c>
    </row>
    <row r="13" spans="1:19">
      <c r="A13" t="str">
        <f>IFERROR(INDEX('2017 Data (WP)'!$C$9:$C$72,MATCH($B13,'2017 Data (WP)'!$D$9:$D$72,0)),"")</f>
        <v>Electric Utility (East)</v>
      </c>
      <c r="B13" t="s">
        <v>261</v>
      </c>
      <c r="C13" t="s">
        <v>262</v>
      </c>
      <c r="D13" s="34"/>
      <c r="E13" s="68">
        <f>IF(IFERROR(INDEX('2016'!$C$5:$C$72,MATCH('P-E Ratio (WP)'!B13,'2016'!$A$5:$A$72,0)),0)=0,"N/A",INDEX('2016'!$C$5:$C$72,MATCH('P-E Ratio (WP)'!B13,'2016'!$A$5:$A$72,0)))</f>
        <v>20.492000000000001</v>
      </c>
      <c r="F13" s="28">
        <v>40.936</v>
      </c>
      <c r="G13" s="28" t="s">
        <v>106</v>
      </c>
      <c r="H13" s="28" t="s">
        <v>106</v>
      </c>
      <c r="I13" s="28" t="s">
        <v>106</v>
      </c>
      <c r="J13" s="28" t="s">
        <v>106</v>
      </c>
      <c r="K13" s="28" t="s">
        <v>106</v>
      </c>
      <c r="L13" s="28" t="s">
        <v>106</v>
      </c>
      <c r="M13" s="28" t="s">
        <v>106</v>
      </c>
      <c r="N13" s="28" t="s">
        <v>106</v>
      </c>
      <c r="O13" s="28" t="s">
        <v>106</v>
      </c>
      <c r="P13" s="39" t="s">
        <v>106</v>
      </c>
      <c r="Q13" s="39" t="s">
        <v>106</v>
      </c>
      <c r="R13" s="39" t="s">
        <v>106</v>
      </c>
      <c r="S13" s="39" t="s">
        <v>106</v>
      </c>
    </row>
    <row r="14" spans="1:19">
      <c r="A14" t="str">
        <f>IFERROR(INDEX('2017 Data (WP)'!$C$9:$C$72,MATCH($B14,'2017 Data (WP)'!$D$9:$D$72,0)),"")</f>
        <v>Electric Utility (West)</v>
      </c>
      <c r="B14" t="s">
        <v>4</v>
      </c>
      <c r="C14" t="s">
        <v>86</v>
      </c>
      <c r="D14" s="34"/>
      <c r="E14" s="68">
        <f>IF(IFERROR(INDEX('2016'!$C$5:$C$72,MATCH('P-E Ratio (WP)'!B14,'2016'!$A$5:$A$72,0)),0)=0,"N/A",INDEX('2016'!$C$5:$C$72,MATCH('P-E Ratio (WP)'!B14,'2016'!$A$5:$A$72,0)))</f>
        <v>18.795000000000002</v>
      </c>
      <c r="F14" s="28">
        <v>17.603000000000002</v>
      </c>
      <c r="G14" s="28">
        <v>17.282</v>
      </c>
      <c r="H14" s="28">
        <v>14.635</v>
      </c>
      <c r="I14" s="28">
        <v>19.297000000000001</v>
      </c>
      <c r="J14" s="28">
        <v>14.077999999999999</v>
      </c>
      <c r="K14" s="28">
        <v>12.739000000000001</v>
      </c>
      <c r="L14" s="28">
        <v>11.416</v>
      </c>
      <c r="M14" s="28">
        <v>14.972</v>
      </c>
      <c r="N14" s="28">
        <v>30.875</v>
      </c>
      <c r="O14" s="28">
        <v>15.39</v>
      </c>
      <c r="P14" s="39">
        <v>19.446999999999999</v>
      </c>
      <c r="Q14" s="39">
        <v>24.431999999999999</v>
      </c>
      <c r="R14" s="39">
        <v>13.842000000000001</v>
      </c>
      <c r="S14" s="39">
        <v>19.27</v>
      </c>
    </row>
    <row r="15" spans="1:19">
      <c r="A15" t="str">
        <f>IFERROR(INDEX('2017 Data (WP)'!$C$9:$C$72,MATCH($B15,'2017 Data (WP)'!$D$9:$D$72,0)),"")</f>
        <v>Electric Utility (West)</v>
      </c>
      <c r="B15" t="s">
        <v>5</v>
      </c>
      <c r="C15" t="s">
        <v>46</v>
      </c>
      <c r="D15" s="34"/>
      <c r="E15" s="68">
        <f>IF(IFERROR(INDEX('2016'!$C$5:$C$72,MATCH('P-E Ratio (WP)'!B15,'2016'!$A$5:$A$72,0)),0)=0,"N/A",INDEX('2016'!$C$5:$C$72,MATCH('P-E Ratio (WP)'!B15,'2016'!$A$5:$A$72,0)))</f>
        <v>22.289000000000001</v>
      </c>
      <c r="F15" s="28">
        <v>16.137</v>
      </c>
      <c r="G15" s="28">
        <v>19.029</v>
      </c>
      <c r="H15" s="28">
        <v>18.238</v>
      </c>
      <c r="I15" s="28">
        <v>17.131</v>
      </c>
      <c r="J15" s="28">
        <v>31.129000000000001</v>
      </c>
      <c r="K15" s="28">
        <v>18.096</v>
      </c>
      <c r="L15" s="28">
        <v>9.9260000000000002</v>
      </c>
      <c r="M15" s="28" t="s">
        <v>106</v>
      </c>
      <c r="N15" s="28">
        <v>15.023</v>
      </c>
      <c r="O15" s="28">
        <v>15.766999999999999</v>
      </c>
      <c r="P15" s="39">
        <v>17.265000000000001</v>
      </c>
      <c r="Q15" s="39">
        <v>17.129000000000001</v>
      </c>
      <c r="R15" s="39">
        <v>15.949</v>
      </c>
      <c r="S15" s="39">
        <v>12.515000000000001</v>
      </c>
    </row>
    <row r="16" spans="1:19">
      <c r="A16" t="str">
        <f>IFERROR(INDEX('2017 Data (WP)'!$C$9:$C$72,MATCH($B16,'2017 Data (WP)'!$D$9:$D$72,0)),"")</f>
        <v>Water Utility</v>
      </c>
      <c r="B16" s="31" t="s">
        <v>177</v>
      </c>
      <c r="C16" s="31" t="s">
        <v>176</v>
      </c>
      <c r="D16" s="34"/>
      <c r="E16" s="68">
        <f>IF(IFERROR(INDEX('2016'!$C$5:$C$72,MATCH('P-E Ratio (WP)'!B16,'2016'!$A$5:$A$72,0)),0)=0,"N/A",INDEX('2016'!$C$5:$C$72,MATCH('P-E Ratio (WP)'!B16,'2016'!$A$5:$A$72,0)))</f>
        <v>29.65</v>
      </c>
      <c r="F16" s="28">
        <v>24.773</v>
      </c>
      <c r="G16" s="28">
        <v>19.690999999999999</v>
      </c>
      <c r="H16" s="28">
        <v>20.125</v>
      </c>
      <c r="I16" s="28">
        <v>17.878</v>
      </c>
      <c r="J16" s="28">
        <v>21.277000000000001</v>
      </c>
      <c r="K16" s="28">
        <v>20.295000000000002</v>
      </c>
      <c r="L16" s="28">
        <v>19.686</v>
      </c>
      <c r="M16" s="28">
        <v>19.765999999999998</v>
      </c>
      <c r="N16" s="28">
        <v>26.056999999999999</v>
      </c>
      <c r="O16" s="28">
        <v>29.239000000000001</v>
      </c>
    </row>
    <row r="17" spans="1:19">
      <c r="A17" t="str">
        <f>IFERROR(INDEX('2017 Data (WP)'!$C$9:$C$72,MATCH($B17,'2017 Data (WP)'!$D$9:$D$72,0)),"")</f>
        <v>Electric Util. (Central)</v>
      </c>
      <c r="B17" t="s">
        <v>6</v>
      </c>
      <c r="C17" t="s">
        <v>90</v>
      </c>
      <c r="D17" s="34"/>
      <c r="E17" s="68">
        <f>IF(IFERROR(INDEX('2016'!$C$5:$C$72,MATCH('P-E Ratio (WP)'!B17,'2016'!$A$5:$A$72,0)),0)=0,"N/A",INDEX('2016'!$C$5:$C$72,MATCH('P-E Ratio (WP)'!B17,'2016'!$A$5:$A$72,0)))</f>
        <v>21.91</v>
      </c>
      <c r="F17" s="28">
        <v>18.097999999999999</v>
      </c>
      <c r="G17" s="28">
        <v>16.96</v>
      </c>
      <c r="H17" s="28">
        <v>18.747</v>
      </c>
      <c r="I17" s="28">
        <v>14.847</v>
      </c>
      <c r="J17" s="28">
        <v>14.574999999999999</v>
      </c>
      <c r="K17" s="28">
        <v>13.781000000000001</v>
      </c>
      <c r="L17" s="28">
        <v>11.807</v>
      </c>
      <c r="M17" s="28">
        <v>11.272</v>
      </c>
      <c r="N17" s="28">
        <v>15.002000000000001</v>
      </c>
      <c r="O17" s="28">
        <v>10.265000000000001</v>
      </c>
      <c r="P17" s="39">
        <v>19.055</v>
      </c>
      <c r="Q17" s="39">
        <v>17.841000000000001</v>
      </c>
      <c r="R17" s="39">
        <v>6.0469999999999997</v>
      </c>
      <c r="S17" s="39">
        <v>5.59</v>
      </c>
    </row>
    <row r="18" spans="1:19">
      <c r="A18" t="str">
        <f>IFERROR(INDEX('2017 Data (WP)'!$C$9:$C$72,MATCH($B18,'2017 Data (WP)'!$D$9:$D$72,0)),"")</f>
        <v/>
      </c>
      <c r="B18" t="s">
        <v>7</v>
      </c>
      <c r="C18" t="s">
        <v>48</v>
      </c>
      <c r="D18" s="34"/>
      <c r="E18" s="68" t="str">
        <f>IF(IFERROR(INDEX('2016'!$C$5:$C$72,MATCH('P-E Ratio (WP)'!B18,'2016'!$A$5:$A$72,0)),0)=0,"N/A",INDEX('2016'!$C$5:$C$72,MATCH('P-E Ratio (WP)'!B18,'2016'!$A$5:$A$72,0)))</f>
        <v>N/A</v>
      </c>
      <c r="F18" s="68" t="str">
        <f>IF(IFERROR(INDEX('2016'!$C$5:$C$72,MATCH('P-E Ratio (WP)'!C18,'2016'!$A$5:$A$72,0)),0)=0,"N/A",INDEX('2016'!$C$5:$C$72,MATCH('P-E Ratio (WP)'!C18,'2016'!$A$5:$A$72,0)))</f>
        <v>N/A</v>
      </c>
      <c r="G18" s="68" t="str">
        <f>IF(IFERROR(INDEX('2016'!$C$5:$C$72,MATCH('P-E Ratio (WP)'!D18,'2016'!$A$5:$A$72,0)),0)=0,"N/A",INDEX('2016'!$C$5:$C$72,MATCH('P-E Ratio (WP)'!D18,'2016'!$A$5:$A$72,0)))</f>
        <v>N/A</v>
      </c>
      <c r="H18" s="68" t="str">
        <f>IF(IFERROR(INDEX('2016'!$C$5:$C$72,MATCH('P-E Ratio (WP)'!E18,'2016'!$A$5:$A$72,0)),0)=0,"N/A",INDEX('2016'!$C$5:$C$72,MATCH('P-E Ratio (WP)'!E18,'2016'!$A$5:$A$72,0)))</f>
        <v>N/A</v>
      </c>
      <c r="I18" s="68" t="str">
        <f>IF(IFERROR(INDEX('2016'!$C$5:$C$72,MATCH('P-E Ratio (WP)'!F18,'2016'!$A$5:$A$72,0)),0)=0,"N/A",INDEX('2016'!$C$5:$C$72,MATCH('P-E Ratio (WP)'!F18,'2016'!$A$5:$A$72,0)))</f>
        <v>N/A</v>
      </c>
      <c r="J18" s="68" t="str">
        <f>IF(IFERROR(INDEX('2016'!$C$5:$C$72,MATCH('P-E Ratio (WP)'!G18,'2016'!$A$5:$A$72,0)),0)=0,"N/A",INDEX('2016'!$C$5:$C$72,MATCH('P-E Ratio (WP)'!G18,'2016'!$A$5:$A$72,0)))</f>
        <v>N/A</v>
      </c>
      <c r="K18" s="68" t="str">
        <f>IF(IFERROR(INDEX('2016'!$C$5:$C$72,MATCH('P-E Ratio (WP)'!H18,'2016'!$A$5:$A$72,0)),0)=0,"N/A",INDEX('2016'!$C$5:$C$72,MATCH('P-E Ratio (WP)'!H18,'2016'!$A$5:$A$72,0)))</f>
        <v>N/A</v>
      </c>
      <c r="L18" s="68" t="str">
        <f>IF(IFERROR(INDEX('2016'!$C$5:$C$72,MATCH('P-E Ratio (WP)'!I18,'2016'!$A$5:$A$72,0)),0)=0,"N/A",INDEX('2016'!$C$5:$C$72,MATCH('P-E Ratio (WP)'!I18,'2016'!$A$5:$A$72,0)))</f>
        <v>N/A</v>
      </c>
      <c r="M18" s="68" t="str">
        <f>IF(IFERROR(INDEX('2016'!$C$5:$C$72,MATCH('P-E Ratio (WP)'!J18,'2016'!$A$5:$A$72,0)),0)=0,"N/A",INDEX('2016'!$C$5:$C$72,MATCH('P-E Ratio (WP)'!J18,'2016'!$A$5:$A$72,0)))</f>
        <v>N/A</v>
      </c>
      <c r="N18" s="68" t="str">
        <f>IF(IFERROR(INDEX('2016'!$C$5:$C$72,MATCH('P-E Ratio (WP)'!K18,'2016'!$A$5:$A$72,0)),0)=0,"N/A",INDEX('2016'!$C$5:$C$72,MATCH('P-E Ratio (WP)'!K18,'2016'!$A$5:$A$72,0)))</f>
        <v>N/A</v>
      </c>
      <c r="O18" s="68" t="str">
        <f>IF(IFERROR(INDEX('2016'!$C$5:$C$72,MATCH('P-E Ratio (WP)'!L18,'2016'!$A$5:$A$72,0)),0)=0,"N/A",INDEX('2016'!$C$5:$C$72,MATCH('P-E Ratio (WP)'!L18,'2016'!$A$5:$A$72,0)))</f>
        <v>N/A</v>
      </c>
      <c r="P18" s="39" t="s">
        <v>106</v>
      </c>
      <c r="Q18" s="39">
        <v>17.190000000000001</v>
      </c>
      <c r="R18" s="39">
        <v>15.709</v>
      </c>
      <c r="S18" s="39">
        <v>22.559000000000001</v>
      </c>
    </row>
    <row r="19" spans="1:19">
      <c r="A19" t="str">
        <f>IFERROR(INDEX('2017 Data (WP)'!$C$9:$C$72,MATCH($B19,'2017 Data (WP)'!$D$9:$D$72,0)),"")</f>
        <v>Natural Gas Utility</v>
      </c>
      <c r="B19" s="31" t="s">
        <v>178</v>
      </c>
      <c r="C19" s="31" t="s">
        <v>215</v>
      </c>
      <c r="D19" s="34"/>
      <c r="E19" s="68">
        <f>IF(IFERROR(INDEX('2016'!$C$5:$C$72,MATCH('P-E Ratio (WP)'!B19,'2016'!$A$5:$A$72,0)),0)=0,"N/A",INDEX('2016'!$C$5:$C$72,MATCH('P-E Ratio (WP)'!B19,'2016'!$A$5:$A$72,0)))</f>
        <v>21.774000000000001</v>
      </c>
      <c r="F19" s="28">
        <v>19.145</v>
      </c>
      <c r="G19" s="28">
        <v>17.702000000000002</v>
      </c>
      <c r="H19" s="28">
        <v>15.622</v>
      </c>
      <c r="I19" s="28">
        <v>14.808</v>
      </c>
      <c r="J19" s="28">
        <v>14.16</v>
      </c>
      <c r="K19" s="28">
        <v>12.214</v>
      </c>
      <c r="L19" s="28">
        <v>14.202999999999999</v>
      </c>
      <c r="M19" s="28">
        <v>14.154</v>
      </c>
      <c r="N19" s="28">
        <v>16.718</v>
      </c>
      <c r="O19" s="28">
        <v>17.853999999999999</v>
      </c>
    </row>
    <row r="20" spans="1:19">
      <c r="A20" t="str">
        <f>IFERROR(INDEX('2017 Data (WP)'!$C$9:$C$72,MATCH($B20,'2017 Data (WP)'!$D$9:$D$72,0)),"")</f>
        <v/>
      </c>
      <c r="B20" t="s">
        <v>8</v>
      </c>
      <c r="C20" t="s">
        <v>49</v>
      </c>
      <c r="D20" s="34"/>
      <c r="E20" s="68" t="str">
        <f>IF(IFERROR(INDEX('2016'!$C$5:$C$72,MATCH('P-E Ratio (WP)'!B20,'2016'!$A$5:$A$72,0)),0)=0,"N/A",INDEX('2016'!$C$5:$C$72,MATCH('P-E Ratio (WP)'!B20,'2016'!$A$5:$A$72,0)))</f>
        <v>N/A</v>
      </c>
      <c r="F20" s="68" t="str">
        <f>IF(IFERROR(INDEX('2016'!$C$5:$C$72,MATCH('P-E Ratio (WP)'!C20,'2016'!$A$5:$A$72,0)),0)=0,"N/A",INDEX('2016'!$C$5:$C$72,MATCH('P-E Ratio (WP)'!C20,'2016'!$A$5:$A$72,0)))</f>
        <v>N/A</v>
      </c>
      <c r="G20" s="68" t="str">
        <f>IF(IFERROR(INDEX('2016'!$C$5:$C$72,MATCH('P-E Ratio (WP)'!D20,'2016'!$A$5:$A$72,0)),0)=0,"N/A",INDEX('2016'!$C$5:$C$72,MATCH('P-E Ratio (WP)'!D20,'2016'!$A$5:$A$72,0)))</f>
        <v>N/A</v>
      </c>
      <c r="H20" s="68" t="str">
        <f>IF(IFERROR(INDEX('2016'!$C$5:$C$72,MATCH('P-E Ratio (WP)'!E20,'2016'!$A$5:$A$72,0)),0)=0,"N/A",INDEX('2016'!$C$5:$C$72,MATCH('P-E Ratio (WP)'!E20,'2016'!$A$5:$A$72,0)))</f>
        <v>N/A</v>
      </c>
      <c r="I20" s="68" t="str">
        <f>IF(IFERROR(INDEX('2016'!$C$5:$C$72,MATCH('P-E Ratio (WP)'!F20,'2016'!$A$5:$A$72,0)),0)=0,"N/A",INDEX('2016'!$C$5:$C$72,MATCH('P-E Ratio (WP)'!F20,'2016'!$A$5:$A$72,0)))</f>
        <v>N/A</v>
      </c>
      <c r="J20" s="68" t="str">
        <f>IF(IFERROR(INDEX('2016'!$C$5:$C$72,MATCH('P-E Ratio (WP)'!G20,'2016'!$A$5:$A$72,0)),0)=0,"N/A",INDEX('2016'!$C$5:$C$72,MATCH('P-E Ratio (WP)'!G20,'2016'!$A$5:$A$72,0)))</f>
        <v>N/A</v>
      </c>
      <c r="K20" s="68" t="str">
        <f>IF(IFERROR(INDEX('2016'!$C$5:$C$72,MATCH('P-E Ratio (WP)'!H20,'2016'!$A$5:$A$72,0)),0)=0,"N/A",INDEX('2016'!$C$5:$C$72,MATCH('P-E Ratio (WP)'!H20,'2016'!$A$5:$A$72,0)))</f>
        <v>N/A</v>
      </c>
      <c r="L20" s="68" t="str">
        <f>IF(IFERROR(INDEX('2016'!$C$5:$C$72,MATCH('P-E Ratio (WP)'!I20,'2016'!$A$5:$A$72,0)),0)=0,"N/A",INDEX('2016'!$C$5:$C$72,MATCH('P-E Ratio (WP)'!I20,'2016'!$A$5:$A$72,0)))</f>
        <v>N/A</v>
      </c>
      <c r="M20" s="68" t="str">
        <f>IF(IFERROR(INDEX('2016'!$C$5:$C$72,MATCH('P-E Ratio (WP)'!J20,'2016'!$A$5:$A$72,0)),0)=0,"N/A",INDEX('2016'!$C$5:$C$72,MATCH('P-E Ratio (WP)'!J20,'2016'!$A$5:$A$72,0)))</f>
        <v>N/A</v>
      </c>
      <c r="N20" s="68" t="str">
        <f>IF(IFERROR(INDEX('2016'!$C$5:$C$72,MATCH('P-E Ratio (WP)'!K20,'2016'!$A$5:$A$72,0)),0)=0,"N/A",INDEX('2016'!$C$5:$C$72,MATCH('P-E Ratio (WP)'!K20,'2016'!$A$5:$A$72,0)))</f>
        <v>N/A</v>
      </c>
      <c r="O20" s="68" t="str">
        <f>IF(IFERROR(INDEX('2016'!$C$5:$C$72,MATCH('P-E Ratio (WP)'!L20,'2016'!$A$5:$A$72,0)),0)=0,"N/A",INDEX('2016'!$C$5:$C$72,MATCH('P-E Ratio (WP)'!L20,'2016'!$A$5:$A$72,0)))</f>
        <v>N/A</v>
      </c>
      <c r="P20" s="39" t="s">
        <v>106</v>
      </c>
      <c r="Q20" s="39">
        <v>13.757999999999999</v>
      </c>
      <c r="R20" s="39">
        <v>12.385999999999999</v>
      </c>
      <c r="S20" s="39">
        <v>12.244999999999999</v>
      </c>
    </row>
    <row r="21" spans="1:19">
      <c r="A21" t="str">
        <f>IFERROR(INDEX('2017 Data (WP)'!$C$9:$C$72,MATCH($B21,'2017 Data (WP)'!$D$9:$D$72,0)),"")</f>
        <v>Electric Util. (Central)</v>
      </c>
      <c r="B21" t="s">
        <v>9</v>
      </c>
      <c r="C21" t="s">
        <v>47</v>
      </c>
      <c r="D21" s="34"/>
      <c r="E21" s="68">
        <f>IF(IFERROR(INDEX('2016'!$C$5:$C$72,MATCH('P-E Ratio (WP)'!B21,'2016'!$A$5:$A$72,0)),0)=0,"N/A",INDEX('2016'!$C$5:$C$72,MATCH('P-E Ratio (WP)'!B21,'2016'!$A$5:$A$72,0)))</f>
        <v>20.943000000000001</v>
      </c>
      <c r="F21" s="28">
        <v>18.291</v>
      </c>
      <c r="G21" s="28">
        <v>17.298999999999999</v>
      </c>
      <c r="H21" s="28">
        <v>16.323</v>
      </c>
      <c r="I21" s="28">
        <v>15.069000000000001</v>
      </c>
      <c r="J21" s="28">
        <v>13.615</v>
      </c>
      <c r="K21" s="28">
        <v>12.456</v>
      </c>
      <c r="L21" s="28">
        <v>13.555999999999999</v>
      </c>
      <c r="M21" s="28">
        <v>10.866</v>
      </c>
      <c r="N21" s="28">
        <v>26.837</v>
      </c>
      <c r="O21" s="28">
        <v>22.181000000000001</v>
      </c>
      <c r="P21" s="39">
        <v>12.601000000000001</v>
      </c>
      <c r="Q21" s="39">
        <v>12.385</v>
      </c>
      <c r="R21" s="39" t="s">
        <v>106</v>
      </c>
      <c r="S21" s="39" t="s">
        <v>106</v>
      </c>
    </row>
    <row r="22" spans="1:19">
      <c r="A22" t="str">
        <f>IFERROR(INDEX('2017 Data (WP)'!$C$9:$C$72,MATCH($B22,'2017 Data (WP)'!$D$9:$D$72,0)),"")</f>
        <v>Water Utility</v>
      </c>
      <c r="B22" s="31" t="s">
        <v>180</v>
      </c>
      <c r="C22" s="31" t="s">
        <v>179</v>
      </c>
      <c r="D22" s="34"/>
      <c r="E22" s="68">
        <f>IF(IFERROR(INDEX('2016'!$C$5:$C$72,MATCH('P-E Ratio (WP)'!B22,'2016'!$A$5:$A$72,0)),0)=0,"N/A",INDEX('2016'!$C$5:$C$72,MATCH('P-E Ratio (WP)'!B22,'2016'!$A$5:$A$72,0)))</f>
        <v>23.285</v>
      </c>
      <c r="F22" s="28">
        <v>17.577000000000002</v>
      </c>
      <c r="G22" s="28">
        <v>17.521000000000001</v>
      </c>
      <c r="H22" s="28">
        <v>18.367000000000001</v>
      </c>
      <c r="I22" s="28">
        <v>19.385000000000002</v>
      </c>
      <c r="J22" s="28">
        <v>23.036000000000001</v>
      </c>
      <c r="K22" s="28">
        <v>20.669</v>
      </c>
      <c r="L22" s="28">
        <v>18.405000000000001</v>
      </c>
      <c r="M22" s="28">
        <v>22.167999999999999</v>
      </c>
      <c r="N22" s="28">
        <v>23.001000000000001</v>
      </c>
      <c r="O22" s="28">
        <v>28.977</v>
      </c>
    </row>
    <row r="23" spans="1:19">
      <c r="A23" t="str">
        <f>IFERROR(INDEX('2017 Data (WP)'!$C$9:$C$72,MATCH($B23,'2017 Data (WP)'!$D$9:$D$72,0)),"")</f>
        <v>Electric Utility (East)</v>
      </c>
      <c r="B23" t="s">
        <v>10</v>
      </c>
      <c r="C23" t="s">
        <v>50</v>
      </c>
      <c r="D23" s="34"/>
      <c r="E23" s="68">
        <f>IF(IFERROR(INDEX('2016'!$C$5:$C$72,MATCH('P-E Ratio (WP)'!B23,'2016'!$A$5:$A$72,0)),0)=0,"N/A",INDEX('2016'!$C$5:$C$72,MATCH('P-E Ratio (WP)'!B23,'2016'!$A$5:$A$72,0)))</f>
        <v>18.802</v>
      </c>
      <c r="F23" s="28">
        <v>15.589</v>
      </c>
      <c r="G23" s="28">
        <v>15.901</v>
      </c>
      <c r="H23" s="28">
        <v>14.723000000000001</v>
      </c>
      <c r="I23" s="28">
        <v>15.39</v>
      </c>
      <c r="J23" s="28">
        <v>15.074999999999999</v>
      </c>
      <c r="K23" s="28">
        <v>13.297000000000001</v>
      </c>
      <c r="L23" s="28">
        <v>12.545999999999999</v>
      </c>
      <c r="M23" s="28">
        <v>12.285</v>
      </c>
      <c r="N23" s="28">
        <v>13.782</v>
      </c>
      <c r="O23" s="28">
        <v>15.484999999999999</v>
      </c>
      <c r="P23" s="39">
        <v>15.129</v>
      </c>
      <c r="Q23" s="39">
        <v>18.209</v>
      </c>
      <c r="R23" s="39">
        <v>14.3</v>
      </c>
      <c r="S23" s="39">
        <v>13.278</v>
      </c>
    </row>
    <row r="24" spans="1:19">
      <c r="A24" t="str">
        <f>IFERROR(INDEX('2017 Data (WP)'!$C$9:$C$72,MATCH($B24,'2017 Data (WP)'!$D$9:$D$72,0)),"")</f>
        <v>Water Utility</v>
      </c>
      <c r="B24" s="31" t="s">
        <v>182</v>
      </c>
      <c r="C24" s="31" t="s">
        <v>181</v>
      </c>
      <c r="D24" s="34"/>
      <c r="E24" s="68">
        <f>IF(IFERROR(INDEX('2016'!$C$5:$C$72,MATCH('P-E Ratio (WP)'!B24,'2016'!$A$5:$A$72,0)),0)=0,"N/A",INDEX('2016'!$C$5:$C$72,MATCH('P-E Ratio (WP)'!B24,'2016'!$A$5:$A$72,0)))</f>
        <v>44.807000000000002</v>
      </c>
      <c r="F24" s="28">
        <v>22.692</v>
      </c>
      <c r="G24" s="28">
        <v>28.288</v>
      </c>
      <c r="H24" s="28">
        <v>20.021999999999998</v>
      </c>
      <c r="I24" s="28">
        <v>12.414</v>
      </c>
      <c r="J24" s="28">
        <v>22.393000000000001</v>
      </c>
      <c r="K24" s="28">
        <v>26.867000000000001</v>
      </c>
      <c r="L24" s="28">
        <v>19.030999999999999</v>
      </c>
      <c r="M24" s="28">
        <v>37.79</v>
      </c>
      <c r="N24" s="28">
        <v>35.39</v>
      </c>
      <c r="O24" s="28">
        <v>43.048999999999999</v>
      </c>
    </row>
    <row r="25" spans="1:19">
      <c r="A25" t="str">
        <f>IFERROR(INDEX('2017 Data (WP)'!$C$9:$C$72,MATCH($B25,'2017 Data (WP)'!$D$9:$D$72,0)),"")</f>
        <v>Electric Utility (East)</v>
      </c>
      <c r="B25" t="s">
        <v>11</v>
      </c>
      <c r="C25" t="s">
        <v>52</v>
      </c>
      <c r="D25" s="34"/>
      <c r="E25" s="68">
        <f>IF(IFERROR(INDEX('2016'!$C$5:$C$72,MATCH('P-E Ratio (WP)'!B25,'2016'!$A$5:$A$72,0)),0)=0,"N/A",INDEX('2016'!$C$5:$C$72,MATCH('P-E Ratio (WP)'!B25,'2016'!$A$5:$A$72,0)))</f>
        <v>21.324999999999999</v>
      </c>
      <c r="F25" s="28">
        <v>22.137</v>
      </c>
      <c r="G25" s="28">
        <v>22.972000000000001</v>
      </c>
      <c r="H25" s="28">
        <v>19.245000000000001</v>
      </c>
      <c r="I25" s="28">
        <v>18.911999999999999</v>
      </c>
      <c r="J25" s="28">
        <v>17.27</v>
      </c>
      <c r="K25" s="28">
        <v>14.348000000000001</v>
      </c>
      <c r="L25" s="28">
        <v>12.742000000000001</v>
      </c>
      <c r="M25" s="28">
        <v>13.78</v>
      </c>
      <c r="N25" s="28">
        <v>20.626000000000001</v>
      </c>
      <c r="O25" s="28">
        <v>15.976000000000001</v>
      </c>
      <c r="P25" s="39">
        <v>24.893999999999998</v>
      </c>
      <c r="Q25" s="39">
        <v>15.071999999999999</v>
      </c>
      <c r="R25" s="39">
        <v>15.241</v>
      </c>
      <c r="S25" s="39">
        <v>12.045</v>
      </c>
    </row>
    <row r="26" spans="1:19">
      <c r="A26" t="str">
        <f>IFERROR(INDEX('2017 Data (WP)'!$C$9:$C$72,MATCH($B26,'2017 Data (WP)'!$D$9:$D$72,0)),"")</f>
        <v>Electric Util. (Central)</v>
      </c>
      <c r="B26" t="s">
        <v>12</v>
      </c>
      <c r="C26" t="s">
        <v>51</v>
      </c>
      <c r="D26" s="34"/>
      <c r="E26" s="68">
        <f>IF(IFERROR(INDEX('2016'!$C$5:$C$72,MATCH('P-E Ratio (WP)'!B26,'2016'!$A$5:$A$72,0)),0)=0,"N/A",INDEX('2016'!$C$5:$C$72,MATCH('P-E Ratio (WP)'!B26,'2016'!$A$5:$A$72,0)))</f>
        <v>18.966000000000001</v>
      </c>
      <c r="F26" s="28">
        <v>18.113</v>
      </c>
      <c r="G26" s="28">
        <v>14.912000000000001</v>
      </c>
      <c r="H26" s="28">
        <v>17.914999999999999</v>
      </c>
      <c r="I26" s="28">
        <v>14.888999999999999</v>
      </c>
      <c r="J26" s="28">
        <v>13.509</v>
      </c>
      <c r="K26" s="28">
        <v>12.266</v>
      </c>
      <c r="L26" s="28">
        <v>10.41</v>
      </c>
      <c r="M26" s="28">
        <v>14.811</v>
      </c>
      <c r="N26" s="28">
        <v>18.265000000000001</v>
      </c>
      <c r="O26" s="28">
        <v>17.431000000000001</v>
      </c>
      <c r="P26" s="39">
        <v>13.797000000000001</v>
      </c>
      <c r="Q26" s="39">
        <v>16.042999999999999</v>
      </c>
      <c r="R26" s="39">
        <v>13.689</v>
      </c>
      <c r="S26" s="39">
        <v>11.279</v>
      </c>
    </row>
    <row r="27" spans="1:19">
      <c r="A27" t="str">
        <f>IFERROR(INDEX('2017 Data (WP)'!$C$9:$C$72,MATCH($B27,'2017 Data (WP)'!$D$9:$D$72,0)),"")</f>
        <v>Electric Utility (East)</v>
      </c>
      <c r="B27" t="s">
        <v>13</v>
      </c>
      <c r="C27" t="s">
        <v>93</v>
      </c>
      <c r="D27" s="34"/>
      <c r="E27" s="68">
        <f>IF(IFERROR(INDEX('2016'!$C$5:$C$72,MATCH('P-E Ratio (WP)'!B27,'2016'!$A$5:$A$72,0)),0)=0,"N/A",INDEX('2016'!$C$5:$C$72,MATCH('P-E Ratio (WP)'!B27,'2016'!$A$5:$A$72,0)))</f>
        <v>21.251000000000001</v>
      </c>
      <c r="F27" s="28">
        <v>18.218</v>
      </c>
      <c r="G27" s="28">
        <v>17.913</v>
      </c>
      <c r="H27" s="28">
        <v>17.449000000000002</v>
      </c>
      <c r="I27" s="28">
        <v>17.463999999999999</v>
      </c>
      <c r="J27" s="28">
        <v>13.763</v>
      </c>
      <c r="K27" s="28">
        <v>12.685</v>
      </c>
      <c r="L27" s="28">
        <v>13.317</v>
      </c>
      <c r="M27" s="28">
        <v>17.283000000000001</v>
      </c>
      <c r="N27" s="28">
        <v>16.129000000000001</v>
      </c>
      <c r="O27" s="28" t="s">
        <v>106</v>
      </c>
      <c r="P27" s="39" t="s">
        <v>106</v>
      </c>
      <c r="Q27" s="39" t="s">
        <v>106</v>
      </c>
      <c r="R27" s="39" t="s">
        <v>106</v>
      </c>
      <c r="S27" s="39" t="s">
        <v>106</v>
      </c>
    </row>
    <row r="28" spans="1:19">
      <c r="A28" t="str">
        <f>IFERROR(INDEX('2017 Data (WP)'!$C$9:$C$72,MATCH($B28,'2017 Data (WP)'!$D$9:$D$72,0)),"")</f>
        <v>Electric Utility (West)</v>
      </c>
      <c r="B28" t="s">
        <v>14</v>
      </c>
      <c r="C28" t="s">
        <v>53</v>
      </c>
      <c r="D28" s="34"/>
      <c r="E28" s="68">
        <f>IF(IFERROR(INDEX('2016'!$C$5:$C$72,MATCH('P-E Ratio (WP)'!B28,'2016'!$A$5:$A$72,0)),0)=0,"N/A",INDEX('2016'!$C$5:$C$72,MATCH('P-E Ratio (WP)'!B28,'2016'!$A$5:$A$72,0)))</f>
        <v>17.920000000000002</v>
      </c>
      <c r="F28" s="28">
        <v>14.766999999999999</v>
      </c>
      <c r="G28" s="28">
        <v>13.05</v>
      </c>
      <c r="H28" s="28">
        <v>12.699</v>
      </c>
      <c r="I28" s="28">
        <v>9.7070000000000007</v>
      </c>
      <c r="J28" s="28">
        <v>11.808</v>
      </c>
      <c r="K28" s="28">
        <v>10.319000000000001</v>
      </c>
      <c r="L28" s="28">
        <v>9.718</v>
      </c>
      <c r="M28" s="28">
        <v>12.356999999999999</v>
      </c>
      <c r="N28" s="28">
        <v>16.027999999999999</v>
      </c>
      <c r="O28" s="28">
        <v>12.988</v>
      </c>
      <c r="P28" s="39">
        <v>11.74</v>
      </c>
      <c r="Q28" s="39">
        <v>37.591000000000001</v>
      </c>
      <c r="R28" s="39">
        <v>6.968</v>
      </c>
      <c r="S28" s="39">
        <v>7.7839999999999998</v>
      </c>
    </row>
    <row r="29" spans="1:19">
      <c r="A29" t="str">
        <f>IFERROR(INDEX('2017 Data (WP)'!$C$9:$C$72,MATCH($B29,'2017 Data (WP)'!$D$9:$D$72,0)),"")</f>
        <v>Electric Utility (West)</v>
      </c>
      <c r="B29" t="s">
        <v>15</v>
      </c>
      <c r="C29" t="s">
        <v>88</v>
      </c>
      <c r="D29" s="34"/>
      <c r="E29" s="68">
        <f>IF(IFERROR(INDEX('2016'!$C$5:$C$72,MATCH('P-E Ratio (WP)'!B29,'2016'!$A$5:$A$72,0)),0)=0,"N/A",INDEX('2016'!$C$5:$C$72,MATCH('P-E Ratio (WP)'!B29,'2016'!$A$5:$A$72,0)))</f>
        <v>18.657</v>
      </c>
      <c r="F29" s="28">
        <v>18.329000000000001</v>
      </c>
      <c r="G29" s="28">
        <v>16.382999999999999</v>
      </c>
      <c r="H29" s="28">
        <v>15.879</v>
      </c>
      <c r="I29" s="28">
        <v>14.473000000000001</v>
      </c>
      <c r="J29" s="28">
        <v>12.595000000000001</v>
      </c>
      <c r="K29" s="28">
        <v>10.72</v>
      </c>
      <c r="L29" s="28">
        <v>10.792999999999999</v>
      </c>
      <c r="M29" s="28">
        <v>11.894</v>
      </c>
      <c r="N29" s="28">
        <v>15.26</v>
      </c>
      <c r="O29" s="28">
        <v>16.920000000000002</v>
      </c>
      <c r="P29" s="39">
        <v>26.724</v>
      </c>
      <c r="Q29" s="39">
        <v>22.033000000000001</v>
      </c>
      <c r="R29" s="39">
        <v>18.263000000000002</v>
      </c>
      <c r="S29" s="39">
        <v>22.992999999999999</v>
      </c>
    </row>
    <row r="30" spans="1:19">
      <c r="A30" t="str">
        <f>IFERROR(INDEX('2017 Data (WP)'!$C$9:$C$72,MATCH($B30,'2017 Data (WP)'!$D$9:$D$72,0)),"")</f>
        <v/>
      </c>
      <c r="B30" t="s">
        <v>16</v>
      </c>
      <c r="C30" t="s">
        <v>102</v>
      </c>
      <c r="D30" s="34"/>
      <c r="E30" s="68" t="str">
        <f>IF(IFERROR(INDEX('2016'!$C$5:$C$72,MATCH('P-E Ratio (WP)'!B30,'2016'!$A$5:$A$72,0)),0)=0,"N/A",INDEX('2016'!$C$5:$C$72,MATCH('P-E Ratio (WP)'!B30,'2016'!$A$5:$A$72,0)))</f>
        <v>N/A</v>
      </c>
      <c r="F30" s="28">
        <v>18.71</v>
      </c>
      <c r="G30" s="28">
        <v>16.212</v>
      </c>
      <c r="H30" s="28">
        <v>14.997</v>
      </c>
      <c r="I30" s="28">
        <v>15.757999999999999</v>
      </c>
      <c r="J30" s="28">
        <v>15.763</v>
      </c>
      <c r="K30" s="28">
        <v>16.751999999999999</v>
      </c>
      <c r="L30" s="28">
        <v>14.337999999999999</v>
      </c>
      <c r="M30" s="28">
        <v>17.254999999999999</v>
      </c>
      <c r="N30" s="28">
        <v>21.702000000000002</v>
      </c>
      <c r="O30" s="28">
        <v>15.916</v>
      </c>
      <c r="P30" s="39">
        <v>24.498000000000001</v>
      </c>
      <c r="Q30" s="39">
        <v>24.806999999999999</v>
      </c>
      <c r="R30" s="39">
        <v>15.827</v>
      </c>
      <c r="S30" s="39">
        <v>16.18</v>
      </c>
    </row>
    <row r="31" spans="1:19">
      <c r="A31" t="str">
        <f>IFERROR(INDEX('2017 Data (WP)'!$C$9:$C$72,MATCH($B31,'2017 Data (WP)'!$D$9:$D$72,0)),"")</f>
        <v>Electric Util. (Central)</v>
      </c>
      <c r="B31" t="s">
        <v>17</v>
      </c>
      <c r="C31" t="s">
        <v>55</v>
      </c>
      <c r="D31" s="34"/>
      <c r="E31" s="68">
        <f>IF(IFERROR(INDEX('2016'!$C$5:$C$72,MATCH('P-E Ratio (WP)'!B31,'2016'!$A$5:$A$72,0)),0)=0,"N/A",INDEX('2016'!$C$5:$C$72,MATCH('P-E Ratio (WP)'!B31,'2016'!$A$5:$A$72,0)))</f>
        <v>10.922000000000001</v>
      </c>
      <c r="F31" s="28">
        <v>12.529</v>
      </c>
      <c r="G31" s="28">
        <v>12.885999999999999</v>
      </c>
      <c r="H31" s="28">
        <v>13.214</v>
      </c>
      <c r="I31" s="28">
        <v>11.224</v>
      </c>
      <c r="J31" s="28">
        <v>9.0619999999999994</v>
      </c>
      <c r="K31" s="28">
        <v>11.571</v>
      </c>
      <c r="L31" s="28">
        <v>11.981</v>
      </c>
      <c r="M31" s="28">
        <v>16.556000000000001</v>
      </c>
      <c r="N31" s="28">
        <v>19.303000000000001</v>
      </c>
      <c r="O31" s="28">
        <v>14.276</v>
      </c>
      <c r="P31" s="39">
        <v>16.282</v>
      </c>
      <c r="Q31" s="39">
        <v>15.087</v>
      </c>
      <c r="R31" s="39">
        <v>13.771000000000001</v>
      </c>
      <c r="S31" s="39">
        <v>11.525</v>
      </c>
    </row>
    <row r="32" spans="1:19">
      <c r="A32" t="str">
        <f>IFERROR(INDEX('2017 Data (WP)'!$C$9:$C$72,MATCH($B32,'2017 Data (WP)'!$D$9:$D$72,0)),"")</f>
        <v>Electric Utility (East)</v>
      </c>
      <c r="B32" t="s">
        <v>211</v>
      </c>
      <c r="C32" t="s">
        <v>212</v>
      </c>
      <c r="D32" s="34"/>
      <c r="E32" s="68">
        <f>IF(IFERROR(INDEX('2016'!$C$5:$C$72,MATCH('P-E Ratio (WP)'!B32,'2016'!$A$5:$A$72,0)),0)=0,"N/A",INDEX('2016'!$C$5:$C$72,MATCH('P-E Ratio (WP)'!B32,'2016'!$A$5:$A$72,0)))</f>
        <v>18.692</v>
      </c>
      <c r="F32" s="28">
        <v>18.11</v>
      </c>
      <c r="G32" s="28">
        <v>17.920000000000002</v>
      </c>
      <c r="H32" s="28">
        <v>16.940999999999999</v>
      </c>
      <c r="I32" s="28">
        <v>19.855</v>
      </c>
      <c r="J32" s="28">
        <v>15.35</v>
      </c>
      <c r="K32" s="28">
        <v>13.423</v>
      </c>
      <c r="L32" s="28">
        <v>11.96</v>
      </c>
      <c r="M32" s="28">
        <v>13.662000000000001</v>
      </c>
      <c r="N32" s="28">
        <v>18.745999999999999</v>
      </c>
      <c r="O32" s="28">
        <v>27.065000000000001</v>
      </c>
      <c r="P32" s="39">
        <v>19.757000000000001</v>
      </c>
      <c r="Q32" s="39">
        <v>20.768000000000001</v>
      </c>
      <c r="R32" s="39">
        <v>13.353999999999999</v>
      </c>
      <c r="S32" s="39">
        <v>16.065999999999999</v>
      </c>
    </row>
    <row r="33" spans="1:19">
      <c r="A33" t="str">
        <f>IFERROR(INDEX('2017 Data (WP)'!$C$9:$C$72,MATCH($B33,'2017 Data (WP)'!$D$9:$D$72,0)),"")</f>
        <v>Electric Utility (East)</v>
      </c>
      <c r="B33" t="s">
        <v>18</v>
      </c>
      <c r="C33" t="s">
        <v>69</v>
      </c>
      <c r="D33" s="34"/>
      <c r="E33" s="68">
        <f>IF(IFERROR(INDEX('2016'!$C$5:$C$72,MATCH('P-E Ratio (WP)'!B33,'2016'!$A$5:$A$72,0)),0)=0,"N/A",INDEX('2016'!$C$5:$C$72,MATCH('P-E Ratio (WP)'!B33,'2016'!$A$5:$A$72,0)))</f>
        <v>18.681000000000001</v>
      </c>
      <c r="F33" s="28">
        <v>12.576000000000001</v>
      </c>
      <c r="G33" s="28">
        <v>16.018000000000001</v>
      </c>
      <c r="H33" s="28">
        <v>13.433</v>
      </c>
      <c r="I33" s="28">
        <v>19.077999999999999</v>
      </c>
      <c r="J33" s="28">
        <v>11.301</v>
      </c>
      <c r="K33" s="28">
        <v>10.97</v>
      </c>
      <c r="L33" s="28">
        <v>11.488</v>
      </c>
      <c r="M33" s="28">
        <v>17.972000000000001</v>
      </c>
      <c r="N33" s="28">
        <v>18.222000000000001</v>
      </c>
      <c r="O33" s="28">
        <v>16.529</v>
      </c>
      <c r="P33" s="39">
        <v>15.371</v>
      </c>
      <c r="Q33" s="39">
        <v>12.99</v>
      </c>
      <c r="R33" s="39">
        <v>11.765000000000001</v>
      </c>
      <c r="S33" s="39">
        <v>10.457000000000001</v>
      </c>
    </row>
    <row r="34" spans="1:19">
      <c r="A34" t="str">
        <f>IFERROR(INDEX('2017 Data (WP)'!$C$9:$C$72,MATCH($B34,'2017 Data (WP)'!$D$9:$D$72,0)),"")</f>
        <v>Electric Utility (East)</v>
      </c>
      <c r="B34" t="s">
        <v>19</v>
      </c>
      <c r="C34" t="s">
        <v>66</v>
      </c>
      <c r="D34" s="34"/>
      <c r="E34" s="68">
        <f>IF(IFERROR(INDEX('2016'!$C$5:$C$72,MATCH('P-E Ratio (WP)'!B34,'2016'!$A$5:$A$72,0)),0)=0,"N/A",INDEX('2016'!$C$5:$C$72,MATCH('P-E Ratio (WP)'!B34,'2016'!$A$5:$A$72,0)))</f>
        <v>15.914</v>
      </c>
      <c r="F34" s="28">
        <v>17.023</v>
      </c>
      <c r="G34" s="28">
        <v>39.789000000000001</v>
      </c>
      <c r="H34" s="28">
        <v>13.055</v>
      </c>
      <c r="I34" s="28">
        <v>21.094999999999999</v>
      </c>
      <c r="J34" s="28">
        <v>22.39</v>
      </c>
      <c r="K34" s="28">
        <v>11.747999999999999</v>
      </c>
      <c r="L34" s="28">
        <v>13.023999999999999</v>
      </c>
      <c r="M34" s="28">
        <v>15.643000000000001</v>
      </c>
      <c r="N34" s="28">
        <v>15.587</v>
      </c>
      <c r="O34" s="28">
        <v>14.228999999999999</v>
      </c>
      <c r="P34" s="39">
        <v>16.065000000000001</v>
      </c>
      <c r="Q34" s="39">
        <v>14.127000000000001</v>
      </c>
      <c r="R34" s="39">
        <v>22.47</v>
      </c>
      <c r="S34" s="39">
        <v>12.954000000000001</v>
      </c>
    </row>
    <row r="35" spans="1:19">
      <c r="A35" t="str">
        <f>IFERROR(INDEX('2017 Data (WP)'!$C$9:$C$72,MATCH($B35,'2017 Data (WP)'!$D$9:$D$72,0)),"")</f>
        <v>Electric Util. (Central)</v>
      </c>
      <c r="B35" t="s">
        <v>267</v>
      </c>
      <c r="C35" t="s">
        <v>266</v>
      </c>
      <c r="D35" s="34"/>
      <c r="E35" s="68">
        <f>IF(IFERROR(INDEX('2016'!$C$5:$C$72,MATCH('P-E Ratio (WP)'!B35,'2016'!$A$5:$A$72,0)),0)=0,"N/A",INDEX('2016'!$C$5:$C$72,MATCH('P-E Ratio (WP)'!B35,'2016'!$A$5:$A$72,0)))</f>
        <v>21.603000000000002</v>
      </c>
      <c r="F35" s="28">
        <v>18.001999999999999</v>
      </c>
      <c r="G35" s="28">
        <v>24.286000000000001</v>
      </c>
      <c r="H35" s="28">
        <v>19.97</v>
      </c>
      <c r="I35" s="28">
        <v>20.122</v>
      </c>
      <c r="J35" s="28">
        <v>18.792999999999999</v>
      </c>
      <c r="K35" s="28">
        <v>18.215</v>
      </c>
      <c r="L35" s="28">
        <v>16.364000000000001</v>
      </c>
      <c r="M35" s="28">
        <v>17.481999999999999</v>
      </c>
      <c r="N35" s="28">
        <v>21.143999999999998</v>
      </c>
      <c r="O35" s="28">
        <v>17.684000000000001</v>
      </c>
      <c r="P35" s="39" t="s">
        <v>106</v>
      </c>
      <c r="Q35" s="39" t="s">
        <v>106</v>
      </c>
      <c r="R35" s="39" t="s">
        <v>106</v>
      </c>
      <c r="S35" s="39" t="s">
        <v>106</v>
      </c>
    </row>
    <row r="36" spans="1:19">
      <c r="A36" t="str">
        <f>IFERROR(INDEX('2017 Data (WP)'!$C$9:$C$72,MATCH($B36,'2017 Data (WP)'!$D$9:$D$72,0)),"")</f>
        <v/>
      </c>
      <c r="B36" t="s">
        <v>57</v>
      </c>
      <c r="C36" t="s">
        <v>56</v>
      </c>
      <c r="D36" s="34"/>
      <c r="E36" s="68" t="str">
        <f>IF(IFERROR(INDEX('2016'!$C$5:$C$72,MATCH('P-E Ratio (WP)'!B36,'2016'!$A$5:$A$72,0)),0)=0,"N/A",INDEX('2016'!$C$5:$C$72,MATCH('P-E Ratio (WP)'!B36,'2016'!$A$5:$A$72,0)))</f>
        <v>N/A</v>
      </c>
      <c r="F36" s="68" t="str">
        <f>IF(IFERROR(INDEX('2016'!$C$5:$C$72,MATCH('P-E Ratio (WP)'!C36,'2016'!$A$5:$A$72,0)),0)=0,"N/A",INDEX('2016'!$C$5:$C$72,MATCH('P-E Ratio (WP)'!C36,'2016'!$A$5:$A$72,0)))</f>
        <v>N/A</v>
      </c>
      <c r="G36" s="68" t="str">
        <f>IF(IFERROR(INDEX('2016'!$C$5:$C$72,MATCH('P-E Ratio (WP)'!D36,'2016'!$A$5:$A$72,0)),0)=0,"N/A",INDEX('2016'!$C$5:$C$72,MATCH('P-E Ratio (WP)'!D36,'2016'!$A$5:$A$72,0)))</f>
        <v>N/A</v>
      </c>
      <c r="H36" s="68" t="str">
        <f>IF(IFERROR(INDEX('2016'!$C$5:$C$72,MATCH('P-E Ratio (WP)'!E36,'2016'!$A$5:$A$72,0)),0)=0,"N/A",INDEX('2016'!$C$5:$C$72,MATCH('P-E Ratio (WP)'!E36,'2016'!$A$5:$A$72,0)))</f>
        <v>N/A</v>
      </c>
      <c r="I36" s="68" t="str">
        <f>IF(IFERROR(INDEX('2016'!$C$5:$C$72,MATCH('P-E Ratio (WP)'!F36,'2016'!$A$5:$A$72,0)),0)=0,"N/A",INDEX('2016'!$C$5:$C$72,MATCH('P-E Ratio (WP)'!F36,'2016'!$A$5:$A$72,0)))</f>
        <v>N/A</v>
      </c>
      <c r="J36" s="68" t="str">
        <f>IF(IFERROR(INDEX('2016'!$C$5:$C$72,MATCH('P-E Ratio (WP)'!G36,'2016'!$A$5:$A$72,0)),0)=0,"N/A",INDEX('2016'!$C$5:$C$72,MATCH('P-E Ratio (WP)'!G36,'2016'!$A$5:$A$72,0)))</f>
        <v>N/A</v>
      </c>
      <c r="K36" s="68" t="str">
        <f>IF(IFERROR(INDEX('2016'!$C$5:$C$72,MATCH('P-E Ratio (WP)'!H36,'2016'!$A$5:$A$72,0)),0)=0,"N/A",INDEX('2016'!$C$5:$C$72,MATCH('P-E Ratio (WP)'!H36,'2016'!$A$5:$A$72,0)))</f>
        <v>N/A</v>
      </c>
      <c r="L36" s="68" t="str">
        <f>IF(IFERROR(INDEX('2016'!$C$5:$C$72,MATCH('P-E Ratio (WP)'!I36,'2016'!$A$5:$A$72,0)),0)=0,"N/A",INDEX('2016'!$C$5:$C$72,MATCH('P-E Ratio (WP)'!I36,'2016'!$A$5:$A$72,0)))</f>
        <v>N/A</v>
      </c>
      <c r="M36" s="68" t="str">
        <f>IF(IFERROR(INDEX('2016'!$C$5:$C$72,MATCH('P-E Ratio (WP)'!J36,'2016'!$A$5:$A$72,0)),0)=0,"N/A",INDEX('2016'!$C$5:$C$72,MATCH('P-E Ratio (WP)'!J36,'2016'!$A$5:$A$72,0)))</f>
        <v>N/A</v>
      </c>
      <c r="N36" s="68" t="str">
        <f>IF(IFERROR(INDEX('2016'!$C$5:$C$72,MATCH('P-E Ratio (WP)'!K36,'2016'!$A$5:$A$72,0)),0)=0,"N/A",INDEX('2016'!$C$5:$C$72,MATCH('P-E Ratio (WP)'!K36,'2016'!$A$5:$A$72,0)))</f>
        <v>N/A</v>
      </c>
      <c r="O36" s="68" t="str">
        <f>IF(IFERROR(INDEX('2016'!$C$5:$C$72,MATCH('P-E Ratio (WP)'!L36,'2016'!$A$5:$A$72,0)),0)=0,"N/A",INDEX('2016'!$C$5:$C$72,MATCH('P-E Ratio (WP)'!L36,'2016'!$A$5:$A$72,0)))</f>
        <v>N/A</v>
      </c>
      <c r="P36" s="39" t="s">
        <v>106</v>
      </c>
      <c r="Q36" s="39">
        <v>13.602</v>
      </c>
      <c r="R36" s="39">
        <v>12.646000000000001</v>
      </c>
      <c r="S36" s="39">
        <v>14.225</v>
      </c>
    </row>
    <row r="37" spans="1:19">
      <c r="A37" t="str">
        <f>IFERROR(INDEX('2017 Data (WP)'!$C$9:$C$72,MATCH($B37,'2017 Data (WP)'!$D$9:$D$72,0)),"")</f>
        <v>Electric Util. (Central)</v>
      </c>
      <c r="B37" t="s">
        <v>20</v>
      </c>
      <c r="C37" t="s">
        <v>104</v>
      </c>
      <c r="D37" s="34"/>
      <c r="E37" s="68">
        <f>IF(IFERROR(INDEX('2016'!$C$5:$C$72,MATCH('P-E Ratio (WP)'!B37,'2016'!$A$5:$A$72,0)),0)=0,"N/A",INDEX('2016'!$C$5:$C$72,MATCH('P-E Ratio (WP)'!B37,'2016'!$A$5:$A$72,0)))</f>
        <v>17.981000000000002</v>
      </c>
      <c r="F37" s="28">
        <v>19.366</v>
      </c>
      <c r="G37" s="28">
        <v>16.47</v>
      </c>
      <c r="H37" s="28">
        <v>14.186</v>
      </c>
      <c r="I37" s="28">
        <v>15.534000000000001</v>
      </c>
      <c r="J37" s="28">
        <v>16.105</v>
      </c>
      <c r="K37" s="28">
        <v>12.095000000000001</v>
      </c>
      <c r="L37" s="28">
        <v>16.033000000000001</v>
      </c>
      <c r="M37" s="28">
        <v>20.547000000000001</v>
      </c>
      <c r="N37" s="28">
        <v>16.347999999999999</v>
      </c>
      <c r="O37" s="28">
        <v>18.298999999999999</v>
      </c>
      <c r="P37" s="39">
        <v>13.962</v>
      </c>
      <c r="Q37" s="39">
        <v>12.593</v>
      </c>
      <c r="R37" s="39">
        <v>12.228999999999999</v>
      </c>
      <c r="S37" s="39">
        <v>11.09</v>
      </c>
    </row>
    <row r="38" spans="1:19">
      <c r="A38" t="str">
        <f>IFERROR(INDEX('2017 Data (WP)'!$C$9:$C$72,MATCH($B38,'2017 Data (WP)'!$D$9:$D$72,0)),"")</f>
        <v>Electric Utility (West)</v>
      </c>
      <c r="B38" t="s">
        <v>21</v>
      </c>
      <c r="C38" t="s">
        <v>58</v>
      </c>
      <c r="D38" s="34"/>
      <c r="E38" s="68">
        <f>IF(IFERROR(INDEX('2016'!$C$5:$C$72,MATCH('P-E Ratio (WP)'!B38,'2016'!$A$5:$A$72,0)),0)=0,"N/A",INDEX('2016'!$C$5:$C$72,MATCH('P-E Ratio (WP)'!B38,'2016'!$A$5:$A$72,0)))</f>
        <v>13.555999999999999</v>
      </c>
      <c r="F38" s="28">
        <v>20.402999999999999</v>
      </c>
      <c r="G38" s="28">
        <v>15.881</v>
      </c>
      <c r="H38" s="28">
        <v>16.213000000000001</v>
      </c>
      <c r="I38" s="28">
        <v>15.813000000000001</v>
      </c>
      <c r="J38" s="28">
        <v>17.09</v>
      </c>
      <c r="K38" s="28">
        <v>18.588000000000001</v>
      </c>
      <c r="L38" s="28">
        <v>19.786000000000001</v>
      </c>
      <c r="M38" s="28">
        <v>23.161000000000001</v>
      </c>
      <c r="N38" s="28">
        <v>21.574000000000002</v>
      </c>
      <c r="O38" s="28">
        <v>20.329000000000001</v>
      </c>
      <c r="P38" s="39">
        <v>18.273</v>
      </c>
      <c r="Q38" s="39">
        <v>19.181000000000001</v>
      </c>
      <c r="R38" s="39">
        <v>13.759</v>
      </c>
      <c r="S38" s="39">
        <v>13.474</v>
      </c>
    </row>
    <row r="39" spans="1:19">
      <c r="A39" t="str">
        <f>IFERROR(INDEX('2017 Data (WP)'!$C$9:$C$72,MATCH($B39,'2017 Data (WP)'!$D$9:$D$72,0)),"")</f>
        <v>Electric Utility (West)</v>
      </c>
      <c r="B39" t="s">
        <v>22</v>
      </c>
      <c r="C39" t="s">
        <v>59</v>
      </c>
      <c r="D39" s="34"/>
      <c r="E39" s="68">
        <f>IF(IFERROR(INDEX('2016'!$C$5:$C$72,MATCH('P-E Ratio (WP)'!B39,'2016'!$A$5:$A$72,0)),0)=0,"N/A",INDEX('2016'!$C$5:$C$72,MATCH('P-E Ratio (WP)'!B39,'2016'!$A$5:$A$72,0)))</f>
        <v>19.059999999999999</v>
      </c>
      <c r="F39" s="28">
        <v>16.218</v>
      </c>
      <c r="G39" s="28">
        <v>14.664999999999999</v>
      </c>
      <c r="H39" s="28">
        <v>13.45</v>
      </c>
      <c r="I39" s="28">
        <v>12.409000000000001</v>
      </c>
      <c r="J39" s="28">
        <v>11.535</v>
      </c>
      <c r="K39" s="28">
        <v>11.827</v>
      </c>
      <c r="L39" s="28">
        <v>10.196999999999999</v>
      </c>
      <c r="M39" s="28">
        <v>13.925000000000001</v>
      </c>
      <c r="N39" s="28">
        <v>18.193999999999999</v>
      </c>
      <c r="O39" s="28">
        <v>15.07</v>
      </c>
      <c r="P39" s="39">
        <v>16.699000000000002</v>
      </c>
      <c r="Q39" s="39">
        <v>15.488</v>
      </c>
      <c r="R39" s="39">
        <v>26.510999999999999</v>
      </c>
      <c r="S39" s="39">
        <v>18.875</v>
      </c>
    </row>
    <row r="40" spans="1:19">
      <c r="A40" t="str">
        <f>IFERROR(INDEX('2017 Data (WP)'!$C$9:$C$72,MATCH($B40,'2017 Data (WP)'!$D$9:$D$72,0)),"")</f>
        <v/>
      </c>
      <c r="B40" t="s">
        <v>23</v>
      </c>
      <c r="C40" t="s">
        <v>85</v>
      </c>
      <c r="D40" s="34"/>
      <c r="E40" s="68" t="str">
        <f>IF(IFERROR(INDEX('2016'!$C$5:$C$72,MATCH('P-E Ratio (WP)'!B40,'2016'!$A$5:$A$72,0)),0)=0,"N/A",INDEX('2016'!$C$5:$C$72,MATCH('P-E Ratio (WP)'!B40,'2016'!$A$5:$A$72,0)))</f>
        <v>N/A</v>
      </c>
      <c r="F40" s="68" t="str">
        <f>IF(IFERROR(INDEX('2016'!$C$5:$C$72,MATCH('P-E Ratio (WP)'!C40,'2016'!$A$5:$A$72,0)),0)=0,"N/A",INDEX('2016'!$C$5:$C$72,MATCH('P-E Ratio (WP)'!C40,'2016'!$A$5:$A$72,0)))</f>
        <v>N/A</v>
      </c>
      <c r="G40" s="68" t="str">
        <f>IF(IFERROR(INDEX('2016'!$C$5:$C$72,MATCH('P-E Ratio (WP)'!D40,'2016'!$A$5:$A$72,0)),0)=0,"N/A",INDEX('2016'!$C$5:$C$72,MATCH('P-E Ratio (WP)'!D40,'2016'!$A$5:$A$72,0)))</f>
        <v>N/A</v>
      </c>
      <c r="H40" s="68" t="str">
        <f>IF(IFERROR(INDEX('2016'!$C$5:$C$72,MATCH('P-E Ratio (WP)'!E40,'2016'!$A$5:$A$72,0)),0)=0,"N/A",INDEX('2016'!$C$5:$C$72,MATCH('P-E Ratio (WP)'!E40,'2016'!$A$5:$A$72,0)))</f>
        <v>N/A</v>
      </c>
      <c r="I40" s="68" t="str">
        <f>IF(IFERROR(INDEX('2016'!$C$5:$C$72,MATCH('P-E Ratio (WP)'!F40,'2016'!$A$5:$A$72,0)),0)=0,"N/A",INDEX('2016'!$C$5:$C$72,MATCH('P-E Ratio (WP)'!F40,'2016'!$A$5:$A$72,0)))</f>
        <v>N/A</v>
      </c>
      <c r="J40" s="68" t="str">
        <f>IF(IFERROR(INDEX('2016'!$C$5:$C$72,MATCH('P-E Ratio (WP)'!G40,'2016'!$A$5:$A$72,0)),0)=0,"N/A",INDEX('2016'!$C$5:$C$72,MATCH('P-E Ratio (WP)'!G40,'2016'!$A$5:$A$72,0)))</f>
        <v>N/A</v>
      </c>
      <c r="K40" s="68" t="str">
        <f>IF(IFERROR(INDEX('2016'!$C$5:$C$72,MATCH('P-E Ratio (WP)'!H40,'2016'!$A$5:$A$72,0)),0)=0,"N/A",INDEX('2016'!$C$5:$C$72,MATCH('P-E Ratio (WP)'!H40,'2016'!$A$5:$A$72,0)))</f>
        <v>N/A</v>
      </c>
      <c r="L40" s="68" t="str">
        <f>IF(IFERROR(INDEX('2016'!$C$5:$C$72,MATCH('P-E Ratio (WP)'!I40,'2016'!$A$5:$A$72,0)),0)=0,"N/A",INDEX('2016'!$C$5:$C$72,MATCH('P-E Ratio (WP)'!I40,'2016'!$A$5:$A$72,0)))</f>
        <v>N/A</v>
      </c>
      <c r="M40" s="68" t="str">
        <f>IF(IFERROR(INDEX('2016'!$C$5:$C$72,MATCH('P-E Ratio (WP)'!J40,'2016'!$A$5:$A$72,0)),0)=0,"N/A",INDEX('2016'!$C$5:$C$72,MATCH('P-E Ratio (WP)'!J40,'2016'!$A$5:$A$72,0)))</f>
        <v>N/A</v>
      </c>
      <c r="N40" s="68" t="str">
        <f>IF(IFERROR(INDEX('2016'!$C$5:$C$72,MATCH('P-E Ratio (WP)'!K40,'2016'!$A$5:$A$72,0)),0)=0,"N/A",INDEX('2016'!$C$5:$C$72,MATCH('P-E Ratio (WP)'!K40,'2016'!$A$5:$A$72,0)))</f>
        <v>N/A</v>
      </c>
      <c r="O40" s="68" t="str">
        <f>IF(IFERROR(INDEX('2016'!$C$5:$C$72,MATCH('P-E Ratio (WP)'!L40,'2016'!$A$5:$A$72,0)),0)=0,"N/A",INDEX('2016'!$C$5:$C$72,MATCH('P-E Ratio (WP)'!L40,'2016'!$A$5:$A$72,0)))</f>
        <v>N/A</v>
      </c>
      <c r="P40" s="39" t="s">
        <v>106</v>
      </c>
      <c r="Q40" s="39">
        <v>11.55</v>
      </c>
      <c r="R40" s="39">
        <v>14.875</v>
      </c>
      <c r="S40" s="39">
        <v>13.955</v>
      </c>
    </row>
    <row r="41" spans="1:19">
      <c r="A41" t="str">
        <f>IFERROR(INDEX('2017 Data (WP)'!$C$9:$C$72,MATCH($B41,'2017 Data (WP)'!$D$9:$D$72,0)),"")</f>
        <v/>
      </c>
      <c r="B41" t="s">
        <v>161</v>
      </c>
      <c r="C41" t="s">
        <v>160</v>
      </c>
      <c r="D41" s="34"/>
      <c r="E41" s="68" t="str">
        <f>IF(IFERROR(INDEX('2016'!$C$5:$C$72,MATCH('P-E Ratio (WP)'!B41,'2016'!$A$5:$A$72,0)),0)=0,"N/A",INDEX('2016'!$C$5:$C$72,MATCH('P-E Ratio (WP)'!B41,'2016'!$A$5:$A$72,0)))</f>
        <v>N/A</v>
      </c>
      <c r="F41" s="68" t="str">
        <f>IF(IFERROR(INDEX('2016'!$C$5:$C$72,MATCH('P-E Ratio (WP)'!C41,'2016'!$A$5:$A$72,0)),0)=0,"N/A",INDEX('2016'!$C$5:$C$72,MATCH('P-E Ratio (WP)'!C41,'2016'!$A$5:$A$72,0)))</f>
        <v>N/A</v>
      </c>
      <c r="G41" s="68" t="str">
        <f>IF(IFERROR(INDEX('2016'!$C$5:$C$72,MATCH('P-E Ratio (WP)'!D41,'2016'!$A$5:$A$72,0)),0)=0,"N/A",INDEX('2016'!$C$5:$C$72,MATCH('P-E Ratio (WP)'!D41,'2016'!$A$5:$A$72,0)))</f>
        <v>N/A</v>
      </c>
      <c r="H41" s="68" t="str">
        <f>IF(IFERROR(INDEX('2016'!$C$5:$C$72,MATCH('P-E Ratio (WP)'!E41,'2016'!$A$5:$A$72,0)),0)=0,"N/A",INDEX('2016'!$C$5:$C$72,MATCH('P-E Ratio (WP)'!E41,'2016'!$A$5:$A$72,0)))</f>
        <v>N/A</v>
      </c>
      <c r="I41" s="68" t="str">
        <f>IF(IFERROR(INDEX('2016'!$C$5:$C$72,MATCH('P-E Ratio (WP)'!F41,'2016'!$A$5:$A$72,0)),0)=0,"N/A",INDEX('2016'!$C$5:$C$72,MATCH('P-E Ratio (WP)'!F41,'2016'!$A$5:$A$72,0)))</f>
        <v>N/A</v>
      </c>
      <c r="J41" s="68" t="str">
        <f>IF(IFERROR(INDEX('2016'!$C$5:$C$72,MATCH('P-E Ratio (WP)'!G41,'2016'!$A$5:$A$72,0)),0)=0,"N/A",INDEX('2016'!$C$5:$C$72,MATCH('P-E Ratio (WP)'!G41,'2016'!$A$5:$A$72,0)))</f>
        <v>N/A</v>
      </c>
      <c r="K41" s="68" t="str">
        <f>IF(IFERROR(INDEX('2016'!$C$5:$C$72,MATCH('P-E Ratio (WP)'!H41,'2016'!$A$5:$A$72,0)),0)=0,"N/A",INDEX('2016'!$C$5:$C$72,MATCH('P-E Ratio (WP)'!H41,'2016'!$A$5:$A$72,0)))</f>
        <v>N/A</v>
      </c>
      <c r="L41" s="68" t="str">
        <f>IF(IFERROR(INDEX('2016'!$C$5:$C$72,MATCH('P-E Ratio (WP)'!I41,'2016'!$A$5:$A$72,0)),0)=0,"N/A",INDEX('2016'!$C$5:$C$72,MATCH('P-E Ratio (WP)'!I41,'2016'!$A$5:$A$72,0)))</f>
        <v>N/A</v>
      </c>
      <c r="M41" s="68" t="str">
        <f>IF(IFERROR(INDEX('2016'!$C$5:$C$72,MATCH('P-E Ratio (WP)'!J41,'2016'!$A$5:$A$72,0)),0)=0,"N/A",INDEX('2016'!$C$5:$C$72,MATCH('P-E Ratio (WP)'!J41,'2016'!$A$5:$A$72,0)))</f>
        <v>N/A</v>
      </c>
      <c r="N41" s="68" t="str">
        <f>IF(IFERROR(INDEX('2016'!$C$5:$C$72,MATCH('P-E Ratio (WP)'!K41,'2016'!$A$5:$A$72,0)),0)=0,"N/A",INDEX('2016'!$C$5:$C$72,MATCH('P-E Ratio (WP)'!K41,'2016'!$A$5:$A$72,0)))</f>
        <v>N/A</v>
      </c>
      <c r="O41" s="68" t="str">
        <f>IF(IFERROR(INDEX('2016'!$C$5:$C$72,MATCH('P-E Ratio (WP)'!L41,'2016'!$A$5:$A$72,0)),0)=0,"N/A",INDEX('2016'!$C$5:$C$72,MATCH('P-E Ratio (WP)'!L41,'2016'!$A$5:$A$72,0)))</f>
        <v>N/A</v>
      </c>
      <c r="P41" s="39">
        <v>26.367999999999999</v>
      </c>
      <c r="Q41" s="39" t="s">
        <v>106</v>
      </c>
      <c r="R41" s="39" t="s">
        <v>106</v>
      </c>
      <c r="S41" s="39" t="s">
        <v>106</v>
      </c>
    </row>
    <row r="42" spans="1:19">
      <c r="A42" t="str">
        <f>IFERROR(INDEX('2017 Data (WP)'!$C$9:$C$72,MATCH($B42,'2017 Data (WP)'!$D$9:$D$72,0)),"")</f>
        <v/>
      </c>
      <c r="B42" t="s">
        <v>24</v>
      </c>
      <c r="C42" t="s">
        <v>60</v>
      </c>
      <c r="D42" s="34"/>
      <c r="E42" s="68" t="str">
        <f>IF(IFERROR(INDEX('2016'!$C$5:$C$72,MATCH('P-E Ratio (WP)'!B42,'2016'!$A$5:$A$72,0)),0)=0,"N/A",INDEX('2016'!$C$5:$C$72,MATCH('P-E Ratio (WP)'!B42,'2016'!$A$5:$A$72,0)))</f>
        <v>N/A</v>
      </c>
      <c r="F42" s="68" t="str">
        <f>IF(IFERROR(INDEX('2016'!$C$5:$C$72,MATCH('P-E Ratio (WP)'!C42,'2016'!$A$5:$A$72,0)),0)=0,"N/A",INDEX('2016'!$C$5:$C$72,MATCH('P-E Ratio (WP)'!C42,'2016'!$A$5:$A$72,0)))</f>
        <v>N/A</v>
      </c>
      <c r="G42" s="68" t="str">
        <f>IF(IFERROR(INDEX('2016'!$C$5:$C$72,MATCH('P-E Ratio (WP)'!D42,'2016'!$A$5:$A$72,0)),0)=0,"N/A",INDEX('2016'!$C$5:$C$72,MATCH('P-E Ratio (WP)'!D42,'2016'!$A$5:$A$72,0)))</f>
        <v>N/A</v>
      </c>
      <c r="H42" s="68" t="str">
        <f>IF(IFERROR(INDEX('2016'!$C$5:$C$72,MATCH('P-E Ratio (WP)'!E42,'2016'!$A$5:$A$72,0)),0)=0,"N/A",INDEX('2016'!$C$5:$C$72,MATCH('P-E Ratio (WP)'!E42,'2016'!$A$5:$A$72,0)))</f>
        <v>N/A</v>
      </c>
      <c r="I42" s="68" t="str">
        <f>IF(IFERROR(INDEX('2016'!$C$5:$C$72,MATCH('P-E Ratio (WP)'!F42,'2016'!$A$5:$A$72,0)),0)=0,"N/A",INDEX('2016'!$C$5:$C$72,MATCH('P-E Ratio (WP)'!F42,'2016'!$A$5:$A$72,0)))</f>
        <v>N/A</v>
      </c>
      <c r="J42" s="68" t="str">
        <f>IF(IFERROR(INDEX('2016'!$C$5:$C$72,MATCH('P-E Ratio (WP)'!G42,'2016'!$A$5:$A$72,0)),0)=0,"N/A",INDEX('2016'!$C$5:$C$72,MATCH('P-E Ratio (WP)'!G42,'2016'!$A$5:$A$72,0)))</f>
        <v>N/A</v>
      </c>
      <c r="K42" s="68" t="str">
        <f>IF(IFERROR(INDEX('2016'!$C$5:$C$72,MATCH('P-E Ratio (WP)'!H42,'2016'!$A$5:$A$72,0)),0)=0,"N/A",INDEX('2016'!$C$5:$C$72,MATCH('P-E Ratio (WP)'!H42,'2016'!$A$5:$A$72,0)))</f>
        <v>N/A</v>
      </c>
      <c r="L42" s="68" t="str">
        <f>IF(IFERROR(INDEX('2016'!$C$5:$C$72,MATCH('P-E Ratio (WP)'!I42,'2016'!$A$5:$A$72,0)),0)=0,"N/A",INDEX('2016'!$C$5:$C$72,MATCH('P-E Ratio (WP)'!I42,'2016'!$A$5:$A$72,0)))</f>
        <v>N/A</v>
      </c>
      <c r="M42" s="68" t="str">
        <f>IF(IFERROR(INDEX('2016'!$C$5:$C$72,MATCH('P-E Ratio (WP)'!J42,'2016'!$A$5:$A$72,0)),0)=0,"N/A",INDEX('2016'!$C$5:$C$72,MATCH('P-E Ratio (WP)'!J42,'2016'!$A$5:$A$72,0)))</f>
        <v>N/A</v>
      </c>
      <c r="N42" s="68" t="str">
        <f>IF(IFERROR(INDEX('2016'!$C$5:$C$72,MATCH('P-E Ratio (WP)'!K42,'2016'!$A$5:$A$72,0)),0)=0,"N/A",INDEX('2016'!$C$5:$C$72,MATCH('P-E Ratio (WP)'!K42,'2016'!$A$5:$A$72,0)))</f>
        <v>N/A</v>
      </c>
      <c r="O42" s="68" t="str">
        <f>IF(IFERROR(INDEX('2016'!$C$5:$C$72,MATCH('P-E Ratio (WP)'!L42,'2016'!$A$5:$A$72,0)),0)=0,"N/A",INDEX('2016'!$C$5:$C$72,MATCH('P-E Ratio (WP)'!L42,'2016'!$A$5:$A$72,0)))</f>
        <v>N/A</v>
      </c>
      <c r="P42" s="39">
        <v>13.023999999999999</v>
      </c>
      <c r="Q42" s="39">
        <v>13.635999999999999</v>
      </c>
      <c r="R42" s="39">
        <v>12.965999999999999</v>
      </c>
      <c r="S42" s="39">
        <v>14.363</v>
      </c>
    </row>
    <row r="43" spans="1:19">
      <c r="A43" t="str">
        <f>IFERROR(INDEX('2017 Data (WP)'!$C$9:$C$72,MATCH($B43,'2017 Data (WP)'!$D$9:$D$72,0)),"")</f>
        <v>Electric Util. (Central)</v>
      </c>
      <c r="B43" t="s">
        <v>25</v>
      </c>
      <c r="C43" t="s">
        <v>61</v>
      </c>
      <c r="D43" s="34"/>
      <c r="E43" s="68">
        <f>IF(IFERROR(INDEX('2016'!$C$5:$C$72,MATCH('P-E Ratio (WP)'!B43,'2016'!$A$5:$A$72,0)),0)=0,"N/A",INDEX('2016'!$C$5:$C$72,MATCH('P-E Ratio (WP)'!B43,'2016'!$A$5:$A$72,0)))</f>
        <v>24.904</v>
      </c>
      <c r="F43" s="28">
        <v>20.279</v>
      </c>
      <c r="G43" s="28">
        <v>17.190999999999999</v>
      </c>
      <c r="H43" s="28">
        <v>17.013999999999999</v>
      </c>
      <c r="I43" s="28">
        <v>17.231000000000002</v>
      </c>
      <c r="J43" s="28">
        <v>15.823</v>
      </c>
      <c r="K43" s="28">
        <v>14.977</v>
      </c>
      <c r="L43" s="28">
        <v>15.138999999999999</v>
      </c>
      <c r="M43" s="28">
        <v>14.221</v>
      </c>
      <c r="N43" s="28">
        <v>15.007</v>
      </c>
      <c r="O43" s="28">
        <v>15.879</v>
      </c>
      <c r="P43" s="39">
        <v>22.401</v>
      </c>
      <c r="Q43" s="39">
        <v>17.983000000000001</v>
      </c>
      <c r="R43" s="39">
        <v>17.55</v>
      </c>
      <c r="S43" s="39">
        <v>15.957000000000001</v>
      </c>
    </row>
    <row r="44" spans="1:19">
      <c r="A44" t="str">
        <f>IFERROR(INDEX('2017 Data (WP)'!$C$9:$C$72,MATCH($B44,'2017 Data (WP)'!$D$9:$D$72,0)),"")</f>
        <v>Water Utility</v>
      </c>
      <c r="B44" s="31" t="s">
        <v>188</v>
      </c>
      <c r="C44" s="31" t="s">
        <v>187</v>
      </c>
      <c r="D44" s="34"/>
      <c r="E44" s="68">
        <f>IF(IFERROR(INDEX('2016'!$C$5:$C$72,MATCH('P-E Ratio (WP)'!B44,'2016'!$A$5:$A$72,0)),0)=0,"N/A",INDEX('2016'!$C$5:$C$72,MATCH('P-E Ratio (WP)'!B44,'2016'!$A$5:$A$72,0)))</f>
        <v>25.645</v>
      </c>
      <c r="F44" s="28">
        <v>19.11</v>
      </c>
      <c r="G44" s="28">
        <v>18.486999999999998</v>
      </c>
      <c r="H44" s="28">
        <v>19.704000000000001</v>
      </c>
      <c r="I44" s="28">
        <v>20.829000000000001</v>
      </c>
      <c r="J44" s="28">
        <v>21.725999999999999</v>
      </c>
      <c r="K44" s="28">
        <v>17.809000000000001</v>
      </c>
      <c r="L44" s="28">
        <v>21.016999999999999</v>
      </c>
      <c r="M44" s="28">
        <v>19.798999999999999</v>
      </c>
      <c r="N44" s="28">
        <v>21.588999999999999</v>
      </c>
      <c r="O44" s="28">
        <v>22.718</v>
      </c>
    </row>
    <row r="45" spans="1:19">
      <c r="A45" t="str">
        <f>IFERROR(INDEX('2017 Data (WP)'!$C$9:$C$72,MATCH($B45,'2017 Data (WP)'!$D$9:$D$72,0)),"")</f>
        <v>Natural Gas Utility</v>
      </c>
      <c r="B45" s="31" t="s">
        <v>190</v>
      </c>
      <c r="C45" s="31" t="s">
        <v>189</v>
      </c>
      <c r="D45" s="34"/>
      <c r="E45" s="68">
        <f>IF(IFERROR(INDEX('2016'!$C$5:$C$72,MATCH('P-E Ratio (WP)'!B45,'2016'!$A$5:$A$72,0)),0)=0,"N/A",INDEX('2016'!$C$5:$C$72,MATCH('P-E Ratio (WP)'!B45,'2016'!$A$5:$A$72,0)))</f>
        <v>21.25</v>
      </c>
      <c r="F45" s="28">
        <v>16.613</v>
      </c>
      <c r="G45" s="28">
        <v>11.731999999999999</v>
      </c>
      <c r="H45" s="28">
        <v>15.983000000000001</v>
      </c>
      <c r="I45" s="28">
        <v>16.829000000000001</v>
      </c>
      <c r="J45" s="28">
        <v>16.754999999999999</v>
      </c>
      <c r="K45" s="28">
        <v>14.984</v>
      </c>
      <c r="L45" s="28">
        <v>14.925000000000001</v>
      </c>
      <c r="M45" s="28">
        <v>12.273999999999999</v>
      </c>
      <c r="N45" s="28">
        <v>21.611000000000001</v>
      </c>
      <c r="O45" s="28">
        <v>16.125</v>
      </c>
    </row>
    <row r="46" spans="1:19">
      <c r="A46" t="str">
        <f>IFERROR(INDEX('2017 Data (WP)'!$C$9:$C$72,MATCH($B46,'2017 Data (WP)'!$D$9:$D$72,0)),"")</f>
        <v>Electric Utility (East)</v>
      </c>
      <c r="B46" t="s">
        <v>141</v>
      </c>
      <c r="C46" t="s">
        <v>209</v>
      </c>
      <c r="D46" s="34"/>
      <c r="E46" s="68">
        <f>IF(IFERROR(INDEX('2016'!$C$5:$C$72,MATCH('P-E Ratio (WP)'!B46,'2016'!$A$5:$A$72,0)),0)=0,"N/A",INDEX('2016'!$C$5:$C$72,MATCH('P-E Ratio (WP)'!B46,'2016'!$A$5:$A$72,0)))</f>
        <v>20.710999999999999</v>
      </c>
      <c r="F46" s="28">
        <v>16.893999999999998</v>
      </c>
      <c r="G46" s="28">
        <v>17.254000000000001</v>
      </c>
      <c r="H46" s="28">
        <v>16.571000000000002</v>
      </c>
      <c r="I46" s="28">
        <v>14.433999999999999</v>
      </c>
      <c r="J46" s="28">
        <v>11.536</v>
      </c>
      <c r="K46" s="28">
        <v>10.827999999999999</v>
      </c>
      <c r="L46" s="28">
        <v>13.416</v>
      </c>
      <c r="M46" s="28">
        <v>14.481999999999999</v>
      </c>
      <c r="N46" s="28">
        <v>18.896999999999998</v>
      </c>
      <c r="O46" s="28">
        <v>13.651999999999999</v>
      </c>
      <c r="P46" s="39">
        <v>17.884</v>
      </c>
      <c r="Q46" s="39">
        <v>13.651999999999999</v>
      </c>
      <c r="R46" s="39">
        <v>17.884</v>
      </c>
      <c r="S46" s="39">
        <v>13.602</v>
      </c>
    </row>
    <row r="47" spans="1:19">
      <c r="A47" t="str">
        <f>IFERROR(INDEX('2017 Data (WP)'!$C$9:$C$72,MATCH($B47,'2017 Data (WP)'!$D$9:$D$72,0)),"")</f>
        <v>Natural Gas Utility</v>
      </c>
      <c r="B47" t="s">
        <v>26</v>
      </c>
      <c r="C47" t="s">
        <v>62</v>
      </c>
      <c r="D47" s="34"/>
      <c r="E47" s="68">
        <f>IF(IFERROR(INDEX('2016'!$C$5:$C$72,MATCH('P-E Ratio (WP)'!B47,'2016'!$A$5:$A$72,0)),0)=0,"N/A",INDEX('2016'!$C$5:$C$72,MATCH('P-E Ratio (WP)'!B47,'2016'!$A$5:$A$72,0)))</f>
        <v>23.183</v>
      </c>
      <c r="F47" s="28">
        <v>37.340000000000003</v>
      </c>
      <c r="G47" s="28">
        <v>22.742000000000001</v>
      </c>
      <c r="H47" s="28">
        <v>18.888999999999999</v>
      </c>
      <c r="I47" s="28">
        <v>17.87</v>
      </c>
      <c r="J47" s="28">
        <v>19.363</v>
      </c>
      <c r="K47" s="28">
        <v>15.327</v>
      </c>
      <c r="L47" s="28">
        <v>14.335000000000001</v>
      </c>
      <c r="M47" s="28">
        <v>12.065</v>
      </c>
      <c r="N47" s="28">
        <v>18.815999999999999</v>
      </c>
      <c r="O47" s="28">
        <v>19.16</v>
      </c>
      <c r="P47" s="39">
        <v>21.427</v>
      </c>
      <c r="Q47" s="39">
        <v>13.035</v>
      </c>
      <c r="R47" s="39">
        <v>12.23</v>
      </c>
      <c r="S47" s="39">
        <v>10.752000000000001</v>
      </c>
    </row>
    <row r="48" spans="1:19">
      <c r="A48" t="str">
        <f>IFERROR(INDEX('2017 Data (WP)'!$C$9:$C$72,MATCH($B48,'2017 Data (WP)'!$D$9:$D$72,0)),"")</f>
        <v>Natural Gas Utility</v>
      </c>
      <c r="B48" s="31" t="s">
        <v>192</v>
      </c>
      <c r="C48" s="31" t="s">
        <v>191</v>
      </c>
      <c r="D48" s="34"/>
      <c r="E48" s="68">
        <f>IF(IFERROR(INDEX('2016'!$C$5:$C$72,MATCH('P-E Ratio (WP)'!B48,'2016'!$A$5:$A$72,0)),0)=0,"N/A",INDEX('2016'!$C$5:$C$72,MATCH('P-E Ratio (WP)'!B48,'2016'!$A$5:$A$72,0)))</f>
        <v>26.922999999999998</v>
      </c>
      <c r="F48" s="28">
        <v>23.692</v>
      </c>
      <c r="G48" s="28">
        <v>20.69</v>
      </c>
      <c r="H48" s="28">
        <v>19.379000000000001</v>
      </c>
      <c r="I48" s="28">
        <v>21.076000000000001</v>
      </c>
      <c r="J48" s="28">
        <v>19.018000000000001</v>
      </c>
      <c r="K48" s="28">
        <v>16.971</v>
      </c>
      <c r="L48" s="28">
        <v>15.173</v>
      </c>
      <c r="M48" s="28">
        <v>18.074999999999999</v>
      </c>
      <c r="N48" s="28">
        <v>16.738</v>
      </c>
      <c r="O48" s="28">
        <v>15.85</v>
      </c>
    </row>
    <row r="49" spans="1:19">
      <c r="A49" t="str">
        <f>IFERROR(INDEX('2017 Data (WP)'!$C$9:$C$72,MATCH($B49,'2017 Data (WP)'!$D$9:$D$72,0)),"")</f>
        <v>Electric Utility (West)</v>
      </c>
      <c r="B49" t="str">
        <f>"NWE"</f>
        <v>NWE</v>
      </c>
      <c r="C49" t="s">
        <v>94</v>
      </c>
      <c r="D49" s="34"/>
      <c r="E49" s="68">
        <f>IF(IFERROR(INDEX('2016'!$C$5:$C$72,MATCH('P-E Ratio (WP)'!B49,'2016'!$A$5:$A$72,0)),0)=0,"N/A",INDEX('2016'!$C$5:$C$72,MATCH('P-E Ratio (WP)'!B49,'2016'!$A$5:$A$72,0)))</f>
        <v>17.186</v>
      </c>
      <c r="F49" s="28">
        <v>18.361999999999998</v>
      </c>
      <c r="G49" s="28">
        <v>16.234999999999999</v>
      </c>
      <c r="H49" s="28">
        <v>16.86</v>
      </c>
      <c r="I49" s="28">
        <v>15.717000000000001</v>
      </c>
      <c r="J49" s="28">
        <v>12.622999999999999</v>
      </c>
      <c r="K49" s="28">
        <v>12.895</v>
      </c>
      <c r="L49" s="28">
        <v>11.538</v>
      </c>
      <c r="M49" s="28">
        <v>13.866</v>
      </c>
      <c r="N49" s="28">
        <v>21.734999999999999</v>
      </c>
      <c r="O49" s="28">
        <v>25.952999999999999</v>
      </c>
      <c r="P49" s="39">
        <v>17.091000000000001</v>
      </c>
      <c r="Q49" s="39" t="s">
        <v>106</v>
      </c>
      <c r="R49" s="39" t="s">
        <v>106</v>
      </c>
      <c r="S49" s="39" t="s">
        <v>106</v>
      </c>
    </row>
    <row r="50" spans="1:19">
      <c r="A50" t="str">
        <f>IFERROR(INDEX('2017 Data (WP)'!$C$9:$C$72,MATCH($B50,'2017 Data (WP)'!$D$9:$D$72,0)),"")</f>
        <v>Electric Util. (Central)</v>
      </c>
      <c r="B50" t="s">
        <v>27</v>
      </c>
      <c r="C50" t="s">
        <v>67</v>
      </c>
      <c r="D50" s="34"/>
      <c r="E50" s="68">
        <f>IF(IFERROR(INDEX('2016'!$C$5:$C$72,MATCH('P-E Ratio (WP)'!B50,'2016'!$A$5:$A$72,0)),0)=0,"N/A",INDEX('2016'!$C$5:$C$72,MATCH('P-E Ratio (WP)'!B50,'2016'!$A$5:$A$72,0)))</f>
        <v>17.68</v>
      </c>
      <c r="F50" s="28">
        <v>17.689</v>
      </c>
      <c r="G50" s="28">
        <v>18.265999999999998</v>
      </c>
      <c r="H50" s="28">
        <v>17.693000000000001</v>
      </c>
      <c r="I50" s="28">
        <v>15.156000000000001</v>
      </c>
      <c r="J50" s="28">
        <v>14.366</v>
      </c>
      <c r="K50" s="28">
        <v>13.314</v>
      </c>
      <c r="L50" s="28">
        <v>10.834</v>
      </c>
      <c r="M50" s="28">
        <v>12.407999999999999</v>
      </c>
      <c r="N50" s="28">
        <v>13.750999999999999</v>
      </c>
      <c r="O50" s="28">
        <v>13.675000000000001</v>
      </c>
      <c r="P50" s="39">
        <v>14.95</v>
      </c>
      <c r="Q50" s="39">
        <v>14.131</v>
      </c>
      <c r="R50" s="39">
        <v>11.837999999999999</v>
      </c>
      <c r="S50" s="39">
        <v>14.122999999999999</v>
      </c>
    </row>
    <row r="51" spans="1:19">
      <c r="B51" t="s">
        <v>353</v>
      </c>
      <c r="C51" t="s">
        <v>356</v>
      </c>
      <c r="D51" s="34"/>
      <c r="E51" s="68">
        <f>IF(IFERROR(INDEX('2016'!$C$5:$C$72,MATCH('P-E Ratio (WP)'!B51,'2016'!$A$5:$A$72,0)),0)=0,"N/A",INDEX('2016'!$C$5:$C$72,MATCH('P-E Ratio (WP)'!B51,'2016'!$A$5:$A$72,0)))</f>
        <v>22.738</v>
      </c>
      <c r="F51" s="28">
        <v>19.79</v>
      </c>
      <c r="G51" s="28">
        <v>17.827000000000002</v>
      </c>
      <c r="H51" s="28" t="s">
        <v>106</v>
      </c>
      <c r="I51" s="28" t="s">
        <v>106</v>
      </c>
      <c r="J51" s="28" t="s">
        <v>106</v>
      </c>
      <c r="K51" s="28" t="s">
        <v>106</v>
      </c>
      <c r="L51" s="28" t="s">
        <v>106</v>
      </c>
      <c r="M51" s="28" t="s">
        <v>106</v>
      </c>
      <c r="N51" s="28" t="s">
        <v>106</v>
      </c>
      <c r="O51" s="28" t="s">
        <v>106</v>
      </c>
      <c r="P51" s="39"/>
      <c r="Q51" s="39"/>
      <c r="R51" s="39"/>
      <c r="S51" s="39"/>
    </row>
    <row r="52" spans="1:19">
      <c r="A52" t="str">
        <f>IFERROR(INDEX('2017 Data (WP)'!$C$9:$C$72,MATCH($B52,'2017 Data (WP)'!$D$9:$D$72,0)),"")</f>
        <v>Electric Util. (Central)</v>
      </c>
      <c r="B52" t="s">
        <v>28</v>
      </c>
      <c r="C52" t="s">
        <v>68</v>
      </c>
      <c r="D52" s="34"/>
      <c r="E52" s="68">
        <f>IF(IFERROR(INDEX('2016'!$C$5:$C$72,MATCH('P-E Ratio (WP)'!B52,'2016'!$A$5:$A$72,0)),0)=0,"N/A",INDEX('2016'!$C$5:$C$72,MATCH('P-E Ratio (WP)'!B52,'2016'!$A$5:$A$72,0)))</f>
        <v>20.193000000000001</v>
      </c>
      <c r="F52" s="28">
        <v>18.199000000000002</v>
      </c>
      <c r="G52" s="28">
        <v>18.838000000000001</v>
      </c>
      <c r="H52" s="28">
        <v>21.12</v>
      </c>
      <c r="I52" s="28">
        <v>21.75</v>
      </c>
      <c r="J52" s="28">
        <v>47.481999999999999</v>
      </c>
      <c r="K52" s="28">
        <v>55.097000000000001</v>
      </c>
      <c r="L52" s="28">
        <v>31.158999999999999</v>
      </c>
      <c r="M52" s="28">
        <v>30.056000000000001</v>
      </c>
      <c r="N52" s="28">
        <v>19.02</v>
      </c>
      <c r="O52" s="28">
        <v>17.349</v>
      </c>
      <c r="P52" s="39">
        <v>15.4</v>
      </c>
      <c r="Q52" s="39">
        <v>17.335000000000001</v>
      </c>
      <c r="R52" s="39">
        <v>17.766999999999999</v>
      </c>
      <c r="S52" s="39">
        <v>16.010999999999999</v>
      </c>
    </row>
    <row r="53" spans="1:19">
      <c r="A53" t="str">
        <f>IFERROR(INDEX('2017 Data (WP)'!$C$9:$C$72,MATCH($B53,'2017 Data (WP)'!$D$9:$D$72,0)),"")</f>
        <v/>
      </c>
      <c r="B53" t="s">
        <v>29</v>
      </c>
      <c r="C53" t="s">
        <v>73</v>
      </c>
      <c r="D53" s="34"/>
      <c r="E53" s="68" t="str">
        <f>IF(IFERROR(INDEX('2016'!$C$5:$C$72,MATCH('P-E Ratio (WP)'!B53,'2016'!$A$5:$A$72,0)),0)=0,"N/A",INDEX('2016'!$C$5:$C$72,MATCH('P-E Ratio (WP)'!B53,'2016'!$A$5:$A$72,0)))</f>
        <v>N/A</v>
      </c>
      <c r="F53" s="68" t="str">
        <f>IF(IFERROR(INDEX('2016'!$C$5:$C$72,MATCH('P-E Ratio (WP)'!C53,'2016'!$A$5:$A$72,0)),0)=0,"N/A",INDEX('2016'!$C$5:$C$72,MATCH('P-E Ratio (WP)'!C53,'2016'!$A$5:$A$72,0)))</f>
        <v>N/A</v>
      </c>
      <c r="G53" s="68" t="str">
        <f>IF(IFERROR(INDEX('2016'!$C$5:$C$72,MATCH('P-E Ratio (WP)'!D53,'2016'!$A$5:$A$72,0)),0)=0,"N/A",INDEX('2016'!$C$5:$C$72,MATCH('P-E Ratio (WP)'!D53,'2016'!$A$5:$A$72,0)))</f>
        <v>N/A</v>
      </c>
      <c r="H53" s="68" t="str">
        <f>IF(IFERROR(INDEX('2016'!$C$5:$C$72,MATCH('P-E Ratio (WP)'!E53,'2016'!$A$5:$A$72,0)),0)=0,"N/A",INDEX('2016'!$C$5:$C$72,MATCH('P-E Ratio (WP)'!E53,'2016'!$A$5:$A$72,0)))</f>
        <v>N/A</v>
      </c>
      <c r="I53" s="68" t="str">
        <f>IF(IFERROR(INDEX('2016'!$C$5:$C$72,MATCH('P-E Ratio (WP)'!F53,'2016'!$A$5:$A$72,0)),0)=0,"N/A",INDEX('2016'!$C$5:$C$72,MATCH('P-E Ratio (WP)'!F53,'2016'!$A$5:$A$72,0)))</f>
        <v>N/A</v>
      </c>
      <c r="J53" s="68" t="str">
        <f>IF(IFERROR(INDEX('2016'!$C$5:$C$72,MATCH('P-E Ratio (WP)'!G53,'2016'!$A$5:$A$72,0)),0)=0,"N/A",INDEX('2016'!$C$5:$C$72,MATCH('P-E Ratio (WP)'!G53,'2016'!$A$5:$A$72,0)))</f>
        <v>N/A</v>
      </c>
      <c r="K53" s="68" t="str">
        <f>IF(IFERROR(INDEX('2016'!$C$5:$C$72,MATCH('P-E Ratio (WP)'!H53,'2016'!$A$5:$A$72,0)),0)=0,"N/A",INDEX('2016'!$C$5:$C$72,MATCH('P-E Ratio (WP)'!H53,'2016'!$A$5:$A$72,0)))</f>
        <v>N/A</v>
      </c>
      <c r="L53" s="68" t="str">
        <f>IF(IFERROR(INDEX('2016'!$C$5:$C$72,MATCH('P-E Ratio (WP)'!I53,'2016'!$A$5:$A$72,0)),0)=0,"N/A",INDEX('2016'!$C$5:$C$72,MATCH('P-E Ratio (WP)'!I53,'2016'!$A$5:$A$72,0)))</f>
        <v>N/A</v>
      </c>
      <c r="M53" s="68" t="str">
        <f>IF(IFERROR(INDEX('2016'!$C$5:$C$72,MATCH('P-E Ratio (WP)'!J53,'2016'!$A$5:$A$72,0)),0)=0,"N/A",INDEX('2016'!$C$5:$C$72,MATCH('P-E Ratio (WP)'!J53,'2016'!$A$5:$A$72,0)))</f>
        <v>N/A</v>
      </c>
      <c r="N53" s="68" t="str">
        <f>IF(IFERROR(INDEX('2016'!$C$5:$C$72,MATCH('P-E Ratio (WP)'!K53,'2016'!$A$5:$A$72,0)),0)=0,"N/A",INDEX('2016'!$C$5:$C$72,MATCH('P-E Ratio (WP)'!K53,'2016'!$A$5:$A$72,0)))</f>
        <v>N/A</v>
      </c>
      <c r="O53" s="68" t="str">
        <f>IF(IFERROR(INDEX('2016'!$C$5:$C$72,MATCH('P-E Ratio (WP)'!L53,'2016'!$A$5:$A$72,0)),0)=0,"N/A",INDEX('2016'!$C$5:$C$72,MATCH('P-E Ratio (WP)'!L53,'2016'!$A$5:$A$72,0)))</f>
        <v>N/A</v>
      </c>
      <c r="P53" s="39" t="s">
        <v>106</v>
      </c>
      <c r="Q53" s="39">
        <v>13.571999999999999</v>
      </c>
      <c r="R53" s="39">
        <v>13.358000000000001</v>
      </c>
      <c r="S53" s="39">
        <v>11.256</v>
      </c>
    </row>
    <row r="54" spans="1:19">
      <c r="A54" t="str">
        <f>IFERROR(INDEX('2017 Data (WP)'!$C$9:$C$72,MATCH($B54,'2017 Data (WP)'!$D$9:$D$72,0)),"")</f>
        <v>Electric Utility (West)</v>
      </c>
      <c r="B54" t="s">
        <v>30</v>
      </c>
      <c r="C54" t="s">
        <v>71</v>
      </c>
      <c r="D54" s="34"/>
      <c r="E54" s="68">
        <f>IF(IFERROR(INDEX('2016'!$C$5:$C$72,MATCH('P-E Ratio (WP)'!B54,'2016'!$A$5:$A$72,0)),0)=0,"N/A",INDEX('2016'!$C$5:$C$72,MATCH('P-E Ratio (WP)'!B54,'2016'!$A$5:$A$72,0)))</f>
        <v>21.126999999999999</v>
      </c>
      <c r="F54" s="28">
        <v>26.399000000000001</v>
      </c>
      <c r="G54" s="28">
        <v>15.003</v>
      </c>
      <c r="H54" s="28">
        <v>23.666</v>
      </c>
      <c r="I54" s="28">
        <v>20.702000000000002</v>
      </c>
      <c r="J54" s="28">
        <v>15.458</v>
      </c>
      <c r="K54" s="28">
        <v>15.803000000000001</v>
      </c>
      <c r="L54" s="28">
        <v>13.01</v>
      </c>
      <c r="M54" s="28">
        <v>12.084</v>
      </c>
      <c r="N54" s="28">
        <v>16.847000000000001</v>
      </c>
      <c r="O54" s="28">
        <v>14.842000000000001</v>
      </c>
      <c r="P54" s="39">
        <v>15.366</v>
      </c>
      <c r="Q54" s="39">
        <v>13.808</v>
      </c>
      <c r="R54" s="39">
        <v>9.4990000000000006</v>
      </c>
      <c r="S54" s="39" t="s">
        <v>106</v>
      </c>
    </row>
    <row r="55" spans="1:19">
      <c r="A55" t="str">
        <f>IFERROR(INDEX('2017 Data (WP)'!$C$9:$C$72,MATCH($B55,'2017 Data (WP)'!$D$9:$D$72,0)),"")</f>
        <v>Electric Utility (West)</v>
      </c>
      <c r="B55" t="s">
        <v>31</v>
      </c>
      <c r="C55" t="s">
        <v>72</v>
      </c>
      <c r="D55" s="34"/>
      <c r="E55" s="68">
        <f>IF(IFERROR(INDEX('2016'!$C$5:$C$72,MATCH('P-E Ratio (WP)'!B55,'2016'!$A$5:$A$72,0)),0)=0,"N/A",INDEX('2016'!$C$5:$C$72,MATCH('P-E Ratio (WP)'!B55,'2016'!$A$5:$A$72,0)))</f>
        <v>18.742999999999999</v>
      </c>
      <c r="F55" s="28">
        <v>16.036000000000001</v>
      </c>
      <c r="G55" s="28">
        <v>15.885999999999999</v>
      </c>
      <c r="H55" s="28">
        <v>15.268000000000001</v>
      </c>
      <c r="I55" s="28">
        <v>14.346</v>
      </c>
      <c r="J55" s="28">
        <v>14.603999999999999</v>
      </c>
      <c r="K55" s="28">
        <v>12.565</v>
      </c>
      <c r="L55" s="28">
        <v>13.742000000000001</v>
      </c>
      <c r="M55" s="28">
        <v>16.065999999999999</v>
      </c>
      <c r="N55" s="28">
        <v>14.930999999999999</v>
      </c>
      <c r="O55" s="28">
        <v>13.691000000000001</v>
      </c>
      <c r="P55" s="39">
        <v>19.236000000000001</v>
      </c>
      <c r="Q55" s="39">
        <v>15.798999999999999</v>
      </c>
      <c r="R55" s="39">
        <v>13.961</v>
      </c>
      <c r="S55" s="39">
        <v>14.430999999999999</v>
      </c>
    </row>
    <row r="56" spans="1:19">
      <c r="A56" t="str">
        <f>IFERROR(INDEX('2017 Data (WP)'!$C$9:$C$72,MATCH($B56,'2017 Data (WP)'!$D$9:$D$72,0)),"")</f>
        <v>Electric Utility (West)</v>
      </c>
      <c r="B56" t="s">
        <v>32</v>
      </c>
      <c r="C56" t="s">
        <v>74</v>
      </c>
      <c r="D56" s="34"/>
      <c r="E56" s="68">
        <f>IF(IFERROR(INDEX('2016'!$C$5:$C$72,MATCH('P-E Ratio (WP)'!B56,'2016'!$A$5:$A$72,0)),0)=0,"N/A",INDEX('2016'!$C$5:$C$72,MATCH('P-E Ratio (WP)'!B56,'2016'!$A$5:$A$72,0)))</f>
        <v>19.832000000000001</v>
      </c>
      <c r="F56" s="28">
        <v>16.847000000000001</v>
      </c>
      <c r="G56" s="28">
        <v>18.675999999999998</v>
      </c>
      <c r="H56" s="28">
        <v>16.131</v>
      </c>
      <c r="I56" s="28">
        <v>14.971</v>
      </c>
      <c r="J56" s="28">
        <v>14.532</v>
      </c>
      <c r="K56" s="28">
        <v>14.045</v>
      </c>
      <c r="L56" s="28">
        <v>18.093</v>
      </c>
      <c r="M56" s="28" t="s">
        <v>106</v>
      </c>
      <c r="N56" s="28">
        <v>35.649000000000001</v>
      </c>
      <c r="O56" s="28">
        <v>15.573</v>
      </c>
      <c r="P56" s="39">
        <v>17.379000000000001</v>
      </c>
      <c r="Q56" s="39">
        <v>15.021000000000001</v>
      </c>
      <c r="R56" s="39">
        <v>14.73</v>
      </c>
      <c r="S56" s="39">
        <v>15.079000000000001</v>
      </c>
    </row>
    <row r="57" spans="1:19">
      <c r="A57" t="str">
        <f>IFERROR(INDEX('2017 Data (WP)'!$C$9:$C$72,MATCH($B57,'2017 Data (WP)'!$D$9:$D$72,0)),"")</f>
        <v>Electric Utility (West)</v>
      </c>
      <c r="B57" t="s">
        <v>33</v>
      </c>
      <c r="C57" t="s">
        <v>92</v>
      </c>
      <c r="D57" s="34"/>
      <c r="E57" s="68">
        <f>IF(IFERROR(INDEX('2016'!$C$5:$C$72,MATCH('P-E Ratio (WP)'!B57,'2016'!$A$5:$A$72,0)),0)=0,"N/A",INDEX('2016'!$C$5:$C$72,MATCH('P-E Ratio (WP)'!B57,'2016'!$A$5:$A$72,0)))</f>
        <v>19.058</v>
      </c>
      <c r="F57" s="28">
        <v>17.713999999999999</v>
      </c>
      <c r="G57" s="28">
        <v>15.318</v>
      </c>
      <c r="H57" s="28">
        <v>16.88</v>
      </c>
      <c r="I57" s="28">
        <v>13.978999999999999</v>
      </c>
      <c r="J57" s="28">
        <v>12.37</v>
      </c>
      <c r="K57" s="28">
        <v>12</v>
      </c>
      <c r="L57" s="28">
        <v>14.395</v>
      </c>
      <c r="M57" s="28">
        <v>16.295999999999999</v>
      </c>
      <c r="N57" s="28">
        <v>11.942</v>
      </c>
      <c r="O57" s="28">
        <v>23.35</v>
      </c>
      <c r="P57" s="39" t="s">
        <v>106</v>
      </c>
      <c r="Q57" s="39" t="s">
        <v>106</v>
      </c>
      <c r="R57" s="39" t="s">
        <v>106</v>
      </c>
      <c r="S57" s="39" t="s">
        <v>106</v>
      </c>
    </row>
    <row r="58" spans="1:19">
      <c r="A58" t="str">
        <f>IFERROR(INDEX('2017 Data (WP)'!$C$9:$C$72,MATCH($B58,'2017 Data (WP)'!$D$9:$D$72,0)),"")</f>
        <v>Electric Utility (East)</v>
      </c>
      <c r="B58" t="s">
        <v>34</v>
      </c>
      <c r="C58" t="s">
        <v>70</v>
      </c>
      <c r="D58" s="34"/>
      <c r="E58" s="68">
        <f>IF(IFERROR(INDEX('2016'!$C$5:$C$72,MATCH('P-E Ratio (WP)'!B58,'2016'!$A$5:$A$72,0)),0)=0,"N/A",INDEX('2016'!$C$5:$C$72,MATCH('P-E Ratio (WP)'!B58,'2016'!$A$5:$A$72,0)))</f>
        <v>12.829000000000001</v>
      </c>
      <c r="F58" s="28">
        <v>13.914999999999999</v>
      </c>
      <c r="G58" s="28">
        <v>14.076000000000001</v>
      </c>
      <c r="H58" s="28">
        <v>12.843999999999999</v>
      </c>
      <c r="I58" s="28">
        <v>10.882</v>
      </c>
      <c r="J58" s="28">
        <v>10.516</v>
      </c>
      <c r="K58" s="28">
        <v>11.93</v>
      </c>
      <c r="L58" s="28">
        <v>25.687000000000001</v>
      </c>
      <c r="M58" s="28">
        <v>17.638000000000002</v>
      </c>
      <c r="N58" s="28">
        <v>17.262</v>
      </c>
      <c r="O58" s="28">
        <v>14.1</v>
      </c>
      <c r="P58" s="39">
        <v>15.116</v>
      </c>
      <c r="Q58" s="39">
        <v>12.513</v>
      </c>
      <c r="R58" s="39">
        <v>10.587999999999999</v>
      </c>
      <c r="S58" s="39">
        <v>11.064</v>
      </c>
    </row>
    <row r="59" spans="1:19">
      <c r="A59" t="str">
        <f>IFERROR(INDEX('2017 Data (WP)'!$C$9:$C$72,MATCH($B59,'2017 Data (WP)'!$D$9:$D$72,0)),"")</f>
        <v>Electric Utility (East)</v>
      </c>
      <c r="B59" t="s">
        <v>35</v>
      </c>
      <c r="C59" t="s">
        <v>75</v>
      </c>
      <c r="D59" s="34"/>
      <c r="E59" s="68">
        <f>IF(IFERROR(INDEX('2016'!$C$5:$C$72,MATCH('P-E Ratio (WP)'!B59,'2016'!$A$5:$A$72,0)),0)=0,"N/A",INDEX('2016'!$C$5:$C$72,MATCH('P-E Ratio (WP)'!B59,'2016'!$A$5:$A$72,0)))</f>
        <v>15.347</v>
      </c>
      <c r="F59" s="28">
        <v>12.412000000000001</v>
      </c>
      <c r="G59" s="28">
        <v>12.614000000000001</v>
      </c>
      <c r="H59" s="28">
        <v>13.5</v>
      </c>
      <c r="I59" s="28">
        <v>12.788</v>
      </c>
      <c r="J59" s="28">
        <v>10.395</v>
      </c>
      <c r="K59" s="28">
        <v>10.369</v>
      </c>
      <c r="L59" s="28">
        <v>10.039</v>
      </c>
      <c r="M59" s="28">
        <v>13.646000000000001</v>
      </c>
      <c r="N59" s="28">
        <v>16.542999999999999</v>
      </c>
      <c r="O59" s="28">
        <v>17.808</v>
      </c>
      <c r="P59" s="39">
        <v>16.738</v>
      </c>
      <c r="Q59" s="39">
        <v>14.255000000000001</v>
      </c>
      <c r="R59" s="39">
        <v>10.576000000000001</v>
      </c>
      <c r="S59" s="39">
        <v>9.9949999999999992</v>
      </c>
    </row>
    <row r="60" spans="1:19">
      <c r="A60" t="str">
        <f>IFERROR(INDEX('2017 Data (WP)'!$C$9:$C$72,MATCH($B60,'2017 Data (WP)'!$D$9:$D$72,0)),"")</f>
        <v>Electric Utility (East)</v>
      </c>
      <c r="B60" t="s">
        <v>36</v>
      </c>
      <c r="C60" t="s">
        <v>76</v>
      </c>
      <c r="D60" s="34"/>
      <c r="E60" s="68">
        <f>IF(IFERROR(INDEX('2016'!$C$5:$C$72,MATCH('P-E Ratio (WP)'!B60,'2016'!$A$5:$A$72,0)),0)=0,"N/A",INDEX('2016'!$C$5:$C$72,MATCH('P-E Ratio (WP)'!B60,'2016'!$A$5:$A$72,0)))</f>
        <v>16.795999999999999</v>
      </c>
      <c r="F60" s="28">
        <v>14.664999999999999</v>
      </c>
      <c r="G60" s="28">
        <v>13.677</v>
      </c>
      <c r="H60" s="28">
        <v>14.427</v>
      </c>
      <c r="I60" s="28">
        <v>14.798999999999999</v>
      </c>
      <c r="J60" s="28">
        <v>13.670999999999999</v>
      </c>
      <c r="K60" s="28">
        <v>12.933999999999999</v>
      </c>
      <c r="L60" s="28">
        <v>11.625999999999999</v>
      </c>
      <c r="M60" s="28">
        <v>12.667</v>
      </c>
      <c r="N60" s="28">
        <v>14.957000000000001</v>
      </c>
      <c r="O60" s="28">
        <v>15.42</v>
      </c>
      <c r="P60" s="39">
        <v>14.444000000000001</v>
      </c>
      <c r="Q60" s="39">
        <v>13.568</v>
      </c>
      <c r="R60" s="39">
        <v>13.045</v>
      </c>
      <c r="S60" s="39">
        <v>12.167</v>
      </c>
    </row>
    <row r="61" spans="1:19">
      <c r="A61" t="str">
        <f>IFERROR(INDEX('2017 Data (WP)'!$C$9:$C$72,MATCH($B61,'2017 Data (WP)'!$D$9:$D$72,0)),"")</f>
        <v>Electric Utility (West)</v>
      </c>
      <c r="B61" t="s">
        <v>37</v>
      </c>
      <c r="C61" t="s">
        <v>54</v>
      </c>
      <c r="D61" s="34"/>
      <c r="E61" s="68">
        <f>IF(IFERROR(INDEX('2016'!$C$5:$C$72,MATCH('P-E Ratio (WP)'!B61,'2016'!$A$5:$A$72,0)),0)=0,"N/A",INDEX('2016'!$C$5:$C$72,MATCH('P-E Ratio (WP)'!B61,'2016'!$A$5:$A$72,0)))</f>
        <v>24.373000000000001</v>
      </c>
      <c r="F61" s="28">
        <v>19.725999999999999</v>
      </c>
      <c r="G61" s="28">
        <v>21.870999999999999</v>
      </c>
      <c r="H61" s="28">
        <v>19.684000000000001</v>
      </c>
      <c r="I61" s="28">
        <v>14.888</v>
      </c>
      <c r="J61" s="28">
        <v>11.771000000000001</v>
      </c>
      <c r="K61" s="28">
        <v>12.595000000000001</v>
      </c>
      <c r="L61" s="28">
        <v>10.09</v>
      </c>
      <c r="M61" s="28">
        <v>11.8</v>
      </c>
      <c r="N61" s="28">
        <v>14.007</v>
      </c>
      <c r="O61" s="28">
        <v>11.500999999999999</v>
      </c>
      <c r="P61" s="39">
        <v>11.794</v>
      </c>
      <c r="Q61" s="39">
        <v>8.6470000000000002</v>
      </c>
      <c r="R61" s="39">
        <v>8.9589999999999996</v>
      </c>
      <c r="S61" s="39">
        <v>8.19</v>
      </c>
    </row>
    <row r="62" spans="1:19">
      <c r="A62" t="str">
        <f>IFERROR(INDEX('2017 Data (WP)'!$C$9:$C$72,MATCH($B62,'2017 Data (WP)'!$D$9:$D$72,0)),"")</f>
        <v/>
      </c>
      <c r="B62" t="s">
        <v>64</v>
      </c>
      <c r="C62" t="s">
        <v>63</v>
      </c>
      <c r="D62" s="34"/>
      <c r="E62" s="68" t="str">
        <f>IF(IFERROR(INDEX('2016'!$C$5:$C$72,MATCH('P-E Ratio (WP)'!B62,'2016'!$A$5:$A$72,0)),0)=0,"N/A",INDEX('2016'!$C$5:$C$72,MATCH('P-E Ratio (WP)'!B62,'2016'!$A$5:$A$72,0)))</f>
        <v>N/A</v>
      </c>
      <c r="F62" s="68" t="str">
        <f>IF(IFERROR(INDEX('2016'!$C$5:$C$72,MATCH('P-E Ratio (WP)'!C62,'2016'!$A$5:$A$72,0)),0)=0,"N/A",INDEX('2016'!$C$5:$C$72,MATCH('P-E Ratio (WP)'!C62,'2016'!$A$5:$A$72,0)))</f>
        <v>N/A</v>
      </c>
      <c r="G62" s="68" t="str">
        <f>IF(IFERROR(INDEX('2016'!$C$5:$C$72,MATCH('P-E Ratio (WP)'!D62,'2016'!$A$5:$A$72,0)),0)=0,"N/A",INDEX('2016'!$C$5:$C$72,MATCH('P-E Ratio (WP)'!D62,'2016'!$A$5:$A$72,0)))</f>
        <v>N/A</v>
      </c>
      <c r="H62" s="68" t="str">
        <f>IF(IFERROR(INDEX('2016'!$C$5:$C$72,MATCH('P-E Ratio (WP)'!E62,'2016'!$A$5:$A$72,0)),0)=0,"N/A",INDEX('2016'!$C$5:$C$72,MATCH('P-E Ratio (WP)'!E62,'2016'!$A$5:$A$72,0)))</f>
        <v>N/A</v>
      </c>
      <c r="I62" s="68" t="str">
        <f>IF(IFERROR(INDEX('2016'!$C$5:$C$72,MATCH('P-E Ratio (WP)'!F62,'2016'!$A$5:$A$72,0)),0)=0,"N/A",INDEX('2016'!$C$5:$C$72,MATCH('P-E Ratio (WP)'!F62,'2016'!$A$5:$A$72,0)))</f>
        <v>N/A</v>
      </c>
      <c r="J62" s="68" t="str">
        <f>IF(IFERROR(INDEX('2016'!$C$5:$C$72,MATCH('P-E Ratio (WP)'!G62,'2016'!$A$5:$A$72,0)),0)=0,"N/A",INDEX('2016'!$C$5:$C$72,MATCH('P-E Ratio (WP)'!G62,'2016'!$A$5:$A$72,0)))</f>
        <v>N/A</v>
      </c>
      <c r="K62" s="68" t="str">
        <f>IF(IFERROR(INDEX('2016'!$C$5:$C$72,MATCH('P-E Ratio (WP)'!H62,'2016'!$A$5:$A$72,0)),0)=0,"N/A",INDEX('2016'!$C$5:$C$72,MATCH('P-E Ratio (WP)'!H62,'2016'!$A$5:$A$72,0)))</f>
        <v>N/A</v>
      </c>
      <c r="L62" s="68" t="str">
        <f>IF(IFERROR(INDEX('2016'!$C$5:$C$72,MATCH('P-E Ratio (WP)'!I62,'2016'!$A$5:$A$72,0)),0)=0,"N/A",INDEX('2016'!$C$5:$C$72,MATCH('P-E Ratio (WP)'!I62,'2016'!$A$5:$A$72,0)))</f>
        <v>N/A</v>
      </c>
      <c r="M62" s="68" t="str">
        <f>IF(IFERROR(INDEX('2016'!$C$5:$C$72,MATCH('P-E Ratio (WP)'!J62,'2016'!$A$5:$A$72,0)),0)=0,"N/A",INDEX('2016'!$C$5:$C$72,MATCH('P-E Ratio (WP)'!J62,'2016'!$A$5:$A$72,0)))</f>
        <v>N/A</v>
      </c>
      <c r="N62" s="68" t="str">
        <f>IF(IFERROR(INDEX('2016'!$C$5:$C$72,MATCH('P-E Ratio (WP)'!K62,'2016'!$A$5:$A$72,0)),0)=0,"N/A",INDEX('2016'!$C$5:$C$72,MATCH('P-E Ratio (WP)'!K62,'2016'!$A$5:$A$72,0)))</f>
        <v>N/A</v>
      </c>
      <c r="O62" s="68" t="str">
        <f>IF(IFERROR(INDEX('2016'!$C$5:$C$72,MATCH('P-E Ratio (WP)'!L62,'2016'!$A$5:$A$72,0)),0)=0,"N/A",INDEX('2016'!$C$5:$C$72,MATCH('P-E Ratio (WP)'!L62,'2016'!$A$5:$A$72,0)))</f>
        <v>N/A</v>
      </c>
      <c r="P62" s="39" t="s">
        <v>106</v>
      </c>
      <c r="Q62" s="39">
        <v>20.948</v>
      </c>
      <c r="R62" s="39" t="s">
        <v>106</v>
      </c>
      <c r="S62" s="39" t="s">
        <v>106</v>
      </c>
    </row>
    <row r="63" spans="1:19">
      <c r="A63" t="str">
        <f>IFERROR(INDEX('2017 Data (WP)'!$C$9:$C$72,MATCH($B63,'2017 Data (WP)'!$D$9:$D$72,0)),"")</f>
        <v>Water Utility</v>
      </c>
      <c r="B63" s="31" t="s">
        <v>196</v>
      </c>
      <c r="C63" s="31" t="s">
        <v>195</v>
      </c>
      <c r="D63" s="34"/>
      <c r="E63" s="68">
        <f>IF(IFERROR(INDEX('2016'!$C$5:$C$72,MATCH('P-E Ratio (WP)'!B63,'2016'!$A$5:$A$72,0)),0)=0,"N/A",INDEX('2016'!$C$5:$C$72,MATCH('P-E Ratio (WP)'!B63,'2016'!$A$5:$A$72,0)))</f>
        <v>15.676</v>
      </c>
      <c r="F63" s="28">
        <v>16.641999999999999</v>
      </c>
      <c r="G63" s="28">
        <v>11.188000000000001</v>
      </c>
      <c r="H63" s="28">
        <v>24.338000000000001</v>
      </c>
      <c r="I63" s="28">
        <v>20.366</v>
      </c>
      <c r="J63" s="28">
        <v>21.173999999999999</v>
      </c>
      <c r="K63" s="28">
        <v>29.123000000000001</v>
      </c>
      <c r="L63" s="28">
        <v>28.667000000000002</v>
      </c>
      <c r="M63" s="28">
        <v>26.238</v>
      </c>
      <c r="N63" s="28">
        <v>33.427</v>
      </c>
      <c r="O63" s="28">
        <v>23.507999999999999</v>
      </c>
    </row>
    <row r="64" spans="1:19">
      <c r="A64" t="str">
        <f>IFERROR(INDEX('2017 Data (WP)'!$C$9:$C$72,MATCH($B64,'2017 Data (WP)'!$D$9:$D$72,0)),"")</f>
        <v>Natural Gas Utility</v>
      </c>
      <c r="B64" s="31" t="s">
        <v>198</v>
      </c>
      <c r="C64" s="31" t="s">
        <v>197</v>
      </c>
      <c r="D64" s="34"/>
      <c r="E64" s="68">
        <f>IF(IFERROR(INDEX('2016'!$C$5:$C$72,MATCH('P-E Ratio (WP)'!B64,'2016'!$A$5:$A$72,0)),0)=0,"N/A",INDEX('2016'!$C$5:$C$72,MATCH('P-E Ratio (WP)'!B64,'2016'!$A$5:$A$72,0)))</f>
        <v>21.713999999999999</v>
      </c>
      <c r="F64" s="28">
        <v>17.949000000000002</v>
      </c>
      <c r="G64" s="28">
        <v>18.033999999999999</v>
      </c>
      <c r="H64" s="28">
        <v>18.902999999999999</v>
      </c>
      <c r="I64" s="28">
        <v>16.934999999999999</v>
      </c>
      <c r="J64" s="28">
        <v>18.481999999999999</v>
      </c>
      <c r="K64" s="28">
        <v>16.806999999999999</v>
      </c>
      <c r="L64" s="28">
        <v>14.955</v>
      </c>
      <c r="M64" s="28">
        <v>15.897</v>
      </c>
      <c r="N64" s="28">
        <v>17.181000000000001</v>
      </c>
      <c r="O64" s="28">
        <v>11.858000000000001</v>
      </c>
    </row>
    <row r="65" spans="1:19">
      <c r="A65" t="str">
        <f>IFERROR(INDEX('2017 Data (WP)'!$C$9:$C$72,MATCH($B65,'2017 Data (WP)'!$D$9:$D$72,0)),"")</f>
        <v>Electric Utility (East)</v>
      </c>
      <c r="B65" t="s">
        <v>38</v>
      </c>
      <c r="C65" t="s">
        <v>77</v>
      </c>
      <c r="D65" s="34"/>
      <c r="E65" s="68">
        <f>IF(IFERROR(INDEX('2016'!$C$5:$C$72,MATCH('P-E Ratio (WP)'!B65,'2016'!$A$5:$A$72,0)),0)=0,"N/A",INDEX('2016'!$C$5:$C$72,MATCH('P-E Ratio (WP)'!B65,'2016'!$A$5:$A$72,0)))</f>
        <v>17.757999999999999</v>
      </c>
      <c r="F65" s="28">
        <v>15.849</v>
      </c>
      <c r="G65" s="28">
        <v>16.044</v>
      </c>
      <c r="H65" s="28">
        <v>16.186</v>
      </c>
      <c r="I65" s="28">
        <v>16.968</v>
      </c>
      <c r="J65" s="28">
        <v>15.847</v>
      </c>
      <c r="K65" s="28">
        <v>14.897</v>
      </c>
      <c r="L65" s="28">
        <v>13.521000000000001</v>
      </c>
      <c r="M65" s="28">
        <v>16.126999999999999</v>
      </c>
      <c r="N65" s="28">
        <v>15.952</v>
      </c>
      <c r="O65" s="28">
        <v>16.189</v>
      </c>
      <c r="P65" s="39">
        <v>15.917</v>
      </c>
      <c r="Q65" s="39">
        <v>14.683999999999999</v>
      </c>
      <c r="R65" s="39">
        <v>14.831</v>
      </c>
      <c r="S65" s="39">
        <v>14.632</v>
      </c>
    </row>
    <row r="66" spans="1:19">
      <c r="A66" t="str">
        <f>IFERROR(INDEX('2017 Data (WP)'!$C$9:$C$72,MATCH($B66,'2017 Data (WP)'!$D$9:$D$72,0)),"")</f>
        <v>Natural Gas Utility</v>
      </c>
      <c r="B66" s="31" t="s">
        <v>200</v>
      </c>
      <c r="C66" s="31" t="s">
        <v>199</v>
      </c>
      <c r="D66" s="34"/>
      <c r="E66" s="68">
        <f>IF(IFERROR(INDEX('2016'!$C$5:$C$72,MATCH('P-E Ratio (WP)'!B66,'2016'!$A$5:$A$72,0)),0)=0,"N/A",INDEX('2016'!$C$5:$C$72,MATCH('P-E Ratio (WP)'!B66,'2016'!$A$5:$A$72,0)))</f>
        <v>21.643000000000001</v>
      </c>
      <c r="F66" s="28">
        <v>19.353999999999999</v>
      </c>
      <c r="G66" s="28">
        <v>17.86</v>
      </c>
      <c r="H66" s="28">
        <v>15.757</v>
      </c>
      <c r="I66" s="28">
        <v>15.002000000000001</v>
      </c>
      <c r="J66" s="28">
        <v>15.688000000000001</v>
      </c>
      <c r="K66" s="28">
        <v>13.968999999999999</v>
      </c>
      <c r="L66" s="28">
        <v>12.199</v>
      </c>
      <c r="M66" s="28">
        <v>20.268999999999998</v>
      </c>
      <c r="N66" s="28">
        <v>17.260999999999999</v>
      </c>
      <c r="O66" s="28">
        <v>15.936999999999999</v>
      </c>
    </row>
    <row r="67" spans="1:19">
      <c r="A67" t="str">
        <f>IFERROR(INDEX('2017 Data (WP)'!$C$9:$C$72,MATCH($B67,'2017 Data (WP)'!$D$9:$D$72,0)),"")</f>
        <v>Natural Gas Utility</v>
      </c>
      <c r="B67" s="31" t="s">
        <v>244</v>
      </c>
      <c r="C67" s="31" t="s">
        <v>243</v>
      </c>
      <c r="D67" s="34"/>
      <c r="E67" s="68">
        <f>IF(IFERROR(INDEX('2016'!$C$5:$C$72,MATCH('P-E Ratio (WP)'!B67,'2016'!$A$5:$A$72,0)),0)=0,"N/A",INDEX('2016'!$C$5:$C$72,MATCH('P-E Ratio (WP)'!B67,'2016'!$A$5:$A$72,0)))</f>
        <v>19.614000000000001</v>
      </c>
      <c r="F67" s="28">
        <v>16.486999999999998</v>
      </c>
      <c r="G67" s="28">
        <v>19.797999999999998</v>
      </c>
      <c r="H67" s="28">
        <v>21.253</v>
      </c>
      <c r="I67" s="28">
        <v>14.46</v>
      </c>
      <c r="J67" s="28">
        <v>13.047000000000001</v>
      </c>
      <c r="K67" s="28">
        <v>13.739000000000001</v>
      </c>
      <c r="L67" s="28">
        <v>13.388999999999999</v>
      </c>
      <c r="M67" s="28">
        <v>14.314</v>
      </c>
      <c r="N67" s="28">
        <v>14.185</v>
      </c>
      <c r="O67" s="28">
        <v>13.6</v>
      </c>
    </row>
    <row r="68" spans="1:19">
      <c r="A68" t="str">
        <f>IFERROR(INDEX('2017 Data (WP)'!$C$9:$C$72,MATCH($B68,'2017 Data (WP)'!$D$9:$D$72,0)),"")</f>
        <v/>
      </c>
      <c r="B68" t="s">
        <v>39</v>
      </c>
      <c r="C68" t="s">
        <v>78</v>
      </c>
      <c r="D68" s="34"/>
      <c r="E68" s="68" t="str">
        <f>IF(IFERROR(INDEX('2016'!$C$5:$C$72,MATCH('P-E Ratio (WP)'!B68,'2016'!$A$5:$A$72,0)),0)=0,"N/A",INDEX('2016'!$C$5:$C$72,MATCH('P-E Ratio (WP)'!B68,'2016'!$A$5:$A$72,0)))</f>
        <v>N/A</v>
      </c>
      <c r="F68" s="28" t="e">
        <v>#N/A</v>
      </c>
      <c r="G68" s="28" t="e">
        <v>#N/A</v>
      </c>
      <c r="H68" s="28" t="e">
        <v>#N/A</v>
      </c>
      <c r="I68" s="28" t="e">
        <v>#N/A</v>
      </c>
      <c r="J68" s="28" t="e">
        <v>#N/A</v>
      </c>
      <c r="K68" s="28" t="e">
        <v>#N/A</v>
      </c>
      <c r="L68" s="28" t="e">
        <v>#N/A</v>
      </c>
      <c r="M68" s="28" t="e">
        <v>#N/A</v>
      </c>
      <c r="N68" s="28" t="e">
        <v>#N/A</v>
      </c>
      <c r="O68" s="28" t="e">
        <v>#N/A</v>
      </c>
      <c r="P68" s="39">
        <v>17.085000000000001</v>
      </c>
      <c r="Q68" s="39">
        <v>19.3</v>
      </c>
      <c r="R68" s="39" t="s">
        <v>105</v>
      </c>
      <c r="S68" s="39">
        <v>10.968</v>
      </c>
    </row>
    <row r="69" spans="1:19">
      <c r="A69" t="str">
        <f>IFERROR(INDEX('2017 Data (WP)'!$C$9:$C$72,MATCH($B69,'2017 Data (WP)'!$D$9:$D$72,0)),"")</f>
        <v>Natural Gas Utility</v>
      </c>
      <c r="B69" s="31" t="s">
        <v>204</v>
      </c>
      <c r="C69" s="31" t="s">
        <v>203</v>
      </c>
      <c r="D69" s="34"/>
      <c r="E69" s="68">
        <f>IF(IFERROR(INDEX('2016'!$C$5:$C$72,MATCH('P-E Ratio (WP)'!B69,'2016'!$A$5:$A$72,0)),0)=0,"N/A",INDEX('2016'!$C$5:$C$72,MATCH('P-E Ratio (WP)'!B69,'2016'!$A$5:$A$72,0)))</f>
        <v>19.327999999999999</v>
      </c>
      <c r="F69" s="28">
        <v>17.713999999999999</v>
      </c>
      <c r="G69" s="28">
        <v>15.805</v>
      </c>
      <c r="H69" s="28">
        <v>15.435</v>
      </c>
      <c r="I69" s="28">
        <v>16.378</v>
      </c>
      <c r="J69" s="28">
        <v>15.028</v>
      </c>
      <c r="K69" s="28">
        <v>10.863</v>
      </c>
      <c r="L69" s="28">
        <v>10.295</v>
      </c>
      <c r="M69" s="28">
        <v>13.301</v>
      </c>
      <c r="N69" s="28">
        <v>15.144</v>
      </c>
      <c r="O69" s="28">
        <v>13.965</v>
      </c>
    </row>
    <row r="70" spans="1:19">
      <c r="A70" t="str">
        <f>IFERROR(INDEX('2017 Data (WP)'!$C$9:$C$72,MATCH($B70,'2017 Data (WP)'!$D$9:$D$72,0)),"")</f>
        <v/>
      </c>
      <c r="B70" t="s">
        <v>40</v>
      </c>
      <c r="C70" t="s">
        <v>81</v>
      </c>
      <c r="D70" s="34"/>
      <c r="E70" s="68" t="str">
        <f>IF(IFERROR(INDEX('2016'!$C$5:$C$72,MATCH('P-E Ratio (WP)'!B70,'2016'!$A$5:$A$72,0)),0)=0,"N/A",INDEX('2016'!$C$5:$C$72,MATCH('P-E Ratio (WP)'!B70,'2016'!$A$5:$A$72,0)))</f>
        <v>N/A</v>
      </c>
      <c r="F70" s="68" t="str">
        <f>IF(IFERROR(INDEX('2016'!$C$5:$C$72,MATCH('P-E Ratio (WP)'!C70,'2016'!$A$5:$A$72,0)),0)=0,"N/A",INDEX('2016'!$C$5:$C$72,MATCH('P-E Ratio (WP)'!C70,'2016'!$A$5:$A$72,0)))</f>
        <v>N/A</v>
      </c>
      <c r="G70" s="68" t="str">
        <f>IF(IFERROR(INDEX('2016'!$C$5:$C$72,MATCH('P-E Ratio (WP)'!D70,'2016'!$A$5:$A$72,0)),0)=0,"N/A",INDEX('2016'!$C$5:$C$72,MATCH('P-E Ratio (WP)'!D70,'2016'!$A$5:$A$72,0)))</f>
        <v>N/A</v>
      </c>
      <c r="H70" s="68" t="str">
        <f>IF(IFERROR(INDEX('2016'!$C$5:$C$72,MATCH('P-E Ratio (WP)'!E70,'2016'!$A$5:$A$72,0)),0)=0,"N/A",INDEX('2016'!$C$5:$C$72,MATCH('P-E Ratio (WP)'!E70,'2016'!$A$5:$A$72,0)))</f>
        <v>N/A</v>
      </c>
      <c r="I70" s="68" t="str">
        <f>IF(IFERROR(INDEX('2016'!$C$5:$C$72,MATCH('P-E Ratio (WP)'!F70,'2016'!$A$5:$A$72,0)),0)=0,"N/A",INDEX('2016'!$C$5:$C$72,MATCH('P-E Ratio (WP)'!F70,'2016'!$A$5:$A$72,0)))</f>
        <v>N/A</v>
      </c>
      <c r="J70" s="68" t="str">
        <f>IF(IFERROR(INDEX('2016'!$C$5:$C$72,MATCH('P-E Ratio (WP)'!G70,'2016'!$A$5:$A$72,0)),0)=0,"N/A",INDEX('2016'!$C$5:$C$72,MATCH('P-E Ratio (WP)'!G70,'2016'!$A$5:$A$72,0)))</f>
        <v>N/A</v>
      </c>
      <c r="K70" s="68" t="str">
        <f>IF(IFERROR(INDEX('2016'!$C$5:$C$72,MATCH('P-E Ratio (WP)'!H70,'2016'!$A$5:$A$72,0)),0)=0,"N/A",INDEX('2016'!$C$5:$C$72,MATCH('P-E Ratio (WP)'!H70,'2016'!$A$5:$A$72,0)))</f>
        <v>N/A</v>
      </c>
      <c r="L70" s="68" t="str">
        <f>IF(IFERROR(INDEX('2016'!$C$5:$C$72,MATCH('P-E Ratio (WP)'!I70,'2016'!$A$5:$A$72,0)),0)=0,"N/A",INDEX('2016'!$C$5:$C$72,MATCH('P-E Ratio (WP)'!I70,'2016'!$A$5:$A$72,0)))</f>
        <v>N/A</v>
      </c>
      <c r="M70" s="68" t="str">
        <f>IF(IFERROR(INDEX('2016'!$C$5:$C$72,MATCH('P-E Ratio (WP)'!J70,'2016'!$A$5:$A$72,0)),0)=0,"N/A",INDEX('2016'!$C$5:$C$72,MATCH('P-E Ratio (WP)'!J70,'2016'!$A$5:$A$72,0)))</f>
        <v>N/A</v>
      </c>
      <c r="N70" s="68" t="str">
        <f>IF(IFERROR(INDEX('2016'!$C$5:$C$72,MATCH('P-E Ratio (WP)'!K70,'2016'!$A$5:$A$72,0)),0)=0,"N/A",INDEX('2016'!$C$5:$C$72,MATCH('P-E Ratio (WP)'!K70,'2016'!$A$5:$A$72,0)))</f>
        <v>N/A</v>
      </c>
      <c r="O70" s="68" t="str">
        <f>IF(IFERROR(INDEX('2016'!$C$5:$C$72,MATCH('P-E Ratio (WP)'!L70,'2016'!$A$5:$A$72,0)),0)=0,"N/A",INDEX('2016'!$C$5:$C$72,MATCH('P-E Ratio (WP)'!L70,'2016'!$A$5:$A$72,0)))</f>
        <v>N/A</v>
      </c>
      <c r="P70" s="39" t="s">
        <v>106</v>
      </c>
      <c r="Q70" s="39">
        <v>18.701000000000001</v>
      </c>
      <c r="R70" s="39">
        <v>18.036999999999999</v>
      </c>
      <c r="S70" s="39">
        <v>14.98</v>
      </c>
    </row>
    <row r="71" spans="1:19">
      <c r="A71" t="str">
        <f>IFERROR(INDEX('2017 Data (WP)'!$C$9:$C$72,MATCH($B71,'2017 Data (WP)'!$D$9:$D$72,0)),"")</f>
        <v/>
      </c>
      <c r="B71" t="s">
        <v>41</v>
      </c>
      <c r="C71" t="s">
        <v>79</v>
      </c>
      <c r="D71" s="34"/>
      <c r="E71" s="68" t="str">
        <f>IF(IFERROR(INDEX('2016'!$C$5:$C$72,MATCH('P-E Ratio (WP)'!B71,'2016'!$A$5:$A$72,0)),0)=0,"N/A",INDEX('2016'!$C$5:$C$72,MATCH('P-E Ratio (WP)'!B71,'2016'!$A$5:$A$72,0)))</f>
        <v>N/A</v>
      </c>
      <c r="F71" s="68" t="str">
        <f>IF(IFERROR(INDEX('2016'!$C$5:$C$72,MATCH('P-E Ratio (WP)'!C71,'2016'!$A$5:$A$72,0)),0)=0,"N/A",INDEX('2016'!$C$5:$C$72,MATCH('P-E Ratio (WP)'!C71,'2016'!$A$5:$A$72,0)))</f>
        <v>N/A</v>
      </c>
      <c r="G71" s="68" t="str">
        <f>IF(IFERROR(INDEX('2016'!$C$5:$C$72,MATCH('P-E Ratio (WP)'!D71,'2016'!$A$5:$A$72,0)),0)=0,"N/A",INDEX('2016'!$C$5:$C$72,MATCH('P-E Ratio (WP)'!D71,'2016'!$A$5:$A$72,0)))</f>
        <v>N/A</v>
      </c>
      <c r="H71" s="68" t="str">
        <f>IF(IFERROR(INDEX('2016'!$C$5:$C$72,MATCH('P-E Ratio (WP)'!E71,'2016'!$A$5:$A$72,0)),0)=0,"N/A",INDEX('2016'!$C$5:$C$72,MATCH('P-E Ratio (WP)'!E71,'2016'!$A$5:$A$72,0)))</f>
        <v>N/A</v>
      </c>
      <c r="I71" s="68" t="str">
        <f>IF(IFERROR(INDEX('2016'!$C$5:$C$72,MATCH('P-E Ratio (WP)'!F71,'2016'!$A$5:$A$72,0)),0)=0,"N/A",INDEX('2016'!$C$5:$C$72,MATCH('P-E Ratio (WP)'!F71,'2016'!$A$5:$A$72,0)))</f>
        <v>N/A</v>
      </c>
      <c r="J71" s="68" t="str">
        <f>IF(IFERROR(INDEX('2016'!$C$5:$C$72,MATCH('P-E Ratio (WP)'!G71,'2016'!$A$5:$A$72,0)),0)=0,"N/A",INDEX('2016'!$C$5:$C$72,MATCH('P-E Ratio (WP)'!G71,'2016'!$A$5:$A$72,0)))</f>
        <v>N/A</v>
      </c>
      <c r="K71" s="68" t="str">
        <f>IF(IFERROR(INDEX('2016'!$C$5:$C$72,MATCH('P-E Ratio (WP)'!H71,'2016'!$A$5:$A$72,0)),0)=0,"N/A",INDEX('2016'!$C$5:$C$72,MATCH('P-E Ratio (WP)'!H71,'2016'!$A$5:$A$72,0)))</f>
        <v>N/A</v>
      </c>
      <c r="L71" s="68" t="str">
        <f>IF(IFERROR(INDEX('2016'!$C$5:$C$72,MATCH('P-E Ratio (WP)'!I71,'2016'!$A$5:$A$72,0)),0)=0,"N/A",INDEX('2016'!$C$5:$C$72,MATCH('P-E Ratio (WP)'!I71,'2016'!$A$5:$A$72,0)))</f>
        <v>N/A</v>
      </c>
      <c r="M71" s="68" t="str">
        <f>IF(IFERROR(INDEX('2016'!$C$5:$C$72,MATCH('P-E Ratio (WP)'!J71,'2016'!$A$5:$A$72,0)),0)=0,"N/A",INDEX('2016'!$C$5:$C$72,MATCH('P-E Ratio (WP)'!J71,'2016'!$A$5:$A$72,0)))</f>
        <v>N/A</v>
      </c>
      <c r="N71" s="68" t="str">
        <f>IF(IFERROR(INDEX('2016'!$C$5:$C$72,MATCH('P-E Ratio (WP)'!K71,'2016'!$A$5:$A$72,0)),0)=0,"N/A",INDEX('2016'!$C$5:$C$72,MATCH('P-E Ratio (WP)'!K71,'2016'!$A$5:$A$72,0)))</f>
        <v>N/A</v>
      </c>
      <c r="O71" s="68" t="str">
        <f>IF(IFERROR(INDEX('2016'!$C$5:$C$72,MATCH('P-E Ratio (WP)'!L71,'2016'!$A$5:$A$72,0)),0)=0,"N/A",INDEX('2016'!$C$5:$C$72,MATCH('P-E Ratio (WP)'!L71,'2016'!$A$5:$A$72,0)))</f>
        <v>N/A</v>
      </c>
      <c r="P71" s="39" t="s">
        <v>106</v>
      </c>
      <c r="Q71" s="39">
        <v>18.716999999999999</v>
      </c>
      <c r="R71" s="39">
        <v>14.595000000000001</v>
      </c>
      <c r="S71" s="39">
        <v>18.231999999999999</v>
      </c>
    </row>
    <row r="72" spans="1:19">
      <c r="A72" t="str">
        <f>IFERROR(INDEX('2017 Data (WP)'!$C$9:$C$72,MATCH($B72,'2017 Data (WP)'!$D$9:$D$72,0)),"")</f>
        <v/>
      </c>
      <c r="B72" t="s">
        <v>83</v>
      </c>
      <c r="C72" t="s">
        <v>82</v>
      </c>
      <c r="D72" s="34"/>
      <c r="E72" s="68">
        <f>IF(IFERROR(INDEX('2016'!$C$5:$C$72,MATCH('P-E Ratio (WP)'!B72,'2016'!$A$5:$A$72,0)),0)=0,"N/A",INDEX('2016'!$C$5:$C$72,MATCH('P-E Ratio (WP)'!B72,'2016'!$A$5:$A$72,0)))</f>
        <v>20.963999999999999</v>
      </c>
      <c r="F72" s="28">
        <v>18.53</v>
      </c>
      <c r="G72" s="28">
        <v>18.391999999999999</v>
      </c>
      <c r="H72" s="28">
        <v>18.495000000000001</v>
      </c>
      <c r="I72" s="28">
        <v>18.684999999999999</v>
      </c>
      <c r="J72" s="28">
        <v>16.785</v>
      </c>
      <c r="K72" s="28">
        <v>25.105</v>
      </c>
      <c r="L72" s="28">
        <v>20.309999999999999</v>
      </c>
      <c r="M72" s="28">
        <v>15.818</v>
      </c>
      <c r="N72" s="28">
        <v>18.376000000000001</v>
      </c>
      <c r="O72" s="28">
        <v>17.617999999999999</v>
      </c>
      <c r="P72" s="39">
        <v>17.774999999999999</v>
      </c>
      <c r="Q72" s="39">
        <v>18.581</v>
      </c>
      <c r="R72" s="39">
        <v>15.772</v>
      </c>
      <c r="S72" s="39">
        <v>21.882000000000001</v>
      </c>
    </row>
    <row r="73" spans="1:19">
      <c r="A73" t="str">
        <f>IFERROR(INDEX('2017 Data (WP)'!$C$9:$C$72,MATCH($B73,'2017 Data (WP)'!$D$9:$D$72,0)),"")</f>
        <v>Electric Util. (Central)</v>
      </c>
      <c r="B73" t="s">
        <v>42</v>
      </c>
      <c r="C73" t="s">
        <v>89</v>
      </c>
      <c r="D73" s="34"/>
      <c r="E73" s="68">
        <f>IF(IFERROR(INDEX('2016'!$C$5:$C$72,MATCH('P-E Ratio (WP)'!B73,'2016'!$A$5:$A$72,0)),0)=0,"N/A",INDEX('2016'!$C$5:$C$72,MATCH('P-E Ratio (WP)'!B73,'2016'!$A$5:$A$72,0)))</f>
        <v>19.178000000000001</v>
      </c>
      <c r="F73" s="28">
        <v>17.922000000000001</v>
      </c>
      <c r="G73" s="28">
        <v>19.983000000000001</v>
      </c>
      <c r="H73" s="28">
        <v>20.664000000000001</v>
      </c>
      <c r="I73" s="28">
        <v>15.018000000000001</v>
      </c>
      <c r="J73" s="28">
        <v>15.826000000000001</v>
      </c>
      <c r="K73" s="28">
        <v>15.102</v>
      </c>
      <c r="L73" s="28">
        <v>12.891</v>
      </c>
      <c r="M73" s="28">
        <v>16.788</v>
      </c>
      <c r="N73" s="28">
        <v>15.334</v>
      </c>
      <c r="O73" s="28">
        <v>18.917000000000002</v>
      </c>
      <c r="P73" s="39">
        <v>15.106</v>
      </c>
      <c r="Q73" s="39">
        <v>17.57</v>
      </c>
      <c r="R73" s="39">
        <v>14.795999999999999</v>
      </c>
      <c r="S73" s="39">
        <v>14.157</v>
      </c>
    </row>
    <row r="74" spans="1:19">
      <c r="A74" t="str">
        <f>IFERROR(INDEX('2017 Data (WP)'!$C$9:$C$72,MATCH($B74,'2017 Data (WP)'!$D$9:$D$72,0)),"")</f>
        <v>Electric Util. (Central)</v>
      </c>
      <c r="B74" t="s">
        <v>44</v>
      </c>
      <c r="C74" t="s">
        <v>217</v>
      </c>
      <c r="D74" s="34"/>
      <c r="E74" s="68">
        <f>IF(IFERROR(INDEX('2016'!$C$5:$C$72,MATCH('P-E Ratio (WP)'!B74,'2016'!$A$5:$A$72,0)),0)=0,"N/A",INDEX('2016'!$C$5:$C$72,MATCH('P-E Ratio (WP)'!B74,'2016'!$A$5:$A$72,0)))</f>
        <v>19.946999999999999</v>
      </c>
      <c r="F74" s="28">
        <v>21.334</v>
      </c>
      <c r="G74" s="28">
        <v>17.71</v>
      </c>
      <c r="H74" s="28">
        <v>16.504000000000001</v>
      </c>
      <c r="I74" s="28">
        <v>15.757</v>
      </c>
      <c r="J74" s="28">
        <v>14.249000000000001</v>
      </c>
      <c r="K74" s="28">
        <v>14.01</v>
      </c>
      <c r="L74" s="28">
        <v>13.346</v>
      </c>
      <c r="M74" s="28">
        <v>14.772</v>
      </c>
      <c r="N74" s="28">
        <v>16.472000000000001</v>
      </c>
      <c r="O74" s="28">
        <v>15.967000000000001</v>
      </c>
      <c r="P74" s="39">
        <v>14.462999999999999</v>
      </c>
      <c r="Q74" s="39">
        <v>17.513999999999999</v>
      </c>
      <c r="R74" s="39">
        <v>12.427</v>
      </c>
      <c r="S74" s="39">
        <v>10.459</v>
      </c>
    </row>
    <row r="75" spans="1:19">
      <c r="A75" t="str">
        <f>IFERROR(INDEX('2017 Data (WP)'!$C$9:$C$72,MATCH($B75,'2017 Data (WP)'!$D$9:$D$72,0)),"")</f>
        <v>Electric Util. (Central)</v>
      </c>
      <c r="B75" t="s">
        <v>43</v>
      </c>
      <c r="C75" t="s">
        <v>87</v>
      </c>
      <c r="D75" s="34"/>
      <c r="E75" s="68">
        <f>IF(IFERROR(INDEX('2016'!$C$5:$C$72,MATCH('P-E Ratio (WP)'!B75,'2016'!$A$5:$A$72,0)),0)=0,"N/A",INDEX('2016'!$C$5:$C$72,MATCH('P-E Ratio (WP)'!B75,'2016'!$A$5:$A$72,0)))</f>
        <v>21.585999999999999</v>
      </c>
      <c r="F75" s="28">
        <v>18.454000000000001</v>
      </c>
      <c r="G75" s="28">
        <v>15.358000000000001</v>
      </c>
      <c r="H75" s="28">
        <v>14.037000000000001</v>
      </c>
      <c r="I75" s="28">
        <v>13.43</v>
      </c>
      <c r="J75" s="28">
        <v>14.778</v>
      </c>
      <c r="K75" s="28">
        <v>12.957000000000001</v>
      </c>
      <c r="L75" s="28">
        <v>14.946999999999999</v>
      </c>
      <c r="M75" s="28">
        <v>16.963000000000001</v>
      </c>
      <c r="N75" s="28">
        <v>14.103</v>
      </c>
      <c r="O75" s="28">
        <v>12.177</v>
      </c>
      <c r="P75" s="39">
        <v>14.785</v>
      </c>
      <c r="Q75" s="39">
        <v>17.436</v>
      </c>
      <c r="R75" s="39">
        <v>10.781000000000001</v>
      </c>
      <c r="S75" s="39">
        <v>14.023</v>
      </c>
    </row>
    <row r="76" spans="1:19">
      <c r="A76" t="str">
        <f>IFERROR(INDEX('2017 Data (WP)'!$C$9:$C$72,MATCH($B76,'2017 Data (WP)'!$D$9:$D$72,0)),"")</f>
        <v>Natural Gas Utility</v>
      </c>
      <c r="B76" s="31" t="s">
        <v>206</v>
      </c>
      <c r="C76" s="31" t="s">
        <v>205</v>
      </c>
      <c r="D76" s="34"/>
      <c r="E76" s="68">
        <f>IF(IFERROR(INDEX('2016'!$C$5:$C$72,MATCH('P-E Ratio (WP)'!B76,'2016'!$A$5:$A$72,0)),0)=0,"N/A",INDEX('2016'!$C$5:$C$72,MATCH('P-E Ratio (WP)'!B76,'2016'!$A$5:$A$72,0)))</f>
        <v>20.047999999999998</v>
      </c>
      <c r="F76" s="28">
        <v>16.992999999999999</v>
      </c>
      <c r="G76" s="28">
        <v>15.151</v>
      </c>
      <c r="H76" s="28">
        <v>18.245000000000001</v>
      </c>
      <c r="I76" s="28">
        <v>15.268000000000001</v>
      </c>
      <c r="J76" s="28">
        <v>16.972000000000001</v>
      </c>
      <c r="K76" s="28">
        <v>15.111000000000001</v>
      </c>
      <c r="L76" s="28">
        <v>12.584</v>
      </c>
      <c r="M76" s="28">
        <v>13.661</v>
      </c>
      <c r="N76" s="28">
        <v>15.603999999999999</v>
      </c>
      <c r="O76" s="28">
        <v>15.46</v>
      </c>
    </row>
    <row r="77" spans="1:19">
      <c r="A77" t="str">
        <f>IFERROR(INDEX('2017 Data (WP)'!$C$9:$C$72,MATCH($B77,'2017 Data (WP)'!$D$9:$D$72,0)),"")</f>
        <v>Electric Utility (West)</v>
      </c>
      <c r="B77" t="s">
        <v>45</v>
      </c>
      <c r="C77" t="s">
        <v>65</v>
      </c>
      <c r="D77" s="34"/>
      <c r="E77" s="68">
        <f>IF(IFERROR(INDEX('2016'!$C$5:$C$72,MATCH('P-E Ratio (WP)'!B77,'2016'!$A$5:$A$72,0)),0)=0,"N/A",INDEX('2016'!$C$5:$C$72,MATCH('P-E Ratio (WP)'!B77,'2016'!$A$5:$A$72,0)))</f>
        <v>18.475000000000001</v>
      </c>
      <c r="F77" s="28">
        <v>16.538</v>
      </c>
      <c r="G77" s="28">
        <v>15.44</v>
      </c>
      <c r="H77" s="28">
        <v>15.039</v>
      </c>
      <c r="I77" s="28">
        <v>14.821999999999999</v>
      </c>
      <c r="J77" s="28">
        <v>14.242000000000001</v>
      </c>
      <c r="K77" s="28">
        <v>14.129</v>
      </c>
      <c r="L77" s="28">
        <v>12.664</v>
      </c>
      <c r="M77" s="28">
        <v>13.686</v>
      </c>
      <c r="N77" s="28">
        <v>16.652999999999999</v>
      </c>
      <c r="O77" s="28">
        <v>14.801</v>
      </c>
      <c r="P77" s="39">
        <v>15.362</v>
      </c>
      <c r="Q77" s="39">
        <v>13.648</v>
      </c>
      <c r="R77" s="39">
        <v>11.616</v>
      </c>
      <c r="S77" s="39">
        <v>40.799999999999997</v>
      </c>
    </row>
    <row r="78" spans="1:19">
      <c r="A78" t="str">
        <f>IFERROR(INDEX('2017 Data (WP)'!$C$9:$C$72,MATCH($B78,'2017 Data (WP)'!$D$9:$D$72,0)),"")</f>
        <v>Water Utility</v>
      </c>
      <c r="B78" s="31" t="s">
        <v>208</v>
      </c>
      <c r="C78" s="31" t="s">
        <v>207</v>
      </c>
      <c r="D78" s="34"/>
      <c r="E78" s="68" t="str">
        <f>IF(IFERROR(INDEX('2016'!$C$5:$C$72,MATCH('P-E Ratio (WP)'!B78,'2016'!$A$5:$A$72,0)),0)=0,"N/A",INDEX('2016'!$C$5:$C$72,MATCH('P-E Ratio (WP)'!B78,'2016'!$A$5:$A$72,0)))</f>
        <v>N/A</v>
      </c>
      <c r="F78" s="28">
        <v>23.523</v>
      </c>
      <c r="G78" s="28">
        <v>23.065999999999999</v>
      </c>
      <c r="H78" s="28">
        <v>26.263000000000002</v>
      </c>
      <c r="I78" s="28">
        <v>24.443999999999999</v>
      </c>
      <c r="J78" s="28">
        <v>23.905999999999999</v>
      </c>
      <c r="K78" s="28">
        <v>20.72</v>
      </c>
      <c r="L78" s="28">
        <v>21.867000000000001</v>
      </c>
      <c r="M78" s="28">
        <v>24.574999999999999</v>
      </c>
      <c r="N78" s="28">
        <v>30.263000000000002</v>
      </c>
      <c r="O78" s="28">
        <v>31.248000000000001</v>
      </c>
    </row>
    <row r="79" spans="1:19">
      <c r="B79" s="31"/>
      <c r="C79" s="31"/>
      <c r="D79" s="34"/>
      <c r="E79" s="68"/>
      <c r="F79" s="28"/>
      <c r="G79" s="28"/>
      <c r="H79" s="28"/>
      <c r="I79" s="28"/>
      <c r="J79" s="28"/>
      <c r="K79" s="28"/>
      <c r="L79" s="28"/>
      <c r="M79" s="28"/>
      <c r="N79" s="28"/>
      <c r="O79" s="28"/>
    </row>
  </sheetData>
  <sortState ref="B4:S77">
    <sortCondition ref="C4:C77"/>
  </sortState>
  <pageMargins left="0.7" right="0.7" top="0.75" bottom="0.75" header="0.3" footer="0.3"/>
  <pageSetup fitToHeight="0" orientation="landscape" r:id="rId1"/>
  <headerFoot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"/>
  <dimension ref="A1:U79"/>
  <sheetViews>
    <sheetView zoomScale="70" zoomScaleNormal="70" workbookViewId="0"/>
  </sheetViews>
  <sheetFormatPr defaultRowHeight="14.25"/>
  <cols>
    <col min="1" max="1" width="15.125" customWidth="1"/>
    <col min="2" max="2" width="7.5" bestFit="1" customWidth="1"/>
    <col min="3" max="3" width="21.75" customWidth="1"/>
    <col min="4" max="4" width="3.25" bestFit="1" customWidth="1"/>
    <col min="5" max="5" width="2.875" bestFit="1" customWidth="1"/>
    <col min="6" max="6" width="2.875" customWidth="1"/>
    <col min="7" max="7" width="5" bestFit="1" customWidth="1"/>
    <col min="8" max="21" width="5.375" bestFit="1" customWidth="1"/>
  </cols>
  <sheetData>
    <row r="1" spans="1:21">
      <c r="A1" t="s">
        <v>219</v>
      </c>
    </row>
    <row r="2" spans="1:21">
      <c r="E2" s="35"/>
      <c r="F2" s="35"/>
      <c r="G2" s="35">
        <v>2</v>
      </c>
      <c r="H2" s="35">
        <f ca="1">MATCH(H3,OFFSET(CashFlow,-2,0,1,),0)</f>
        <v>3</v>
      </c>
      <c r="I2" s="35">
        <f ca="1">MATCH(I3,OFFSET(CashFlow,-2,0,1,),0)</f>
        <v>4</v>
      </c>
      <c r="J2" s="35">
        <f t="shared" ref="J2:Q2" ca="1" si="0">MATCH(J3,OFFSET(CashFlow,-2,0,1,),0)</f>
        <v>5</v>
      </c>
      <c r="K2" s="35">
        <f t="shared" ca="1" si="0"/>
        <v>6</v>
      </c>
      <c r="L2" s="35">
        <f t="shared" ca="1" si="0"/>
        <v>7</v>
      </c>
      <c r="M2" s="35">
        <f t="shared" ca="1" si="0"/>
        <v>8</v>
      </c>
      <c r="N2" s="35">
        <f t="shared" ca="1" si="0"/>
        <v>9</v>
      </c>
      <c r="O2" s="35">
        <f t="shared" ca="1" si="0"/>
        <v>10</v>
      </c>
      <c r="P2" s="35">
        <f t="shared" ca="1" si="0"/>
        <v>11</v>
      </c>
      <c r="Q2" s="35">
        <f t="shared" ca="1" si="0"/>
        <v>12</v>
      </c>
      <c r="R2" s="35"/>
      <c r="S2" s="35"/>
      <c r="T2" s="35"/>
      <c r="U2" s="35"/>
    </row>
    <row r="3" spans="1:21" ht="15.75" thickBot="1">
      <c r="D3" s="35" t="s">
        <v>213</v>
      </c>
      <c r="E3" s="35" t="s">
        <v>214</v>
      </c>
      <c r="F3" s="35"/>
      <c r="G3" s="47">
        <v>2016</v>
      </c>
      <c r="H3" s="49">
        <v>2015</v>
      </c>
      <c r="I3" s="30">
        <v>2014</v>
      </c>
      <c r="J3" s="27">
        <v>2013</v>
      </c>
      <c r="K3" s="3">
        <v>2012</v>
      </c>
      <c r="L3" s="3">
        <v>2011</v>
      </c>
      <c r="M3" s="3">
        <v>2010</v>
      </c>
      <c r="N3" s="3">
        <v>2009</v>
      </c>
      <c r="O3" s="3">
        <v>2008</v>
      </c>
      <c r="P3" s="3">
        <v>2007</v>
      </c>
      <c r="Q3" s="3">
        <v>2006</v>
      </c>
      <c r="R3" s="3">
        <v>2005</v>
      </c>
      <c r="S3" s="3">
        <v>2004</v>
      </c>
      <c r="T3" s="3">
        <v>2003</v>
      </c>
      <c r="U3" s="3">
        <v>2002</v>
      </c>
    </row>
    <row r="4" spans="1:21">
      <c r="D4" s="35"/>
      <c r="E4" s="35"/>
      <c r="F4" s="35"/>
      <c r="G4" s="35"/>
      <c r="H4" s="35"/>
    </row>
    <row r="5" spans="1:21">
      <c r="A5" t="str">
        <f>IFERROR(INDEX('2017 Data (WP)'!$C$9:$C$72,MATCH($B5,'2017 Data (WP)'!$D$9:$D$72,0)),"")</f>
        <v>Electric Util. (Central)</v>
      </c>
      <c r="B5" t="s">
        <v>0</v>
      </c>
      <c r="C5" t="s">
        <v>91</v>
      </c>
      <c r="D5" s="35">
        <f t="shared" ref="D5:D36" ca="1" si="1">MATCH(B5,OFFSET(MarketPrice,0,0,,1),0)</f>
        <v>3</v>
      </c>
      <c r="E5" s="35">
        <f t="shared" ref="E5:E36" ca="1" si="2">MATCH(B5,OFFSET(CashFlow,0,0,,1),0)</f>
        <v>3</v>
      </c>
      <c r="F5" s="35"/>
      <c r="G5" s="52">
        <f t="shared" ref="G5:G36" ca="1" si="3">IFERROR(INDEX(MarketPrice,$D5,2)/INDEX(CashFlow,$E5,2),"N/A")</f>
        <v>8.2644441305269112</v>
      </c>
      <c r="H5" s="17">
        <v>7.4948453608247423</v>
      </c>
      <c r="I5" s="17">
        <v>8.8042290748898679</v>
      </c>
      <c r="J5" s="17">
        <v>9.1492984097287184</v>
      </c>
      <c r="K5" s="17">
        <v>8.1817092651757175</v>
      </c>
      <c r="L5" s="17">
        <v>7.9102198697068395</v>
      </c>
      <c r="M5" s="17">
        <v>8.0392922794117645</v>
      </c>
      <c r="N5" s="17">
        <v>8.5107812937552509</v>
      </c>
      <c r="O5" s="17">
        <v>9.2917552563193961</v>
      </c>
      <c r="P5" s="17">
        <v>10.302330844082373</v>
      </c>
      <c r="Q5" s="17">
        <v>11.056694813027745</v>
      </c>
      <c r="R5" s="37">
        <v>11.543020535482194</v>
      </c>
      <c r="S5" s="37">
        <v>11.46027</v>
      </c>
      <c r="T5" s="38" t="s">
        <v>106</v>
      </c>
      <c r="U5" s="38" t="s">
        <v>106</v>
      </c>
    </row>
    <row r="6" spans="1:21">
      <c r="A6" t="str">
        <f>IFERROR(INDEX('2017 Data (WP)'!$C$9:$C$72,MATCH($B6,'2017 Data (WP)'!$D$9:$D$72,0)),"")</f>
        <v>Electric Util. (Central)</v>
      </c>
      <c r="B6" t="s">
        <v>1</v>
      </c>
      <c r="C6" t="s">
        <v>84</v>
      </c>
      <c r="D6" s="35">
        <f t="shared" ca="1" si="1"/>
        <v>4</v>
      </c>
      <c r="E6" s="35">
        <f t="shared" ca="1" si="2"/>
        <v>4</v>
      </c>
      <c r="F6" s="35"/>
      <c r="G6" s="52">
        <f t="shared" ca="1" si="3"/>
        <v>10.666956521739131</v>
      </c>
      <c r="H6" s="17">
        <v>8.8627394080092863</v>
      </c>
      <c r="I6" s="17">
        <v>8.3958151700087189</v>
      </c>
      <c r="J6" s="17">
        <v>7.5191502094554163</v>
      </c>
      <c r="K6" s="17">
        <v>7.4996607869742204</v>
      </c>
      <c r="L6" s="17">
        <v>7.2149600580973132</v>
      </c>
      <c r="M6" s="17">
        <v>6.5860215053763431</v>
      </c>
      <c r="N6" s="17">
        <v>6.2287208749405609</v>
      </c>
      <c r="O6" s="17">
        <v>7.4890254609306401</v>
      </c>
      <c r="P6" s="17">
        <v>7.924579914028917</v>
      </c>
      <c r="Q6" s="17">
        <v>8.0023094688221708</v>
      </c>
      <c r="R6" s="37">
        <v>5.0915080527086376</v>
      </c>
      <c r="S6" s="37">
        <v>5.5218499999999997</v>
      </c>
      <c r="T6" s="37">
        <v>4.7578800000000001</v>
      </c>
      <c r="U6" s="37">
        <v>5.2005309999999998</v>
      </c>
    </row>
    <row r="7" spans="1:21">
      <c r="A7" t="str">
        <f>IFERROR(INDEX('2017 Data (WP)'!$C$9:$C$72,MATCH($B7,'2017 Data (WP)'!$D$9:$D$72,0)),"")</f>
        <v>Water Utility</v>
      </c>
      <c r="B7" s="31" t="s">
        <v>165</v>
      </c>
      <c r="C7" s="31" t="s">
        <v>164</v>
      </c>
      <c r="D7" s="35">
        <f t="shared" ca="1" si="1"/>
        <v>6</v>
      </c>
      <c r="E7" s="35">
        <f t="shared" ca="1" si="2"/>
        <v>6</v>
      </c>
      <c r="F7" s="35"/>
      <c r="G7" s="52">
        <f t="shared" ca="1" si="3"/>
        <v>15.338882722900481</v>
      </c>
      <c r="H7" s="17">
        <v>14.08508365966536</v>
      </c>
      <c r="I7" s="17">
        <v>11.824962518740628</v>
      </c>
      <c r="J7" s="17">
        <v>10.413715146948004</v>
      </c>
      <c r="K7" s="17">
        <v>8.1306451612903228</v>
      </c>
      <c r="L7" s="17">
        <v>8.0675422138836765</v>
      </c>
      <c r="M7" s="17">
        <v>8.25626477541371</v>
      </c>
      <c r="N7" s="17">
        <v>10.087544065804936</v>
      </c>
      <c r="O7" s="17">
        <v>10.381376037959669</v>
      </c>
      <c r="P7" s="17">
        <v>11.762250453720508</v>
      </c>
      <c r="Q7" s="17">
        <v>12.743607463718037</v>
      </c>
      <c r="R7" s="57"/>
      <c r="S7" s="58"/>
      <c r="T7" s="58"/>
      <c r="U7" s="58"/>
    </row>
    <row r="8" spans="1:21">
      <c r="A8" t="str">
        <f>IFERROR(INDEX('2017 Data (WP)'!$C$9:$C$72,MATCH($B8,'2017 Data (WP)'!$D$9:$D$72,0)),"")</f>
        <v>Water Utility</v>
      </c>
      <c r="B8" s="31" t="s">
        <v>167</v>
      </c>
      <c r="C8" s="31" t="s">
        <v>166</v>
      </c>
      <c r="D8" s="35">
        <f t="shared" ca="1" si="1"/>
        <v>7</v>
      </c>
      <c r="E8" s="35">
        <f t="shared" ca="1" si="2"/>
        <v>7</v>
      </c>
      <c r="F8" s="35"/>
      <c r="G8" s="52">
        <f t="shared" ca="1" si="3"/>
        <v>13.800418171450294</v>
      </c>
      <c r="H8" s="17">
        <v>10.549688230709275</v>
      </c>
      <c r="I8" s="17">
        <v>10.065432358510414</v>
      </c>
      <c r="J8" s="17">
        <v>9.4051387933012158</v>
      </c>
      <c r="K8" s="17">
        <v>8.2557377049180349</v>
      </c>
      <c r="L8" s="17">
        <v>7.735742971887551</v>
      </c>
      <c r="M8" s="17">
        <v>6.2856339612032617</v>
      </c>
      <c r="N8" s="17">
        <v>6.769657083477659</v>
      </c>
      <c r="O8" s="17">
        <v>7.2631762652705056</v>
      </c>
      <c r="P8" s="17">
        <v>0</v>
      </c>
      <c r="Q8" s="17">
        <v>0</v>
      </c>
      <c r="R8" s="57"/>
      <c r="S8" s="58"/>
      <c r="T8" s="58"/>
      <c r="U8" s="58"/>
    </row>
    <row r="9" spans="1:21">
      <c r="A9" t="str">
        <f>IFERROR(INDEX('2017 Data (WP)'!$C$9:$C$72,MATCH($B9,'2017 Data (WP)'!$D$9:$D$72,0)),"")</f>
        <v>Electric Util. (Central)</v>
      </c>
      <c r="B9" t="s">
        <v>3</v>
      </c>
      <c r="C9" t="s">
        <v>80</v>
      </c>
      <c r="D9" s="35">
        <f t="shared" ca="1" si="1"/>
        <v>8</v>
      </c>
      <c r="E9" s="35">
        <f t="shared" ca="1" si="2"/>
        <v>8</v>
      </c>
      <c r="F9" s="35"/>
      <c r="G9" s="52">
        <f t="shared" ca="1" si="3"/>
        <v>7.4442757364105674</v>
      </c>
      <c r="H9" s="17">
        <v>6.8692219114986024</v>
      </c>
      <c r="I9" s="17">
        <v>6.9488734835355288</v>
      </c>
      <c r="J9" s="17">
        <v>6.6104440632742527</v>
      </c>
      <c r="K9" s="17">
        <v>5.4788012940575515</v>
      </c>
      <c r="L9" s="17">
        <v>5.0182158665304737</v>
      </c>
      <c r="M9" s="17">
        <v>4.2268057531215426</v>
      </c>
      <c r="N9" s="17">
        <v>4.2504540201419845</v>
      </c>
      <c r="O9" s="17">
        <v>6.3536263394937107</v>
      </c>
      <c r="P9" s="17">
        <v>7.6877587226493196</v>
      </c>
      <c r="Q9" s="17">
        <v>8.5713098404255312</v>
      </c>
      <c r="R9" s="37">
        <v>8.5745657161586362</v>
      </c>
      <c r="S9" s="37">
        <v>8.241695</v>
      </c>
      <c r="T9" s="37">
        <v>6.7395110000000003</v>
      </c>
      <c r="U9" s="37">
        <v>7.9554590000000003</v>
      </c>
    </row>
    <row r="10" spans="1:21">
      <c r="A10" t="str">
        <f>IFERROR(INDEX('2017 Data (WP)'!$C$9:$C$72,MATCH($B10,'2017 Data (WP)'!$D$9:$D$72,0)),"")</f>
        <v>Electric Util. (Central)</v>
      </c>
      <c r="B10" t="s">
        <v>2</v>
      </c>
      <c r="C10" t="s">
        <v>103</v>
      </c>
      <c r="D10" s="35">
        <f t="shared" ca="1" si="1"/>
        <v>5</v>
      </c>
      <c r="E10" s="35">
        <f t="shared" ca="1" si="2"/>
        <v>5</v>
      </c>
      <c r="F10" s="35"/>
      <c r="G10" s="52">
        <f t="shared" ca="1" si="3"/>
        <v>7.5706695005313502</v>
      </c>
      <c r="H10" s="17">
        <v>7.0949993733550567</v>
      </c>
      <c r="I10" s="17">
        <v>7</v>
      </c>
      <c r="J10" s="17">
        <v>6.5675406098603597</v>
      </c>
      <c r="K10" s="17">
        <v>5.9286127167630065</v>
      </c>
      <c r="L10" s="17">
        <v>5.4648403164371517</v>
      </c>
      <c r="M10" s="17">
        <v>5.5438652256834073</v>
      </c>
      <c r="N10" s="17">
        <v>4.7136529030216741</v>
      </c>
      <c r="O10" s="17">
        <v>5.7125511995318901</v>
      </c>
      <c r="P10" s="17">
        <v>6.8440717858193594</v>
      </c>
      <c r="Q10" s="17">
        <v>5.5355428914217155</v>
      </c>
      <c r="R10" s="37">
        <v>6.0654252642174127</v>
      </c>
      <c r="S10" s="37">
        <v>5.5033099999999999</v>
      </c>
      <c r="T10" s="37">
        <v>4.6854269999999998</v>
      </c>
      <c r="U10" s="37">
        <v>5.1870079999999996</v>
      </c>
    </row>
    <row r="11" spans="1:21">
      <c r="A11" t="str">
        <f>IFERROR(INDEX('2017 Data (WP)'!$C$9:$C$72,MATCH($B11,'2017 Data (WP)'!$D$9:$D$72,0)),"")</f>
        <v>Water Utility</v>
      </c>
      <c r="B11" s="31" t="s">
        <v>171</v>
      </c>
      <c r="C11" s="31" t="s">
        <v>170</v>
      </c>
      <c r="D11" s="35">
        <f t="shared" ca="1" si="1"/>
        <v>10</v>
      </c>
      <c r="E11" s="35">
        <f t="shared" ca="1" si="2"/>
        <v>10</v>
      </c>
      <c r="F11" s="35"/>
      <c r="G11" s="52">
        <f t="shared" ca="1" si="3"/>
        <v>15.216908212560387</v>
      </c>
      <c r="H11" s="17">
        <v>14.316239316239315</v>
      </c>
      <c r="I11" s="17">
        <v>13.202437731849496</v>
      </c>
      <c r="J11" s="17">
        <v>13.484632272228319</v>
      </c>
      <c r="K11" s="17">
        <v>12.668211920529803</v>
      </c>
      <c r="L11" s="17">
        <v>12.214088397790055</v>
      </c>
      <c r="M11" s="17">
        <v>10.679802955665025</v>
      </c>
      <c r="N11" s="17">
        <v>11.07081712062257</v>
      </c>
      <c r="O11" s="17">
        <v>12.815140845070424</v>
      </c>
      <c r="P11" s="17">
        <v>16.537340619307834</v>
      </c>
      <c r="Q11" s="17">
        <v>19.241584158415844</v>
      </c>
      <c r="R11" s="57"/>
      <c r="S11" s="58"/>
      <c r="T11" s="58"/>
      <c r="U11" s="58"/>
    </row>
    <row r="12" spans="1:21">
      <c r="A12" t="str">
        <f>IFERROR(INDEX('2017 Data (WP)'!$C$9:$C$72,MATCH($B12,'2017 Data (WP)'!$D$9:$D$72,0)),"")</f>
        <v>Natural Gas Utility</v>
      </c>
      <c r="B12" s="31" t="s">
        <v>175</v>
      </c>
      <c r="C12" s="31" t="s">
        <v>174</v>
      </c>
      <c r="D12" s="35">
        <f t="shared" ca="1" si="1"/>
        <v>12</v>
      </c>
      <c r="E12" s="35">
        <f t="shared" ca="1" si="2"/>
        <v>12</v>
      </c>
      <c r="F12" s="35"/>
      <c r="G12" s="52">
        <f t="shared" ca="1" si="3"/>
        <v>11.359670382937471</v>
      </c>
      <c r="H12" s="17">
        <v>9.3031137106485478</v>
      </c>
      <c r="I12" s="17">
        <v>8.7932434927081413</v>
      </c>
      <c r="J12" s="17">
        <v>7.7219303366413694</v>
      </c>
      <c r="K12" s="17">
        <v>7.0247795044099117</v>
      </c>
      <c r="L12" s="17">
        <v>6.8703939008894528</v>
      </c>
      <c r="M12" s="17">
        <v>6.1520051746442439</v>
      </c>
      <c r="N12" s="17">
        <v>5.7602611940298498</v>
      </c>
      <c r="O12" s="17">
        <v>6.4796088719294067</v>
      </c>
      <c r="P12" s="17">
        <v>7.443772672309553</v>
      </c>
      <c r="Q12" s="17">
        <v>6.3552631578947363</v>
      </c>
      <c r="R12" s="57"/>
      <c r="S12" s="58"/>
      <c r="T12" s="58"/>
      <c r="U12" s="58"/>
    </row>
    <row r="13" spans="1:21">
      <c r="A13" t="str">
        <f>IFERROR(INDEX('2017 Data (WP)'!$C$9:$C$72,MATCH($B13,'2017 Data (WP)'!$D$9:$D$72,0)),"")</f>
        <v>Electric Utility (East)</v>
      </c>
      <c r="B13" t="s">
        <v>261</v>
      </c>
      <c r="C13" t="s">
        <v>262</v>
      </c>
      <c r="D13" s="35">
        <f t="shared" ca="1" si="1"/>
        <v>13</v>
      </c>
      <c r="E13" s="35">
        <f t="shared" ca="1" si="2"/>
        <v>13</v>
      </c>
      <c r="F13" s="35"/>
      <c r="G13" s="52">
        <f t="shared" ca="1" si="3"/>
        <v>8.563739974672858</v>
      </c>
      <c r="H13" s="17">
        <v>11.301765650080256</v>
      </c>
      <c r="I13" s="17" t="s">
        <v>106</v>
      </c>
      <c r="J13" s="17" t="s">
        <v>106</v>
      </c>
      <c r="K13" s="17" t="s">
        <v>106</v>
      </c>
      <c r="L13" s="17" t="s">
        <v>106</v>
      </c>
      <c r="M13" s="17" t="s">
        <v>106</v>
      </c>
      <c r="N13" s="17" t="s">
        <v>106</v>
      </c>
      <c r="O13" s="17" t="s">
        <v>106</v>
      </c>
      <c r="P13" s="17" t="s">
        <v>106</v>
      </c>
      <c r="Q13" s="17" t="s">
        <v>106</v>
      </c>
      <c r="R13" s="38" t="s">
        <v>106</v>
      </c>
      <c r="S13" s="38" t="s">
        <v>106</v>
      </c>
      <c r="T13" s="38" t="s">
        <v>106</v>
      </c>
      <c r="U13" s="38" t="s">
        <v>106</v>
      </c>
    </row>
    <row r="14" spans="1:21">
      <c r="A14" t="str">
        <f>IFERROR(INDEX('2017 Data (WP)'!$C$9:$C$72,MATCH($B14,'2017 Data (WP)'!$D$9:$D$72,0)),"")</f>
        <v>Electric Utility (West)</v>
      </c>
      <c r="B14" t="s">
        <v>4</v>
      </c>
      <c r="C14" t="s">
        <v>86</v>
      </c>
      <c r="D14" s="35">
        <f t="shared" ca="1" si="1"/>
        <v>14</v>
      </c>
      <c r="E14" s="35">
        <f t="shared" ca="1" si="2"/>
        <v>14</v>
      </c>
      <c r="F14" s="35"/>
      <c r="G14" s="52">
        <f t="shared" ca="1" si="3"/>
        <v>7.6315391879131251</v>
      </c>
      <c r="H14" s="17">
        <v>6.7580743449116394</v>
      </c>
      <c r="I14" s="17">
        <v>7.3000459136822773</v>
      </c>
      <c r="J14" s="17">
        <v>6.2096330275229361</v>
      </c>
      <c r="K14" s="17">
        <v>6.882464198865172</v>
      </c>
      <c r="L14" s="17">
        <v>6.404125892620999</v>
      </c>
      <c r="M14" s="17">
        <v>5.8034235229155167</v>
      </c>
      <c r="N14" s="17">
        <v>4.0559928041376203</v>
      </c>
      <c r="O14" s="17">
        <v>5.1186525892408241</v>
      </c>
      <c r="P14" s="17">
        <v>7.5844421699078817</v>
      </c>
      <c r="Q14" s="17">
        <v>5.2971201123858576</v>
      </c>
      <c r="R14" s="37">
        <v>6.582413539367181</v>
      </c>
      <c r="S14" s="37">
        <v>7.5796849999999996</v>
      </c>
      <c r="T14" s="37">
        <v>5.3602889999999999</v>
      </c>
      <c r="U14" s="37">
        <v>5.8981279999999998</v>
      </c>
    </row>
    <row r="15" spans="1:21">
      <c r="A15" t="str">
        <f>IFERROR(INDEX('2017 Data (WP)'!$C$9:$C$72,MATCH($B15,'2017 Data (WP)'!$D$9:$D$72,0)),"")</f>
        <v>Electric Utility (West)</v>
      </c>
      <c r="B15" t="s">
        <v>5</v>
      </c>
      <c r="C15" t="s">
        <v>46</v>
      </c>
      <c r="D15" s="35">
        <f t="shared" ca="1" si="1"/>
        <v>15</v>
      </c>
      <c r="E15" s="35">
        <f t="shared" ca="1" si="2"/>
        <v>15</v>
      </c>
      <c r="F15" s="35"/>
      <c r="G15" s="52">
        <f t="shared" ca="1" si="3"/>
        <v>9.3268098647573581</v>
      </c>
      <c r="H15" s="17">
        <v>8.0614298323036184</v>
      </c>
      <c r="I15" s="17">
        <v>8.8062449959967974</v>
      </c>
      <c r="J15" s="17">
        <v>8.0283353010625742</v>
      </c>
      <c r="K15" s="17">
        <v>6.0373881932021476</v>
      </c>
      <c r="L15" s="17">
        <v>7.8482276585122319</v>
      </c>
      <c r="M15" s="17">
        <v>6.1607875307629199</v>
      </c>
      <c r="N15" s="17">
        <v>4.2542028450027702</v>
      </c>
      <c r="O15" s="17">
        <v>11.257026752455131</v>
      </c>
      <c r="P15" s="17">
        <v>7.6150936258747874</v>
      </c>
      <c r="Q15" s="17">
        <v>6.9166335847558544</v>
      </c>
      <c r="R15" s="37">
        <v>7.5738045738045745</v>
      </c>
      <c r="S15" s="37">
        <v>6.6870099999999999</v>
      </c>
      <c r="T15" s="37">
        <v>6.8855000000000004</v>
      </c>
      <c r="U15" s="37">
        <v>5.9184089999999996</v>
      </c>
    </row>
    <row r="16" spans="1:21">
      <c r="A16" t="str">
        <f>IFERROR(INDEX('2017 Data (WP)'!$C$9:$C$72,MATCH($B16,'2017 Data (WP)'!$D$9:$D$72,0)),"")</f>
        <v>Water Utility</v>
      </c>
      <c r="B16" s="31" t="s">
        <v>177</v>
      </c>
      <c r="C16" s="31" t="s">
        <v>176</v>
      </c>
      <c r="D16" s="35">
        <f t="shared" ca="1" si="1"/>
        <v>16</v>
      </c>
      <c r="E16" s="35">
        <f t="shared" ca="1" si="2"/>
        <v>16</v>
      </c>
      <c r="F16" s="35"/>
      <c r="G16" s="52">
        <f t="shared" ca="1" si="3"/>
        <v>12.791969243912858</v>
      </c>
      <c r="H16" s="17">
        <v>10.489639639639638</v>
      </c>
      <c r="I16" s="17">
        <v>9.4981759221726794</v>
      </c>
      <c r="J16" s="17">
        <v>9.2844866576209863</v>
      </c>
      <c r="K16" s="17">
        <v>7.8671268334771352</v>
      </c>
      <c r="L16" s="17">
        <v>8.8481624758220487</v>
      </c>
      <c r="M16" s="17">
        <v>9.5067287784679095</v>
      </c>
      <c r="N16" s="17">
        <v>9.9245087900723892</v>
      </c>
      <c r="O16" s="17">
        <v>10.090274046211713</v>
      </c>
      <c r="P16" s="17">
        <v>12.511523687580025</v>
      </c>
      <c r="Q16" s="17">
        <v>14.436256448047162</v>
      </c>
      <c r="R16" s="57"/>
      <c r="S16" s="58"/>
      <c r="T16" s="58"/>
      <c r="U16" s="58"/>
    </row>
    <row r="17" spans="1:21">
      <c r="A17" t="str">
        <f>IFERROR(INDEX('2017 Data (WP)'!$C$9:$C$72,MATCH($B17,'2017 Data (WP)'!$D$9:$D$72,0)),"")</f>
        <v>Electric Util. (Central)</v>
      </c>
      <c r="B17" t="s">
        <v>6</v>
      </c>
      <c r="C17" t="s">
        <v>90</v>
      </c>
      <c r="D17" s="35">
        <f t="shared" ca="1" si="1"/>
        <v>17</v>
      </c>
      <c r="E17" s="35">
        <f t="shared" ca="1" si="2"/>
        <v>17</v>
      </c>
      <c r="F17" s="35"/>
      <c r="G17" s="52">
        <f t="shared" ca="1" si="3"/>
        <v>5.957041870581838</v>
      </c>
      <c r="H17" s="17">
        <v>5.7488235294117649</v>
      </c>
      <c r="I17" s="17">
        <v>6.2537003375746556</v>
      </c>
      <c r="J17" s="17">
        <v>6.5611064069997171</v>
      </c>
      <c r="K17" s="17">
        <v>5.1511179645335385</v>
      </c>
      <c r="L17" s="17">
        <v>5.3933566433566442</v>
      </c>
      <c r="M17" s="17">
        <v>4.6976744186046515</v>
      </c>
      <c r="N17" s="17">
        <v>4.0547432845970759</v>
      </c>
      <c r="O17" s="17">
        <v>4.2873025160912812</v>
      </c>
      <c r="P17" s="17">
        <v>5.1730032419687593</v>
      </c>
      <c r="Q17" s="17">
        <v>3.938834391229082</v>
      </c>
      <c r="R17" s="37">
        <v>4.698932646301067</v>
      </c>
      <c r="S17" s="37">
        <v>4.2561600000000004</v>
      </c>
      <c r="T17" s="37">
        <v>2.080613</v>
      </c>
      <c r="U17" s="37">
        <v>2.1596289999999998</v>
      </c>
    </row>
    <row r="18" spans="1:21">
      <c r="A18" t="str">
        <f>IFERROR(INDEX('2017 Data (WP)'!$C$9:$C$72,MATCH($B18,'2017 Data (WP)'!$D$9:$D$72,0)),"")</f>
        <v/>
      </c>
      <c r="B18" t="s">
        <v>7</v>
      </c>
      <c r="C18" t="s">
        <v>48</v>
      </c>
      <c r="D18" s="35" t="e">
        <f t="shared" ca="1" si="1"/>
        <v>#N/A</v>
      </c>
      <c r="E18" s="35" t="e">
        <f t="shared" ca="1" si="2"/>
        <v>#N/A</v>
      </c>
      <c r="F18" s="35"/>
      <c r="G18" s="52" t="str">
        <f t="shared" ca="1" si="3"/>
        <v>N/A</v>
      </c>
      <c r="H18" s="17" t="s">
        <v>106</v>
      </c>
      <c r="I18" s="17" t="s">
        <v>106</v>
      </c>
      <c r="J18" s="17" t="s">
        <v>106</v>
      </c>
      <c r="K18" s="17" t="s">
        <v>106</v>
      </c>
      <c r="L18" s="17" t="s">
        <v>106</v>
      </c>
      <c r="M18" s="17" t="s">
        <v>106</v>
      </c>
      <c r="N18" s="17" t="s">
        <v>106</v>
      </c>
      <c r="O18" s="17" t="s">
        <v>106</v>
      </c>
      <c r="P18" s="17" t="s">
        <v>106</v>
      </c>
      <c r="Q18" s="17" t="s">
        <v>106</v>
      </c>
      <c r="R18" s="37" t="s">
        <v>106</v>
      </c>
      <c r="S18" s="37">
        <v>9.4581719999999994</v>
      </c>
      <c r="T18" s="37">
        <v>8.6922759999999997</v>
      </c>
      <c r="U18" s="37">
        <v>11.4496</v>
      </c>
    </row>
    <row r="19" spans="1:21">
      <c r="A19" t="str">
        <f>IFERROR(INDEX('2017 Data (WP)'!$C$9:$C$72,MATCH($B19,'2017 Data (WP)'!$D$9:$D$72,0)),"")</f>
        <v>Natural Gas Utility</v>
      </c>
      <c r="B19" s="31" t="s">
        <v>178</v>
      </c>
      <c r="C19" s="31" t="s">
        <v>215</v>
      </c>
      <c r="D19" s="35">
        <f t="shared" ca="1" si="1"/>
        <v>18</v>
      </c>
      <c r="E19" s="35">
        <f t="shared" ca="1" si="2"/>
        <v>18</v>
      </c>
      <c r="F19" s="35"/>
      <c r="G19" s="52">
        <f t="shared" ca="1" si="3"/>
        <v>12.061785783459229</v>
      </c>
      <c r="H19" s="17">
        <v>10.156175771971498</v>
      </c>
      <c r="I19" s="17">
        <v>9.2457179107633749</v>
      </c>
      <c r="J19" s="17">
        <v>8.1181880892159111</v>
      </c>
      <c r="K19" s="17">
        <v>7.4640870005058169</v>
      </c>
      <c r="L19" s="17">
        <v>7.3488876831253398</v>
      </c>
      <c r="M19" s="17">
        <v>6.3584096109839816</v>
      </c>
      <c r="N19" s="17">
        <v>9.4753258845437625</v>
      </c>
      <c r="O19" s="17">
        <v>7.8808000000000007</v>
      </c>
      <c r="P19" s="17">
        <v>8.5781746031746042</v>
      </c>
      <c r="Q19" s="17">
        <v>9.4022038567493116</v>
      </c>
      <c r="R19" s="57"/>
      <c r="S19" s="58"/>
      <c r="T19" s="58"/>
      <c r="U19" s="58"/>
    </row>
    <row r="20" spans="1:21">
      <c r="A20" t="str">
        <f>IFERROR(INDEX('2017 Data (WP)'!$C$9:$C$72,MATCH($B20,'2017 Data (WP)'!$D$9:$D$72,0)),"")</f>
        <v/>
      </c>
      <c r="B20" t="s">
        <v>8</v>
      </c>
      <c r="C20" t="s">
        <v>49</v>
      </c>
      <c r="D20" s="35" t="e">
        <f t="shared" ca="1" si="1"/>
        <v>#N/A</v>
      </c>
      <c r="E20" s="35" t="e">
        <f t="shared" ca="1" si="2"/>
        <v>#N/A</v>
      </c>
      <c r="F20" s="35"/>
      <c r="G20" s="52" t="str">
        <f t="shared" ca="1" si="3"/>
        <v>N/A</v>
      </c>
      <c r="H20" s="17" t="s">
        <v>106</v>
      </c>
      <c r="I20" s="17" t="s">
        <v>106</v>
      </c>
      <c r="J20" s="17" t="s">
        <v>106</v>
      </c>
      <c r="K20" s="17" t="s">
        <v>106</v>
      </c>
      <c r="L20" s="17" t="s">
        <v>106</v>
      </c>
      <c r="M20" s="17" t="s">
        <v>106</v>
      </c>
      <c r="N20" s="17" t="s">
        <v>106</v>
      </c>
      <c r="O20" s="17" t="s">
        <v>106</v>
      </c>
      <c r="P20" s="17" t="s">
        <v>106</v>
      </c>
      <c r="Q20" s="17" t="s">
        <v>106</v>
      </c>
      <c r="R20" s="37" t="s">
        <v>106</v>
      </c>
      <c r="S20" s="37">
        <v>7.0826840000000004</v>
      </c>
      <c r="T20" s="37">
        <v>5.2404299999999999</v>
      </c>
      <c r="U20" s="37">
        <v>6.100295</v>
      </c>
    </row>
    <row r="21" spans="1:21">
      <c r="A21" t="str">
        <f>IFERROR(INDEX('2017 Data (WP)'!$C$9:$C$72,MATCH($B21,'2017 Data (WP)'!$D$9:$D$72,0)),"")</f>
        <v>Electric Util. (Central)</v>
      </c>
      <c r="B21" t="s">
        <v>9</v>
      </c>
      <c r="C21" t="s">
        <v>47</v>
      </c>
      <c r="D21" s="35">
        <f t="shared" ca="1" si="1"/>
        <v>19</v>
      </c>
      <c r="E21" s="35">
        <f t="shared" ca="1" si="2"/>
        <v>19</v>
      </c>
      <c r="F21" s="35"/>
      <c r="G21" s="52">
        <f t="shared" ca="1" si="3"/>
        <v>8.5008200082000815</v>
      </c>
      <c r="H21" s="17">
        <v>7.5266710211190944</v>
      </c>
      <c r="I21" s="17">
        <v>7.1293225959261006</v>
      </c>
      <c r="J21" s="17">
        <v>6.6755358462675529</v>
      </c>
      <c r="K21" s="17">
        <v>6.0340225071970686</v>
      </c>
      <c r="L21" s="17">
        <v>5.405805038335159</v>
      </c>
      <c r="M21" s="17">
        <v>4.4751485683414369</v>
      </c>
      <c r="N21" s="17">
        <v>3.6362849725987885</v>
      </c>
      <c r="O21" s="17">
        <v>3.4463641052088705</v>
      </c>
      <c r="P21" s="17">
        <v>5.5730045425048669</v>
      </c>
      <c r="Q21" s="17">
        <v>4.4045919950356813</v>
      </c>
      <c r="R21" s="37">
        <v>4.0422863808690588</v>
      </c>
      <c r="S21" s="37">
        <v>3.1967210000000001</v>
      </c>
      <c r="T21" s="37">
        <v>2.876099</v>
      </c>
      <c r="U21" s="37" t="s">
        <v>105</v>
      </c>
    </row>
    <row r="22" spans="1:21">
      <c r="A22" t="str">
        <f>IFERROR(INDEX('2017 Data (WP)'!$C$9:$C$72,MATCH($B22,'2017 Data (WP)'!$D$9:$D$72,0)),"")</f>
        <v>Water Utility</v>
      </c>
      <c r="B22" s="31" t="s">
        <v>180</v>
      </c>
      <c r="C22" s="31" t="s">
        <v>179</v>
      </c>
      <c r="D22" s="35">
        <f t="shared" ca="1" si="1"/>
        <v>20</v>
      </c>
      <c r="E22" s="35">
        <f t="shared" ca="1" si="2"/>
        <v>20</v>
      </c>
      <c r="F22" s="35"/>
      <c r="G22" s="52">
        <f t="shared" ca="1" si="3"/>
        <v>14.623490338164252</v>
      </c>
      <c r="H22" s="17">
        <v>11.275786163522012</v>
      </c>
      <c r="I22" s="17">
        <v>11.319313593539704</v>
      </c>
      <c r="J22" s="17">
        <v>11.597185241536707</v>
      </c>
      <c r="K22" s="17">
        <v>11.221717744986758</v>
      </c>
      <c r="L22" s="17">
        <v>12.344418052256533</v>
      </c>
      <c r="M22" s="17">
        <v>11.454634624816086</v>
      </c>
      <c r="N22" s="17">
        <v>11.330574236937403</v>
      </c>
      <c r="O22" s="17">
        <v>12.644398766700926</v>
      </c>
      <c r="P22" s="17">
        <v>12.717746182201159</v>
      </c>
      <c r="Q22" s="17">
        <v>15.461791831357049</v>
      </c>
      <c r="R22" s="57"/>
      <c r="S22" s="58"/>
      <c r="T22" s="58"/>
      <c r="U22" s="58"/>
    </row>
    <row r="23" spans="1:21">
      <c r="A23" t="str">
        <f>IFERROR(INDEX('2017 Data (WP)'!$C$9:$C$72,MATCH($B23,'2017 Data (WP)'!$D$9:$D$72,0)),"")</f>
        <v>Electric Utility (East)</v>
      </c>
      <c r="B23" t="s">
        <v>10</v>
      </c>
      <c r="C23" t="s">
        <v>50</v>
      </c>
      <c r="D23" s="35">
        <f t="shared" ca="1" si="1"/>
        <v>21</v>
      </c>
      <c r="E23" s="35">
        <f t="shared" ca="1" si="2"/>
        <v>21</v>
      </c>
      <c r="F23" s="35"/>
      <c r="G23" s="52">
        <f t="shared" ca="1" si="3"/>
        <v>9.3949270767279636</v>
      </c>
      <c r="H23" s="17">
        <v>7.963546922300706</v>
      </c>
      <c r="I23" s="17">
        <v>7.8885843497327679</v>
      </c>
      <c r="J23" s="17">
        <v>7.7697059218477236</v>
      </c>
      <c r="K23" s="17">
        <v>8.3131821998320738</v>
      </c>
      <c r="L23" s="17">
        <v>8.1457545028000613</v>
      </c>
      <c r="M23" s="17">
        <v>7.3884707766212969</v>
      </c>
      <c r="N23" s="17">
        <v>6.7200614124872056</v>
      </c>
      <c r="O23" s="17">
        <v>6.8936205744822976</v>
      </c>
      <c r="P23" s="17">
        <v>8.3095980595980592</v>
      </c>
      <c r="Q23" s="17">
        <v>8.6531540064406141</v>
      </c>
      <c r="R23" s="37">
        <v>8.5887602050503133</v>
      </c>
      <c r="S23" s="37">
        <v>9.3134920000000001</v>
      </c>
      <c r="T23" s="37">
        <v>7.8992769999999997</v>
      </c>
      <c r="U23" s="37">
        <v>7.6411100000000003</v>
      </c>
    </row>
    <row r="24" spans="1:21">
      <c r="A24" t="str">
        <f>IFERROR(INDEX('2017 Data (WP)'!$C$9:$C$72,MATCH($B24,'2017 Data (WP)'!$D$9:$D$72,0)),"")</f>
        <v>Water Utility</v>
      </c>
      <c r="B24" s="31" t="s">
        <v>182</v>
      </c>
      <c r="C24" s="31" t="s">
        <v>181</v>
      </c>
      <c r="D24" s="35">
        <f t="shared" ca="1" si="1"/>
        <v>22</v>
      </c>
      <c r="E24" s="35">
        <f t="shared" ca="1" si="2"/>
        <v>22</v>
      </c>
      <c r="F24" s="35"/>
      <c r="G24" s="52">
        <f t="shared" ca="1" si="3"/>
        <v>12.681341719077569</v>
      </c>
      <c r="H24" s="17">
        <v>12.988776655443322</v>
      </c>
      <c r="I24" s="17">
        <v>14.85125</v>
      </c>
      <c r="J24" s="17">
        <v>12.134796238244514</v>
      </c>
      <c r="K24" s="17">
        <v>6.8080548414738642</v>
      </c>
      <c r="L24" s="17">
        <v>11.31768953068592</v>
      </c>
      <c r="M24" s="17">
        <v>13.371527777777779</v>
      </c>
      <c r="N24" s="17">
        <v>11.934745762711865</v>
      </c>
      <c r="O24" s="17">
        <v>19.910432033719704</v>
      </c>
      <c r="P24" s="17">
        <v>23.259567387687188</v>
      </c>
      <c r="Q24" s="17">
        <v>29.194252873563219</v>
      </c>
      <c r="R24" s="57"/>
      <c r="S24" s="58"/>
      <c r="T24" s="58"/>
      <c r="U24" s="58"/>
    </row>
    <row r="25" spans="1:21">
      <c r="A25" t="str">
        <f>IFERROR(INDEX('2017 Data (WP)'!$C$9:$C$72,MATCH($B25,'2017 Data (WP)'!$D$9:$D$72,0)),"")</f>
        <v>Electric Utility (East)</v>
      </c>
      <c r="B25" t="s">
        <v>11</v>
      </c>
      <c r="C25" t="s">
        <v>52</v>
      </c>
      <c r="D25" s="35">
        <f t="shared" ca="1" si="1"/>
        <v>24</v>
      </c>
      <c r="E25" s="35">
        <f t="shared" ca="1" si="2"/>
        <v>24</v>
      </c>
      <c r="F25" s="35"/>
      <c r="G25" s="52">
        <f t="shared" ca="1" si="3"/>
        <v>11.594436541804964</v>
      </c>
      <c r="H25" s="17">
        <v>11.837733957219251</v>
      </c>
      <c r="I25" s="17">
        <v>12.270753064798599</v>
      </c>
      <c r="J25" s="17">
        <v>10.877263581488934</v>
      </c>
      <c r="K25" s="17">
        <v>9.9176201372997728</v>
      </c>
      <c r="L25" s="17">
        <v>9.4481665014866199</v>
      </c>
      <c r="M25" s="17">
        <v>8.1228207639569039</v>
      </c>
      <c r="N25" s="17">
        <v>6.9848421926910307</v>
      </c>
      <c r="O25" s="17">
        <v>8.2672192618906646</v>
      </c>
      <c r="P25" s="17">
        <v>8.6465262743554412</v>
      </c>
      <c r="Q25" s="17">
        <v>7.8091649694501024</v>
      </c>
      <c r="R25" s="37">
        <v>10.089435287760065</v>
      </c>
      <c r="S25" s="37">
        <v>7.6822210000000002</v>
      </c>
      <c r="T25" s="37">
        <v>7.50718</v>
      </c>
      <c r="U25" s="37">
        <v>6.5263039999999997</v>
      </c>
    </row>
    <row r="26" spans="1:21">
      <c r="A26" t="str">
        <f>IFERROR(INDEX('2017 Data (WP)'!$C$9:$C$72,MATCH($B26,'2017 Data (WP)'!$D$9:$D$72,0)),"")</f>
        <v>Electric Util. (Central)</v>
      </c>
      <c r="B26" t="s">
        <v>12</v>
      </c>
      <c r="C26" t="s">
        <v>51</v>
      </c>
      <c r="D26" s="35">
        <f t="shared" ca="1" si="1"/>
        <v>25</v>
      </c>
      <c r="E26" s="35">
        <f t="shared" ca="1" si="2"/>
        <v>25</v>
      </c>
      <c r="F26" s="35"/>
      <c r="G26" s="52">
        <f t="shared" ca="1" si="3"/>
        <v>8.6420754716981136</v>
      </c>
      <c r="H26" s="17">
        <v>8.5202881661192933</v>
      </c>
      <c r="I26" s="17">
        <v>6.4158090096170071</v>
      </c>
      <c r="J26" s="17">
        <v>6.6529382716049383</v>
      </c>
      <c r="K26" s="17">
        <v>5.9124961621123733</v>
      </c>
      <c r="L26" s="17">
        <v>5.1828350407693913</v>
      </c>
      <c r="M26" s="17">
        <v>4.6905930470347652</v>
      </c>
      <c r="N26" s="17">
        <v>3.5945859533198341</v>
      </c>
      <c r="O26" s="17">
        <v>4.8969359331476321</v>
      </c>
      <c r="P26" s="17">
        <v>5.7259870359457867</v>
      </c>
      <c r="Q26" s="17">
        <v>5.2138932975216701</v>
      </c>
      <c r="R26" s="37">
        <v>5.5403413975193416</v>
      </c>
      <c r="S26" s="37">
        <v>6.0036690000000004</v>
      </c>
      <c r="T26" s="37">
        <v>5.6177109999999999</v>
      </c>
      <c r="U26" s="37">
        <v>5.20106</v>
      </c>
    </row>
    <row r="27" spans="1:21">
      <c r="A27" t="str">
        <f>IFERROR(INDEX('2017 Data (WP)'!$C$9:$C$72,MATCH($B27,'2017 Data (WP)'!$D$9:$D$72,0)),"")</f>
        <v>Electric Utility (East)</v>
      </c>
      <c r="B27" t="s">
        <v>13</v>
      </c>
      <c r="C27" t="s">
        <v>93</v>
      </c>
      <c r="D27" s="35">
        <f t="shared" ca="1" si="1"/>
        <v>26</v>
      </c>
      <c r="E27" s="35">
        <f t="shared" ca="1" si="2"/>
        <v>26</v>
      </c>
      <c r="F27" s="35"/>
      <c r="G27" s="52">
        <f t="shared" ca="1" si="3"/>
        <v>8.5698913043478271</v>
      </c>
      <c r="H27" s="17">
        <v>7.9461702127659573</v>
      </c>
      <c r="I27" s="17">
        <v>8.1206366630076836</v>
      </c>
      <c r="J27" s="17">
        <v>8.1148632858144438</v>
      </c>
      <c r="K27" s="17">
        <v>9.5307443365695796</v>
      </c>
      <c r="L27" s="17">
        <v>6.5644009216589865</v>
      </c>
      <c r="M27" s="17">
        <v>6.0090737685599809</v>
      </c>
      <c r="N27" s="17">
        <v>5.9555408970976256</v>
      </c>
      <c r="O27" s="17">
        <v>7.1315538608198281</v>
      </c>
      <c r="P27" s="17">
        <v>7.1623288516097201</v>
      </c>
      <c r="Q27" s="17">
        <v>0</v>
      </c>
      <c r="R27" s="37" t="s">
        <v>106</v>
      </c>
      <c r="S27" s="38" t="s">
        <v>106</v>
      </c>
      <c r="T27" s="38" t="s">
        <v>106</v>
      </c>
      <c r="U27" s="38" t="s">
        <v>106</v>
      </c>
    </row>
    <row r="28" spans="1:21">
      <c r="A28" t="str">
        <f>IFERROR(INDEX('2017 Data (WP)'!$C$9:$C$72,MATCH($B28,'2017 Data (WP)'!$D$9:$D$72,0)),"")</f>
        <v>Electric Utility (West)</v>
      </c>
      <c r="B28" t="s">
        <v>14</v>
      </c>
      <c r="C28" t="s">
        <v>53</v>
      </c>
      <c r="D28" s="35">
        <f t="shared" ca="1" si="1"/>
        <v>27</v>
      </c>
      <c r="E28" s="35">
        <f t="shared" ca="1" si="2"/>
        <v>27</v>
      </c>
      <c r="F28" s="35"/>
      <c r="G28" s="52">
        <f t="shared" ca="1" si="3"/>
        <v>6.7719163629388071</v>
      </c>
      <c r="H28" s="17">
        <v>5.9209661835748788</v>
      </c>
      <c r="I28" s="17">
        <v>5.6784242789669381</v>
      </c>
      <c r="J28" s="17">
        <v>5.4568602932817996</v>
      </c>
      <c r="K28" s="17">
        <v>4.5871416701287906</v>
      </c>
      <c r="L28" s="17">
        <v>4.22358803986711</v>
      </c>
      <c r="M28" s="17">
        <v>4.1089979793177225</v>
      </c>
      <c r="N28" s="17">
        <v>3.9531701192718138</v>
      </c>
      <c r="O28" s="17">
        <v>5.6253092528451267</v>
      </c>
      <c r="P28" s="17">
        <v>7.0055292259083721</v>
      </c>
      <c r="Q28" s="17">
        <v>5.873293809458155</v>
      </c>
      <c r="R28" s="37">
        <v>5.6129401660463794</v>
      </c>
      <c r="S28" s="37">
        <v>6.8365840000000002</v>
      </c>
      <c r="T28" s="37">
        <v>2.8197589999999999</v>
      </c>
      <c r="U28" s="37">
        <v>2.960502</v>
      </c>
    </row>
    <row r="29" spans="1:21">
      <c r="A29" t="str">
        <f>IFERROR(INDEX('2017 Data (WP)'!$C$9:$C$72,MATCH($B29,'2017 Data (WP)'!$D$9:$D$72,0)),"")</f>
        <v>Electric Utility (West)</v>
      </c>
      <c r="B29" t="s">
        <v>15</v>
      </c>
      <c r="C29" t="s">
        <v>88</v>
      </c>
      <c r="D29" s="35">
        <f t="shared" ca="1" si="1"/>
        <v>28</v>
      </c>
      <c r="E29" s="35">
        <f t="shared" ca="1" si="2"/>
        <v>28</v>
      </c>
      <c r="F29" s="35"/>
      <c r="G29" s="52">
        <f t="shared" ca="1" si="3"/>
        <v>7.4615127175368148</v>
      </c>
      <c r="H29" s="17">
        <v>6.4707826086956519</v>
      </c>
      <c r="I29" s="17">
        <v>6.3323684658607178</v>
      </c>
      <c r="J29" s="17">
        <v>6.1883082373782115</v>
      </c>
      <c r="K29" s="17">
        <v>5.77813107224872</v>
      </c>
      <c r="L29" s="17">
        <v>5.1629752066115708</v>
      </c>
      <c r="M29" s="17">
        <v>4.3062293809431402</v>
      </c>
      <c r="N29" s="17">
        <v>3.9808212441603148</v>
      </c>
      <c r="O29" s="17">
        <v>4.9475835537388804</v>
      </c>
      <c r="P29" s="17">
        <v>6.4357050452781364</v>
      </c>
      <c r="Q29" s="17">
        <v>6.2486187845303869</v>
      </c>
      <c r="R29" s="37">
        <v>6.6677609980302037</v>
      </c>
      <c r="S29" s="37">
        <v>4.6549300000000002</v>
      </c>
      <c r="T29" s="37">
        <v>3.8985989999999999</v>
      </c>
      <c r="U29" s="37">
        <v>4.3862110000000003</v>
      </c>
    </row>
    <row r="30" spans="1:21">
      <c r="A30" t="str">
        <f>IFERROR(INDEX('2017 Data (WP)'!$C$9:$C$72,MATCH($B30,'2017 Data (WP)'!$D$9:$D$72,0)),"")</f>
        <v/>
      </c>
      <c r="B30" t="s">
        <v>16</v>
      </c>
      <c r="C30" t="s">
        <v>102</v>
      </c>
      <c r="D30" s="35">
        <f t="shared" ca="1" si="1"/>
        <v>29</v>
      </c>
      <c r="E30" s="35">
        <f t="shared" ca="1" si="2"/>
        <v>29</v>
      </c>
      <c r="F30" s="35"/>
      <c r="G30" s="52" t="str">
        <f t="shared" ca="1" si="3"/>
        <v>N/A</v>
      </c>
      <c r="H30" s="17">
        <v>7.2742616033755274</v>
      </c>
      <c r="I30" s="17">
        <v>7.2901073397156955</v>
      </c>
      <c r="J30" s="17">
        <v>7.0684713375796173</v>
      </c>
      <c r="K30" s="17">
        <v>6.9661754855994635</v>
      </c>
      <c r="L30" s="17">
        <v>6.4347148644437517</v>
      </c>
      <c r="M30" s="17">
        <v>6.8796068796068797</v>
      </c>
      <c r="N30" s="17">
        <v>6.227088700772911</v>
      </c>
      <c r="O30" s="17">
        <v>6.9446164430684547</v>
      </c>
      <c r="P30" s="17">
        <v>8.7838841440772377</v>
      </c>
      <c r="Q30" s="17">
        <v>8.1666666666666661</v>
      </c>
      <c r="R30" s="37">
        <v>9.1954304365565083</v>
      </c>
      <c r="S30" s="37">
        <v>9.6012599999999999</v>
      </c>
      <c r="T30" s="37">
        <v>8.2227139999999999</v>
      </c>
      <c r="U30" s="37">
        <v>7.9267190000000003</v>
      </c>
    </row>
    <row r="31" spans="1:21">
      <c r="A31" t="str">
        <f>IFERROR(INDEX('2017 Data (WP)'!$C$9:$C$72,MATCH($B31,'2017 Data (WP)'!$D$9:$D$72,0)),"")</f>
        <v>Electric Util. (Central)</v>
      </c>
      <c r="B31" t="s">
        <v>17</v>
      </c>
      <c r="C31" t="s">
        <v>55</v>
      </c>
      <c r="D31" s="35">
        <f t="shared" ca="1" si="1"/>
        <v>30</v>
      </c>
      <c r="E31" s="35">
        <f t="shared" ca="1" si="2"/>
        <v>30</v>
      </c>
      <c r="F31" s="35"/>
      <c r="G31" s="52">
        <f t="shared" ca="1" si="3"/>
        <v>4.0131916257209994</v>
      </c>
      <c r="H31" s="17">
        <v>4.1113181972212809</v>
      </c>
      <c r="I31" s="17">
        <v>4.2062683865127859</v>
      </c>
      <c r="J31" s="17">
        <v>4.0342238089375853</v>
      </c>
      <c r="K31" s="17">
        <v>4.2285499718380377</v>
      </c>
      <c r="L31" s="17">
        <v>3.9024070271503537</v>
      </c>
      <c r="M31" s="17">
        <v>4.6604172966434838</v>
      </c>
      <c r="N31" s="17">
        <v>5.6803883202889818</v>
      </c>
      <c r="O31" s="17">
        <v>7.963460046547711</v>
      </c>
      <c r="P31" s="17">
        <v>9.2136890555744984</v>
      </c>
      <c r="Q31" s="17">
        <v>7.1561769381838589</v>
      </c>
      <c r="R31" s="37">
        <v>8.756049865558543</v>
      </c>
      <c r="S31" s="37">
        <v>7.1220420000000004</v>
      </c>
      <c r="T31" s="37">
        <v>6.8374600000000001</v>
      </c>
      <c r="U31" s="37">
        <v>5.5696649999999996</v>
      </c>
    </row>
    <row r="32" spans="1:21">
      <c r="A32" t="str">
        <f>IFERROR(INDEX('2017 Data (WP)'!$C$9:$C$72,MATCH($B32,'2017 Data (WP)'!$D$9:$D$72,0)),"")</f>
        <v>Electric Utility (East)</v>
      </c>
      <c r="B32" t="s">
        <v>211</v>
      </c>
      <c r="C32" t="s">
        <v>212</v>
      </c>
      <c r="D32" s="35">
        <f t="shared" ca="1" si="1"/>
        <v>31</v>
      </c>
      <c r="E32" s="35">
        <f t="shared" ca="1" si="2"/>
        <v>31</v>
      </c>
      <c r="F32" s="35"/>
      <c r="G32" s="52">
        <f t="shared" ca="1" si="3"/>
        <v>10.136863319897397</v>
      </c>
      <c r="H32" s="17">
        <v>10.12006479044341</v>
      </c>
      <c r="I32" s="17">
        <v>10.143264589732338</v>
      </c>
      <c r="J32" s="17">
        <v>8.0810344827586214</v>
      </c>
      <c r="K32" s="17">
        <v>9.3024293505205762</v>
      </c>
      <c r="L32" s="17">
        <v>6.9887202625102534</v>
      </c>
      <c r="M32" s="17">
        <v>4.9663495419309376</v>
      </c>
      <c r="N32" s="17">
        <v>4.6065739060294417</v>
      </c>
      <c r="O32" s="17">
        <v>4.1233165666071718</v>
      </c>
      <c r="P32" s="17">
        <v>6.1838174273858924</v>
      </c>
      <c r="Q32" s="17">
        <v>6.0159934941718625</v>
      </c>
      <c r="R32" s="37">
        <v>3.5481033534909288</v>
      </c>
      <c r="S32" s="37">
        <v>3.782826</v>
      </c>
      <c r="T32" s="37">
        <v>2.852541</v>
      </c>
      <c r="U32" s="37">
        <v>2.746715</v>
      </c>
    </row>
    <row r="33" spans="1:21">
      <c r="A33" t="str">
        <f>IFERROR(INDEX('2017 Data (WP)'!$C$9:$C$72,MATCH($B33,'2017 Data (WP)'!$D$9:$D$72,0)),"")</f>
        <v>Electric Utility (East)</v>
      </c>
      <c r="B33" t="s">
        <v>18</v>
      </c>
      <c r="C33" t="s">
        <v>69</v>
      </c>
      <c r="D33" s="35">
        <f t="shared" ca="1" si="1"/>
        <v>32</v>
      </c>
      <c r="E33" s="35">
        <f t="shared" ca="1" si="2"/>
        <v>32</v>
      </c>
      <c r="F33" s="35"/>
      <c r="G33" s="52">
        <f t="shared" ca="1" si="3"/>
        <v>4.8002855103497497</v>
      </c>
      <c r="H33" s="17">
        <v>4.6968092927510661</v>
      </c>
      <c r="I33" s="17">
        <v>5.0912668382019071</v>
      </c>
      <c r="J33" s="17">
        <v>4.6141263940520449</v>
      </c>
      <c r="K33" s="17">
        <v>5.5449591280653951</v>
      </c>
      <c r="L33" s="17">
        <v>5.858446226154272</v>
      </c>
      <c r="M33" s="17">
        <v>5.1031373963216735</v>
      </c>
      <c r="N33" s="17">
        <v>5.9759912695525648</v>
      </c>
      <c r="O33" s="17">
        <v>9.6510805500982322</v>
      </c>
      <c r="P33" s="17">
        <v>9.8861066235864303</v>
      </c>
      <c r="Q33" s="17">
        <v>8.615040953090098</v>
      </c>
      <c r="R33" s="37">
        <v>7.9709208400646201</v>
      </c>
      <c r="S33" s="37">
        <v>6.2868700000000004</v>
      </c>
      <c r="T33" s="37">
        <v>5.7122630000000001</v>
      </c>
      <c r="U33" s="37">
        <v>4.9749699999999999</v>
      </c>
    </row>
    <row r="34" spans="1:21">
      <c r="A34" t="str">
        <f>IFERROR(INDEX('2017 Data (WP)'!$C$9:$C$72,MATCH($B34,'2017 Data (WP)'!$D$9:$D$72,0)),"")</f>
        <v>Electric Utility (East)</v>
      </c>
      <c r="B34" t="s">
        <v>19</v>
      </c>
      <c r="C34" t="s">
        <v>66</v>
      </c>
      <c r="D34" s="35">
        <f t="shared" ca="1" si="1"/>
        <v>33</v>
      </c>
      <c r="E34" s="35">
        <f t="shared" ca="1" si="2"/>
        <v>33</v>
      </c>
      <c r="F34" s="35"/>
      <c r="G34" s="52">
        <f t="shared" ca="1" si="3"/>
        <v>5.1169805542795892</v>
      </c>
      <c r="H34" s="17">
        <v>5.3809072230124864</v>
      </c>
      <c r="I34" s="17">
        <v>7.4331868131868131</v>
      </c>
      <c r="J34" s="17">
        <v>6.1523325928276735</v>
      </c>
      <c r="K34" s="17">
        <v>7.4218698381235546</v>
      </c>
      <c r="L34" s="17">
        <v>7.3257918552036196</v>
      </c>
      <c r="M34" s="17">
        <v>4.4901799364930026</v>
      </c>
      <c r="N34" s="17">
        <v>4.9147533530347811</v>
      </c>
      <c r="O34" s="17">
        <v>7.5785864395531464</v>
      </c>
      <c r="P34" s="17">
        <v>7.8850395588587867</v>
      </c>
      <c r="Q34" s="17">
        <v>7.5272122974657245</v>
      </c>
      <c r="R34" s="37">
        <v>6.0413135593220346</v>
      </c>
      <c r="S34" s="37">
        <v>5.149756</v>
      </c>
      <c r="T34" s="37">
        <v>6.8987049999999996</v>
      </c>
      <c r="U34" s="37">
        <v>5.104406</v>
      </c>
    </row>
    <row r="35" spans="1:21">
      <c r="A35" t="str">
        <f>IFERROR(INDEX('2017 Data (WP)'!$C$9:$C$72,MATCH($B35,'2017 Data (WP)'!$D$9:$D$72,0)),"")</f>
        <v>Electric Util. (Central)</v>
      </c>
      <c r="B35" t="s">
        <v>267</v>
      </c>
      <c r="C35" t="s">
        <v>266</v>
      </c>
      <c r="D35" s="35">
        <f t="shared" ca="1" si="1"/>
        <v>34</v>
      </c>
      <c r="E35" s="35">
        <f t="shared" ca="1" si="2"/>
        <v>34</v>
      </c>
      <c r="F35" s="35"/>
      <c r="G35" s="52">
        <f t="shared" ca="1" si="3"/>
        <v>10.455569782330347</v>
      </c>
      <c r="H35" s="17">
        <v>7.2851937092443411</v>
      </c>
      <c r="I35" s="17">
        <v>9.2506210322936795</v>
      </c>
      <c r="J35" s="17">
        <v>7.9295980511571251</v>
      </c>
      <c r="K35" s="17">
        <v>8.0921277114306598</v>
      </c>
      <c r="L35" s="17">
        <v>8.3779144248014337</v>
      </c>
      <c r="M35" s="17">
        <v>7.4047678795483058</v>
      </c>
      <c r="N35" s="17">
        <v>6.7606019151846795</v>
      </c>
      <c r="O35" s="17">
        <v>7.5814550641940093</v>
      </c>
      <c r="P35" s="17">
        <v>9.183935200809989</v>
      </c>
      <c r="Q35" s="17">
        <v>7.8926108374384238</v>
      </c>
      <c r="R35" s="37" t="s">
        <v>106</v>
      </c>
      <c r="S35" s="37" t="s">
        <v>106</v>
      </c>
      <c r="T35" s="37" t="s">
        <v>106</v>
      </c>
      <c r="U35" s="37" t="s">
        <v>106</v>
      </c>
    </row>
    <row r="36" spans="1:21">
      <c r="A36" t="str">
        <f>IFERROR(INDEX('2017 Data (WP)'!$C$9:$C$72,MATCH($B36,'2017 Data (WP)'!$D$9:$D$72,0)),"")</f>
        <v/>
      </c>
      <c r="B36" t="s">
        <v>57</v>
      </c>
      <c r="C36" t="s">
        <v>56</v>
      </c>
      <c r="D36" s="35" t="e">
        <f t="shared" ca="1" si="1"/>
        <v>#N/A</v>
      </c>
      <c r="E36" s="35" t="e">
        <f t="shared" ca="1" si="2"/>
        <v>#N/A</v>
      </c>
      <c r="F36" s="35"/>
      <c r="G36" s="52" t="str">
        <f t="shared" ca="1" si="3"/>
        <v>N/A</v>
      </c>
      <c r="H36" s="17" t="s">
        <v>106</v>
      </c>
      <c r="I36" s="17" t="s">
        <v>106</v>
      </c>
      <c r="J36" s="17" t="s">
        <v>106</v>
      </c>
      <c r="K36" s="17" t="s">
        <v>106</v>
      </c>
      <c r="L36" s="17" t="s">
        <v>106</v>
      </c>
      <c r="M36" s="17" t="s">
        <v>106</v>
      </c>
      <c r="N36" s="17" t="s">
        <v>106</v>
      </c>
      <c r="O36" s="17" t="s">
        <v>106</v>
      </c>
      <c r="P36" s="17" t="s">
        <v>106</v>
      </c>
      <c r="Q36" s="17" t="s">
        <v>106</v>
      </c>
      <c r="R36" s="37" t="s">
        <v>106</v>
      </c>
      <c r="S36" s="37">
        <v>5.974291</v>
      </c>
      <c r="T36" s="37">
        <v>5.7684699999999998</v>
      </c>
      <c r="U36" s="37">
        <v>6.3455389999999996</v>
      </c>
    </row>
    <row r="37" spans="1:21">
      <c r="A37" t="str">
        <f>IFERROR(INDEX('2017 Data (WP)'!$C$9:$C$72,MATCH($B37,'2017 Data (WP)'!$D$9:$D$72,0)),"")</f>
        <v>Electric Util. (Central)</v>
      </c>
      <c r="B37" t="s">
        <v>20</v>
      </c>
      <c r="C37" t="s">
        <v>104</v>
      </c>
      <c r="D37" s="35">
        <f t="shared" ref="D37:D46" ca="1" si="4">MATCH(B37,OFFSET(MarketPrice,0,0,,1),0)</f>
        <v>36</v>
      </c>
      <c r="E37" s="35">
        <f t="shared" ref="E37:E46" ca="1" si="5">MATCH(B37,OFFSET(CashFlow,0,0,,1),0)</f>
        <v>36</v>
      </c>
      <c r="F37" s="35"/>
      <c r="G37" s="52">
        <f t="shared" ref="G37:G68" ca="1" si="6">IFERROR(INDEX(MarketPrice,$D37,2)/INDEX(CashFlow,$E37,2),"N/A")</f>
        <v>8.628614008941879</v>
      </c>
      <c r="H37" s="17">
        <v>6.66273229532898</v>
      </c>
      <c r="I37" s="17">
        <v>6.4499875280618602</v>
      </c>
      <c r="J37" s="17">
        <v>5.7326016462958336</v>
      </c>
      <c r="K37" s="17">
        <v>6.087373004354137</v>
      </c>
      <c r="L37" s="17">
        <v>5.7353276353276357</v>
      </c>
      <c r="M37" s="17">
        <v>4.491504854368932</v>
      </c>
      <c r="N37" s="17">
        <v>5.0578866768759569</v>
      </c>
      <c r="O37" s="17">
        <v>7.7057872615583571</v>
      </c>
      <c r="P37" s="17">
        <v>7.132783018867924</v>
      </c>
      <c r="Q37" s="17">
        <v>7.6797927461139892</v>
      </c>
      <c r="R37" s="37">
        <v>6.6982834507042259</v>
      </c>
      <c r="S37" s="37">
        <v>6.5216839999999996</v>
      </c>
      <c r="T37" s="37">
        <v>5.9151930000000004</v>
      </c>
      <c r="U37" s="37">
        <v>5.1369210000000001</v>
      </c>
    </row>
    <row r="38" spans="1:21">
      <c r="A38" t="str">
        <f>IFERROR(INDEX('2017 Data (WP)'!$C$9:$C$72,MATCH($B38,'2017 Data (WP)'!$D$9:$D$72,0)),"")</f>
        <v>Electric Utility (West)</v>
      </c>
      <c r="B38" t="s">
        <v>21</v>
      </c>
      <c r="C38" t="s">
        <v>58</v>
      </c>
      <c r="D38" s="35">
        <f t="shared" ca="1" si="4"/>
        <v>37</v>
      </c>
      <c r="E38" s="35">
        <f t="shared" ca="1" si="5"/>
        <v>37</v>
      </c>
      <c r="F38" s="35"/>
      <c r="G38" s="52">
        <f t="shared" ca="1" si="6"/>
        <v>7.441035474592522</v>
      </c>
      <c r="H38" s="17">
        <v>9.2515114873035067</v>
      </c>
      <c r="I38" s="17">
        <v>7.6423122065727709</v>
      </c>
      <c r="J38" s="17">
        <v>8.1517690875232773</v>
      </c>
      <c r="K38" s="17">
        <v>8.0463132236441197</v>
      </c>
      <c r="L38" s="17">
        <v>7.731385485391141</v>
      </c>
      <c r="M38" s="17">
        <v>7.8093750000000002</v>
      </c>
      <c r="N38" s="17">
        <v>6.9490544191431871</v>
      </c>
      <c r="O38" s="17">
        <v>9.104335047759001</v>
      </c>
      <c r="P38" s="17">
        <v>7.945255474452555</v>
      </c>
      <c r="Q38" s="17">
        <v>8.473205891570041</v>
      </c>
      <c r="R38" s="37">
        <v>8.290553138595401</v>
      </c>
      <c r="S38" s="37">
        <v>8.4448039999999995</v>
      </c>
      <c r="T38" s="37">
        <v>6.1214690000000003</v>
      </c>
      <c r="U38" s="37">
        <v>6.1993749999999999</v>
      </c>
    </row>
    <row r="39" spans="1:21">
      <c r="A39" t="str">
        <f>IFERROR(INDEX('2017 Data (WP)'!$C$9:$C$72,MATCH($B39,'2017 Data (WP)'!$D$9:$D$72,0)),"")</f>
        <v>Electric Utility (West)</v>
      </c>
      <c r="B39" t="s">
        <v>22</v>
      </c>
      <c r="C39" t="s">
        <v>59</v>
      </c>
      <c r="D39" s="35">
        <f t="shared" ca="1" si="4"/>
        <v>38</v>
      </c>
      <c r="E39" s="35">
        <f t="shared" ca="1" si="5"/>
        <v>38</v>
      </c>
      <c r="F39" s="35"/>
      <c r="G39" s="52">
        <f t="shared" ca="1" si="6"/>
        <v>10.952019833746537</v>
      </c>
      <c r="H39" s="17">
        <v>9.3677611940298515</v>
      </c>
      <c r="I39" s="17">
        <v>8.5856143552311437</v>
      </c>
      <c r="J39" s="17">
        <v>7.7771247021445591</v>
      </c>
      <c r="K39" s="17">
        <v>7.0498988536749829</v>
      </c>
      <c r="L39" s="17">
        <v>6.6411925976696367</v>
      </c>
      <c r="M39" s="17">
        <v>6.5214953271028042</v>
      </c>
      <c r="N39" s="17">
        <v>5.3067218608318543</v>
      </c>
      <c r="O39" s="17">
        <v>7.104376316405336</v>
      </c>
      <c r="P39" s="17">
        <v>8.2275711159737419</v>
      </c>
      <c r="Q39" s="17">
        <v>7.7289393278044525</v>
      </c>
      <c r="R39" s="37">
        <v>7.5475206611570247</v>
      </c>
      <c r="S39" s="37">
        <v>7.1459450000000002</v>
      </c>
      <c r="T39" s="37">
        <v>7.2654870000000003</v>
      </c>
      <c r="U39" s="37">
        <v>7.5333009999999998</v>
      </c>
    </row>
    <row r="40" spans="1:21">
      <c r="A40" t="str">
        <f>IFERROR(INDEX('2017 Data (WP)'!$C$9:$C$72,MATCH($B40,'2017 Data (WP)'!$D$9:$D$72,0)),"")</f>
        <v/>
      </c>
      <c r="B40" t="s">
        <v>23</v>
      </c>
      <c r="C40" t="s">
        <v>85</v>
      </c>
      <c r="D40" s="35" t="e">
        <f t="shared" ca="1" si="4"/>
        <v>#N/A</v>
      </c>
      <c r="E40" s="35" t="e">
        <f t="shared" ca="1" si="5"/>
        <v>#N/A</v>
      </c>
      <c r="F40" s="35"/>
      <c r="G40" s="52" t="str">
        <f t="shared" ca="1" si="6"/>
        <v>N/A</v>
      </c>
      <c r="H40" s="17" t="s">
        <v>106</v>
      </c>
      <c r="I40" s="17" t="s">
        <v>106</v>
      </c>
      <c r="J40" s="17" t="s">
        <v>106</v>
      </c>
      <c r="K40" s="17" t="s">
        <v>106</v>
      </c>
      <c r="L40" s="17" t="s">
        <v>106</v>
      </c>
      <c r="M40" s="17" t="s">
        <v>106</v>
      </c>
      <c r="N40" s="17" t="s">
        <v>106</v>
      </c>
      <c r="O40" s="17" t="s">
        <v>106</v>
      </c>
      <c r="P40" s="17" t="s">
        <v>106</v>
      </c>
      <c r="Q40" s="17" t="s">
        <v>106</v>
      </c>
      <c r="R40" s="37" t="s">
        <v>106</v>
      </c>
      <c r="S40" s="37">
        <v>6.7337059999999997</v>
      </c>
      <c r="T40" s="37">
        <v>6.5950199999999999</v>
      </c>
      <c r="U40" s="37">
        <v>6.4653359999999997</v>
      </c>
    </row>
    <row r="41" spans="1:21">
      <c r="A41" t="str">
        <f>IFERROR(INDEX('2017 Data (WP)'!$C$9:$C$72,MATCH($B41,'2017 Data (WP)'!$D$9:$D$72,0)),"")</f>
        <v/>
      </c>
      <c r="B41" t="s">
        <v>161</v>
      </c>
      <c r="C41" t="s">
        <v>160</v>
      </c>
      <c r="D41" s="35" t="e">
        <f t="shared" ca="1" si="4"/>
        <v>#N/A</v>
      </c>
      <c r="E41" s="35" t="e">
        <f t="shared" ca="1" si="5"/>
        <v>#N/A</v>
      </c>
      <c r="F41" s="35"/>
      <c r="G41" s="52" t="str">
        <f t="shared" ca="1" si="6"/>
        <v>N/A</v>
      </c>
      <c r="H41" s="17" t="s">
        <v>106</v>
      </c>
      <c r="I41" s="17" t="s">
        <v>106</v>
      </c>
      <c r="J41" s="17" t="s">
        <v>106</v>
      </c>
      <c r="K41" s="17" t="s">
        <v>106</v>
      </c>
      <c r="L41" s="17" t="s">
        <v>106</v>
      </c>
      <c r="M41" s="17" t="s">
        <v>106</v>
      </c>
      <c r="N41" s="17" t="s">
        <v>106</v>
      </c>
      <c r="O41" s="17" t="s">
        <v>106</v>
      </c>
      <c r="P41" s="17" t="s">
        <v>106</v>
      </c>
      <c r="Q41" s="17" t="s">
        <v>106</v>
      </c>
      <c r="R41" s="37">
        <v>13.66813509544787</v>
      </c>
      <c r="S41" s="38" t="s">
        <v>106</v>
      </c>
      <c r="T41" s="38" t="s">
        <v>106</v>
      </c>
      <c r="U41" s="38" t="s">
        <v>106</v>
      </c>
    </row>
    <row r="42" spans="1:21">
      <c r="A42" t="str">
        <f>IFERROR(INDEX('2017 Data (WP)'!$C$9:$C$72,MATCH($B42,'2017 Data (WP)'!$D$9:$D$72,0)),"")</f>
        <v/>
      </c>
      <c r="B42" t="s">
        <v>24</v>
      </c>
      <c r="C42" t="s">
        <v>60</v>
      </c>
      <c r="D42" s="35" t="e">
        <f t="shared" ca="1" si="4"/>
        <v>#N/A</v>
      </c>
      <c r="E42" s="35" t="e">
        <f t="shared" ca="1" si="5"/>
        <v>#N/A</v>
      </c>
      <c r="F42" s="35"/>
      <c r="G42" s="52" t="str">
        <f t="shared" ca="1" si="6"/>
        <v>N/A</v>
      </c>
      <c r="H42" s="17" t="s">
        <v>106</v>
      </c>
      <c r="I42" s="17" t="s">
        <v>106</v>
      </c>
      <c r="J42" s="17" t="s">
        <v>106</v>
      </c>
      <c r="K42" s="17" t="s">
        <v>106</v>
      </c>
      <c r="L42" s="17" t="s">
        <v>106</v>
      </c>
      <c r="M42" s="17" t="s">
        <v>106</v>
      </c>
      <c r="N42" s="17" t="s">
        <v>106</v>
      </c>
      <c r="O42" s="17" t="s">
        <v>106</v>
      </c>
      <c r="P42" s="17" t="s">
        <v>106</v>
      </c>
      <c r="Q42" s="17" t="s">
        <v>106</v>
      </c>
      <c r="R42" s="37">
        <v>7.1101179835538071</v>
      </c>
      <c r="S42" s="37">
        <v>6.9013080000000002</v>
      </c>
      <c r="T42" s="37">
        <v>6.4263430000000001</v>
      </c>
      <c r="U42" s="37">
        <v>6.7717580000000002</v>
      </c>
    </row>
    <row r="43" spans="1:21">
      <c r="A43" t="str">
        <f>IFERROR(INDEX('2017 Data (WP)'!$C$9:$C$72,MATCH($B43,'2017 Data (WP)'!$D$9:$D$72,0)),"")</f>
        <v>Electric Util. (Central)</v>
      </c>
      <c r="B43" t="s">
        <v>25</v>
      </c>
      <c r="C43" t="s">
        <v>61</v>
      </c>
      <c r="D43" s="35">
        <f t="shared" ca="1" si="4"/>
        <v>39</v>
      </c>
      <c r="E43" s="35">
        <f t="shared" ca="1" si="5"/>
        <v>39</v>
      </c>
      <c r="F43" s="35"/>
      <c r="G43" s="52">
        <f t="shared" ca="1" si="6"/>
        <v>15.659071243149697</v>
      </c>
      <c r="H43" s="17">
        <v>12.529994001199759</v>
      </c>
      <c r="I43" s="17">
        <v>11.424520194786595</v>
      </c>
      <c r="J43" s="17">
        <v>11.201158183480645</v>
      </c>
      <c r="K43" s="17">
        <v>10.772773109243698</v>
      </c>
      <c r="L43" s="17">
        <v>9.4788972089857033</v>
      </c>
      <c r="M43" s="17">
        <v>9.0492932221819498</v>
      </c>
      <c r="N43" s="17">
        <v>8.3960843373493983</v>
      </c>
      <c r="O43" s="17">
        <v>8.4240388204553955</v>
      </c>
      <c r="P43" s="17">
        <v>9.2263307598537185</v>
      </c>
      <c r="Q43" s="17">
        <v>9.3011945392491473</v>
      </c>
      <c r="R43" s="37">
        <v>11.727</v>
      </c>
      <c r="S43" s="37">
        <v>11.044409999999999</v>
      </c>
      <c r="T43" s="37">
        <v>10.19708</v>
      </c>
      <c r="U43" s="37">
        <v>8.0936369999999993</v>
      </c>
    </row>
    <row r="44" spans="1:21">
      <c r="A44" t="str">
        <f>IFERROR(INDEX('2017 Data (WP)'!$C$9:$C$72,MATCH($B44,'2017 Data (WP)'!$D$9:$D$72,0)),"")</f>
        <v>Water Utility</v>
      </c>
      <c r="B44" s="31" t="s">
        <v>188</v>
      </c>
      <c r="C44" s="31" t="s">
        <v>187</v>
      </c>
      <c r="D44" s="35">
        <f t="shared" ca="1" si="4"/>
        <v>40</v>
      </c>
      <c r="E44" s="35">
        <f t="shared" ca="1" si="5"/>
        <v>40</v>
      </c>
      <c r="F44" s="35"/>
      <c r="G44" s="52">
        <f t="shared" ca="1" si="6"/>
        <v>16.293738489871085</v>
      </c>
      <c r="H44" s="17">
        <v>11.846544715447155</v>
      </c>
      <c r="I44" s="17">
        <v>11.328633405639913</v>
      </c>
      <c r="J44" s="17">
        <v>11.81315483119907</v>
      </c>
      <c r="K44" s="17">
        <v>12.055305466237941</v>
      </c>
      <c r="L44" s="17">
        <v>12.46584699453552</v>
      </c>
      <c r="M44" s="17">
        <v>11.051712992889465</v>
      </c>
      <c r="N44" s="17">
        <v>10.777777777777779</v>
      </c>
      <c r="O44" s="17">
        <v>11.509470934030045</v>
      </c>
      <c r="P44" s="17">
        <v>12.580040187541861</v>
      </c>
      <c r="Q44" s="17">
        <v>13.97524381095274</v>
      </c>
      <c r="R44" s="57"/>
      <c r="S44" s="58"/>
      <c r="T44" s="58"/>
      <c r="U44" s="58"/>
    </row>
    <row r="45" spans="1:21">
      <c r="A45" t="str">
        <f>IFERROR(INDEX('2017 Data (WP)'!$C$9:$C$72,MATCH($B45,'2017 Data (WP)'!$D$9:$D$72,0)),"")</f>
        <v>Natural Gas Utility</v>
      </c>
      <c r="B45" s="31" t="s">
        <v>190</v>
      </c>
      <c r="C45" s="31" t="s">
        <v>189</v>
      </c>
      <c r="D45" s="35">
        <f t="shared" ca="1" si="4"/>
        <v>41</v>
      </c>
      <c r="E45" s="35">
        <f t="shared" ca="1" si="5"/>
        <v>41</v>
      </c>
      <c r="F45" s="35"/>
      <c r="G45" s="52">
        <f t="shared" ca="1" si="6"/>
        <v>13.936048879837067</v>
      </c>
      <c r="H45" s="17">
        <v>11.711287128712872</v>
      </c>
      <c r="I45" s="17">
        <v>8.9486615328199495</v>
      </c>
      <c r="J45" s="17">
        <v>11.286601138127264</v>
      </c>
      <c r="K45" s="17">
        <v>12.292722371967656</v>
      </c>
      <c r="L45" s="17">
        <v>12.714117647058824</v>
      </c>
      <c r="M45" s="17">
        <v>11.320638820638822</v>
      </c>
      <c r="N45" s="17">
        <v>11.342621912602914</v>
      </c>
      <c r="O45" s="17">
        <v>9.1496410822749858</v>
      </c>
      <c r="P45" s="17">
        <v>13.763934426229509</v>
      </c>
      <c r="Q45" s="17">
        <v>11.00585223116313</v>
      </c>
      <c r="R45" s="57"/>
      <c r="S45" s="58"/>
      <c r="T45" s="58"/>
      <c r="U45" s="58"/>
    </row>
    <row r="46" spans="1:21">
      <c r="A46" t="str">
        <f>IFERROR(INDEX('2017 Data (WP)'!$C$9:$C$72,MATCH($B46,'2017 Data (WP)'!$D$9:$D$72,0)),"")</f>
        <v>Electric Utility (East)</v>
      </c>
      <c r="B46" t="s">
        <v>141</v>
      </c>
      <c r="C46" t="s">
        <v>209</v>
      </c>
      <c r="D46" s="35">
        <f t="shared" ca="1" si="4"/>
        <v>42</v>
      </c>
      <c r="E46" s="35">
        <f t="shared" ca="1" si="5"/>
        <v>42</v>
      </c>
      <c r="F46" s="35"/>
      <c r="G46" s="52">
        <f t="shared" ca="1" si="6"/>
        <v>9.229915188897456</v>
      </c>
      <c r="H46" s="17">
        <v>7.9253754451153426</v>
      </c>
      <c r="I46" s="17">
        <v>7.9842174847132705</v>
      </c>
      <c r="J46" s="17">
        <v>7.5967160212604412</v>
      </c>
      <c r="K46" s="17">
        <v>7.5773658761224949</v>
      </c>
      <c r="L46" s="17">
        <v>5.9845011301259277</v>
      </c>
      <c r="M46" s="17">
        <v>5.33489242282507</v>
      </c>
      <c r="N46" s="17">
        <v>6.0868571428571423</v>
      </c>
      <c r="O46" s="17">
        <v>7.3440069773236978</v>
      </c>
      <c r="P46" s="17">
        <v>9.0182428488032684</v>
      </c>
      <c r="Q46" s="17">
        <v>6.5145516324420152</v>
      </c>
      <c r="R46" s="37">
        <v>6.7148405890920859</v>
      </c>
      <c r="S46" s="37">
        <v>6.7148405890920859</v>
      </c>
      <c r="T46" s="37">
        <v>5.9742903053026248</v>
      </c>
      <c r="U46" s="37">
        <v>5.7684701492537309</v>
      </c>
    </row>
    <row r="47" spans="1:21">
      <c r="A47" t="str">
        <f>IFERROR(INDEX('2017 Data (WP)'!$C$9:$C$72,MATCH($B47,'2017 Data (WP)'!$D$9:$D$72,0)),"")</f>
        <v>Natural Gas Utility</v>
      </c>
      <c r="B47" t="s">
        <v>26</v>
      </c>
      <c r="C47" t="s">
        <v>62</v>
      </c>
      <c r="D47" s="35">
        <f t="shared" ref="D47:D78" ca="1" si="7">MATCH(B47,OFFSET(MarketPrice,0,0,,1),0)</f>
        <v>43</v>
      </c>
      <c r="E47" s="35">
        <f t="shared" ref="E47:E78" ca="1" si="8">MATCH(B47,OFFSET(CashFlow,0,0,,1),0)</f>
        <v>43</v>
      </c>
      <c r="F47" s="35"/>
      <c r="G47" s="52">
        <f t="shared" ca="1" si="6"/>
        <v>8.5609305760709002</v>
      </c>
      <c r="H47" s="17">
        <v>10.381288614298324</v>
      </c>
      <c r="I47" s="17">
        <v>10.564394993045896</v>
      </c>
      <c r="J47" s="17">
        <v>8.7092511013215859</v>
      </c>
      <c r="K47" s="17">
        <v>7.8117421825143589</v>
      </c>
      <c r="L47" s="17">
        <v>6.8133378016085793</v>
      </c>
      <c r="M47" s="17">
        <v>5.0931034482758619</v>
      </c>
      <c r="N47" s="17">
        <v>4.0637867026662171</v>
      </c>
      <c r="O47" s="17">
        <v>4.8725135623869802</v>
      </c>
      <c r="P47" s="17">
        <v>6.6947565543071157</v>
      </c>
      <c r="Q47" s="17">
        <v>6.866394215655454</v>
      </c>
      <c r="R47" s="37">
        <v>7.3603689567430015</v>
      </c>
      <c r="S47" s="37">
        <v>6.0803339999999997</v>
      </c>
      <c r="T47" s="37">
        <v>5.6005190000000002</v>
      </c>
      <c r="U47" s="37">
        <v>5.2161540000000004</v>
      </c>
    </row>
    <row r="48" spans="1:21">
      <c r="A48" t="str">
        <f>IFERROR(INDEX('2017 Data (WP)'!$C$9:$C$72,MATCH($B48,'2017 Data (WP)'!$D$9:$D$72,0)),"")</f>
        <v>Natural Gas Utility</v>
      </c>
      <c r="B48" s="31" t="s">
        <v>192</v>
      </c>
      <c r="C48" s="31" t="s">
        <v>191</v>
      </c>
      <c r="D48" s="35">
        <f t="shared" ca="1" si="7"/>
        <v>44</v>
      </c>
      <c r="E48" s="35">
        <f t="shared" ca="1" si="8"/>
        <v>44</v>
      </c>
      <c r="F48" s="35"/>
      <c r="G48" s="52">
        <f t="shared" ca="1" si="6"/>
        <v>11.574934090448185</v>
      </c>
      <c r="H48" s="17">
        <v>9.4593603585251582</v>
      </c>
      <c r="I48" s="17">
        <v>8.8426988523941432</v>
      </c>
      <c r="J48" s="17">
        <v>8.6148045247072833</v>
      </c>
      <c r="K48" s="17">
        <v>9.4791329011345216</v>
      </c>
      <c r="L48" s="17">
        <v>9.0817182817182829</v>
      </c>
      <c r="M48" s="17">
        <v>8.9357762777242051</v>
      </c>
      <c r="N48" s="17">
        <v>8.2592806308905562</v>
      </c>
      <c r="O48" s="17">
        <v>8.7531562087808545</v>
      </c>
      <c r="P48" s="17">
        <v>8.5409502680717324</v>
      </c>
      <c r="Q48" s="17">
        <v>7.8252100840336132</v>
      </c>
      <c r="R48" s="57"/>
      <c r="S48" s="58"/>
      <c r="T48" s="58"/>
      <c r="U48" s="58"/>
    </row>
    <row r="49" spans="1:21">
      <c r="A49" t="str">
        <f>IFERROR(INDEX('2017 Data (WP)'!$C$9:$C$72,MATCH($B49,'2017 Data (WP)'!$D$9:$D$72,0)),"")</f>
        <v>Electric Utility (West)</v>
      </c>
      <c r="B49" t="str">
        <f>"NWE"</f>
        <v>NWE</v>
      </c>
      <c r="C49" t="s">
        <v>94</v>
      </c>
      <c r="D49" s="35">
        <f t="shared" ca="1" si="7"/>
        <v>45</v>
      </c>
      <c r="E49" s="35">
        <f t="shared" ca="1" si="8"/>
        <v>45</v>
      </c>
      <c r="F49" s="35"/>
      <c r="G49" s="52">
        <f t="shared" ca="1" si="6"/>
        <v>8.647914502003859</v>
      </c>
      <c r="H49" s="17">
        <v>8.9886900742741389</v>
      </c>
      <c r="I49" s="17">
        <v>9.0096510764662217</v>
      </c>
      <c r="J49" s="17">
        <v>7.607300073367572</v>
      </c>
      <c r="K49" s="17">
        <v>6.8546893091470471</v>
      </c>
      <c r="L49" s="17">
        <v>5.8909795240730487</v>
      </c>
      <c r="M49" s="17">
        <v>5.7926112510495376</v>
      </c>
      <c r="N49" s="17">
        <v>5.0469900389779117</v>
      </c>
      <c r="O49" s="17">
        <v>5.5741539859186924</v>
      </c>
      <c r="P49" s="17">
        <v>8.4497840172786169</v>
      </c>
      <c r="Q49" s="17">
        <v>9.3943078198397334</v>
      </c>
      <c r="R49" s="37">
        <v>7.3119839879909936</v>
      </c>
      <c r="S49" s="37">
        <v>8.1297280000000001</v>
      </c>
      <c r="T49" s="38" t="s">
        <v>106</v>
      </c>
      <c r="U49" s="38" t="s">
        <v>106</v>
      </c>
    </row>
    <row r="50" spans="1:21">
      <c r="A50" t="str">
        <f>IFERROR(INDEX('2017 Data (WP)'!$C$9:$C$72,MATCH($B50,'2017 Data (WP)'!$D$9:$D$72,0)),"")</f>
        <v>Electric Util. (Central)</v>
      </c>
      <c r="B50" t="s">
        <v>27</v>
      </c>
      <c r="C50" t="s">
        <v>67</v>
      </c>
      <c r="D50" s="35">
        <f t="shared" ca="1" si="7"/>
        <v>46</v>
      </c>
      <c r="E50" s="35">
        <f t="shared" ca="1" si="8"/>
        <v>46</v>
      </c>
      <c r="F50" s="35"/>
      <c r="G50" s="52">
        <f t="shared" ca="1" si="6"/>
        <v>9.0299184043517666</v>
      </c>
      <c r="H50" s="17">
        <v>9.2496905940594054</v>
      </c>
      <c r="I50" s="17">
        <v>10.649587750294463</v>
      </c>
      <c r="J50" s="17">
        <v>9.9288400347121772</v>
      </c>
      <c r="K50" s="17">
        <v>7.3460601137286758</v>
      </c>
      <c r="L50" s="17">
        <v>7.4802293993359488</v>
      </c>
      <c r="M50" s="17">
        <v>6.6104284290933242</v>
      </c>
      <c r="N50" s="17">
        <v>5.3664804469273744</v>
      </c>
      <c r="O50" s="17">
        <v>6.4339858392336531</v>
      </c>
      <c r="P50" s="17">
        <v>7.5818713450292394</v>
      </c>
      <c r="Q50" s="17">
        <v>7.498657117278424</v>
      </c>
      <c r="R50" s="37">
        <v>7.0365226337448563</v>
      </c>
      <c r="S50" s="37">
        <v>6.7290000000000001</v>
      </c>
      <c r="T50" s="37">
        <v>5.6171150000000001</v>
      </c>
      <c r="U50" s="37">
        <v>5.3884740000000004</v>
      </c>
    </row>
    <row r="51" spans="1:21">
      <c r="A51" t="str">
        <f>IFERROR(INDEX('2017 Data (WP)'!$C$9:$C$72,MATCH($B51,'2017 Data (WP)'!$D$9:$D$72,0)),"")</f>
        <v>Natural Gas Utility</v>
      </c>
      <c r="B51" t="s">
        <v>353</v>
      </c>
      <c r="C51" t="s">
        <v>356</v>
      </c>
      <c r="D51" s="35">
        <f t="shared" ca="1" si="7"/>
        <v>47</v>
      </c>
      <c r="E51" s="35">
        <f t="shared" ca="1" si="8"/>
        <v>47</v>
      </c>
      <c r="F51" s="35"/>
      <c r="G51" s="52">
        <f t="shared" ref="G51:Q51" ca="1" si="9">IFERROR(INDEX(MarketPrice,$D51,G$2)/INDEX(CashFlow,$E51,G$2),"N/A")</f>
        <v>11.095010127048425</v>
      </c>
      <c r="H51" s="52">
        <f t="shared" ca="1" si="9"/>
        <v>9.1913746630727751</v>
      </c>
      <c r="I51" s="52">
        <f t="shared" ca="1" si="9"/>
        <v>8.1605484298982756</v>
      </c>
      <c r="J51" s="52" t="str">
        <f t="shared" ca="1" si="9"/>
        <v>N/A</v>
      </c>
      <c r="K51" s="52" t="str">
        <f t="shared" ca="1" si="9"/>
        <v>N/A</v>
      </c>
      <c r="L51" s="52" t="str">
        <f t="shared" ca="1" si="9"/>
        <v>N/A</v>
      </c>
      <c r="M51" s="52" t="str">
        <f t="shared" ca="1" si="9"/>
        <v>N/A</v>
      </c>
      <c r="N51" s="52" t="str">
        <f t="shared" ca="1" si="9"/>
        <v>N/A</v>
      </c>
      <c r="O51" s="52" t="str">
        <f t="shared" ca="1" si="9"/>
        <v>N/A</v>
      </c>
      <c r="P51" s="52" t="str">
        <f t="shared" ca="1" si="9"/>
        <v>N/A</v>
      </c>
      <c r="Q51" s="52" t="str">
        <f t="shared" ca="1" si="9"/>
        <v>N/A</v>
      </c>
      <c r="R51" s="37"/>
      <c r="S51" s="37"/>
      <c r="T51" s="37"/>
      <c r="U51" s="37"/>
    </row>
    <row r="52" spans="1:21">
      <c r="A52" t="str">
        <f>IFERROR(INDEX('2017 Data (WP)'!$C$9:$C$72,MATCH($B52,'2017 Data (WP)'!$D$9:$D$72,0)),"")</f>
        <v>Electric Util. (Central)</v>
      </c>
      <c r="B52" t="s">
        <v>28</v>
      </c>
      <c r="C52" t="s">
        <v>68</v>
      </c>
      <c r="D52" s="35">
        <f t="shared" ca="1" si="7"/>
        <v>48</v>
      </c>
      <c r="E52" s="35">
        <f t="shared" ca="1" si="8"/>
        <v>48</v>
      </c>
      <c r="F52" s="35"/>
      <c r="G52" s="52">
        <f t="shared" ca="1" si="6"/>
        <v>9.3839674702294502</v>
      </c>
      <c r="H52" s="17">
        <v>9.0356460852959906</v>
      </c>
      <c r="I52" s="17">
        <v>9.4525736484299134</v>
      </c>
      <c r="J52" s="17">
        <v>9.5807947019867559</v>
      </c>
      <c r="K52" s="17">
        <v>8.430047988187523</v>
      </c>
      <c r="L52" s="17">
        <v>9.03849407783418</v>
      </c>
      <c r="M52" s="17">
        <v>8.0651001540832059</v>
      </c>
      <c r="N52" s="17">
        <v>8.0097755249818974</v>
      </c>
      <c r="O52" s="17">
        <v>11.65457132692992</v>
      </c>
      <c r="P52" s="17">
        <v>9.5285674078243723</v>
      </c>
      <c r="Q52" s="17">
        <v>8.6563330380868013</v>
      </c>
      <c r="R52" s="37">
        <v>8.1753653444676395</v>
      </c>
      <c r="S52" s="37">
        <v>9.0128249999999994</v>
      </c>
      <c r="T52" s="37">
        <v>8.1296970000000002</v>
      </c>
      <c r="U52" s="37">
        <v>8.3335279999999994</v>
      </c>
    </row>
    <row r="53" spans="1:21">
      <c r="A53" t="str">
        <f>IFERROR(INDEX('2017 Data (WP)'!$C$9:$C$72,MATCH($B53,'2017 Data (WP)'!$D$9:$D$72,0)),"")</f>
        <v/>
      </c>
      <c r="B53" t="s">
        <v>29</v>
      </c>
      <c r="C53" t="s">
        <v>73</v>
      </c>
      <c r="D53" s="35" t="e">
        <f t="shared" ca="1" si="7"/>
        <v>#N/A</v>
      </c>
      <c r="E53" s="35" t="e">
        <f t="shared" ca="1" si="8"/>
        <v>#N/A</v>
      </c>
      <c r="F53" s="35"/>
      <c r="G53" s="52" t="str">
        <f t="shared" ca="1" si="6"/>
        <v>N/A</v>
      </c>
      <c r="H53" s="17" t="s">
        <v>106</v>
      </c>
      <c r="I53" s="17" t="s">
        <v>106</v>
      </c>
      <c r="J53" s="17" t="s">
        <v>106</v>
      </c>
      <c r="K53" s="17" t="s">
        <v>106</v>
      </c>
      <c r="L53" s="17" t="s">
        <v>106</v>
      </c>
      <c r="M53" s="17" t="s">
        <v>106</v>
      </c>
      <c r="N53" s="17" t="s">
        <v>106</v>
      </c>
      <c r="O53" s="17" t="s">
        <v>106</v>
      </c>
      <c r="P53" s="17" t="s">
        <v>106</v>
      </c>
      <c r="Q53" s="17" t="s">
        <v>106</v>
      </c>
      <c r="R53" s="37" t="s">
        <v>106</v>
      </c>
      <c r="S53" s="37">
        <v>5.3380929999999998</v>
      </c>
      <c r="T53" s="37">
        <v>4.7405369999999998</v>
      </c>
      <c r="U53" s="37">
        <v>6.4597629999999997</v>
      </c>
    </row>
    <row r="54" spans="1:21">
      <c r="A54" t="str">
        <f>IFERROR(INDEX('2017 Data (WP)'!$C$9:$C$72,MATCH($B54,'2017 Data (WP)'!$D$9:$D$72,0)),"")</f>
        <v>Electric Utility (West)</v>
      </c>
      <c r="B54" t="s">
        <v>30</v>
      </c>
      <c r="C54" t="s">
        <v>71</v>
      </c>
      <c r="D54" s="35">
        <f t="shared" ca="1" si="7"/>
        <v>49</v>
      </c>
      <c r="E54" s="35">
        <f t="shared" ca="1" si="8"/>
        <v>49</v>
      </c>
      <c r="F54" s="35"/>
      <c r="G54" s="52">
        <f t="shared" ca="1" si="6"/>
        <v>7.2637589600291577</v>
      </c>
      <c r="H54" s="17">
        <v>7.2443743139407237</v>
      </c>
      <c r="I54" s="17">
        <v>5.6468634686346855</v>
      </c>
      <c r="J54" s="17">
        <v>6.8407834465329325</v>
      </c>
      <c r="K54" s="17">
        <v>5.8574357572443958</v>
      </c>
      <c r="L54" s="17">
        <v>5.3151515151515145</v>
      </c>
      <c r="M54" s="17">
        <v>5.4195549069682594</v>
      </c>
      <c r="N54" s="17">
        <v>4.7112465638819163</v>
      </c>
      <c r="O54" s="17">
        <v>4.6108543666311173</v>
      </c>
      <c r="P54" s="17">
        <v>5.8399002493765586</v>
      </c>
      <c r="Q54" s="17">
        <v>5.2815884476534292</v>
      </c>
      <c r="R54" s="37">
        <v>5.069493191071178</v>
      </c>
      <c r="S54" s="37">
        <v>5.1284159999999996</v>
      </c>
      <c r="T54" s="37">
        <v>4.0549770000000001</v>
      </c>
      <c r="U54" s="37">
        <v>14.685969999999999</v>
      </c>
    </row>
    <row r="55" spans="1:21">
      <c r="A55" t="str">
        <f>IFERROR(INDEX('2017 Data (WP)'!$C$9:$C$72,MATCH($B55,'2017 Data (WP)'!$D$9:$D$72,0)),"")</f>
        <v>Electric Utility (West)</v>
      </c>
      <c r="B55" t="s">
        <v>31</v>
      </c>
      <c r="C55" t="s">
        <v>72</v>
      </c>
      <c r="D55" s="35">
        <f t="shared" ca="1" si="7"/>
        <v>50</v>
      </c>
      <c r="E55" s="35">
        <f t="shared" ca="1" si="8"/>
        <v>50</v>
      </c>
      <c r="F55" s="35"/>
      <c r="G55" s="52">
        <f t="shared" ca="1" si="6"/>
        <v>7.8861312313591814</v>
      </c>
      <c r="H55" s="17">
        <v>6.9145308546914537</v>
      </c>
      <c r="I55" s="17">
        <v>7.033391046252782</v>
      </c>
      <c r="J55" s="17">
        <v>6.8530782438067206</v>
      </c>
      <c r="K55" s="17">
        <v>6.3436512950094759</v>
      </c>
      <c r="L55" s="17">
        <v>5.8035619351408823</v>
      </c>
      <c r="M55" s="17">
        <v>5.6503139144400638</v>
      </c>
      <c r="N55" s="17">
        <v>3.8445159692993318</v>
      </c>
      <c r="O55" s="17">
        <v>4.1873616916646181</v>
      </c>
      <c r="P55" s="17">
        <v>4.7558377273216399</v>
      </c>
      <c r="Q55" s="17">
        <v>4.4759694719471952</v>
      </c>
      <c r="R55" s="37">
        <v>7.479257073424753</v>
      </c>
      <c r="S55" s="37">
        <v>5.8802649999999996</v>
      </c>
      <c r="T55" s="37">
        <v>4.8030030000000004</v>
      </c>
      <c r="U55" s="37">
        <v>5.2054470000000004</v>
      </c>
    </row>
    <row r="56" spans="1:21">
      <c r="A56" t="str">
        <f>IFERROR(INDEX('2017 Data (WP)'!$C$9:$C$72,MATCH($B56,'2017 Data (WP)'!$D$9:$D$72,0)),"")</f>
        <v>Electric Utility (West)</v>
      </c>
      <c r="B56" t="s">
        <v>32</v>
      </c>
      <c r="C56" t="s">
        <v>74</v>
      </c>
      <c r="D56" s="35">
        <f t="shared" ca="1" si="7"/>
        <v>51</v>
      </c>
      <c r="E56" s="35">
        <f t="shared" ca="1" si="8"/>
        <v>51</v>
      </c>
      <c r="F56" s="35"/>
      <c r="G56" s="52">
        <f t="shared" ca="1" si="6"/>
        <v>7.6435412286848878</v>
      </c>
      <c r="H56" s="17">
        <v>6.9454499748617398</v>
      </c>
      <c r="I56" s="17">
        <v>7.4806629834254137</v>
      </c>
      <c r="J56" s="17">
        <v>6.4745231995445494</v>
      </c>
      <c r="K56" s="17">
        <v>5.8023668639053252</v>
      </c>
      <c r="L56" s="17">
        <v>4.9386406544996859</v>
      </c>
      <c r="M56" s="17">
        <v>4.5815523059617549</v>
      </c>
      <c r="N56" s="17">
        <v>4.5271786022433131</v>
      </c>
      <c r="O56" s="17">
        <v>7.1007972665148058</v>
      </c>
      <c r="P56" s="17">
        <v>10.670736510437179</v>
      </c>
      <c r="Q56" s="17">
        <v>7.4967814161768827</v>
      </c>
      <c r="R56" s="37">
        <v>7.6200112422709383</v>
      </c>
      <c r="S56" s="37">
        <v>6.8385860000000003</v>
      </c>
      <c r="T56" s="37">
        <v>5.5484400000000003</v>
      </c>
      <c r="U56" s="37">
        <v>5.7152950000000002</v>
      </c>
    </row>
    <row r="57" spans="1:21">
      <c r="A57" t="str">
        <f>IFERROR(INDEX('2017 Data (WP)'!$C$9:$C$72,MATCH($B57,'2017 Data (WP)'!$D$9:$D$72,0)),"")</f>
        <v>Electric Utility (West)</v>
      </c>
      <c r="B57" t="s">
        <v>33</v>
      </c>
      <c r="C57" t="s">
        <v>92</v>
      </c>
      <c r="D57" s="35">
        <f t="shared" ca="1" si="7"/>
        <v>52</v>
      </c>
      <c r="E57" s="35">
        <f t="shared" ca="1" si="8"/>
        <v>52</v>
      </c>
      <c r="F57" s="35"/>
      <c r="G57" s="52">
        <f t="shared" ca="1" si="6"/>
        <v>7.1232047066966606</v>
      </c>
      <c r="H57" s="17">
        <v>6.7269173492181684</v>
      </c>
      <c r="I57" s="17">
        <v>5.4877567789646671</v>
      </c>
      <c r="J57" s="17">
        <v>6.0602434077079108</v>
      </c>
      <c r="K57" s="17">
        <v>5.0777000777000785</v>
      </c>
      <c r="L57" s="17">
        <v>4.8601652226475922</v>
      </c>
      <c r="M57" s="17">
        <v>4.1327800829875523</v>
      </c>
      <c r="N57" s="17">
        <v>4.6343081838289502</v>
      </c>
      <c r="O57" s="17">
        <v>4.8050487908358077</v>
      </c>
      <c r="P57" s="17">
        <v>5.3364019946298429</v>
      </c>
      <c r="Q57" s="17">
        <v>5.7368534482758626</v>
      </c>
      <c r="R57" s="37" t="s">
        <v>106</v>
      </c>
      <c r="S57" s="38" t="s">
        <v>106</v>
      </c>
      <c r="T57" s="38" t="s">
        <v>106</v>
      </c>
      <c r="U57" s="38" t="s">
        <v>106</v>
      </c>
    </row>
    <row r="58" spans="1:21">
      <c r="A58" t="str">
        <f>IFERROR(INDEX('2017 Data (WP)'!$C$9:$C$72,MATCH($B58,'2017 Data (WP)'!$D$9:$D$72,0)),"")</f>
        <v>Electric Utility (East)</v>
      </c>
      <c r="B58" t="s">
        <v>34</v>
      </c>
      <c r="C58" t="s">
        <v>70</v>
      </c>
      <c r="D58" s="35">
        <f t="shared" ca="1" si="7"/>
        <v>53</v>
      </c>
      <c r="E58" s="35">
        <f t="shared" ca="1" si="8"/>
        <v>53</v>
      </c>
      <c r="F58" s="35"/>
      <c r="G58" s="52">
        <f t="shared" ca="1" si="6"/>
        <v>8.3669939223936414</v>
      </c>
      <c r="H58" s="17">
        <v>8.7315329626687834</v>
      </c>
      <c r="I58" s="17">
        <v>7.3180428134556577</v>
      </c>
      <c r="J58" s="17">
        <v>6.58935115326579</v>
      </c>
      <c r="K58" s="17">
        <v>5.8655514250309793</v>
      </c>
      <c r="L58" s="17">
        <v>5.9795206971677564</v>
      </c>
      <c r="M58" s="17">
        <v>7.4642076502732237</v>
      </c>
      <c r="N58" s="17">
        <v>8.821645021645022</v>
      </c>
      <c r="O58" s="17">
        <v>9.1652173913043473</v>
      </c>
      <c r="P58" s="17">
        <v>8.9002156439913733</v>
      </c>
      <c r="Q58" s="17">
        <v>7.5813571260859351</v>
      </c>
      <c r="R58" s="37">
        <v>7.5679269882659712</v>
      </c>
      <c r="S58" s="37">
        <v>6.493322</v>
      </c>
      <c r="T58" s="37">
        <v>5.4071610000000003</v>
      </c>
      <c r="U58" s="37">
        <v>5.3008740000000003</v>
      </c>
    </row>
    <row r="59" spans="1:21">
      <c r="A59" t="str">
        <f>IFERROR(INDEX('2017 Data (WP)'!$C$9:$C$72,MATCH($B59,'2017 Data (WP)'!$D$9:$D$72,0)),"")</f>
        <v>Electric Utility (East)</v>
      </c>
      <c r="B59" t="s">
        <v>35</v>
      </c>
      <c r="C59" t="s">
        <v>75</v>
      </c>
      <c r="D59" s="35">
        <f t="shared" ca="1" si="7"/>
        <v>54</v>
      </c>
      <c r="E59" s="35">
        <f t="shared" ca="1" si="8"/>
        <v>54</v>
      </c>
      <c r="F59" s="35"/>
      <c r="G59" s="52">
        <f t="shared" ca="1" si="6"/>
        <v>8.5649773220272145</v>
      </c>
      <c r="H59" s="17">
        <v>6.6634130470148039</v>
      </c>
      <c r="I59" s="17">
        <v>6.4780144280316048</v>
      </c>
      <c r="J59" s="17">
        <v>6.4036786060019368</v>
      </c>
      <c r="K59" s="17">
        <v>6.4006153846153842</v>
      </c>
      <c r="L59" s="17">
        <v>6.0311567164179101</v>
      </c>
      <c r="M59" s="17">
        <v>6.0390817681654339</v>
      </c>
      <c r="N59" s="17">
        <v>6.2038523274478337</v>
      </c>
      <c r="O59" s="17">
        <v>8.4593843522873033</v>
      </c>
      <c r="P59" s="17">
        <v>9.8315741165672321</v>
      </c>
      <c r="Q59" s="17">
        <v>8.4095213718965969</v>
      </c>
      <c r="R59" s="37">
        <v>8.5944997074312468</v>
      </c>
      <c r="S59" s="37">
        <v>7.1653440000000002</v>
      </c>
      <c r="T59" s="37">
        <v>6.7910959999999996</v>
      </c>
      <c r="U59" s="37">
        <v>6.2383800000000003</v>
      </c>
    </row>
    <row r="60" spans="1:21">
      <c r="A60" t="str">
        <f>IFERROR(INDEX('2017 Data (WP)'!$C$9:$C$72,MATCH($B60,'2017 Data (WP)'!$D$9:$D$72,0)),"")</f>
        <v>Electric Utility (East)</v>
      </c>
      <c r="B60" t="s">
        <v>36</v>
      </c>
      <c r="C60" t="s">
        <v>76</v>
      </c>
      <c r="D60" s="35">
        <f t="shared" ca="1" si="7"/>
        <v>56</v>
      </c>
      <c r="E60" s="35">
        <f t="shared" ca="1" si="8"/>
        <v>56</v>
      </c>
      <c r="F60" s="35"/>
      <c r="G60" s="52">
        <f t="shared" ca="1" si="6"/>
        <v>9.5910775566231976</v>
      </c>
      <c r="H60" s="17">
        <v>8.3345763723150359</v>
      </c>
      <c r="I60" s="17">
        <v>7.5013024602026048</v>
      </c>
      <c r="J60" s="17">
        <v>7.4871402327005505</v>
      </c>
      <c r="K60" s="17">
        <v>7.3960019038553071</v>
      </c>
      <c r="L60" s="17">
        <v>6.7523698652918673</v>
      </c>
      <c r="M60" s="17">
        <v>6.5238659444820577</v>
      </c>
      <c r="N60" s="17">
        <v>5.8802129547471162</v>
      </c>
      <c r="O60" s="17">
        <v>6.3791396381017416</v>
      </c>
      <c r="P60" s="17">
        <v>7.1470177886292294</v>
      </c>
      <c r="Q60" s="17">
        <v>7.0274502903396092</v>
      </c>
      <c r="R60" s="37">
        <v>5.4041722745625842</v>
      </c>
      <c r="S60" s="37">
        <v>6.8624739999999997</v>
      </c>
      <c r="T60" s="37">
        <v>6.5898159999999999</v>
      </c>
      <c r="U60" s="37">
        <v>6.3557940000000004</v>
      </c>
    </row>
    <row r="61" spans="1:21">
      <c r="A61" t="str">
        <f>IFERROR(INDEX('2017 Data (WP)'!$C$9:$C$72,MATCH($B61,'2017 Data (WP)'!$D$9:$D$72,0)),"")</f>
        <v>Electric Utility (West)</v>
      </c>
      <c r="B61" t="s">
        <v>37</v>
      </c>
      <c r="C61" t="s">
        <v>54</v>
      </c>
      <c r="D61" s="35">
        <f t="shared" ca="1" si="7"/>
        <v>57</v>
      </c>
      <c r="E61" s="35">
        <f t="shared" ca="1" si="8"/>
        <v>57</v>
      </c>
      <c r="F61" s="35"/>
      <c r="G61" s="52">
        <f t="shared" ca="1" si="6"/>
        <v>10.880185302168879</v>
      </c>
      <c r="H61" s="17">
        <v>9.9947684557256355</v>
      </c>
      <c r="I61" s="17">
        <v>10.766000425260472</v>
      </c>
      <c r="J61" s="17">
        <v>9.3668245376635095</v>
      </c>
      <c r="K61" s="17">
        <v>7.2571716718960122</v>
      </c>
      <c r="L61" s="17">
        <v>6.1345458785123004</v>
      </c>
      <c r="M61" s="17">
        <v>6.5281072717895814</v>
      </c>
      <c r="N61" s="17">
        <v>6.0718871962734484</v>
      </c>
      <c r="O61" s="17">
        <v>7.0656934306569346</v>
      </c>
      <c r="P61" s="17">
        <v>8.6065195442088562</v>
      </c>
      <c r="Q61" s="17">
        <v>7.222090261282661</v>
      </c>
      <c r="R61" s="37">
        <v>6.9599329421626148</v>
      </c>
      <c r="S61" s="37">
        <v>5.163653</v>
      </c>
      <c r="T61" s="37">
        <v>4.8501799999999999</v>
      </c>
      <c r="U61" s="37">
        <v>3.9982500000000001</v>
      </c>
    </row>
    <row r="62" spans="1:21">
      <c r="A62" t="str">
        <f>IFERROR(INDEX('2017 Data (WP)'!$C$9:$C$72,MATCH($B62,'2017 Data (WP)'!$D$9:$D$72,0)),"")</f>
        <v/>
      </c>
      <c r="B62" t="s">
        <v>64</v>
      </c>
      <c r="C62" t="s">
        <v>63</v>
      </c>
      <c r="D62" s="35" t="e">
        <f t="shared" ca="1" si="7"/>
        <v>#N/A</v>
      </c>
      <c r="E62" s="35" t="e">
        <f t="shared" ca="1" si="8"/>
        <v>#N/A</v>
      </c>
      <c r="F62" s="35"/>
      <c r="G62" s="52" t="str">
        <f t="shared" ca="1" si="6"/>
        <v>N/A</v>
      </c>
      <c r="H62" s="17" t="s">
        <v>106</v>
      </c>
      <c r="I62" s="17" t="s">
        <v>106</v>
      </c>
      <c r="J62" s="17" t="s">
        <v>106</v>
      </c>
      <c r="K62" s="17" t="s">
        <v>106</v>
      </c>
      <c r="L62" s="17" t="s">
        <v>106</v>
      </c>
      <c r="M62" s="17" t="s">
        <v>106</v>
      </c>
      <c r="N62" s="17" t="s">
        <v>106</v>
      </c>
      <c r="O62" s="17" t="s">
        <v>106</v>
      </c>
      <c r="P62" s="17" t="s">
        <v>106</v>
      </c>
      <c r="Q62" s="17" t="s">
        <v>106</v>
      </c>
      <c r="R62" s="37" t="s">
        <v>106</v>
      </c>
      <c r="S62" s="37">
        <v>1.8034870000000001</v>
      </c>
      <c r="T62" s="37">
        <v>1.884924</v>
      </c>
      <c r="U62" s="37">
        <v>-7.0251169999999998</v>
      </c>
    </row>
    <row r="63" spans="1:21">
      <c r="A63" t="str">
        <f>IFERROR(INDEX('2017 Data (WP)'!$C$9:$C$72,MATCH($B63,'2017 Data (WP)'!$D$9:$D$72,0)),"")</f>
        <v>Water Utility</v>
      </c>
      <c r="B63" s="31" t="s">
        <v>196</v>
      </c>
      <c r="C63" s="31" t="s">
        <v>195</v>
      </c>
      <c r="D63" s="35">
        <f t="shared" ca="1" si="7"/>
        <v>58</v>
      </c>
      <c r="E63" s="35">
        <f t="shared" ca="1" si="8"/>
        <v>58</v>
      </c>
      <c r="F63" s="35"/>
      <c r="G63" s="52">
        <f t="shared" ca="1" si="6"/>
        <v>8.4547743966421827</v>
      </c>
      <c r="H63" s="17">
        <v>7.9823697173969403</v>
      </c>
      <c r="I63" s="17">
        <v>6.4265038444142926</v>
      </c>
      <c r="J63" s="17">
        <v>9.3993103448275868</v>
      </c>
      <c r="K63" s="17">
        <v>8.0970350404312672</v>
      </c>
      <c r="L63" s="17">
        <v>8.3909318100678316</v>
      </c>
      <c r="M63" s="17">
        <v>10.28721614802355</v>
      </c>
      <c r="N63" s="17">
        <v>10.525838621940164</v>
      </c>
      <c r="O63" s="17">
        <v>11.675697865353039</v>
      </c>
      <c r="P63" s="17">
        <v>15.134523291249456</v>
      </c>
      <c r="Q63" s="17">
        <v>11.749265014699708</v>
      </c>
      <c r="R63" s="57"/>
      <c r="S63" s="58"/>
      <c r="T63" s="58"/>
      <c r="U63" s="58"/>
    </row>
    <row r="64" spans="1:21">
      <c r="A64" t="str">
        <f>IFERROR(INDEX('2017 Data (WP)'!$C$9:$C$72,MATCH($B64,'2017 Data (WP)'!$D$9:$D$72,0)),"")</f>
        <v>Natural Gas Utility</v>
      </c>
      <c r="B64" s="31" t="s">
        <v>198</v>
      </c>
      <c r="C64" s="31" t="s">
        <v>197</v>
      </c>
      <c r="D64" s="35">
        <f t="shared" ca="1" si="7"/>
        <v>59</v>
      </c>
      <c r="E64" s="35">
        <f t="shared" ca="1" si="8"/>
        <v>59</v>
      </c>
      <c r="F64" s="35"/>
      <c r="G64" s="52">
        <f t="shared" ca="1" si="6"/>
        <v>10.877383177570096</v>
      </c>
      <c r="H64" s="17">
        <v>10.697847682119205</v>
      </c>
      <c r="I64" s="17">
        <v>10.566454511418945</v>
      </c>
      <c r="J64" s="17">
        <v>11.566235864297255</v>
      </c>
      <c r="K64" s="17">
        <v>10.945392491467578</v>
      </c>
      <c r="L64" s="17">
        <v>11.975784753363229</v>
      </c>
      <c r="M64" s="17">
        <v>10.784220532319392</v>
      </c>
      <c r="N64" s="17">
        <v>9.5734265734265733</v>
      </c>
      <c r="O64" s="17">
        <v>10.381472957422325</v>
      </c>
      <c r="P64" s="17">
        <v>11.228267667292059</v>
      </c>
      <c r="Q64" s="17">
        <v>8.3200228180262421</v>
      </c>
      <c r="R64" s="57"/>
      <c r="S64" s="58"/>
      <c r="T64" s="58"/>
      <c r="U64" s="58"/>
    </row>
    <row r="65" spans="1:21">
      <c r="A65" t="str">
        <f>IFERROR(INDEX('2017 Data (WP)'!$C$9:$C$72,MATCH($B65,'2017 Data (WP)'!$D$9:$D$72,0)),"")</f>
        <v>Electric Utility (East)</v>
      </c>
      <c r="B65" t="s">
        <v>38</v>
      </c>
      <c r="C65" t="s">
        <v>77</v>
      </c>
      <c r="D65" s="35">
        <f t="shared" ca="1" si="7"/>
        <v>60</v>
      </c>
      <c r="E65" s="35">
        <f t="shared" ca="1" si="8"/>
        <v>60</v>
      </c>
      <c r="F65" s="35"/>
      <c r="G65" s="52">
        <f t="shared" ca="1" si="6"/>
        <v>8.832337434094903</v>
      </c>
      <c r="H65" s="17">
        <v>8.2270151709011152</v>
      </c>
      <c r="I65" s="17">
        <v>8.4186398939193037</v>
      </c>
      <c r="J65" s="17">
        <v>8.2988985947588301</v>
      </c>
      <c r="K65" s="17">
        <v>8.7459459459459463</v>
      </c>
      <c r="L65" s="17">
        <v>8.2234432234432226</v>
      </c>
      <c r="M65" s="17">
        <v>7.7901617549302014</v>
      </c>
      <c r="N65" s="17">
        <v>7.0776173285198549</v>
      </c>
      <c r="O65" s="17">
        <v>8.1835814163283711</v>
      </c>
      <c r="P65" s="17">
        <v>8.6184834123222753</v>
      </c>
      <c r="Q65" s="17">
        <v>8.4714677298778973</v>
      </c>
      <c r="R65" s="37">
        <v>8.4108161746464916</v>
      </c>
      <c r="S65" s="37">
        <v>8.2763340000000003</v>
      </c>
      <c r="T65" s="37">
        <v>8.2793989999999997</v>
      </c>
      <c r="U65" s="37">
        <v>7.832465</v>
      </c>
    </row>
    <row r="66" spans="1:21">
      <c r="A66" t="str">
        <f>IFERROR(INDEX('2017 Data (WP)'!$C$9:$C$72,MATCH($B66,'2017 Data (WP)'!$D$9:$D$72,0)),"")</f>
        <v>Natural Gas Utility</v>
      </c>
      <c r="B66" s="31" t="s">
        <v>200</v>
      </c>
      <c r="C66" s="31" t="s">
        <v>199</v>
      </c>
      <c r="D66" s="35">
        <f t="shared" ca="1" si="7"/>
        <v>61</v>
      </c>
      <c r="E66" s="35">
        <f t="shared" ca="1" si="8"/>
        <v>61</v>
      </c>
      <c r="F66" s="35"/>
      <c r="G66" s="52">
        <f t="shared" ca="1" si="6"/>
        <v>7.4075987514799264</v>
      </c>
      <c r="H66" s="17">
        <v>6.5555040018559332</v>
      </c>
      <c r="I66" s="17">
        <v>6.3454910292728997</v>
      </c>
      <c r="J66" s="17">
        <v>5.9443231441048043</v>
      </c>
      <c r="K66" s="17">
        <v>5.5499935325313672</v>
      </c>
      <c r="L66" s="17">
        <v>5.6010872759330006</v>
      </c>
      <c r="M66" s="17">
        <v>4.9079089924160346</v>
      </c>
      <c r="N66" s="17">
        <v>3.844379467186485</v>
      </c>
      <c r="O66" s="17">
        <v>4.8887732083984039</v>
      </c>
      <c r="P66" s="17">
        <v>5.4208407150909972</v>
      </c>
      <c r="Q66" s="17">
        <v>5.284876905041032</v>
      </c>
      <c r="R66" s="57"/>
      <c r="S66" s="58"/>
      <c r="T66" s="58"/>
      <c r="U66" s="58"/>
    </row>
    <row r="67" spans="1:21">
      <c r="A67" t="str">
        <f>IFERROR(INDEX('2017 Data (WP)'!$C$9:$C$72,MATCH($B67,'2017 Data (WP)'!$D$9:$D$72,0)),"")</f>
        <v>Natural Gas Utility</v>
      </c>
      <c r="B67" s="31" t="s">
        <v>244</v>
      </c>
      <c r="C67" s="31" t="s">
        <v>243</v>
      </c>
      <c r="D67" s="35">
        <f t="shared" ca="1" si="7"/>
        <v>62</v>
      </c>
      <c r="E67" s="35">
        <f t="shared" ca="1" si="8"/>
        <v>62</v>
      </c>
      <c r="F67" s="35"/>
      <c r="G67" s="52">
        <f t="shared" ca="1" si="6"/>
        <v>10.319909061383566</v>
      </c>
      <c r="H67" s="17">
        <v>8.4657133571660701</v>
      </c>
      <c r="I67" s="17">
        <v>12.031290405999483</v>
      </c>
      <c r="J67" s="17">
        <v>13.755847484780519</v>
      </c>
      <c r="K67" s="17">
        <v>8.8010471204188487</v>
      </c>
      <c r="L67" s="17">
        <v>8.079904720658293</v>
      </c>
      <c r="M67" s="17">
        <v>8.1248478948649296</v>
      </c>
      <c r="N67" s="17">
        <v>8.579328505595786</v>
      </c>
      <c r="O67" s="17">
        <v>8.9523809523809508</v>
      </c>
      <c r="P67" s="17">
        <v>8.4581827568404755</v>
      </c>
      <c r="Q67" s="17">
        <v>8.4618009976371749</v>
      </c>
      <c r="R67" s="57"/>
      <c r="S67" s="58"/>
      <c r="T67" s="58"/>
      <c r="U67" s="58"/>
    </row>
    <row r="68" spans="1:21">
      <c r="A68" t="str">
        <f>IFERROR(INDEX('2017 Data (WP)'!$C$9:$C$72,MATCH($B68,'2017 Data (WP)'!$D$9:$D$72,0)),"")</f>
        <v/>
      </c>
      <c r="B68" t="s">
        <v>39</v>
      </c>
      <c r="C68" t="s">
        <v>78</v>
      </c>
      <c r="D68" s="35" t="e">
        <f t="shared" ca="1" si="7"/>
        <v>#N/A</v>
      </c>
      <c r="E68" s="35" t="e">
        <f t="shared" ca="1" si="8"/>
        <v>#N/A</v>
      </c>
      <c r="F68" s="35"/>
      <c r="G68" s="52" t="str">
        <f t="shared" ca="1" si="6"/>
        <v>N/A</v>
      </c>
      <c r="H68" s="17" t="s">
        <v>106</v>
      </c>
      <c r="I68" s="17" t="s">
        <v>106</v>
      </c>
      <c r="J68" s="17" t="s">
        <v>106</v>
      </c>
      <c r="K68" s="17" t="s">
        <v>106</v>
      </c>
      <c r="L68" s="17" t="s">
        <v>106</v>
      </c>
      <c r="M68" s="17" t="s">
        <v>106</v>
      </c>
      <c r="N68" s="17" t="s">
        <v>106</v>
      </c>
      <c r="O68" s="17" t="s">
        <v>106</v>
      </c>
      <c r="P68" s="17" t="s">
        <v>106</v>
      </c>
      <c r="Q68" s="17" t="s">
        <v>106</v>
      </c>
      <c r="R68" s="37">
        <v>7.2119037568594342</v>
      </c>
      <c r="S68" s="37">
        <v>6.4092609999999999</v>
      </c>
      <c r="T68" s="37">
        <v>6.3931490000000002</v>
      </c>
      <c r="U68" s="37">
        <v>6.681349</v>
      </c>
    </row>
    <row r="69" spans="1:21">
      <c r="A69" t="str">
        <f>IFERROR(INDEX('2017 Data (WP)'!$C$9:$C$72,MATCH($B69,'2017 Data (WP)'!$D$9:$D$72,0)),"")</f>
        <v>Natural Gas Utility</v>
      </c>
      <c r="B69" s="31" t="s">
        <v>204</v>
      </c>
      <c r="C69" s="31" t="s">
        <v>203</v>
      </c>
      <c r="D69" s="35">
        <f t="shared" ca="1" si="7"/>
        <v>64</v>
      </c>
      <c r="E69" s="35">
        <f t="shared" ca="1" si="8"/>
        <v>64</v>
      </c>
      <c r="F69" s="35"/>
      <c r="G69" s="52">
        <f t="shared" ref="G69:G78" ca="1" si="10">IFERROR(INDEX(MarketPrice,$D69,2)/INDEX(CashFlow,$E69,2),"N/A")</f>
        <v>9.0175238962221211</v>
      </c>
      <c r="H69" s="17">
        <v>8.467300832342449</v>
      </c>
      <c r="I69" s="17">
        <v>7.4872933629410312</v>
      </c>
      <c r="J69" s="17">
        <v>6.5533049040511733</v>
      </c>
      <c r="K69" s="17">
        <v>6.3007543456871105</v>
      </c>
      <c r="L69" s="17">
        <v>7.5111030214779761</v>
      </c>
      <c r="M69" s="17">
        <v>6.0150034891835311</v>
      </c>
      <c r="N69" s="17">
        <v>5.7384833451452861</v>
      </c>
      <c r="O69" s="17">
        <v>7.1116035455277995</v>
      </c>
      <c r="P69" s="17">
        <v>7.9175897208684098</v>
      </c>
      <c r="Q69" s="17">
        <v>7.4790652385589098</v>
      </c>
      <c r="R69" s="57"/>
      <c r="S69" s="58"/>
      <c r="T69" s="58"/>
      <c r="U69" s="58"/>
    </row>
    <row r="70" spans="1:21">
      <c r="A70" t="str">
        <f>IFERROR(INDEX('2017 Data (WP)'!$C$9:$C$72,MATCH($B70,'2017 Data (WP)'!$D$9:$D$72,0)),"")</f>
        <v/>
      </c>
      <c r="B70" t="s">
        <v>40</v>
      </c>
      <c r="C70" t="s">
        <v>81</v>
      </c>
      <c r="D70" s="35" t="e">
        <f t="shared" ca="1" si="7"/>
        <v>#N/A</v>
      </c>
      <c r="E70" s="35" t="e">
        <f t="shared" ca="1" si="8"/>
        <v>#N/A</v>
      </c>
      <c r="F70" s="35"/>
      <c r="G70" s="52" t="str">
        <f t="shared" ca="1" si="10"/>
        <v>N/A</v>
      </c>
      <c r="H70" s="17" t="s">
        <v>106</v>
      </c>
      <c r="I70" s="17" t="s">
        <v>106</v>
      </c>
      <c r="J70" s="17" t="s">
        <v>106</v>
      </c>
      <c r="K70" s="17" t="s">
        <v>106</v>
      </c>
      <c r="L70" s="17" t="s">
        <v>106</v>
      </c>
      <c r="M70" s="17" t="s">
        <v>106</v>
      </c>
      <c r="N70" s="17" t="s">
        <v>106</v>
      </c>
      <c r="O70" s="17" t="s">
        <v>106</v>
      </c>
      <c r="P70" s="17" t="s">
        <v>106</v>
      </c>
      <c r="Q70" s="17" t="s">
        <v>106</v>
      </c>
      <c r="R70" s="37" t="s">
        <v>106</v>
      </c>
      <c r="S70" s="37">
        <v>6.5928209999999998</v>
      </c>
      <c r="T70" s="37">
        <v>4.781644</v>
      </c>
      <c r="U70" s="37">
        <v>4.7159110000000002</v>
      </c>
    </row>
    <row r="71" spans="1:21">
      <c r="A71" t="str">
        <f>IFERROR(INDEX('2017 Data (WP)'!$C$9:$C$72,MATCH($B71,'2017 Data (WP)'!$D$9:$D$72,0)),"")</f>
        <v/>
      </c>
      <c r="B71" t="s">
        <v>41</v>
      </c>
      <c r="C71" t="s">
        <v>79</v>
      </c>
      <c r="D71" s="35" t="e">
        <f t="shared" ca="1" si="7"/>
        <v>#N/A</v>
      </c>
      <c r="E71" s="35" t="e">
        <f t="shared" ca="1" si="8"/>
        <v>#N/A</v>
      </c>
      <c r="F71" s="35"/>
      <c r="G71" s="52" t="str">
        <f t="shared" ca="1" si="10"/>
        <v>N/A</v>
      </c>
      <c r="H71" s="17" t="s">
        <v>106</v>
      </c>
      <c r="I71" s="17" t="s">
        <v>106</v>
      </c>
      <c r="J71" s="17" t="s">
        <v>106</v>
      </c>
      <c r="K71" s="17" t="s">
        <v>106</v>
      </c>
      <c r="L71" s="17" t="s">
        <v>106</v>
      </c>
      <c r="M71" s="17" t="s">
        <v>106</v>
      </c>
      <c r="N71" s="17" t="s">
        <v>106</v>
      </c>
      <c r="O71" s="17" t="s">
        <v>106</v>
      </c>
      <c r="P71" s="17" t="s">
        <v>106</v>
      </c>
      <c r="Q71" s="17" t="s">
        <v>106</v>
      </c>
      <c r="R71" s="37" t="s">
        <v>106</v>
      </c>
      <c r="S71" s="37">
        <v>4.6349720000000003</v>
      </c>
      <c r="T71" s="37">
        <v>3.64655</v>
      </c>
      <c r="U71" s="37">
        <v>3.6843750000000002</v>
      </c>
    </row>
    <row r="72" spans="1:21">
      <c r="A72" t="str">
        <f>IFERROR(INDEX('2017 Data (WP)'!$C$9:$C$72,MATCH($B72,'2017 Data (WP)'!$D$9:$D$72,0)),"")</f>
        <v/>
      </c>
      <c r="B72" t="s">
        <v>83</v>
      </c>
      <c r="C72" t="s">
        <v>82</v>
      </c>
      <c r="D72" s="35">
        <f t="shared" ca="1" si="7"/>
        <v>65</v>
      </c>
      <c r="E72" s="35">
        <f t="shared" ca="1" si="8"/>
        <v>65</v>
      </c>
      <c r="F72" s="35"/>
      <c r="G72" s="52">
        <f t="shared" ca="1" si="10"/>
        <v>7.7614503816793894</v>
      </c>
      <c r="H72" s="17">
        <v>6.8056743101438011</v>
      </c>
      <c r="I72" s="17">
        <v>6.8585416666666665</v>
      </c>
      <c r="J72" s="17">
        <v>6.7780112044817926</v>
      </c>
      <c r="K72" s="17">
        <v>6.9222797927461137</v>
      </c>
      <c r="L72" s="17">
        <v>6.052163461538461</v>
      </c>
      <c r="M72" s="17">
        <v>6.2707919386886175</v>
      </c>
      <c r="N72" s="17">
        <v>6.0775711795467746</v>
      </c>
      <c r="O72" s="17">
        <v>7.0863426554439322</v>
      </c>
      <c r="P72" s="17">
        <v>6.0732767993041969</v>
      </c>
      <c r="Q72" s="17">
        <v>5.8232536333802152</v>
      </c>
      <c r="R72" s="37">
        <v>5.4577063847092315</v>
      </c>
      <c r="S72" s="37">
        <v>5.5678859999999997</v>
      </c>
      <c r="T72" s="37">
        <v>5.1765679999999996</v>
      </c>
      <c r="U72" s="37">
        <v>6.0934340000000002</v>
      </c>
    </row>
    <row r="73" spans="1:21">
      <c r="A73" t="str">
        <f>IFERROR(INDEX('2017 Data (WP)'!$C$9:$C$72,MATCH($B73,'2017 Data (WP)'!$D$9:$D$72,0)),"")</f>
        <v>Electric Util. (Central)</v>
      </c>
      <c r="B73" t="s">
        <v>42</v>
      </c>
      <c r="C73" t="s">
        <v>89</v>
      </c>
      <c r="D73" s="35">
        <f t="shared" ca="1" si="7"/>
        <v>66</v>
      </c>
      <c r="E73" s="35">
        <f t="shared" ca="1" si="8"/>
        <v>66</v>
      </c>
      <c r="F73" s="35"/>
      <c r="G73" s="52">
        <f t="shared" ca="1" si="10"/>
        <v>8.5962383547196346</v>
      </c>
      <c r="H73" s="17">
        <v>7.8192771084337362</v>
      </c>
      <c r="I73" s="17">
        <v>7.5717501406865502</v>
      </c>
      <c r="J73" s="17">
        <v>6.8210379797176373</v>
      </c>
      <c r="K73" s="17">
        <v>5.7899443561208273</v>
      </c>
      <c r="L73" s="17">
        <v>5.8104838709677429</v>
      </c>
      <c r="M73" s="17">
        <v>5.5771222697590632</v>
      </c>
      <c r="N73" s="17">
        <v>5.2428993410588509</v>
      </c>
      <c r="O73" s="17">
        <v>6.9016393442622945</v>
      </c>
      <c r="P73" s="17">
        <v>6.5349324639031217</v>
      </c>
      <c r="Q73" s="17">
        <v>7.3743909041689228</v>
      </c>
      <c r="R73" s="37">
        <v>7.0612086776859506</v>
      </c>
      <c r="S73" s="37">
        <v>7.6323040000000004</v>
      </c>
      <c r="T73" s="37">
        <v>7.2745040000000003</v>
      </c>
      <c r="U73" s="37">
        <v>6.9240180000000002</v>
      </c>
    </row>
    <row r="74" spans="1:21">
      <c r="A74" t="str">
        <f>IFERROR(INDEX('2017 Data (WP)'!$C$9:$C$72,MATCH($B74,'2017 Data (WP)'!$D$9:$D$72,0)),"")</f>
        <v>Electric Util. (Central)</v>
      </c>
      <c r="B74" t="s">
        <v>44</v>
      </c>
      <c r="C74" t="s">
        <v>217</v>
      </c>
      <c r="D74" s="35">
        <f t="shared" ca="1" si="7"/>
        <v>67</v>
      </c>
      <c r="E74" s="35">
        <f t="shared" ca="1" si="8"/>
        <v>67</v>
      </c>
      <c r="F74" s="35"/>
      <c r="G74" s="52">
        <f t="shared" ca="1" si="10"/>
        <v>10.951956965312558</v>
      </c>
      <c r="H74" s="17">
        <v>12.896150865409455</v>
      </c>
      <c r="I74" s="17">
        <v>10.266114592658909</v>
      </c>
      <c r="J74" s="17">
        <v>9.5760517799352769</v>
      </c>
      <c r="K74" s="17">
        <v>9.2385229540918168</v>
      </c>
      <c r="L74" s="17">
        <v>8.4315960912052113</v>
      </c>
      <c r="M74" s="17">
        <v>8.1465778316172006</v>
      </c>
      <c r="N74" s="17">
        <v>6.8706563706563699</v>
      </c>
      <c r="O74" s="17">
        <v>7.5732656514382404</v>
      </c>
      <c r="P74" s="17">
        <v>7.8410995641971173</v>
      </c>
      <c r="Q74" s="17">
        <v>7.2726017943409245</v>
      </c>
      <c r="R74" s="37">
        <v>6.4014522821576767</v>
      </c>
      <c r="S74" s="37">
        <v>6.2742060000000004</v>
      </c>
      <c r="T74" s="37">
        <v>4.9149459999999996</v>
      </c>
      <c r="U74" s="37">
        <v>4.2733350000000003</v>
      </c>
    </row>
    <row r="75" spans="1:21">
      <c r="A75" t="str">
        <f>IFERROR(INDEX('2017 Data (WP)'!$C$9:$C$72,MATCH($B75,'2017 Data (WP)'!$D$9:$D$72,0)),"")</f>
        <v>Electric Util. (Central)</v>
      </c>
      <c r="B75" t="s">
        <v>43</v>
      </c>
      <c r="C75" t="s">
        <v>87</v>
      </c>
      <c r="D75" s="35">
        <f t="shared" ca="1" si="7"/>
        <v>68</v>
      </c>
      <c r="E75" s="35">
        <f t="shared" ca="1" si="8"/>
        <v>68</v>
      </c>
      <c r="F75" s="35"/>
      <c r="G75" s="52">
        <f t="shared" ca="1" si="10"/>
        <v>10.855546357615895</v>
      </c>
      <c r="H75" s="17">
        <v>9.0473844710297922</v>
      </c>
      <c r="I75" s="17">
        <v>7.92512077294686</v>
      </c>
      <c r="J75" s="17">
        <v>7.2319564230594651</v>
      </c>
      <c r="K75" s="17">
        <v>6.7148837209302323</v>
      </c>
      <c r="L75" s="17">
        <v>6.6716267339218156</v>
      </c>
      <c r="M75" s="17">
        <v>5.5069657615112151</v>
      </c>
      <c r="N75" s="17">
        <v>5.3247982187586977</v>
      </c>
      <c r="O75" s="17">
        <v>7.0880382775119619</v>
      </c>
      <c r="P75" s="17">
        <v>6.875993640699523</v>
      </c>
      <c r="Q75" s="17">
        <v>5.8074581430745811</v>
      </c>
      <c r="R75" s="37">
        <v>6.9972519083969464</v>
      </c>
      <c r="S75" s="37">
        <v>6.538462</v>
      </c>
      <c r="T75" s="37">
        <v>4.2357319999999996</v>
      </c>
      <c r="U75" s="37">
        <v>2.941065</v>
      </c>
    </row>
    <row r="76" spans="1:21">
      <c r="A76" t="str">
        <f>IFERROR(INDEX('2017 Data (WP)'!$C$9:$C$72,MATCH($B76,'2017 Data (WP)'!$D$9:$D$72,0)),"")</f>
        <v>Natural Gas Utility</v>
      </c>
      <c r="B76" s="31" t="s">
        <v>206</v>
      </c>
      <c r="C76" s="31" t="s">
        <v>205</v>
      </c>
      <c r="D76" s="35">
        <f t="shared" ca="1" si="7"/>
        <v>69</v>
      </c>
      <c r="E76" s="35">
        <f t="shared" ca="1" si="8"/>
        <v>69</v>
      </c>
      <c r="F76" s="35"/>
      <c r="G76" s="52">
        <f t="shared" ca="1" si="10"/>
        <v>11.36384122031548</v>
      </c>
      <c r="H76" s="17">
        <v>9.5870380289234074</v>
      </c>
      <c r="I76" s="17">
        <v>8.4593749999999996</v>
      </c>
      <c r="J76" s="17">
        <v>9.8308840681128995</v>
      </c>
      <c r="K76" s="17">
        <v>9.0269137436576212</v>
      </c>
      <c r="L76" s="17">
        <v>9.5160727635185651</v>
      </c>
      <c r="M76" s="17">
        <v>8.3439552420335694</v>
      </c>
      <c r="N76" s="17">
        <v>7.1658789106459606</v>
      </c>
      <c r="O76" s="17">
        <v>7.6821848352154865</v>
      </c>
      <c r="P76" s="17">
        <v>8.3900180087471057</v>
      </c>
      <c r="Q76" s="17">
        <v>7.8083832335329344</v>
      </c>
      <c r="R76" s="57"/>
      <c r="S76" s="58"/>
      <c r="T76" s="58"/>
      <c r="U76" s="58"/>
    </row>
    <row r="77" spans="1:21">
      <c r="A77" t="str">
        <f>IFERROR(INDEX('2017 Data (WP)'!$C$9:$C$72,MATCH($B77,'2017 Data (WP)'!$D$9:$D$72,0)),"")</f>
        <v>Electric Utility (West)</v>
      </c>
      <c r="B77" t="s">
        <v>45</v>
      </c>
      <c r="C77" t="s">
        <v>65</v>
      </c>
      <c r="D77" s="35">
        <f t="shared" ca="1" si="7"/>
        <v>70</v>
      </c>
      <c r="E77" s="35">
        <f t="shared" ca="1" si="8"/>
        <v>70</v>
      </c>
      <c r="F77" s="35"/>
      <c r="G77" s="52">
        <f t="shared" ca="1" si="10"/>
        <v>8.0961729129486422</v>
      </c>
      <c r="H77" s="17">
        <v>7.6210226025894219</v>
      </c>
      <c r="I77" s="17">
        <v>7.314819136522754</v>
      </c>
      <c r="J77" s="17">
        <v>7.0043891733723482</v>
      </c>
      <c r="K77" s="17">
        <v>6.8532866783304174</v>
      </c>
      <c r="L77" s="17">
        <v>6.4721268163804488</v>
      </c>
      <c r="M77" s="17">
        <v>6.2759111617312078</v>
      </c>
      <c r="N77" s="17">
        <v>5.4270923209663504</v>
      </c>
      <c r="O77" s="17">
        <v>5.7058823529411766</v>
      </c>
      <c r="P77" s="17">
        <v>6.5089751013317887</v>
      </c>
      <c r="Q77" s="17">
        <v>5.5397837538120314</v>
      </c>
      <c r="R77" s="37">
        <v>5.6238560097620498</v>
      </c>
      <c r="S77" s="37">
        <v>5.3087289999999996</v>
      </c>
      <c r="T77" s="37">
        <v>4.2676220000000002</v>
      </c>
      <c r="U77" s="37">
        <v>5.4642860000000004</v>
      </c>
    </row>
    <row r="78" spans="1:21">
      <c r="A78" t="str">
        <f>IFERROR(INDEX('2017 Data (WP)'!$C$9:$C$72,MATCH($B78,'2017 Data (WP)'!$D$9:$D$72,0)),"")</f>
        <v>Water Utility</v>
      </c>
      <c r="B78" s="31" t="s">
        <v>208</v>
      </c>
      <c r="C78" s="31" t="s">
        <v>207</v>
      </c>
      <c r="D78" s="35">
        <f t="shared" ca="1" si="7"/>
        <v>71</v>
      </c>
      <c r="E78" s="35">
        <f t="shared" ca="1" si="8"/>
        <v>71</v>
      </c>
      <c r="F78" s="35"/>
      <c r="G78" s="52" t="str">
        <f t="shared" ca="1" si="10"/>
        <v>N/A</v>
      </c>
      <c r="H78" s="17">
        <v>15.681786941580755</v>
      </c>
      <c r="I78" s="17">
        <v>15.12822402358143</v>
      </c>
      <c r="J78" s="17">
        <v>16.607925801011806</v>
      </c>
      <c r="K78" s="17">
        <v>15.714285714285714</v>
      </c>
      <c r="L78" s="17">
        <v>15.514625228519193</v>
      </c>
      <c r="M78" s="17">
        <v>13.813145539906104</v>
      </c>
      <c r="N78" s="17">
        <v>14.747102212855637</v>
      </c>
      <c r="O78" s="17">
        <v>15.846153846153845</v>
      </c>
      <c r="P78" s="17">
        <v>20.151869158878505</v>
      </c>
      <c r="Q78" s="17">
        <v>23.568270481144342</v>
      </c>
      <c r="R78" s="57"/>
      <c r="S78" s="58"/>
      <c r="T78" s="58"/>
      <c r="U78" s="58"/>
    </row>
    <row r="79" spans="1:21">
      <c r="B79" s="31"/>
      <c r="C79" s="31"/>
      <c r="D79" s="35"/>
      <c r="E79" s="35"/>
      <c r="F79" s="35"/>
      <c r="G79" s="52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57"/>
      <c r="S79" s="58"/>
      <c r="T79" s="58"/>
      <c r="U79" s="58"/>
    </row>
  </sheetData>
  <sortState ref="A5:T78">
    <sortCondition ref="C5:C78"/>
  </sortState>
  <pageMargins left="0.7" right="0.7" top="0.75" bottom="0.75" header="0.3" footer="0.3"/>
  <pageSetup fitToHeight="0" orientation="landscape" r:id="rId1"/>
  <headerFoot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A1:U79"/>
  <sheetViews>
    <sheetView zoomScale="70" zoomScaleNormal="70" workbookViewId="0"/>
  </sheetViews>
  <sheetFormatPr defaultRowHeight="14.25"/>
  <cols>
    <col min="1" max="1" width="12.75" customWidth="1"/>
    <col min="2" max="2" width="7.5" bestFit="1" customWidth="1"/>
    <col min="3" max="3" width="22.25" customWidth="1"/>
    <col min="4" max="4" width="3.25" bestFit="1" customWidth="1"/>
    <col min="5" max="5" width="2.875" bestFit="1" customWidth="1"/>
    <col min="6" max="6" width="0.875" customWidth="1"/>
    <col min="7" max="11" width="5" bestFit="1" customWidth="1"/>
    <col min="12" max="12" width="4.875" bestFit="1" customWidth="1"/>
    <col min="13" max="13" width="5" bestFit="1" customWidth="1"/>
    <col min="14" max="18" width="5.25" bestFit="1" customWidth="1"/>
    <col min="19" max="21" width="9.25" style="31" customWidth="1"/>
  </cols>
  <sheetData>
    <row r="1" spans="1:21">
      <c r="A1" t="s">
        <v>259</v>
      </c>
    </row>
    <row r="2" spans="1:21">
      <c r="E2" s="35"/>
      <c r="F2" s="35"/>
      <c r="G2" s="35">
        <f t="shared" ref="G2:Q2" ca="1" si="0">MATCH(G3,OFFSET(BookValue,-2,0,1,),0)</f>
        <v>2</v>
      </c>
      <c r="H2" s="35">
        <f t="shared" ca="1" si="0"/>
        <v>3</v>
      </c>
      <c r="I2" s="35">
        <f t="shared" ca="1" si="0"/>
        <v>4</v>
      </c>
      <c r="J2" s="35">
        <f t="shared" ca="1" si="0"/>
        <v>5</v>
      </c>
      <c r="K2" s="35">
        <f t="shared" ca="1" si="0"/>
        <v>6</v>
      </c>
      <c r="L2" s="35">
        <f t="shared" ca="1" si="0"/>
        <v>7</v>
      </c>
      <c r="M2" s="35">
        <f t="shared" ca="1" si="0"/>
        <v>8</v>
      </c>
      <c r="N2" s="35">
        <f t="shared" ca="1" si="0"/>
        <v>9</v>
      </c>
      <c r="O2" s="35">
        <f t="shared" ca="1" si="0"/>
        <v>10</v>
      </c>
      <c r="P2" s="35">
        <f t="shared" ca="1" si="0"/>
        <v>11</v>
      </c>
      <c r="Q2" s="35">
        <f t="shared" ca="1" si="0"/>
        <v>12</v>
      </c>
      <c r="R2" s="35"/>
      <c r="S2" s="55"/>
      <c r="T2" s="55"/>
      <c r="U2" s="55"/>
    </row>
    <row r="3" spans="1:21" ht="15.75" thickBot="1">
      <c r="D3" s="35" t="s">
        <v>213</v>
      </c>
      <c r="E3" s="35" t="s">
        <v>256</v>
      </c>
      <c r="F3" s="35"/>
      <c r="G3" s="49">
        <v>2016</v>
      </c>
      <c r="H3" s="49">
        <v>2015</v>
      </c>
      <c r="I3" s="49">
        <v>2014</v>
      </c>
      <c r="J3" s="49">
        <v>2013</v>
      </c>
      <c r="K3" s="49">
        <v>2012</v>
      </c>
      <c r="L3" s="49">
        <v>2011</v>
      </c>
      <c r="M3" s="49">
        <v>2010</v>
      </c>
      <c r="N3" s="49">
        <v>2009</v>
      </c>
      <c r="O3" s="49">
        <v>2008</v>
      </c>
      <c r="P3" s="49">
        <v>2007</v>
      </c>
      <c r="Q3" s="49">
        <v>2006</v>
      </c>
      <c r="R3" s="49">
        <v>2005</v>
      </c>
      <c r="S3" s="56"/>
      <c r="T3" s="56"/>
      <c r="U3" s="56"/>
    </row>
    <row r="4" spans="1:21">
      <c r="D4" s="35"/>
      <c r="E4" s="35"/>
      <c r="F4" s="35"/>
      <c r="G4" s="35"/>
      <c r="H4" s="35"/>
      <c r="R4" s="37"/>
    </row>
    <row r="5" spans="1:21">
      <c r="A5" t="str">
        <f>IFERROR(INDEX('2017 Data (WP)'!$C$9:$C$72,MATCH($B5,'2017 Data (WP)'!$D$9:$D$72,0)),"")</f>
        <v>Electric Util. (Central)</v>
      </c>
      <c r="B5" t="s">
        <v>0</v>
      </c>
      <c r="C5" t="s">
        <v>91</v>
      </c>
      <c r="D5" s="35">
        <f t="shared" ref="D5:D36" ca="1" si="1">MATCH(B5,OFFSET(MarketPrice,0,0,,1),0)</f>
        <v>3</v>
      </c>
      <c r="E5" s="35">
        <f t="shared" ref="E5:E36" ca="1" si="2">MATCH(B5,OFFSET(BookValue,0,0,,1),0)</f>
        <v>3</v>
      </c>
      <c r="F5" s="35"/>
      <c r="G5" s="17">
        <f t="shared" ref="G5:G36" ca="1" si="3">IFERROR(INDEX(MarketPrice,$D5,G$2)/INDEX(BookValue,$E5,G$2),"N/A")</f>
        <v>1.5329228350582995</v>
      </c>
      <c r="H5" s="17">
        <v>1.3727711688381754</v>
      </c>
      <c r="I5" s="17">
        <v>1.4249778969283859</v>
      </c>
      <c r="J5" s="17">
        <v>1.5076301754169621</v>
      </c>
      <c r="K5" s="17">
        <v>1.3442031362771472</v>
      </c>
      <c r="L5" s="17">
        <v>1.3500225843438378</v>
      </c>
      <c r="M5" s="17">
        <v>1.2833143821296262</v>
      </c>
      <c r="N5" s="17">
        <v>1.1509505415435886</v>
      </c>
      <c r="O5" s="17">
        <v>1.5502739348074575</v>
      </c>
      <c r="P5" s="17">
        <v>1.8882621318954793</v>
      </c>
      <c r="Q5" s="17">
        <v>2.092598511483494</v>
      </c>
      <c r="R5" s="37">
        <v>2.2173066360413438</v>
      </c>
      <c r="S5" s="57"/>
      <c r="T5" s="58"/>
      <c r="U5" s="58"/>
    </row>
    <row r="6" spans="1:21">
      <c r="A6" t="str">
        <f>IFERROR(INDEX('2017 Data (WP)'!$C$9:$C$72,MATCH($B6,'2017 Data (WP)'!$D$9:$D$72,0)),"")</f>
        <v>Electric Util. (Central)</v>
      </c>
      <c r="B6" t="s">
        <v>1</v>
      </c>
      <c r="C6" t="s">
        <v>84</v>
      </c>
      <c r="D6" s="35">
        <f t="shared" ca="1" si="1"/>
        <v>4</v>
      </c>
      <c r="E6" s="35">
        <f t="shared" ca="1" si="2"/>
        <v>4</v>
      </c>
      <c r="F6" s="35"/>
      <c r="G6" s="17">
        <f t="shared" ca="1" si="3"/>
        <v>2.1694865295053942</v>
      </c>
      <c r="H6" s="17">
        <v>1.8608944674628323</v>
      </c>
      <c r="I6" s="17">
        <v>1.8585949562532167</v>
      </c>
      <c r="J6" s="17">
        <v>1.6991683007640814</v>
      </c>
      <c r="K6" s="17">
        <v>1.5654605961906112</v>
      </c>
      <c r="L6" s="17">
        <v>1.4642593957258658</v>
      </c>
      <c r="M6" s="17">
        <v>1.3144784241588103</v>
      </c>
      <c r="N6" s="17">
        <v>1.0448273111589694</v>
      </c>
      <c r="O6" s="17">
        <v>1.3346894069785635</v>
      </c>
      <c r="P6" s="17">
        <v>1.6693282844912742</v>
      </c>
      <c r="Q6" s="17">
        <v>1.5176068675543097</v>
      </c>
      <c r="R6" s="37">
        <v>1.3341645885286784</v>
      </c>
      <c r="S6" s="57"/>
      <c r="T6" s="57"/>
      <c r="U6" s="57"/>
    </row>
    <row r="7" spans="1:21">
      <c r="A7" t="str">
        <f>IFERROR(INDEX('2017 Data (WP)'!$C$9:$C$72,MATCH($B7,'2017 Data (WP)'!$D$9:$D$72,0)),"")</f>
        <v>Water Utility</v>
      </c>
      <c r="B7" s="31" t="s">
        <v>165</v>
      </c>
      <c r="C7" s="31" t="s">
        <v>164</v>
      </c>
      <c r="D7" s="35">
        <f t="shared" ca="1" si="1"/>
        <v>6</v>
      </c>
      <c r="E7" s="35">
        <f t="shared" ca="1" si="2"/>
        <v>6</v>
      </c>
      <c r="F7" s="35"/>
      <c r="G7" s="17">
        <f t="shared" ca="1" si="3"/>
        <v>3.067549570878958</v>
      </c>
      <c r="H7" s="17">
        <v>3.0994907951429687</v>
      </c>
      <c r="I7" s="17">
        <v>2.3833950290851402</v>
      </c>
      <c r="J7" s="17">
        <v>2.1733113155618464</v>
      </c>
      <c r="K7" s="17">
        <v>1.7089583863039242</v>
      </c>
      <c r="L7" s="17">
        <v>1.586569504658242</v>
      </c>
      <c r="M7" s="17">
        <v>1.7234504540071063</v>
      </c>
      <c r="N7" s="17">
        <v>1.770547592038775</v>
      </c>
      <c r="O7" s="17">
        <v>1.950412302206374</v>
      </c>
      <c r="P7" s="17">
        <v>2.2177483745865181</v>
      </c>
      <c r="Q7" s="17">
        <v>2.2160797981011902</v>
      </c>
      <c r="S7" s="57"/>
      <c r="T7" s="57"/>
      <c r="U7" s="57"/>
    </row>
    <row r="8" spans="1:21">
      <c r="A8" t="str">
        <f>IFERROR(INDEX('2017 Data (WP)'!$C$9:$C$72,MATCH($B8,'2017 Data (WP)'!$D$9:$D$72,0)),"")</f>
        <v>Water Utility</v>
      </c>
      <c r="B8" s="31" t="s">
        <v>167</v>
      </c>
      <c r="C8" s="31" t="s">
        <v>166</v>
      </c>
      <c r="D8" s="35">
        <f t="shared" ca="1" si="1"/>
        <v>7</v>
      </c>
      <c r="E8" s="35">
        <f t="shared" ca="1" si="2"/>
        <v>7</v>
      </c>
      <c r="F8" s="35"/>
      <c r="G8" s="17">
        <f t="shared" ca="1" si="3"/>
        <v>2.4827822042882057</v>
      </c>
      <c r="H8" s="17">
        <v>1.9162920751778572</v>
      </c>
      <c r="I8" s="17">
        <v>1.7465955970939362</v>
      </c>
      <c r="J8" s="17">
        <v>1.5456567636857186</v>
      </c>
      <c r="K8" s="17">
        <v>1.4041824337781319</v>
      </c>
      <c r="L8" s="17">
        <v>1.1982333181271514</v>
      </c>
      <c r="M8" s="17">
        <v>0.94785484144480248</v>
      </c>
      <c r="N8" s="17">
        <v>0.85307725883893493</v>
      </c>
      <c r="O8" s="17">
        <v>0.81164677431936971</v>
      </c>
      <c r="P8" s="17" t="s">
        <v>106</v>
      </c>
      <c r="Q8" s="17" t="s">
        <v>106</v>
      </c>
      <c r="S8" s="57"/>
      <c r="T8" s="57"/>
      <c r="U8" s="57"/>
    </row>
    <row r="9" spans="1:21">
      <c r="A9" t="str">
        <f>IFERROR(INDEX('2017 Data (WP)'!$C$9:$C$72,MATCH($B9,'2017 Data (WP)'!$D$9:$D$72,0)),"")</f>
        <v>Electric Util. (Central)</v>
      </c>
      <c r="B9" t="s">
        <v>3</v>
      </c>
      <c r="C9" t="s">
        <v>80</v>
      </c>
      <c r="D9" s="35">
        <f t="shared" ca="1" si="1"/>
        <v>8</v>
      </c>
      <c r="E9" s="35">
        <f t="shared" ca="1" si="2"/>
        <v>8</v>
      </c>
      <c r="F9" s="35"/>
      <c r="G9" s="17">
        <f t="shared" ca="1" si="3"/>
        <v>1.6747967479674797</v>
      </c>
      <c r="H9" s="17">
        <v>1.4586928424214904</v>
      </c>
      <c r="I9" s="17">
        <v>1.4491994072360572</v>
      </c>
      <c r="J9" s="17">
        <v>1.2860109005969376</v>
      </c>
      <c r="K9" s="17">
        <v>1.180071148274471</v>
      </c>
      <c r="L9" s="17">
        <v>0.90303902947123327</v>
      </c>
      <c r="M9" s="17">
        <v>0.83169025034986777</v>
      </c>
      <c r="N9" s="17">
        <v>0.77828834003446301</v>
      </c>
      <c r="O9" s="17">
        <v>1.2473626440636625</v>
      </c>
      <c r="P9" s="17">
        <v>1.6041955884621317</v>
      </c>
      <c r="Q9" s="17">
        <v>1.61828395681647</v>
      </c>
      <c r="R9" s="37">
        <v>1.6829746855801089</v>
      </c>
      <c r="S9" s="57"/>
      <c r="T9" s="57"/>
      <c r="U9" s="57"/>
    </row>
    <row r="10" spans="1:21">
      <c r="A10" t="str">
        <f>IFERROR(INDEX('2017 Data (WP)'!$C$9:$C$72,MATCH($B10,'2017 Data (WP)'!$D$9:$D$72,0)),"")</f>
        <v>Electric Util. (Central)</v>
      </c>
      <c r="B10" t="s">
        <v>2</v>
      </c>
      <c r="C10" t="s">
        <v>103</v>
      </c>
      <c r="D10" s="35">
        <f t="shared" ca="1" si="1"/>
        <v>5</v>
      </c>
      <c r="E10" s="35">
        <f t="shared" ca="1" si="2"/>
        <v>5</v>
      </c>
      <c r="F10" s="35"/>
      <c r="G10" s="17">
        <f t="shared" ca="1" si="3"/>
        <v>1.8122102882984736</v>
      </c>
      <c r="H10" s="17">
        <v>1.5537532592287633</v>
      </c>
      <c r="I10" s="17">
        <v>1.5428596368715082</v>
      </c>
      <c r="J10" s="17">
        <v>1.3977134885977682</v>
      </c>
      <c r="K10" s="17">
        <v>1.3076849520288147</v>
      </c>
      <c r="L10" s="17">
        <v>1.2297422034680556</v>
      </c>
      <c r="M10" s="17">
        <v>1.2311873499929407</v>
      </c>
      <c r="N10" s="17">
        <v>1.0840064032598413</v>
      </c>
      <c r="O10" s="17">
        <v>1.4829681388372007</v>
      </c>
      <c r="P10" s="17">
        <v>1.8483969647610348</v>
      </c>
      <c r="Q10" s="17">
        <v>1.5556538964049396</v>
      </c>
      <c r="R10" s="37">
        <v>1.5664153886145047</v>
      </c>
      <c r="S10" s="57"/>
      <c r="T10" s="57"/>
      <c r="U10" s="57"/>
    </row>
    <row r="11" spans="1:21">
      <c r="A11" t="str">
        <f>IFERROR(INDEX('2017 Data (WP)'!$C$9:$C$72,MATCH($B11,'2017 Data (WP)'!$D$9:$D$72,0)),"")</f>
        <v>Water Utility</v>
      </c>
      <c r="B11" s="31" t="s">
        <v>171</v>
      </c>
      <c r="C11" s="31" t="s">
        <v>170</v>
      </c>
      <c r="D11" s="35">
        <f t="shared" ca="1" si="1"/>
        <v>10</v>
      </c>
      <c r="E11" s="35">
        <f t="shared" ca="1" si="2"/>
        <v>10</v>
      </c>
      <c r="F11" s="35"/>
      <c r="G11" s="17">
        <f t="shared" ca="1" si="3"/>
        <v>3.0203279317288327</v>
      </c>
      <c r="H11" s="17">
        <v>2.7414075286415711</v>
      </c>
      <c r="I11" s="17">
        <v>2.6877764591649584</v>
      </c>
      <c r="J11" s="17">
        <v>2.8479193230555229</v>
      </c>
      <c r="K11" s="17">
        <v>2.4216989492340804</v>
      </c>
      <c r="L11" s="17">
        <v>2.4536625971143176</v>
      </c>
      <c r="M11" s="17">
        <v>2.228814803935967</v>
      </c>
      <c r="N11" s="17">
        <v>2.1886153846153849</v>
      </c>
      <c r="O11" s="17">
        <v>2.3274180655475618</v>
      </c>
      <c r="P11" s="17">
        <v>3.1012809564474808</v>
      </c>
      <c r="Q11" s="17">
        <v>3.4877961234745154</v>
      </c>
      <c r="S11" s="57"/>
      <c r="T11" s="57"/>
      <c r="U11" s="57"/>
    </row>
    <row r="12" spans="1:21">
      <c r="A12" t="str">
        <f>IFERROR(INDEX('2017 Data (WP)'!$C$9:$C$72,MATCH($B12,'2017 Data (WP)'!$D$9:$D$72,0)),"")</f>
        <v>Natural Gas Utility</v>
      </c>
      <c r="B12" s="31" t="s">
        <v>175</v>
      </c>
      <c r="C12" s="31" t="s">
        <v>174</v>
      </c>
      <c r="D12" s="35">
        <f t="shared" ca="1" si="1"/>
        <v>12</v>
      </c>
      <c r="E12" s="35">
        <f t="shared" ca="1" si="2"/>
        <v>12</v>
      </c>
      <c r="F12" s="35"/>
      <c r="G12" s="17">
        <f t="shared" ca="1" si="3"/>
        <v>2.1099306743495099</v>
      </c>
      <c r="H12" s="17">
        <v>1.7177752366431611</v>
      </c>
      <c r="I12" s="17">
        <v>1.5493933578375567</v>
      </c>
      <c r="J12" s="17">
        <v>1.3939021391689206</v>
      </c>
      <c r="K12" s="17">
        <v>1.2795287637698898</v>
      </c>
      <c r="L12" s="17">
        <v>1.2988229642085034</v>
      </c>
      <c r="M12" s="17">
        <v>1.1810016556291392</v>
      </c>
      <c r="N12" s="17">
        <v>1.0502147200136061</v>
      </c>
      <c r="O12" s="17">
        <v>1.2021149506658999</v>
      </c>
      <c r="P12" s="17">
        <v>1.3987094428792148</v>
      </c>
      <c r="Q12" s="17">
        <v>1.3414670435947031</v>
      </c>
      <c r="S12" s="57"/>
      <c r="T12" s="57"/>
      <c r="U12" s="57"/>
    </row>
    <row r="13" spans="1:21">
      <c r="A13" t="str">
        <f>IFERROR(INDEX('2017 Data (WP)'!$C$9:$C$72,MATCH($B13,'2017 Data (WP)'!$D$9:$D$72,0)),"")</f>
        <v>Electric Utility (East)</v>
      </c>
      <c r="B13" t="s">
        <v>261</v>
      </c>
      <c r="C13" t="s">
        <v>262</v>
      </c>
      <c r="D13" s="35">
        <f t="shared" ca="1" si="1"/>
        <v>13</v>
      </c>
      <c r="E13" s="35">
        <f t="shared" ca="1" si="2"/>
        <v>13</v>
      </c>
      <c r="F13" s="35"/>
      <c r="G13" s="17">
        <f t="shared" ca="1" si="3"/>
        <v>0.82978853940856478</v>
      </c>
      <c r="H13" s="17">
        <v>0.72234647187968071</v>
      </c>
      <c r="I13" s="17" t="s">
        <v>106</v>
      </c>
      <c r="J13" s="17" t="s">
        <v>106</v>
      </c>
      <c r="K13" s="17" t="s">
        <v>106</v>
      </c>
      <c r="L13" s="17" t="s">
        <v>106</v>
      </c>
      <c r="M13" s="17" t="s">
        <v>106</v>
      </c>
      <c r="N13" s="17" t="s">
        <v>106</v>
      </c>
      <c r="O13" s="17" t="s">
        <v>106</v>
      </c>
      <c r="P13" s="17" t="s">
        <v>106</v>
      </c>
      <c r="Q13" s="17" t="s">
        <v>106</v>
      </c>
      <c r="R13" s="37" t="s">
        <v>106</v>
      </c>
      <c r="S13" s="57"/>
      <c r="T13" s="57"/>
      <c r="U13" s="57"/>
    </row>
    <row r="14" spans="1:21">
      <c r="A14" t="str">
        <f>IFERROR(INDEX('2017 Data (WP)'!$C$9:$C$72,MATCH($B14,'2017 Data (WP)'!$D$9:$D$72,0)),"")</f>
        <v>Electric Utility (West)</v>
      </c>
      <c r="B14" t="s">
        <v>4</v>
      </c>
      <c r="C14" t="s">
        <v>86</v>
      </c>
      <c r="D14" s="35">
        <f t="shared" ca="1" si="1"/>
        <v>14</v>
      </c>
      <c r="E14" s="35">
        <f t="shared" ca="1" si="2"/>
        <v>14</v>
      </c>
      <c r="F14" s="35"/>
      <c r="G14" s="17">
        <f t="shared" ca="1" si="3"/>
        <v>1.5731916218951958</v>
      </c>
      <c r="H14" s="17">
        <v>1.3561878362954509</v>
      </c>
      <c r="I14" s="17">
        <v>1.3340185426018374</v>
      </c>
      <c r="J14" s="17">
        <v>1.2528459046737623</v>
      </c>
      <c r="K14" s="17">
        <v>1.2096689936838108</v>
      </c>
      <c r="L14" s="17">
        <v>1.1931017491993101</v>
      </c>
      <c r="M14" s="17">
        <v>1.0665178344918564</v>
      </c>
      <c r="N14" s="17">
        <v>0.94084815606906258</v>
      </c>
      <c r="O14" s="17">
        <v>1.1129208570179274</v>
      </c>
      <c r="P14" s="17">
        <v>1.2869051754081278</v>
      </c>
      <c r="Q14" s="17">
        <v>1.2958359585314163</v>
      </c>
      <c r="R14" s="37">
        <v>1.1274182368139138</v>
      </c>
      <c r="S14" s="57"/>
      <c r="T14" s="57"/>
      <c r="U14" s="57"/>
    </row>
    <row r="15" spans="1:21">
      <c r="A15" t="str">
        <f>IFERROR(INDEX('2017 Data (WP)'!$C$9:$C$72,MATCH($B15,'2017 Data (WP)'!$D$9:$D$72,0)),"")</f>
        <v>Electric Utility (West)</v>
      </c>
      <c r="B15" t="s">
        <v>5</v>
      </c>
      <c r="C15" t="s">
        <v>46</v>
      </c>
      <c r="D15" s="35">
        <f t="shared" ca="1" si="1"/>
        <v>15</v>
      </c>
      <c r="E15" s="35">
        <f t="shared" ca="1" si="2"/>
        <v>15</v>
      </c>
      <c r="F15" s="35"/>
      <c r="G15" s="17">
        <f t="shared" ca="1" si="3"/>
        <v>1.9380103811948293</v>
      </c>
      <c r="H15" s="17">
        <v>1.5948314999126942</v>
      </c>
      <c r="I15" s="17">
        <v>1.7853780475927667</v>
      </c>
      <c r="J15" s="17">
        <v>1.6197087246495168</v>
      </c>
      <c r="K15" s="17">
        <v>1.2104659086833327</v>
      </c>
      <c r="L15" s="17">
        <v>1.1419439198024117</v>
      </c>
      <c r="M15" s="17">
        <v>1.0721296263249938</v>
      </c>
      <c r="N15" s="17">
        <v>0.82718488451452998</v>
      </c>
      <c r="O15" s="17">
        <v>1.2225368688168878</v>
      </c>
      <c r="P15" s="17">
        <v>1.5690179267342168</v>
      </c>
      <c r="Q15" s="17">
        <v>1.4717857746240919</v>
      </c>
      <c r="R15" s="37">
        <v>1.6347318824321293</v>
      </c>
      <c r="S15" s="57"/>
      <c r="T15" s="57"/>
      <c r="U15" s="57"/>
    </row>
    <row r="16" spans="1:21">
      <c r="A16" t="str">
        <f>IFERROR(INDEX('2017 Data (WP)'!$C$9:$C$72,MATCH($B16,'2017 Data (WP)'!$D$9:$D$72,0)),"")</f>
        <v>Water Utility</v>
      </c>
      <c r="B16" s="31" t="s">
        <v>177</v>
      </c>
      <c r="C16" s="31" t="s">
        <v>176</v>
      </c>
      <c r="D16" s="35">
        <f t="shared" ca="1" si="1"/>
        <v>16</v>
      </c>
      <c r="E16" s="35">
        <f t="shared" ca="1" si="2"/>
        <v>16</v>
      </c>
      <c r="F16" s="35"/>
      <c r="G16" s="17">
        <f t="shared" ca="1" si="3"/>
        <v>2.1780493126772855</v>
      </c>
      <c r="H16" s="17">
        <v>1.7361514948184595</v>
      </c>
      <c r="I16" s="17">
        <v>1.7876106194690264</v>
      </c>
      <c r="J16" s="17">
        <v>1.6367405517461329</v>
      </c>
      <c r="K16" s="17">
        <v>1.6160935838355193</v>
      </c>
      <c r="L16" s="17">
        <v>1.7010318862136282</v>
      </c>
      <c r="M16" s="17">
        <v>1.7571032239548456</v>
      </c>
      <c r="N16" s="17">
        <v>1.8951421800947865</v>
      </c>
      <c r="O16" s="17">
        <v>1.931495577041761</v>
      </c>
      <c r="P16" s="17">
        <v>2.1132136678200695</v>
      </c>
      <c r="Q16" s="17">
        <v>2.1591535324589439</v>
      </c>
      <c r="S16" s="57"/>
      <c r="T16" s="57"/>
      <c r="U16" s="57"/>
    </row>
    <row r="17" spans="1:21">
      <c r="A17" t="str">
        <f>IFERROR(INDEX('2017 Data (WP)'!$C$9:$C$72,MATCH($B17,'2017 Data (WP)'!$D$9:$D$72,0)),"")</f>
        <v>Electric Util. (Central)</v>
      </c>
      <c r="B17" t="s">
        <v>6</v>
      </c>
      <c r="C17" t="s">
        <v>90</v>
      </c>
      <c r="D17" s="35">
        <f t="shared" ca="1" si="1"/>
        <v>17</v>
      </c>
      <c r="E17" s="35">
        <f t="shared" ca="1" si="2"/>
        <v>17</v>
      </c>
      <c r="F17" s="35"/>
      <c r="G17" s="17">
        <f t="shared" ca="1" si="3"/>
        <v>2.7271595718197656</v>
      </c>
      <c r="H17" s="17">
        <v>2.4283761958007206</v>
      </c>
      <c r="I17" s="17">
        <v>2.2717668144514667</v>
      </c>
      <c r="J17" s="17">
        <v>2.3036369041720346</v>
      </c>
      <c r="K17" s="17">
        <v>1.9919499105545617</v>
      </c>
      <c r="L17" s="17">
        <v>1.8678102926337035</v>
      </c>
      <c r="M17" s="17">
        <v>1.9583001328021248</v>
      </c>
      <c r="N17" s="17">
        <v>1.7703384798099764</v>
      </c>
      <c r="O17" s="17">
        <v>2.4896364254162417</v>
      </c>
      <c r="P17" s="17">
        <v>3.1292565519700482</v>
      </c>
      <c r="Q17" s="17">
        <v>2.7518645434388227</v>
      </c>
      <c r="R17" s="37">
        <v>3.0572318007662833</v>
      </c>
      <c r="S17" s="57"/>
      <c r="T17" s="57"/>
      <c r="U17" s="57"/>
    </row>
    <row r="18" spans="1:21">
      <c r="A18" t="str">
        <f>IFERROR(INDEX('2017 Data (WP)'!$C$9:$C$72,MATCH($B18,'2017 Data (WP)'!$D$9:$D$72,0)),"")</f>
        <v/>
      </c>
      <c r="B18" t="s">
        <v>7</v>
      </c>
      <c r="C18" t="s">
        <v>48</v>
      </c>
      <c r="D18" s="35" t="e">
        <f t="shared" ca="1" si="1"/>
        <v>#N/A</v>
      </c>
      <c r="E18" s="35" t="e">
        <f t="shared" ca="1" si="2"/>
        <v>#N/A</v>
      </c>
      <c r="F18" s="35"/>
      <c r="G18" s="17" t="str">
        <f t="shared" ca="1" si="3"/>
        <v>N/A</v>
      </c>
      <c r="H18" s="17" t="s">
        <v>106</v>
      </c>
      <c r="I18" s="17" t="s">
        <v>106</v>
      </c>
      <c r="J18" s="17" t="s">
        <v>106</v>
      </c>
      <c r="K18" s="17" t="s">
        <v>106</v>
      </c>
      <c r="L18" s="17" t="s">
        <v>106</v>
      </c>
      <c r="M18" s="17" t="s">
        <v>106</v>
      </c>
      <c r="N18" s="17" t="s">
        <v>106</v>
      </c>
      <c r="O18" s="17" t="s">
        <v>106</v>
      </c>
      <c r="P18" s="17" t="s">
        <v>106</v>
      </c>
      <c r="Q18" s="17" t="s">
        <v>106</v>
      </c>
      <c r="R18" s="37" t="s">
        <v>106</v>
      </c>
      <c r="S18" s="57"/>
      <c r="T18" s="57"/>
      <c r="U18" s="57"/>
    </row>
    <row r="19" spans="1:21">
      <c r="A19" t="str">
        <f>IFERROR(INDEX('2017 Data (WP)'!$C$9:$C$72,MATCH($B19,'2017 Data (WP)'!$D$9:$D$72,0)),"")</f>
        <v>Natural Gas Utility</v>
      </c>
      <c r="B19" s="31" t="s">
        <v>178</v>
      </c>
      <c r="C19" s="31" t="s">
        <v>215</v>
      </c>
      <c r="D19" s="35">
        <f t="shared" ca="1" si="1"/>
        <v>18</v>
      </c>
      <c r="E19" s="35">
        <f t="shared" ca="1" si="2"/>
        <v>18</v>
      </c>
      <c r="F19" s="35"/>
      <c r="G19" s="17">
        <f t="shared" ca="1" si="3"/>
        <v>2.2760498519790944</v>
      </c>
      <c r="H19" s="17">
        <v>2.1877371764806206</v>
      </c>
      <c r="I19" s="17">
        <v>2.1239191683668515</v>
      </c>
      <c r="J19" s="17">
        <v>1.831034125090758</v>
      </c>
      <c r="K19" s="17">
        <v>1.6558011669658885</v>
      </c>
      <c r="L19" s="17">
        <v>1.6144951722493743</v>
      </c>
      <c r="M19" s="17">
        <v>1.403700429401364</v>
      </c>
      <c r="N19" s="17">
        <v>1.3671659837442065</v>
      </c>
      <c r="O19" s="17">
        <v>1.6393742719254452</v>
      </c>
      <c r="P19" s="17">
        <v>1.8378677095732019</v>
      </c>
      <c r="Q19" s="17">
        <v>1.8481949458483755</v>
      </c>
      <c r="S19" s="58"/>
      <c r="T19" s="58"/>
      <c r="U19" s="58"/>
    </row>
    <row r="20" spans="1:21">
      <c r="A20" t="str">
        <f>IFERROR(INDEX('2017 Data (WP)'!$C$9:$C$72,MATCH($B20,'2017 Data (WP)'!$D$9:$D$72,0)),"")</f>
        <v/>
      </c>
      <c r="B20" t="s">
        <v>8</v>
      </c>
      <c r="C20" t="s">
        <v>49</v>
      </c>
      <c r="D20" s="35" t="e">
        <f t="shared" ca="1" si="1"/>
        <v>#N/A</v>
      </c>
      <c r="E20" s="35" t="e">
        <f t="shared" ca="1" si="2"/>
        <v>#N/A</v>
      </c>
      <c r="F20" s="35"/>
      <c r="G20" s="17" t="str">
        <f t="shared" ca="1" si="3"/>
        <v>N/A</v>
      </c>
      <c r="H20" s="17" t="s">
        <v>106</v>
      </c>
      <c r="I20" s="17" t="s">
        <v>106</v>
      </c>
      <c r="J20" s="17" t="s">
        <v>106</v>
      </c>
      <c r="K20" s="17" t="s">
        <v>106</v>
      </c>
      <c r="L20" s="17" t="s">
        <v>106</v>
      </c>
      <c r="M20" s="17" t="s">
        <v>106</v>
      </c>
      <c r="N20" s="17" t="s">
        <v>106</v>
      </c>
      <c r="O20" s="17" t="s">
        <v>106</v>
      </c>
      <c r="P20" s="17" t="s">
        <v>106</v>
      </c>
      <c r="Q20" s="17" t="s">
        <v>106</v>
      </c>
      <c r="R20" s="37" t="s">
        <v>106</v>
      </c>
      <c r="S20" s="57"/>
      <c r="T20" s="57"/>
      <c r="U20" s="57"/>
    </row>
    <row r="21" spans="1:21">
      <c r="A21" t="str">
        <f>IFERROR(INDEX('2017 Data (WP)'!$C$9:$C$72,MATCH($B21,'2017 Data (WP)'!$D$9:$D$72,0)),"")</f>
        <v>Electric Util. (Central)</v>
      </c>
      <c r="B21" t="s">
        <v>9</v>
      </c>
      <c r="C21" t="s">
        <v>47</v>
      </c>
      <c r="D21" s="35">
        <f t="shared" ca="1" si="1"/>
        <v>19</v>
      </c>
      <c r="E21" s="35">
        <f t="shared" ca="1" si="2"/>
        <v>19</v>
      </c>
      <c r="F21" s="35"/>
      <c r="G21" s="17">
        <f t="shared" ca="1" si="3"/>
        <v>2.7223608193277311</v>
      </c>
      <c r="H21" s="17">
        <v>2.4331362612612613</v>
      </c>
      <c r="I21" s="17">
        <v>2.2570485902819435</v>
      </c>
      <c r="J21" s="17">
        <v>2.0875192604006161</v>
      </c>
      <c r="K21" s="17">
        <v>1.9063998677029934</v>
      </c>
      <c r="L21" s="17">
        <v>1.656624989510783</v>
      </c>
      <c r="M21" s="17">
        <v>1.4805183199285077</v>
      </c>
      <c r="N21" s="17">
        <v>1.1041338237870031</v>
      </c>
      <c r="O21" s="17">
        <v>1.2286265857694429</v>
      </c>
      <c r="P21" s="17">
        <v>1.8154529119543386</v>
      </c>
      <c r="Q21" s="17">
        <v>1.4156362185879536</v>
      </c>
      <c r="R21" s="37">
        <v>1.3162092868673441</v>
      </c>
      <c r="S21" s="57"/>
      <c r="T21" s="57"/>
      <c r="U21" s="57"/>
    </row>
    <row r="22" spans="1:21">
      <c r="A22" t="str">
        <f>IFERROR(INDEX('2017 Data (WP)'!$C$9:$C$72,MATCH($B22,'2017 Data (WP)'!$D$9:$D$72,0)),"")</f>
        <v>Water Utility</v>
      </c>
      <c r="B22" s="31" t="s">
        <v>180</v>
      </c>
      <c r="C22" s="31" t="s">
        <v>179</v>
      </c>
      <c r="D22" s="35">
        <f t="shared" ca="1" si="1"/>
        <v>20</v>
      </c>
      <c r="E22" s="35">
        <f t="shared" ca="1" si="2"/>
        <v>20</v>
      </c>
      <c r="F22" s="35"/>
      <c r="G22" s="17">
        <f t="shared" ca="1" si="3"/>
        <v>2.3082018777105273</v>
      </c>
      <c r="H22" s="17">
        <v>1.7919540229885056</v>
      </c>
      <c r="I22" s="17">
        <v>1.786658877263795</v>
      </c>
      <c r="J22" s="17">
        <v>1.7018699413898968</v>
      </c>
      <c r="K22" s="17">
        <v>1.4159744103886183</v>
      </c>
      <c r="L22" s="17">
        <v>1.9252426465140402</v>
      </c>
      <c r="M22" s="17">
        <v>1.7904177845917977</v>
      </c>
      <c r="N22" s="17">
        <v>1.7286503551696923</v>
      </c>
      <c r="O22" s="17">
        <v>2.0114444535273441</v>
      </c>
      <c r="P22" s="17">
        <v>2.0210041841004185</v>
      </c>
      <c r="Q22" s="17">
        <v>2.0237109846525261</v>
      </c>
      <c r="S22" s="57"/>
      <c r="T22" s="57"/>
      <c r="U22" s="57"/>
    </row>
    <row r="23" spans="1:21">
      <c r="A23" t="str">
        <f>IFERROR(INDEX('2017 Data (WP)'!$C$9:$C$72,MATCH($B23,'2017 Data (WP)'!$D$9:$D$72,0)),"")</f>
        <v>Electric Utility (East)</v>
      </c>
      <c r="B23" t="s">
        <v>10</v>
      </c>
      <c r="C23" t="s">
        <v>50</v>
      </c>
      <c r="D23" s="35">
        <f t="shared" ca="1" si="1"/>
        <v>21</v>
      </c>
      <c r="E23" s="35">
        <f t="shared" ca="1" si="2"/>
        <v>21</v>
      </c>
      <c r="F23" s="35"/>
      <c r="G23" s="17">
        <f t="shared" ca="1" si="3"/>
        <v>1.5802171548027901</v>
      </c>
      <c r="H23" s="17">
        <v>1.4172989718493243</v>
      </c>
      <c r="I23" s="17">
        <v>1.3405449464368888</v>
      </c>
      <c r="J23" s="17">
        <v>1.3839033723989476</v>
      </c>
      <c r="K23" s="17">
        <v>1.4658737600552729</v>
      </c>
      <c r="L23" s="17">
        <v>1.3783486144547459</v>
      </c>
      <c r="M23" s="17">
        <v>1.2164777221196941</v>
      </c>
      <c r="N23" s="17">
        <v>1.0805332309295883</v>
      </c>
      <c r="O23" s="17">
        <v>1.1650860852384985</v>
      </c>
      <c r="P23" s="17">
        <v>1.4720704683567614</v>
      </c>
      <c r="Q23" s="17">
        <v>1.4693299880986845</v>
      </c>
      <c r="R23" s="37">
        <v>1.5179182605194284</v>
      </c>
      <c r="S23" s="57"/>
      <c r="T23" s="57"/>
      <c r="U23" s="57"/>
    </row>
    <row r="24" spans="1:21">
      <c r="A24" t="str">
        <f>IFERROR(INDEX('2017 Data (WP)'!$C$9:$C$72,MATCH($B24,'2017 Data (WP)'!$D$9:$D$72,0)),"")</f>
        <v>Water Utility</v>
      </c>
      <c r="B24" s="31" t="s">
        <v>182</v>
      </c>
      <c r="C24" s="31" t="s">
        <v>181</v>
      </c>
      <c r="D24" s="35">
        <f t="shared" ca="1" si="1"/>
        <v>22</v>
      </c>
      <c r="E24" s="35">
        <f t="shared" ca="1" si="2"/>
        <v>22</v>
      </c>
      <c r="F24" s="35"/>
      <c r="G24" s="17">
        <f t="shared" ca="1" si="3"/>
        <v>1.2358770048013077</v>
      </c>
      <c r="H24" s="17">
        <v>1.1795943328916523</v>
      </c>
      <c r="I24" s="17">
        <v>1.2405763809126031</v>
      </c>
      <c r="J24" s="17">
        <v>1.2297998517420312</v>
      </c>
      <c r="K24" s="17">
        <v>0.86405655247417079</v>
      </c>
      <c r="L24" s="17">
        <v>1.0645161290322578</v>
      </c>
      <c r="M24" s="17">
        <v>1.3299182686773341</v>
      </c>
      <c r="N24" s="17">
        <v>1.6504160318762453</v>
      </c>
      <c r="O24" s="17">
        <v>2.2590865614538496</v>
      </c>
      <c r="P24" s="17">
        <v>3.4032866707242846</v>
      </c>
      <c r="Q24" s="17">
        <v>3.3919604700854702</v>
      </c>
      <c r="S24" s="57"/>
      <c r="T24" s="57"/>
      <c r="U24" s="57"/>
    </row>
    <row r="25" spans="1:21">
      <c r="A25" t="str">
        <f>IFERROR(INDEX('2017 Data (WP)'!$C$9:$C$72,MATCH($B25,'2017 Data (WP)'!$D$9:$D$72,0)),"")</f>
        <v>Electric Utility (East)</v>
      </c>
      <c r="B25" t="s">
        <v>11</v>
      </c>
      <c r="C25" t="s">
        <v>52</v>
      </c>
      <c r="D25" s="35">
        <f t="shared" ca="1" si="1"/>
        <v>24</v>
      </c>
      <c r="E25" s="35">
        <f t="shared" ca="1" si="2"/>
        <v>24</v>
      </c>
      <c r="F25" s="35"/>
      <c r="G25" s="17">
        <f t="shared" ca="1" si="3"/>
        <v>3.1532840440165066</v>
      </c>
      <c r="H25" s="17">
        <v>3.3353893963650063</v>
      </c>
      <c r="I25" s="17">
        <v>3.5490831729308074</v>
      </c>
      <c r="J25" s="17">
        <v>2.9701813096248939</v>
      </c>
      <c r="K25" s="17">
        <v>2.8351504579153946</v>
      </c>
      <c r="L25" s="17">
        <v>2.3725051017868695</v>
      </c>
      <c r="M25" s="17">
        <v>2.0075038729666925</v>
      </c>
      <c r="N25" s="17">
        <v>1.8027331189710611</v>
      </c>
      <c r="O25" s="17">
        <v>2.4243301116962788</v>
      </c>
      <c r="P25" s="17">
        <v>2.6941190899613665</v>
      </c>
      <c r="Q25" s="17">
        <v>2.0725945945945949</v>
      </c>
      <c r="R25" s="37">
        <v>2.4960561497326204</v>
      </c>
      <c r="S25" s="57"/>
      <c r="T25" s="57"/>
      <c r="U25" s="57"/>
    </row>
    <row r="26" spans="1:21">
      <c r="A26" t="str">
        <f>IFERROR(INDEX('2017 Data (WP)'!$C$9:$C$72,MATCH($B26,'2017 Data (WP)'!$D$9:$D$72,0)),"")</f>
        <v>Electric Util. (Central)</v>
      </c>
      <c r="B26" t="s">
        <v>12</v>
      </c>
      <c r="C26" t="s">
        <v>51</v>
      </c>
      <c r="D26" s="35">
        <f t="shared" ca="1" si="1"/>
        <v>25</v>
      </c>
      <c r="E26" s="35">
        <f t="shared" ca="1" si="2"/>
        <v>25</v>
      </c>
      <c r="F26" s="35"/>
      <c r="G26" s="17">
        <f t="shared" ca="1" si="3"/>
        <v>1.8241303092455046</v>
      </c>
      <c r="H26" s="17">
        <v>1.6454160443562411</v>
      </c>
      <c r="I26" s="17">
        <v>1.6164980445502464</v>
      </c>
      <c r="J26" s="17">
        <v>1.5059804601041831</v>
      </c>
      <c r="K26" s="17">
        <v>1.3504523247387736</v>
      </c>
      <c r="L26" s="17">
        <v>1.1971844589863088</v>
      </c>
      <c r="M26" s="17">
        <v>1.1562444864524262</v>
      </c>
      <c r="N26" s="17">
        <v>0.88860786173464013</v>
      </c>
      <c r="O26" s="17">
        <v>1.0994969408565602</v>
      </c>
      <c r="P26" s="17">
        <v>1.3549655576317037</v>
      </c>
      <c r="Q26" s="17">
        <v>1.2934068263726946</v>
      </c>
      <c r="R26" s="37">
        <v>1.3905498705461719</v>
      </c>
      <c r="S26" s="57"/>
      <c r="T26" s="57"/>
      <c r="U26" s="57"/>
    </row>
    <row r="27" spans="1:21">
      <c r="A27" t="str">
        <f>IFERROR(INDEX('2017 Data (WP)'!$C$9:$C$72,MATCH($B27,'2017 Data (WP)'!$D$9:$D$72,0)),"")</f>
        <v>Electric Utility (East)</v>
      </c>
      <c r="B27" t="s">
        <v>13</v>
      </c>
      <c r="C27" t="s">
        <v>93</v>
      </c>
      <c r="D27" s="35">
        <f t="shared" ca="1" si="1"/>
        <v>26</v>
      </c>
      <c r="E27" s="35">
        <f t="shared" ca="1" si="2"/>
        <v>26</v>
      </c>
      <c r="F27" s="35"/>
      <c r="G27" s="17">
        <f t="shared" ca="1" si="3"/>
        <v>1.3450075913952815</v>
      </c>
      <c r="H27" s="17">
        <v>1.2935593924804738</v>
      </c>
      <c r="I27" s="17">
        <v>1.2795814235060106</v>
      </c>
      <c r="J27" s="17">
        <v>1.1862967834509148</v>
      </c>
      <c r="K27" s="17">
        <v>1.1162221762800635</v>
      </c>
      <c r="L27" s="17">
        <v>1.1141767696519358</v>
      </c>
      <c r="M27" s="17">
        <v>1.0029108073556889</v>
      </c>
      <c r="N27" s="17">
        <v>0.90554039958276511</v>
      </c>
      <c r="O27" s="17">
        <v>1.0578123421876577</v>
      </c>
      <c r="P27" s="17">
        <v>1.1521061925831861</v>
      </c>
      <c r="Q27" s="17" t="s">
        <v>106</v>
      </c>
      <c r="R27" s="37" t="s">
        <v>106</v>
      </c>
      <c r="S27" s="57"/>
      <c r="T27" s="57"/>
      <c r="U27" s="57"/>
    </row>
    <row r="28" spans="1:21">
      <c r="A28" t="str">
        <f>IFERROR(INDEX('2017 Data (WP)'!$C$9:$C$72,MATCH($B28,'2017 Data (WP)'!$D$9:$D$72,0)),"")</f>
        <v>Electric Utility (West)</v>
      </c>
      <c r="B28" t="s">
        <v>14</v>
      </c>
      <c r="C28" t="s">
        <v>53</v>
      </c>
      <c r="D28" s="35">
        <f t="shared" ca="1" si="1"/>
        <v>27</v>
      </c>
      <c r="E28" s="35">
        <f t="shared" ca="1" si="2"/>
        <v>27</v>
      </c>
      <c r="F28" s="35"/>
      <c r="G28" s="17">
        <f t="shared" ca="1" si="3"/>
        <v>1.9175968929085525</v>
      </c>
      <c r="H28" s="17">
        <v>1.756384167836978</v>
      </c>
      <c r="I28" s="17">
        <v>1.6797764499539225</v>
      </c>
      <c r="J28" s="17">
        <v>1.5737984394465936</v>
      </c>
      <c r="K28" s="17">
        <v>1.5256140108466612</v>
      </c>
      <c r="L28" s="17">
        <v>1.2358316321570915</v>
      </c>
      <c r="M28" s="17">
        <v>1.065563158868134</v>
      </c>
      <c r="N28" s="17">
        <v>1.0424433040887271</v>
      </c>
      <c r="O28" s="17">
        <v>1.5568298527901403</v>
      </c>
      <c r="P28" s="17">
        <v>2.0532469035768028</v>
      </c>
      <c r="Q28" s="17">
        <v>1.8003888254934277</v>
      </c>
      <c r="R28" s="37">
        <v>1.9313401960301435</v>
      </c>
      <c r="S28" s="57"/>
      <c r="T28" s="57"/>
      <c r="U28" s="57"/>
    </row>
    <row r="29" spans="1:21">
      <c r="A29" t="str">
        <f>IFERROR(INDEX('2017 Data (WP)'!$C$9:$C$72,MATCH($B29,'2017 Data (WP)'!$D$9:$D$72,0)),"")</f>
        <v>Electric Utility (West)</v>
      </c>
      <c r="B29" t="s">
        <v>15</v>
      </c>
      <c r="C29" t="s">
        <v>88</v>
      </c>
      <c r="D29" s="35">
        <f t="shared" ca="1" si="1"/>
        <v>28</v>
      </c>
      <c r="E29" s="35">
        <f t="shared" ca="1" si="2"/>
        <v>28</v>
      </c>
      <c r="F29" s="35"/>
      <c r="G29" s="17">
        <f t="shared" ca="1" si="3"/>
        <v>1.6815627710525325</v>
      </c>
      <c r="H29" s="17">
        <v>1.4802864531529738</v>
      </c>
      <c r="I29" s="17">
        <v>1.5248677682561811</v>
      </c>
      <c r="J29" s="17">
        <v>1.490315699658703</v>
      </c>
      <c r="K29" s="17">
        <v>1.590411824767832</v>
      </c>
      <c r="L29" s="17">
        <v>1.641753390097761</v>
      </c>
      <c r="M29" s="17">
        <v>1.165686068501786</v>
      </c>
      <c r="N29" s="17">
        <v>0.9839552692354443</v>
      </c>
      <c r="O29" s="17">
        <v>1.330380810758389</v>
      </c>
      <c r="P29" s="17">
        <v>1.6851161845403428</v>
      </c>
      <c r="Q29" s="17">
        <v>1.7050702213758631</v>
      </c>
      <c r="R29" s="37">
        <v>1.7572244332929572</v>
      </c>
      <c r="S29" s="57"/>
      <c r="T29" s="57"/>
      <c r="U29" s="57"/>
    </row>
    <row r="30" spans="1:21">
      <c r="A30" t="str">
        <f>IFERROR(INDEX('2017 Data (WP)'!$C$9:$C$72,MATCH($B30,'2017 Data (WP)'!$D$9:$D$72,0)),"")</f>
        <v/>
      </c>
      <c r="B30" t="s">
        <v>16</v>
      </c>
      <c r="C30" t="s">
        <v>102</v>
      </c>
      <c r="D30" s="35">
        <f t="shared" ca="1" si="1"/>
        <v>29</v>
      </c>
      <c r="E30" s="35">
        <f t="shared" ca="1" si="2"/>
        <v>29</v>
      </c>
      <c r="F30" s="35"/>
      <c r="G30" s="17" t="str">
        <f t="shared" ca="1" si="3"/>
        <v>N/A</v>
      </c>
      <c r="H30" s="17">
        <v>1.3175391669850975</v>
      </c>
      <c r="I30" s="17">
        <v>1.3948931446017208</v>
      </c>
      <c r="J30" s="17">
        <v>1.2735984392035349</v>
      </c>
      <c r="K30" s="17">
        <v>1.2311197916666665</v>
      </c>
      <c r="L30" s="17">
        <v>1.2490321800145174</v>
      </c>
      <c r="M30" s="17">
        <v>1.2391730416640325</v>
      </c>
      <c r="N30" s="17">
        <v>1.0744268749603099</v>
      </c>
      <c r="O30" s="17">
        <v>1.2971792070937478</v>
      </c>
      <c r="P30" s="17">
        <v>1.4743829468960359</v>
      </c>
      <c r="Q30" s="17">
        <v>1.4487121554450972</v>
      </c>
      <c r="R30" s="37">
        <v>1.4943641426866463</v>
      </c>
      <c r="S30" s="57"/>
      <c r="T30" s="57"/>
      <c r="U30" s="57"/>
    </row>
    <row r="31" spans="1:21">
      <c r="A31" t="str">
        <f>IFERROR(INDEX('2017 Data (WP)'!$C$9:$C$72,MATCH($B31,'2017 Data (WP)'!$D$9:$D$72,0)),"")</f>
        <v>Electric Util. (Central)</v>
      </c>
      <c r="B31" t="s">
        <v>17</v>
      </c>
      <c r="C31" t="s">
        <v>55</v>
      </c>
      <c r="D31" s="35">
        <f t="shared" ca="1" si="1"/>
        <v>30</v>
      </c>
      <c r="E31" s="35">
        <f t="shared" ca="1" si="2"/>
        <v>30</v>
      </c>
      <c r="F31" s="35"/>
      <c r="G31" s="17">
        <f t="shared" ca="1" si="3"/>
        <v>1.6655141077642575</v>
      </c>
      <c r="H31" s="17">
        <v>1.4028444238885356</v>
      </c>
      <c r="I31" s="17">
        <v>1.3316258910341368</v>
      </c>
      <c r="J31" s="17">
        <v>1.2136587533795045</v>
      </c>
      <c r="K31" s="17">
        <v>1.3062928951184145</v>
      </c>
      <c r="L31" s="17">
        <v>1.3464202778761758</v>
      </c>
      <c r="M31" s="17">
        <v>1.6211894894073591</v>
      </c>
      <c r="N31" s="17">
        <v>1.6572840048303874</v>
      </c>
      <c r="O31" s="17">
        <v>2.4398992179886383</v>
      </c>
      <c r="P31" s="17">
        <v>2.6549835437441667</v>
      </c>
      <c r="Q31" s="17">
        <v>1.8917428924598267</v>
      </c>
      <c r="R31" s="37">
        <v>2.0062729283934018</v>
      </c>
      <c r="S31" s="57"/>
      <c r="T31" s="57"/>
      <c r="U31" s="57"/>
    </row>
    <row r="32" spans="1:21">
      <c r="A32" t="str">
        <f>IFERROR(INDEX('2017 Data (WP)'!$C$9:$C$72,MATCH($B32,'2017 Data (WP)'!$D$9:$D$72,0)),"")</f>
        <v>Electric Utility (East)</v>
      </c>
      <c r="B32" t="s">
        <v>211</v>
      </c>
      <c r="C32" t="s">
        <v>212</v>
      </c>
      <c r="D32" s="35">
        <f t="shared" ca="1" si="1"/>
        <v>31</v>
      </c>
      <c r="E32" s="35">
        <f t="shared" ca="1" si="2"/>
        <v>31</v>
      </c>
      <c r="F32" s="35"/>
      <c r="G32" s="17">
        <f t="shared" ca="1" si="3"/>
        <v>1.6367482176138213</v>
      </c>
      <c r="H32" s="17">
        <v>1.5314826730398012</v>
      </c>
      <c r="I32" s="17">
        <v>1.4689267331765901</v>
      </c>
      <c r="J32" s="17">
        <v>1.3836843141113953</v>
      </c>
      <c r="K32" s="17">
        <v>1.275873793009656</v>
      </c>
      <c r="L32" s="17">
        <v>1.5045033112582782</v>
      </c>
      <c r="M32" s="17">
        <v>1.3051067179036067</v>
      </c>
      <c r="N32" s="17">
        <v>1.1212879791881412</v>
      </c>
      <c r="O32" s="17">
        <v>1.3111134041894539</v>
      </c>
      <c r="P32" s="17">
        <v>1.5980055758095646</v>
      </c>
      <c r="Q32" s="17">
        <v>1.2232265887670175</v>
      </c>
      <c r="R32" s="37">
        <v>1.0488055901630464</v>
      </c>
      <c r="S32" s="57"/>
      <c r="T32" s="57"/>
      <c r="U32" s="57"/>
    </row>
    <row r="33" spans="1:21">
      <c r="A33" t="str">
        <f>IFERROR(INDEX('2017 Data (WP)'!$C$9:$C$72,MATCH($B33,'2017 Data (WP)'!$D$9:$D$72,0)),"")</f>
        <v>Electric Utility (East)</v>
      </c>
      <c r="B33" t="s">
        <v>18</v>
      </c>
      <c r="C33" t="s">
        <v>69</v>
      </c>
      <c r="D33" s="35">
        <f t="shared" ca="1" si="1"/>
        <v>32</v>
      </c>
      <c r="E33" s="35">
        <f t="shared" ca="1" si="2"/>
        <v>32</v>
      </c>
      <c r="F33" s="35"/>
      <c r="G33" s="17">
        <f t="shared" ca="1" si="3"/>
        <v>1.2026036264797395</v>
      </c>
      <c r="H33" s="17">
        <v>1.1392752692774093</v>
      </c>
      <c r="I33" s="17">
        <v>1.2793519187616476</v>
      </c>
      <c r="J33" s="17">
        <v>1.1702368381354655</v>
      </c>
      <c r="K33" s="17">
        <v>1.460992342054882</v>
      </c>
      <c r="L33" s="17">
        <v>1.9543463223426334</v>
      </c>
      <c r="M33" s="17">
        <v>2.0720909800859042</v>
      </c>
      <c r="N33" s="17">
        <v>2.5723680776658489</v>
      </c>
      <c r="O33" s="17">
        <v>4.389991063449509</v>
      </c>
      <c r="P33" s="17">
        <v>4.7874046548014864</v>
      </c>
      <c r="Q33" s="17">
        <v>3.8856797420741538</v>
      </c>
      <c r="R33" s="37">
        <v>3.6030378267854535</v>
      </c>
      <c r="S33" s="57"/>
      <c r="T33" s="57"/>
      <c r="U33" s="57"/>
    </row>
    <row r="34" spans="1:21">
      <c r="A34" t="str">
        <f>IFERROR(INDEX('2017 Data (WP)'!$C$9:$C$72,MATCH($B34,'2017 Data (WP)'!$D$9:$D$72,0)),"")</f>
        <v>Electric Utility (East)</v>
      </c>
      <c r="B34" t="s">
        <v>19</v>
      </c>
      <c r="C34" t="s">
        <v>66</v>
      </c>
      <c r="D34" s="35">
        <f t="shared" ca="1" si="1"/>
        <v>33</v>
      </c>
      <c r="E34" s="35">
        <f t="shared" ca="1" si="2"/>
        <v>33</v>
      </c>
      <c r="F34" s="35"/>
      <c r="G34" s="17">
        <f t="shared" ca="1" si="3"/>
        <v>2.3686299525125802</v>
      </c>
      <c r="H34" s="17">
        <v>1.1609548167092925</v>
      </c>
      <c r="I34" s="17">
        <v>1.1467078049772834</v>
      </c>
      <c r="J34" s="17">
        <v>1.2788442509400355</v>
      </c>
      <c r="K34" s="17">
        <v>1.4362154387086463</v>
      </c>
      <c r="L34" s="17">
        <v>1.3256282673049065</v>
      </c>
      <c r="M34" s="17">
        <v>1.3620148401826484</v>
      </c>
      <c r="N34" s="17">
        <v>1.5400505752039035</v>
      </c>
      <c r="O34" s="17">
        <v>2.5216399234506111</v>
      </c>
      <c r="P34" s="17">
        <v>2.2335902747122143</v>
      </c>
      <c r="Q34" s="17">
        <v>1.9202967673555909</v>
      </c>
      <c r="R34" s="37">
        <v>1.6378518093049972</v>
      </c>
      <c r="S34" s="57"/>
      <c r="T34" s="57"/>
      <c r="U34" s="57"/>
    </row>
    <row r="35" spans="1:21">
      <c r="A35" t="str">
        <f>IFERROR(INDEX('2017 Data (WP)'!$C$9:$C$72,MATCH($B35,'2017 Data (WP)'!$D$9:$D$72,0)),"")</f>
        <v>Electric Util. (Central)</v>
      </c>
      <c r="B35" t="s">
        <v>267</v>
      </c>
      <c r="C35" t="s">
        <v>266</v>
      </c>
      <c r="D35" s="35">
        <f t="shared" ca="1" si="1"/>
        <v>34</v>
      </c>
      <c r="E35" s="35">
        <f t="shared" ca="1" si="2"/>
        <v>34</v>
      </c>
      <c r="F35" s="35"/>
      <c r="G35" s="17">
        <f t="shared" ca="1" si="3"/>
        <v>1.2634689772551448</v>
      </c>
      <c r="H35" s="17">
        <v>1.3269405435617969</v>
      </c>
      <c r="I35" s="17">
        <v>1.3462542679252862</v>
      </c>
      <c r="J35" s="17">
        <v>1.4540784418833201</v>
      </c>
      <c r="K35" s="17">
        <v>1.5932626325639425</v>
      </c>
      <c r="L35" s="17">
        <v>1.5925871809857781</v>
      </c>
      <c r="M35" s="17">
        <v>1.5570682285895203</v>
      </c>
      <c r="N35" s="17">
        <v>1.3307124777855568</v>
      </c>
      <c r="O35" s="17">
        <v>1.4760317724823642</v>
      </c>
      <c r="P35" s="17">
        <v>1.627122697919158</v>
      </c>
      <c r="Q35" s="17">
        <v>1.9610771113831089</v>
      </c>
      <c r="R35" s="37" t="s">
        <v>106</v>
      </c>
      <c r="S35" s="57"/>
      <c r="T35" s="57"/>
      <c r="U35" s="57"/>
    </row>
    <row r="36" spans="1:21">
      <c r="A36" t="str">
        <f>IFERROR(INDEX('2017 Data (WP)'!$C$9:$C$72,MATCH($B36,'2017 Data (WP)'!$D$9:$D$72,0)),"")</f>
        <v/>
      </c>
      <c r="B36" t="s">
        <v>57</v>
      </c>
      <c r="C36" t="s">
        <v>56</v>
      </c>
      <c r="D36" s="35" t="e">
        <f t="shared" ca="1" si="1"/>
        <v>#N/A</v>
      </c>
      <c r="E36" s="35" t="e">
        <f t="shared" ca="1" si="2"/>
        <v>#N/A</v>
      </c>
      <c r="F36" s="35"/>
      <c r="G36" s="17" t="str">
        <f t="shared" ca="1" si="3"/>
        <v>N/A</v>
      </c>
      <c r="H36" s="17" t="s">
        <v>106</v>
      </c>
      <c r="I36" s="17" t="s">
        <v>106</v>
      </c>
      <c r="J36" s="17" t="s">
        <v>106</v>
      </c>
      <c r="K36" s="17" t="s">
        <v>106</v>
      </c>
      <c r="L36" s="17" t="s">
        <v>106</v>
      </c>
      <c r="M36" s="17" t="s">
        <v>106</v>
      </c>
      <c r="N36" s="17" t="s">
        <v>106</v>
      </c>
      <c r="O36" s="17" t="s">
        <v>106</v>
      </c>
      <c r="P36" s="17" t="s">
        <v>106</v>
      </c>
      <c r="Q36" s="17" t="s">
        <v>106</v>
      </c>
      <c r="R36" s="37" t="s">
        <v>106</v>
      </c>
      <c r="S36" s="57"/>
      <c r="T36" s="57"/>
      <c r="U36" s="57"/>
    </row>
    <row r="37" spans="1:21">
      <c r="A37" t="str">
        <f>IFERROR(INDEX('2017 Data (WP)'!$C$9:$C$72,MATCH($B37,'2017 Data (WP)'!$D$9:$D$72,0)),"")</f>
        <v>Electric Util. (Central)</v>
      </c>
      <c r="B37" t="s">
        <v>20</v>
      </c>
      <c r="C37" t="s">
        <v>104</v>
      </c>
      <c r="D37" s="35">
        <f t="shared" ref="D37:D46" ca="1" si="4">MATCH(B37,OFFSET(MarketPrice,0,0,,1),0)</f>
        <v>36</v>
      </c>
      <c r="E37" s="35">
        <f t="shared" ref="E37:E46" ca="1" si="5">MATCH(B37,OFFSET(BookValue,0,0,,1),0)</f>
        <v>36</v>
      </c>
      <c r="F37" s="35"/>
      <c r="G37" s="17">
        <f t="shared" ref="G37:Q68" ca="1" si="6">IFERROR(INDEX(MarketPrice,$D37,G$2)/INDEX(BookValue,$E37,G$2),"N/A")</f>
        <v>1.170555173668675</v>
      </c>
      <c r="H37" s="17">
        <v>1.120349647396647</v>
      </c>
      <c r="I37" s="17">
        <v>1.1115983148482504</v>
      </c>
      <c r="J37" s="17">
        <v>1.0177582923696913</v>
      </c>
      <c r="K37" s="17">
        <v>0.96396230751551371</v>
      </c>
      <c r="L37" s="17">
        <v>0.9259463686122994</v>
      </c>
      <c r="M37" s="17">
        <v>0.87020926404890664</v>
      </c>
      <c r="N37" s="17">
        <v>0.80083410115901266</v>
      </c>
      <c r="O37" s="17">
        <v>1.1143631943145689</v>
      </c>
      <c r="P37" s="17">
        <v>1.6633483665163349</v>
      </c>
      <c r="Q37" s="17">
        <v>1.7749835339201243</v>
      </c>
      <c r="R37" s="37">
        <v>1.8594294092491905</v>
      </c>
      <c r="S37" s="57"/>
      <c r="T37" s="58"/>
      <c r="U37" s="58"/>
    </row>
    <row r="38" spans="1:21">
      <c r="A38" t="str">
        <f>IFERROR(INDEX('2017 Data (WP)'!$C$9:$C$72,MATCH($B38,'2017 Data (WP)'!$D$9:$D$72,0)),"")</f>
        <v>Electric Utility (West)</v>
      </c>
      <c r="B38" t="s">
        <v>21</v>
      </c>
      <c r="C38" t="s">
        <v>58</v>
      </c>
      <c r="D38" s="35">
        <f t="shared" ca="1" si="4"/>
        <v>37</v>
      </c>
      <c r="E38" s="35">
        <f t="shared" ca="1" si="5"/>
        <v>37</v>
      </c>
      <c r="F38" s="35"/>
      <c r="G38" s="17">
        <f t="shared" ca="1" si="6"/>
        <v>1.6309761479457814</v>
      </c>
      <c r="H38" s="17">
        <v>1.7060987847028655</v>
      </c>
      <c r="I38" s="17">
        <v>1.4911828695751745</v>
      </c>
      <c r="J38" s="17">
        <v>1.5399272983114447</v>
      </c>
      <c r="K38" s="17">
        <v>1.6225116736298846</v>
      </c>
      <c r="L38" s="17">
        <v>1.5427872860635699</v>
      </c>
      <c r="M38" s="17">
        <v>1.4354735767168751</v>
      </c>
      <c r="N38" s="17">
        <v>1.1554999358233859</v>
      </c>
      <c r="O38" s="17">
        <v>1.6144625407166124</v>
      </c>
      <c r="P38" s="17">
        <v>1.5664944070124942</v>
      </c>
      <c r="Q38" s="17">
        <v>2.0110078095946449</v>
      </c>
      <c r="R38" s="37">
        <v>1.7758769886174532</v>
      </c>
      <c r="S38" s="57"/>
      <c r="T38" s="57"/>
      <c r="U38" s="57"/>
    </row>
    <row r="39" spans="1:21">
      <c r="A39" t="str">
        <f>IFERROR(INDEX('2017 Data (WP)'!$C$9:$C$72,MATCH($B39,'2017 Data (WP)'!$D$9:$D$72,0)),"")</f>
        <v>Electric Utility (West)</v>
      </c>
      <c r="B39" t="s">
        <v>22</v>
      </c>
      <c r="C39" t="s">
        <v>59</v>
      </c>
      <c r="D39" s="35">
        <f t="shared" ca="1" si="4"/>
        <v>38</v>
      </c>
      <c r="E39" s="35">
        <f t="shared" ca="1" si="5"/>
        <v>38</v>
      </c>
      <c r="F39" s="35"/>
      <c r="G39" s="17">
        <f t="shared" ca="1" si="6"/>
        <v>1.7571304897166524</v>
      </c>
      <c r="H39" s="17">
        <v>1.535360454022848</v>
      </c>
      <c r="I39" s="17">
        <v>1.4531065012611315</v>
      </c>
      <c r="J39" s="17">
        <v>1.3288366538190111</v>
      </c>
      <c r="K39" s="17">
        <v>1.1926422358477116</v>
      </c>
      <c r="L39" s="17">
        <v>1.1679373210788007</v>
      </c>
      <c r="M39" s="17">
        <v>1.1250846473831866</v>
      </c>
      <c r="N39" s="17">
        <v>0.92277370261191471</v>
      </c>
      <c r="O39" s="17">
        <v>1.093591267696963</v>
      </c>
      <c r="P39" s="17">
        <v>1.2630636010749479</v>
      </c>
      <c r="Q39" s="17">
        <v>1.3744469455872081</v>
      </c>
      <c r="R39" s="37">
        <v>1.2158934886623673</v>
      </c>
      <c r="S39" s="57"/>
      <c r="T39" s="57"/>
      <c r="U39" s="57"/>
    </row>
    <row r="40" spans="1:21">
      <c r="A40" t="str">
        <f>IFERROR(INDEX('2017 Data (WP)'!$C$9:$C$72,MATCH($B40,'2017 Data (WP)'!$D$9:$D$72,0)),"")</f>
        <v/>
      </c>
      <c r="B40" t="s">
        <v>23</v>
      </c>
      <c r="C40" t="s">
        <v>85</v>
      </c>
      <c r="D40" s="35" t="e">
        <f t="shared" ca="1" si="4"/>
        <v>#N/A</v>
      </c>
      <c r="E40" s="35" t="e">
        <f t="shared" ca="1" si="5"/>
        <v>#N/A</v>
      </c>
      <c r="F40" s="35"/>
      <c r="G40" s="17" t="str">
        <f t="shared" ca="1" si="6"/>
        <v>N/A</v>
      </c>
      <c r="H40" s="17" t="s">
        <v>106</v>
      </c>
      <c r="I40" s="17" t="s">
        <v>106</v>
      </c>
      <c r="J40" s="17" t="s">
        <v>106</v>
      </c>
      <c r="K40" s="17" t="s">
        <v>106</v>
      </c>
      <c r="L40" s="17" t="s">
        <v>106</v>
      </c>
      <c r="M40" s="17" t="s">
        <v>106</v>
      </c>
      <c r="N40" s="17" t="s">
        <v>106</v>
      </c>
      <c r="O40" s="17" t="s">
        <v>106</v>
      </c>
      <c r="P40" s="17" t="s">
        <v>106</v>
      </c>
      <c r="Q40" s="17" t="s">
        <v>106</v>
      </c>
      <c r="R40" s="37" t="s">
        <v>106</v>
      </c>
      <c r="S40" s="57"/>
      <c r="T40" s="57"/>
      <c r="U40" s="57"/>
    </row>
    <row r="41" spans="1:21">
      <c r="A41" t="str">
        <f>IFERROR(INDEX('2017 Data (WP)'!$C$9:$C$72,MATCH($B41,'2017 Data (WP)'!$D$9:$D$72,0)),"")</f>
        <v/>
      </c>
      <c r="B41" t="s">
        <v>161</v>
      </c>
      <c r="C41" t="s">
        <v>160</v>
      </c>
      <c r="D41" s="35" t="e">
        <f t="shared" ca="1" si="4"/>
        <v>#N/A</v>
      </c>
      <c r="E41" s="35" t="e">
        <f t="shared" ca="1" si="5"/>
        <v>#N/A</v>
      </c>
      <c r="F41" s="35"/>
      <c r="G41" s="17" t="str">
        <f t="shared" ca="1" si="6"/>
        <v>N/A</v>
      </c>
      <c r="H41" s="17" t="s">
        <v>106</v>
      </c>
      <c r="I41" s="17" t="s">
        <v>106</v>
      </c>
      <c r="J41" s="17" t="s">
        <v>106</v>
      </c>
      <c r="K41" s="17" t="s">
        <v>106</v>
      </c>
      <c r="L41" s="17" t="s">
        <v>106</v>
      </c>
      <c r="M41" s="17" t="s">
        <v>106</v>
      </c>
      <c r="N41" s="17" t="s">
        <v>106</v>
      </c>
      <c r="O41" s="17" t="s">
        <v>106</v>
      </c>
      <c r="P41" s="17" t="s">
        <v>106</v>
      </c>
      <c r="Q41" s="17" t="s">
        <v>106</v>
      </c>
      <c r="R41" s="37">
        <v>3.5244225672093905</v>
      </c>
      <c r="S41" s="57"/>
      <c r="T41" s="57"/>
      <c r="U41" s="57"/>
    </row>
    <row r="42" spans="1:21">
      <c r="A42" t="str">
        <f>IFERROR(INDEX('2017 Data (WP)'!$C$9:$C$72,MATCH($B42,'2017 Data (WP)'!$D$9:$D$72,0)),"")</f>
        <v/>
      </c>
      <c r="B42" t="s">
        <v>24</v>
      </c>
      <c r="C42" t="s">
        <v>60</v>
      </c>
      <c r="D42" s="35" t="e">
        <f t="shared" ca="1" si="4"/>
        <v>#N/A</v>
      </c>
      <c r="E42" s="35" t="e">
        <f t="shared" ca="1" si="5"/>
        <v>#N/A</v>
      </c>
      <c r="F42" s="35"/>
      <c r="G42" s="17" t="str">
        <f t="shared" ca="1" si="6"/>
        <v>N/A</v>
      </c>
      <c r="H42" s="17" t="s">
        <v>106</v>
      </c>
      <c r="I42" s="17" t="s">
        <v>106</v>
      </c>
      <c r="J42" s="17" t="s">
        <v>106</v>
      </c>
      <c r="K42" s="17" t="s">
        <v>106</v>
      </c>
      <c r="L42" s="17" t="s">
        <v>106</v>
      </c>
      <c r="M42" s="17" t="s">
        <v>106</v>
      </c>
      <c r="N42" s="17" t="s">
        <v>106</v>
      </c>
      <c r="O42" s="17" t="s">
        <v>106</v>
      </c>
      <c r="P42" s="17" t="s">
        <v>106</v>
      </c>
      <c r="Q42" s="17" t="s">
        <v>106</v>
      </c>
      <c r="R42" s="37">
        <v>1.9059804485336402</v>
      </c>
      <c r="S42" s="57"/>
      <c r="T42" s="57"/>
      <c r="U42" s="57"/>
    </row>
    <row r="43" spans="1:21">
      <c r="A43" t="str">
        <f>IFERROR(INDEX('2017 Data (WP)'!$C$9:$C$72,MATCH($B43,'2017 Data (WP)'!$D$9:$D$72,0)),"")</f>
        <v>Electric Util. (Central)</v>
      </c>
      <c r="B43" t="s">
        <v>25</v>
      </c>
      <c r="C43" t="s">
        <v>61</v>
      </c>
      <c r="D43" s="35">
        <f t="shared" ca="1" si="4"/>
        <v>39</v>
      </c>
      <c r="E43" s="35">
        <f t="shared" ca="1" si="5"/>
        <v>39</v>
      </c>
      <c r="F43" s="35"/>
      <c r="G43" s="17">
        <f t="shared" ca="1" si="6"/>
        <v>2.5993488461170164</v>
      </c>
      <c r="H43" s="17">
        <v>2.0975597509540069</v>
      </c>
      <c r="I43" s="17">
        <v>2.0968980021030497</v>
      </c>
      <c r="J43" s="17">
        <v>2.0632719514933751</v>
      </c>
      <c r="K43" s="17">
        <v>1.9177237912876974</v>
      </c>
      <c r="L43" s="17">
        <v>1.7526117054751416</v>
      </c>
      <c r="M43" s="17">
        <v>1.6486397253037506</v>
      </c>
      <c r="N43" s="17">
        <v>1.5408001105506806</v>
      </c>
      <c r="O43" s="17">
        <v>1.621497341572065</v>
      </c>
      <c r="P43" s="17">
        <v>1.7479599692070824</v>
      </c>
      <c r="Q43" s="17">
        <v>1.8276469108894291</v>
      </c>
      <c r="R43" s="37">
        <v>2.09242572932465</v>
      </c>
      <c r="S43" s="57"/>
      <c r="T43" s="57"/>
      <c r="U43" s="57"/>
    </row>
    <row r="44" spans="1:21">
      <c r="A44" t="str">
        <f>IFERROR(INDEX('2017 Data (WP)'!$C$9:$C$72,MATCH($B44,'2017 Data (WP)'!$D$9:$D$72,0)),"")</f>
        <v>Water Utility</v>
      </c>
      <c r="B44" s="31" t="s">
        <v>188</v>
      </c>
      <c r="C44" s="31" t="s">
        <v>187</v>
      </c>
      <c r="D44" s="35">
        <f t="shared" ca="1" si="4"/>
        <v>40</v>
      </c>
      <c r="E44" s="35">
        <f t="shared" ca="1" si="5"/>
        <v>40</v>
      </c>
      <c r="F44" s="35"/>
      <c r="G44" s="17">
        <f t="shared" ca="1" si="6"/>
        <v>2.6402566398090124</v>
      </c>
      <c r="H44" s="17">
        <v>1.8301279535285344</v>
      </c>
      <c r="I44" s="17">
        <v>1.7072572736188296</v>
      </c>
      <c r="J44" s="17">
        <v>1.7164242219215158</v>
      </c>
      <c r="K44" s="17">
        <v>1.6323580633925461</v>
      </c>
      <c r="L44" s="17">
        <v>1.6193433895297249</v>
      </c>
      <c r="M44" s="17">
        <v>1.5358426158821417</v>
      </c>
      <c r="N44" s="17">
        <v>1.4650014522218995</v>
      </c>
      <c r="O44" s="17">
        <v>1.7570046864094127</v>
      </c>
      <c r="P44" s="17">
        <v>1.8681121941515815</v>
      </c>
      <c r="Q44" s="17">
        <v>1.9564167191766437</v>
      </c>
      <c r="S44" s="58"/>
      <c r="T44" s="58"/>
      <c r="U44" s="58"/>
    </row>
    <row r="45" spans="1:21">
      <c r="A45" t="str">
        <f>IFERROR(INDEX('2017 Data (WP)'!$C$9:$C$72,MATCH($B45,'2017 Data (WP)'!$D$9:$D$72,0)),"")</f>
        <v>Natural Gas Utility</v>
      </c>
      <c r="B45" s="31" t="s">
        <v>190</v>
      </c>
      <c r="C45" s="31" t="s">
        <v>189</v>
      </c>
      <c r="D45" s="35">
        <f t="shared" ca="1" si="4"/>
        <v>41</v>
      </c>
      <c r="E45" s="35">
        <f t="shared" ca="1" si="5"/>
        <v>41</v>
      </c>
      <c r="F45" s="35"/>
      <c r="G45" s="17">
        <f t="shared" ca="1" si="6"/>
        <v>2.5188102775528236</v>
      </c>
      <c r="H45" s="17">
        <v>2.2755675259715278</v>
      </c>
      <c r="I45" s="17">
        <v>2.1266230936819173</v>
      </c>
      <c r="J45" s="17">
        <v>2.0483522673927332</v>
      </c>
      <c r="K45" s="17">
        <v>2.3270741912440047</v>
      </c>
      <c r="L45" s="17">
        <v>2.3079551521623065</v>
      </c>
      <c r="M45" s="17">
        <v>2.0919409761634506</v>
      </c>
      <c r="N45" s="17">
        <v>2.159652719160738</v>
      </c>
      <c r="O45" s="17">
        <v>1.9173802360564685</v>
      </c>
      <c r="P45" s="17">
        <v>2.1672689726381003</v>
      </c>
      <c r="Q45" s="17">
        <v>2.0057325689908012</v>
      </c>
      <c r="S45" s="57"/>
      <c r="T45" s="57"/>
      <c r="U45" s="57"/>
    </row>
    <row r="46" spans="1:21">
      <c r="A46" t="str">
        <f>IFERROR(INDEX('2017 Data (WP)'!$C$9:$C$72,MATCH($B46,'2017 Data (WP)'!$D$9:$D$72,0)),"")</f>
        <v>Electric Utility (East)</v>
      </c>
      <c r="B46" t="s">
        <v>141</v>
      </c>
      <c r="C46" t="s">
        <v>209</v>
      </c>
      <c r="D46" s="35">
        <f t="shared" ca="1" si="4"/>
        <v>42</v>
      </c>
      <c r="E46" s="35">
        <f t="shared" ca="1" si="5"/>
        <v>42</v>
      </c>
      <c r="F46" s="35"/>
      <c r="G46" s="17">
        <f t="shared" ca="1" si="6"/>
        <v>2.3016669550671973</v>
      </c>
      <c r="H46" s="17">
        <v>2.0907958420977391</v>
      </c>
      <c r="I46" s="17">
        <v>2.1492759748203838</v>
      </c>
      <c r="J46" s="17">
        <v>1.9299992766029275</v>
      </c>
      <c r="K46" s="17">
        <v>1.7367796073464217</v>
      </c>
      <c r="L46" s="17">
        <v>1.5478967734751259</v>
      </c>
      <c r="M46" s="17">
        <v>1.4938009313154832</v>
      </c>
      <c r="N46" s="17">
        <v>1.6988835725677829</v>
      </c>
      <c r="O46" s="17">
        <v>2.0633970454386334</v>
      </c>
      <c r="P46" s="17">
        <v>2.3447294528344842</v>
      </c>
      <c r="Q46" s="17">
        <v>1.8003184453335512</v>
      </c>
      <c r="R46" s="37">
        <v>1.9276621445827913</v>
      </c>
      <c r="S46" s="57"/>
      <c r="T46" s="57"/>
      <c r="U46" s="57"/>
    </row>
    <row r="47" spans="1:21">
      <c r="A47" t="str">
        <f>IFERROR(INDEX('2017 Data (WP)'!$C$9:$C$72,MATCH($B47,'2017 Data (WP)'!$D$9:$D$72,0)),"")</f>
        <v>Natural Gas Utility</v>
      </c>
      <c r="B47" t="s">
        <v>26</v>
      </c>
      <c r="C47" t="s">
        <v>62</v>
      </c>
      <c r="D47" s="35">
        <f t="shared" ref="D47:D78" ca="1" si="7">MATCH(B47,OFFSET(MarketPrice,0,0,,1),0)</f>
        <v>43</v>
      </c>
      <c r="E47" s="35">
        <f t="shared" ref="E47:E78" ca="1" si="8">MATCH(B47,OFFSET(BookValue,0,0,,1),0)</f>
        <v>43</v>
      </c>
      <c r="F47" s="35"/>
      <c r="G47" s="17">
        <f t="shared" ca="1" si="6"/>
        <v>1.840212732179711</v>
      </c>
      <c r="H47" s="17">
        <v>1.9531717037529059</v>
      </c>
      <c r="I47" s="17">
        <v>1.943654042988741</v>
      </c>
      <c r="J47" s="17">
        <v>1.5801673149677626</v>
      </c>
      <c r="K47" s="17">
        <v>1.3676330931232892</v>
      </c>
      <c r="L47" s="17">
        <v>1.1479954827780914</v>
      </c>
      <c r="M47" s="17">
        <v>0.92171101151642376</v>
      </c>
      <c r="N47" s="17">
        <v>0.68660546273592982</v>
      </c>
      <c r="O47" s="17">
        <v>0.93765224451919738</v>
      </c>
      <c r="P47" s="17">
        <v>1.1584575502268308</v>
      </c>
      <c r="Q47" s="17">
        <v>1.1921838327602203</v>
      </c>
      <c r="R47" s="37">
        <v>1.278861563967947</v>
      </c>
      <c r="S47" s="57"/>
      <c r="T47" s="57"/>
      <c r="U47" s="57"/>
    </row>
    <row r="48" spans="1:21">
      <c r="A48" t="str">
        <f>IFERROR(INDEX('2017 Data (WP)'!$C$9:$C$72,MATCH($B48,'2017 Data (WP)'!$D$9:$D$72,0)),"")</f>
        <v>Natural Gas Utility</v>
      </c>
      <c r="B48" s="31" t="s">
        <v>192</v>
      </c>
      <c r="C48" s="31" t="s">
        <v>191</v>
      </c>
      <c r="D48" s="35">
        <f t="shared" ca="1" si="7"/>
        <v>44</v>
      </c>
      <c r="E48" s="35">
        <f t="shared" ca="1" si="8"/>
        <v>44</v>
      </c>
      <c r="F48" s="35"/>
      <c r="G48" s="17">
        <f t="shared" ca="1" si="6"/>
        <v>1.921362687672524</v>
      </c>
      <c r="H48" s="17">
        <v>1.6307638279192274</v>
      </c>
      <c r="I48" s="17">
        <v>1.5891263378729155</v>
      </c>
      <c r="J48" s="17">
        <v>1.5631976953546993</v>
      </c>
      <c r="K48" s="17">
        <v>1.7180993647413065</v>
      </c>
      <c r="L48" s="17">
        <v>1.7021420011983224</v>
      </c>
      <c r="M48" s="17">
        <v>1.7765337423312886</v>
      </c>
      <c r="N48" s="17">
        <v>1.7259536154990152</v>
      </c>
      <c r="O48" s="17">
        <v>1.9591328919067101</v>
      </c>
      <c r="P48" s="17">
        <v>2.0512387887398988</v>
      </c>
      <c r="Q48" s="17">
        <v>1.6922447866975603</v>
      </c>
      <c r="S48" s="57"/>
      <c r="T48" s="57"/>
      <c r="U48" s="57"/>
    </row>
    <row r="49" spans="1:21">
      <c r="A49" t="str">
        <f>IFERROR(INDEX('2017 Data (WP)'!$C$9:$C$72,MATCH($B49,'2017 Data (WP)'!$D$9:$D$72,0)),"")</f>
        <v>Electric Utility (West)</v>
      </c>
      <c r="B49" t="str">
        <f>"NWE"</f>
        <v>NWE</v>
      </c>
      <c r="C49" t="s">
        <v>94</v>
      </c>
      <c r="D49" s="35">
        <f t="shared" ca="1" si="7"/>
        <v>45</v>
      </c>
      <c r="E49" s="35">
        <f t="shared" ca="1" si="8"/>
        <v>45</v>
      </c>
      <c r="F49" s="35"/>
      <c r="G49" s="17">
        <f t="shared" ca="1" si="6"/>
        <v>1.6798627530130903</v>
      </c>
      <c r="H49" s="17">
        <v>1.6030164368715756</v>
      </c>
      <c r="I49" s="17">
        <v>1.5411282897869774</v>
      </c>
      <c r="J49" s="17">
        <v>1.5591519115822714</v>
      </c>
      <c r="K49" s="17">
        <v>1.4155176536223799</v>
      </c>
      <c r="L49" s="17">
        <v>1.3485494700392719</v>
      </c>
      <c r="M49" s="17">
        <v>1.218743099412622</v>
      </c>
      <c r="N49" s="17">
        <v>1.0661939615736504</v>
      </c>
      <c r="O49" s="17">
        <v>1.1549103571596631</v>
      </c>
      <c r="P49" s="17">
        <v>1.4819830484397936</v>
      </c>
      <c r="Q49" s="17">
        <v>1.6463125272383903</v>
      </c>
      <c r="R49" s="37">
        <v>1.418462434478742</v>
      </c>
      <c r="S49" s="57"/>
      <c r="T49" s="57"/>
      <c r="U49" s="57"/>
    </row>
    <row r="50" spans="1:21">
      <c r="A50" t="str">
        <f>IFERROR(INDEX('2017 Data (WP)'!$C$9:$C$72,MATCH($B50,'2017 Data (WP)'!$D$9:$D$72,0)),"")</f>
        <v>Electric Util. (Central)</v>
      </c>
      <c r="B50" t="s">
        <v>27</v>
      </c>
      <c r="C50" t="s">
        <v>67</v>
      </c>
      <c r="D50" s="35">
        <f t="shared" ca="1" si="7"/>
        <v>46</v>
      </c>
      <c r="E50" s="35">
        <f t="shared" ca="1" si="8"/>
        <v>46</v>
      </c>
      <c r="F50" s="35"/>
      <c r="G50" s="17">
        <f t="shared" ca="1" si="6"/>
        <v>1.7326761380110176</v>
      </c>
      <c r="H50" s="17">
        <v>1.7949564695286699</v>
      </c>
      <c r="I50" s="17">
        <v>2.2227275520865342</v>
      </c>
      <c r="J50" s="17">
        <v>2.2433986928104575</v>
      </c>
      <c r="K50" s="17">
        <v>1.9372322193658955</v>
      </c>
      <c r="L50" s="17">
        <v>1.8968235744355149</v>
      </c>
      <c r="M50" s="17">
        <v>1.6968456947996589</v>
      </c>
      <c r="N50" s="17">
        <v>1.3696768060836504</v>
      </c>
      <c r="O50" s="17">
        <v>1.523020802523908</v>
      </c>
      <c r="P50" s="17">
        <v>1.9826324412889134</v>
      </c>
      <c r="Q50" s="17">
        <v>1.9051518253155919</v>
      </c>
      <c r="R50" s="37">
        <v>1.8015277229026736</v>
      </c>
      <c r="S50" s="57"/>
      <c r="T50" s="57"/>
      <c r="U50" s="57"/>
    </row>
    <row r="51" spans="1:21">
      <c r="A51" t="str">
        <f>IFERROR(INDEX('2017 Data (WP)'!$C$9:$C$72,MATCH($B51,'2017 Data (WP)'!$D$9:$D$72,0)),"")</f>
        <v>Natural Gas Utility</v>
      </c>
      <c r="B51" t="s">
        <v>353</v>
      </c>
      <c r="C51" t="s">
        <v>356</v>
      </c>
      <c r="D51" s="35">
        <f t="shared" ca="1" si="7"/>
        <v>47</v>
      </c>
      <c r="E51" s="35">
        <f t="shared" ca="1" si="8"/>
        <v>47</v>
      </c>
      <c r="F51" s="35"/>
      <c r="G51" s="17">
        <f t="shared" ca="1" si="6"/>
        <v>1.6683833097987097</v>
      </c>
      <c r="H51" s="17">
        <f t="shared" ca="1" si="6"/>
        <v>1.2579812139958568</v>
      </c>
      <c r="I51" s="17">
        <f t="shared" ca="1" si="6"/>
        <v>1.0713311075627812</v>
      </c>
      <c r="J51" s="17" t="str">
        <f t="shared" ca="1" si="6"/>
        <v>N/A</v>
      </c>
      <c r="K51" s="17" t="str">
        <f t="shared" ca="1" si="6"/>
        <v>N/A</v>
      </c>
      <c r="L51" s="17" t="str">
        <f t="shared" ca="1" si="6"/>
        <v>N/A</v>
      </c>
      <c r="M51" s="17" t="str">
        <f t="shared" ca="1" si="6"/>
        <v>N/A</v>
      </c>
      <c r="N51" s="17" t="str">
        <f t="shared" ca="1" si="6"/>
        <v>N/A</v>
      </c>
      <c r="O51" s="17" t="str">
        <f t="shared" ca="1" si="6"/>
        <v>N/A</v>
      </c>
      <c r="P51" s="17" t="str">
        <f t="shared" ca="1" si="6"/>
        <v>N/A</v>
      </c>
      <c r="Q51" s="17" t="str">
        <f t="shared" ca="1" si="6"/>
        <v>N/A</v>
      </c>
      <c r="R51" s="37"/>
      <c r="S51" s="57"/>
      <c r="T51" s="57"/>
      <c r="U51" s="57"/>
    </row>
    <row r="52" spans="1:21">
      <c r="A52" t="str">
        <f>IFERROR(INDEX('2017 Data (WP)'!$C$9:$C$72,MATCH($B52,'2017 Data (WP)'!$D$9:$D$72,0)),"")</f>
        <v>Electric Util. (Central)</v>
      </c>
      <c r="B52" t="s">
        <v>28</v>
      </c>
      <c r="C52" t="s">
        <v>68</v>
      </c>
      <c r="D52" s="35">
        <f t="shared" ca="1" si="7"/>
        <v>48</v>
      </c>
      <c r="E52" s="35">
        <f t="shared" ca="1" si="8"/>
        <v>48</v>
      </c>
      <c r="F52" s="35"/>
      <c r="G52" s="17">
        <f t="shared" ca="1" si="6"/>
        <v>1.8971814445096886</v>
      </c>
      <c r="H52" s="17">
        <v>1.77637342009761</v>
      </c>
      <c r="I52" s="17">
        <v>1.8973942426408474</v>
      </c>
      <c r="J52" s="17">
        <v>1.9622923024754155</v>
      </c>
      <c r="K52" s="17">
        <v>1.5823863636363635</v>
      </c>
      <c r="L52" s="17">
        <v>1.349864173352707</v>
      </c>
      <c r="M52" s="17">
        <v>1.1919726729291205</v>
      </c>
      <c r="N52" s="17">
        <v>1.1776949693904712</v>
      </c>
      <c r="O52" s="17">
        <v>1.7117404253095776</v>
      </c>
      <c r="P52" s="17">
        <v>1.9289499173836249</v>
      </c>
      <c r="Q52" s="17">
        <v>1.7591048179036417</v>
      </c>
      <c r="R52" s="37">
        <v>1.7353760445682451</v>
      </c>
      <c r="S52" s="57"/>
      <c r="T52" s="57"/>
      <c r="U52" s="57"/>
    </row>
    <row r="53" spans="1:21">
      <c r="A53" t="str">
        <f>IFERROR(INDEX('2017 Data (WP)'!$C$9:$C$72,MATCH($B53,'2017 Data (WP)'!$D$9:$D$72,0)),"")</f>
        <v/>
      </c>
      <c r="B53" t="s">
        <v>29</v>
      </c>
      <c r="C53" t="s">
        <v>73</v>
      </c>
      <c r="D53" s="35" t="e">
        <f t="shared" ca="1" si="7"/>
        <v>#N/A</v>
      </c>
      <c r="E53" s="35" t="e">
        <f t="shared" ca="1" si="8"/>
        <v>#N/A</v>
      </c>
      <c r="F53" s="35"/>
      <c r="G53" s="17" t="str">
        <f t="shared" ca="1" si="6"/>
        <v>N/A</v>
      </c>
      <c r="H53" s="17" t="s">
        <v>106</v>
      </c>
      <c r="I53" s="17" t="s">
        <v>106</v>
      </c>
      <c r="J53" s="17" t="s">
        <v>106</v>
      </c>
      <c r="K53" s="17" t="s">
        <v>106</v>
      </c>
      <c r="L53" s="17" t="s">
        <v>106</v>
      </c>
      <c r="M53" s="17" t="s">
        <v>106</v>
      </c>
      <c r="N53" s="17" t="s">
        <v>106</v>
      </c>
      <c r="O53" s="17" t="s">
        <v>106</v>
      </c>
      <c r="P53" s="17" t="s">
        <v>106</v>
      </c>
      <c r="Q53" s="17" t="s">
        <v>106</v>
      </c>
      <c r="R53" s="37" t="s">
        <v>106</v>
      </c>
      <c r="S53" s="57"/>
      <c r="T53" s="57"/>
      <c r="U53" s="57"/>
    </row>
    <row r="54" spans="1:21">
      <c r="A54" t="str">
        <f>IFERROR(INDEX('2017 Data (WP)'!$C$9:$C$72,MATCH($B54,'2017 Data (WP)'!$D$9:$D$72,0)),"")</f>
        <v>Electric Utility (West)</v>
      </c>
      <c r="B54" t="s">
        <v>30</v>
      </c>
      <c r="C54" t="s">
        <v>71</v>
      </c>
      <c r="D54" s="35">
        <f t="shared" ca="1" si="7"/>
        <v>49</v>
      </c>
      <c r="E54" s="35">
        <f t="shared" ca="1" si="8"/>
        <v>49</v>
      </c>
      <c r="F54" s="35"/>
      <c r="G54" s="17">
        <f t="shared" ca="1" si="6"/>
        <v>1.6893083182640143</v>
      </c>
      <c r="H54" s="17">
        <v>1.5671881029416128</v>
      </c>
      <c r="I54" s="17">
        <v>1.3873980054397097</v>
      </c>
      <c r="J54" s="17">
        <v>1.3790040119722347</v>
      </c>
      <c r="K54" s="17">
        <v>1.4117743954668249</v>
      </c>
      <c r="L54" s="17">
        <v>1.4640070861581438</v>
      </c>
      <c r="M54" s="17">
        <v>1.5611644363483499</v>
      </c>
      <c r="N54" s="17">
        <v>1.4137794993185566</v>
      </c>
      <c r="O54" s="17">
        <v>1.4982480458973471</v>
      </c>
      <c r="P54" s="17">
        <v>1.9369727047146401</v>
      </c>
      <c r="Q54" s="17">
        <v>1.8257342782011854</v>
      </c>
      <c r="R54" s="37">
        <v>1.84234693877551</v>
      </c>
      <c r="S54" s="57"/>
      <c r="T54" s="57"/>
      <c r="U54" s="57"/>
    </row>
    <row r="55" spans="1:21">
      <c r="A55" t="str">
        <f>IFERROR(INDEX('2017 Data (WP)'!$C$9:$C$72,MATCH($B55,'2017 Data (WP)'!$D$9:$D$72,0)),"")</f>
        <v>Electric Utility (West)</v>
      </c>
      <c r="B55" t="s">
        <v>31</v>
      </c>
      <c r="C55" t="s">
        <v>72</v>
      </c>
      <c r="D55" s="35">
        <f t="shared" ca="1" si="7"/>
        <v>50</v>
      </c>
      <c r="E55" s="35">
        <f t="shared" ca="1" si="8"/>
        <v>50</v>
      </c>
      <c r="F55" s="35"/>
      <c r="G55" s="17">
        <f t="shared" ca="1" si="6"/>
        <v>1.7159578166647349</v>
      </c>
      <c r="H55" s="17">
        <v>1.5218865000968429</v>
      </c>
      <c r="I55" s="17">
        <v>1.4398339198460719</v>
      </c>
      <c r="J55" s="17">
        <v>1.4678609892563503</v>
      </c>
      <c r="K55" s="17">
        <v>1.3869782602690532</v>
      </c>
      <c r="L55" s="17">
        <v>1.2481705922707522</v>
      </c>
      <c r="M55" s="17">
        <v>1.142776990314198</v>
      </c>
      <c r="N55" s="17">
        <v>0.94995717606753949</v>
      </c>
      <c r="O55" s="17">
        <v>0.99718936643635092</v>
      </c>
      <c r="P55" s="17">
        <v>1.2575330772513869</v>
      </c>
      <c r="Q55" s="17">
        <v>1.2588542422044959</v>
      </c>
      <c r="R55" s="37">
        <v>1.2464346668980879</v>
      </c>
      <c r="S55" s="57"/>
      <c r="T55" s="57"/>
      <c r="U55" s="57"/>
    </row>
    <row r="56" spans="1:21">
      <c r="A56" t="str">
        <f>IFERROR(INDEX('2017 Data (WP)'!$C$9:$C$72,MATCH($B56,'2017 Data (WP)'!$D$9:$D$72,0)),"")</f>
        <v>Electric Utility (West)</v>
      </c>
      <c r="B56" t="s">
        <v>32</v>
      </c>
      <c r="C56" t="s">
        <v>74</v>
      </c>
      <c r="D56" s="35">
        <f t="shared" ca="1" si="7"/>
        <v>51</v>
      </c>
      <c r="E56" s="35">
        <f t="shared" ca="1" si="8"/>
        <v>51</v>
      </c>
      <c r="F56" s="35"/>
      <c r="G56" s="17">
        <f t="shared" ca="1" si="6"/>
        <v>1.5552281368821295</v>
      </c>
      <c r="H56" s="17">
        <v>1.3299157641395911</v>
      </c>
      <c r="I56" s="17">
        <v>1.2094144968960743</v>
      </c>
      <c r="J56" s="17">
        <v>1.0900508003450591</v>
      </c>
      <c r="K56" s="17">
        <v>0.97839860314292826</v>
      </c>
      <c r="L56" s="17">
        <v>0.80011215334420882</v>
      </c>
      <c r="M56" s="17">
        <v>0.69437972381655955</v>
      </c>
      <c r="N56" s="17">
        <v>0.55520871911539071</v>
      </c>
      <c r="O56" s="17">
        <v>0.65997988673053509</v>
      </c>
      <c r="P56" s="17">
        <v>1.2297113289760349</v>
      </c>
      <c r="Q56" s="17">
        <v>1.2124751041100852</v>
      </c>
      <c r="R56" s="37">
        <v>1.4496845257191742</v>
      </c>
      <c r="S56" s="57"/>
      <c r="T56" s="57"/>
      <c r="U56" s="57"/>
    </row>
    <row r="57" spans="1:21">
      <c r="A57" t="str">
        <f>IFERROR(INDEX('2017 Data (WP)'!$C$9:$C$72,MATCH($B57,'2017 Data (WP)'!$D$9:$D$72,0)),"")</f>
        <v>Electric Utility (West)</v>
      </c>
      <c r="B57" t="s">
        <v>33</v>
      </c>
      <c r="C57" t="s">
        <v>92</v>
      </c>
      <c r="D57" s="35">
        <f t="shared" ca="1" si="7"/>
        <v>52</v>
      </c>
      <c r="E57" s="35">
        <f t="shared" ca="1" si="8"/>
        <v>52</v>
      </c>
      <c r="F57" s="35"/>
      <c r="G57" s="17">
        <f t="shared" ca="1" si="6"/>
        <v>1.5620612453990057</v>
      </c>
      <c r="H57" s="17">
        <v>1.4210381439244986</v>
      </c>
      <c r="I57" s="17">
        <v>1.3669968888161126</v>
      </c>
      <c r="J57" s="17">
        <v>1.2825499034127494</v>
      </c>
      <c r="K57" s="17">
        <v>1.1429820725841713</v>
      </c>
      <c r="L57" s="17">
        <v>1.0930801649521911</v>
      </c>
      <c r="M57" s="17">
        <v>0.94242323887022761</v>
      </c>
      <c r="N57" s="17">
        <v>0.91976392547068575</v>
      </c>
      <c r="O57" s="17">
        <v>1.0468157870413162</v>
      </c>
      <c r="P57" s="17">
        <v>1.3220564477810512</v>
      </c>
      <c r="Q57" s="17">
        <v>1.3592912219782465</v>
      </c>
      <c r="R57" s="37" t="s">
        <v>106</v>
      </c>
      <c r="S57" s="57"/>
      <c r="T57" s="57"/>
      <c r="U57" s="57"/>
    </row>
    <row r="58" spans="1:21">
      <c r="A58" t="str">
        <f>IFERROR(INDEX('2017 Data (WP)'!$C$9:$C$72,MATCH($B58,'2017 Data (WP)'!$D$9:$D$72,0)),"")</f>
        <v>Electric Utility (East)</v>
      </c>
      <c r="B58" t="s">
        <v>34</v>
      </c>
      <c r="C58" t="s">
        <v>70</v>
      </c>
      <c r="D58" s="35">
        <f t="shared" ca="1" si="7"/>
        <v>53</v>
      </c>
      <c r="E58" s="35">
        <f t="shared" ca="1" si="8"/>
        <v>53</v>
      </c>
      <c r="F58" s="35"/>
      <c r="G58" s="17">
        <f t="shared" ca="1" si="6"/>
        <v>2.457872691066401</v>
      </c>
      <c r="H58" s="17">
        <v>2.2404211956521736</v>
      </c>
      <c r="I58" s="17">
        <v>1.6368788781941663</v>
      </c>
      <c r="J58" s="17">
        <v>1.5456338170602215</v>
      </c>
      <c r="K58" s="17">
        <v>1.5770448109278694</v>
      </c>
      <c r="L58" s="17">
        <v>1.4661324786324788</v>
      </c>
      <c r="M58" s="17">
        <v>1.6085138954309937</v>
      </c>
      <c r="N58" s="17">
        <v>2.097796994029236</v>
      </c>
      <c r="O58" s="17">
        <v>3.1882839014313116</v>
      </c>
      <c r="P58" s="17">
        <v>3.0500503862949278</v>
      </c>
      <c r="Q58" s="17">
        <v>2.4271968728858151</v>
      </c>
      <c r="R58" s="37">
        <v>2.4972466012734471</v>
      </c>
      <c r="S58" s="57"/>
      <c r="T58" s="57"/>
      <c r="U58" s="57"/>
    </row>
    <row r="59" spans="1:21">
      <c r="A59" t="str">
        <f>IFERROR(INDEX('2017 Data (WP)'!$C$9:$C$72,MATCH($B59,'2017 Data (WP)'!$D$9:$D$72,0)),"")</f>
        <v>Electric Utility (East)</v>
      </c>
      <c r="B59" t="s">
        <v>35</v>
      </c>
      <c r="C59" t="s">
        <v>75</v>
      </c>
      <c r="D59" s="35">
        <f t="shared" ca="1" si="7"/>
        <v>54</v>
      </c>
      <c r="E59" s="35">
        <f t="shared" ca="1" si="8"/>
        <v>54</v>
      </c>
      <c r="F59" s="35"/>
      <c r="G59" s="17">
        <f t="shared" ca="1" si="6"/>
        <v>1.6700503710539469</v>
      </c>
      <c r="H59" s="17">
        <v>1.5839746316562897</v>
      </c>
      <c r="I59" s="17">
        <v>1.5656523724521567</v>
      </c>
      <c r="J59" s="17">
        <v>1.4413648842986013</v>
      </c>
      <c r="K59" s="17">
        <v>1.4643108545684922</v>
      </c>
      <c r="L59" s="17">
        <v>1.5925415045076112</v>
      </c>
      <c r="M59" s="17">
        <v>1.6719365512894584</v>
      </c>
      <c r="N59" s="17">
        <v>1.7802855826807924</v>
      </c>
      <c r="O59" s="17">
        <v>2.5768704825161164</v>
      </c>
      <c r="P59" s="17">
        <v>2.9851598968856683</v>
      </c>
      <c r="Q59" s="17">
        <v>2.4605706582790385</v>
      </c>
      <c r="R59" s="37">
        <v>2.4504504504504507</v>
      </c>
      <c r="S59" s="57"/>
      <c r="T59" s="57"/>
      <c r="U59" s="57"/>
    </row>
    <row r="60" spans="1:21">
      <c r="A60" t="str">
        <f>IFERROR(INDEX('2017 Data (WP)'!$C$9:$C$72,MATCH($B60,'2017 Data (WP)'!$D$9:$D$72,0)),"")</f>
        <v>Electric Utility (East)</v>
      </c>
      <c r="B60" t="s">
        <v>36</v>
      </c>
      <c r="C60" t="s">
        <v>76</v>
      </c>
      <c r="D60" s="35">
        <f t="shared" ca="1" si="7"/>
        <v>56</v>
      </c>
      <c r="E60" s="35">
        <f t="shared" ca="1" si="8"/>
        <v>56</v>
      </c>
      <c r="F60" s="35"/>
      <c r="G60" s="17">
        <f t="shared" ca="1" si="6"/>
        <v>1.7440281556548434</v>
      </c>
      <c r="H60" s="17">
        <v>1.4669204515620897</v>
      </c>
      <c r="I60" s="17">
        <v>1.4832174435573868</v>
      </c>
      <c r="J60" s="17">
        <v>1.4785053509885724</v>
      </c>
      <c r="K60" s="17">
        <v>1.4814567642291925</v>
      </c>
      <c r="L60" s="17">
        <v>1.3559763550746415</v>
      </c>
      <c r="M60" s="17">
        <v>1.3268727623244285</v>
      </c>
      <c r="N60" s="17">
        <v>1.1991965545944772</v>
      </c>
      <c r="O60" s="17">
        <v>1.4454415348315475</v>
      </c>
      <c r="P60" s="17">
        <v>1.6152057386094909</v>
      </c>
      <c r="Q60" s="17">
        <v>1.6370977659356425</v>
      </c>
      <c r="R60" s="37">
        <v>1.7199828657100023</v>
      </c>
      <c r="S60" s="57"/>
      <c r="T60" s="57"/>
      <c r="U60" s="57"/>
    </row>
    <row r="61" spans="1:21">
      <c r="A61" t="str">
        <f>IFERROR(INDEX('2017 Data (WP)'!$C$9:$C$72,MATCH($B61,'2017 Data (WP)'!$D$9:$D$72,0)),"")</f>
        <v>Electric Utility (West)</v>
      </c>
      <c r="B61" t="s">
        <v>37</v>
      </c>
      <c r="C61" t="s">
        <v>54</v>
      </c>
      <c r="D61" s="35">
        <f t="shared" ca="1" si="7"/>
        <v>57</v>
      </c>
      <c r="E61" s="35">
        <f t="shared" ca="1" si="8"/>
        <v>57</v>
      </c>
      <c r="F61" s="35"/>
      <c r="G61" s="17">
        <f t="shared" ca="1" si="6"/>
        <v>1.9960596461407711</v>
      </c>
      <c r="H61" s="17">
        <v>2.1691757779646759</v>
      </c>
      <c r="I61" s="17">
        <v>2.2024184954000741</v>
      </c>
      <c r="J61" s="17">
        <v>1.8446591161447923</v>
      </c>
      <c r="K61" s="17">
        <v>1.5266011361761309</v>
      </c>
      <c r="L61" s="17">
        <v>1.2832231787917958</v>
      </c>
      <c r="M61" s="17">
        <v>1.3486402258743306</v>
      </c>
      <c r="N61" s="17">
        <v>1.3199682522305547</v>
      </c>
      <c r="O61" s="17">
        <v>1.596042868920033</v>
      </c>
      <c r="P61" s="17">
        <v>1.8722623156573579</v>
      </c>
      <c r="Q61" s="17">
        <v>1.6976549413735345</v>
      </c>
      <c r="R61" s="37">
        <v>1.7333723017828064</v>
      </c>
    </row>
    <row r="62" spans="1:21">
      <c r="A62" t="str">
        <f>IFERROR(INDEX('2017 Data (WP)'!$C$9:$C$72,MATCH($B62,'2017 Data (WP)'!$D$9:$D$72,0)),"")</f>
        <v/>
      </c>
      <c r="B62" t="s">
        <v>64</v>
      </c>
      <c r="C62" t="s">
        <v>63</v>
      </c>
      <c r="D62" s="35" t="e">
        <f t="shared" ca="1" si="7"/>
        <v>#N/A</v>
      </c>
      <c r="E62" s="35" t="e">
        <f t="shared" ca="1" si="8"/>
        <v>#N/A</v>
      </c>
      <c r="F62" s="35"/>
      <c r="G62" s="17" t="str">
        <f t="shared" ca="1" si="6"/>
        <v>N/A</v>
      </c>
      <c r="H62" s="17" t="s">
        <v>106</v>
      </c>
      <c r="I62" s="17" t="s">
        <v>106</v>
      </c>
      <c r="J62" s="17" t="s">
        <v>106</v>
      </c>
      <c r="K62" s="17" t="s">
        <v>106</v>
      </c>
      <c r="L62" s="17" t="s">
        <v>106</v>
      </c>
      <c r="M62" s="17" t="s">
        <v>106</v>
      </c>
      <c r="N62" s="17" t="s">
        <v>106</v>
      </c>
      <c r="O62" s="17" t="s">
        <v>106</v>
      </c>
      <c r="P62" s="17" t="s">
        <v>106</v>
      </c>
      <c r="Q62" s="17" t="s">
        <v>106</v>
      </c>
      <c r="R62" s="37" t="s">
        <v>106</v>
      </c>
    </row>
    <row r="63" spans="1:21">
      <c r="A63" t="str">
        <f>IFERROR(INDEX('2017 Data (WP)'!$C$9:$C$72,MATCH($B63,'2017 Data (WP)'!$D$9:$D$72,0)),"")</f>
        <v>Water Utility</v>
      </c>
      <c r="B63" s="31" t="s">
        <v>196</v>
      </c>
      <c r="C63" s="31" t="s">
        <v>195</v>
      </c>
      <c r="D63" s="35">
        <f t="shared" ca="1" si="7"/>
        <v>58</v>
      </c>
      <c r="E63" s="35">
        <f t="shared" ca="1" si="8"/>
        <v>58</v>
      </c>
      <c r="F63" s="35"/>
      <c r="G63" s="17">
        <f t="shared" ca="1" si="6"/>
        <v>1.9545410440520086</v>
      </c>
      <c r="H63" s="17">
        <v>1.635050451407329</v>
      </c>
      <c r="I63" s="17">
        <v>1.6007435363037232</v>
      </c>
      <c r="J63" s="17">
        <v>1.7117558402411455</v>
      </c>
      <c r="K63" s="17">
        <v>1.6339407125373946</v>
      </c>
      <c r="L63" s="17">
        <v>1.6552574124938375</v>
      </c>
      <c r="M63" s="17">
        <v>1.7795155306612354</v>
      </c>
      <c r="N63" s="17">
        <v>1.6996047430830037</v>
      </c>
      <c r="O63" s="17">
        <v>2.0325877224326447</v>
      </c>
      <c r="P63" s="17">
        <v>2.6940483570985743</v>
      </c>
      <c r="Q63" s="17">
        <v>2.2414069385465911</v>
      </c>
    </row>
    <row r="64" spans="1:21">
      <c r="A64" t="str">
        <f>IFERROR(INDEX('2017 Data (WP)'!$C$9:$C$72,MATCH($B64,'2017 Data (WP)'!$D$9:$D$72,0)),"")</f>
        <v>Natural Gas Utility</v>
      </c>
      <c r="B64" s="31" t="s">
        <v>198</v>
      </c>
      <c r="C64" s="31" t="s">
        <v>197</v>
      </c>
      <c r="D64" s="35">
        <f t="shared" ca="1" si="7"/>
        <v>59</v>
      </c>
      <c r="E64" s="35">
        <f t="shared" ca="1" si="8"/>
        <v>59</v>
      </c>
      <c r="F64" s="35"/>
      <c r="G64" s="17">
        <f t="shared" ca="1" si="6"/>
        <v>1.7937858331792123</v>
      </c>
      <c r="H64" s="17">
        <v>1.7678522571819426</v>
      </c>
      <c r="I64" s="17">
        <v>2.0683766947599853</v>
      </c>
      <c r="J64" s="17">
        <v>2.2658438167576551</v>
      </c>
      <c r="K64" s="17">
        <v>2.2062086163900592</v>
      </c>
      <c r="L64" s="17">
        <v>2.5855358698809177</v>
      </c>
      <c r="M64" s="17">
        <v>2.3779081953468877</v>
      </c>
      <c r="N64" s="17">
        <v>1.9509975882481914</v>
      </c>
      <c r="O64" s="17">
        <v>2.0820447726748208</v>
      </c>
      <c r="P64" s="17">
        <v>2.2099950763170852</v>
      </c>
      <c r="Q64" s="17">
        <v>1.9307651575324332</v>
      </c>
    </row>
    <row r="65" spans="1:18">
      <c r="A65" t="str">
        <f>IFERROR(INDEX('2017 Data (WP)'!$C$9:$C$72,MATCH($B65,'2017 Data (WP)'!$D$9:$D$72,0)),"")</f>
        <v>Electric Utility (East)</v>
      </c>
      <c r="B65" t="s">
        <v>38</v>
      </c>
      <c r="C65" t="s">
        <v>77</v>
      </c>
      <c r="D65" s="35">
        <f t="shared" ca="1" si="7"/>
        <v>60</v>
      </c>
      <c r="E65" s="35">
        <f t="shared" ca="1" si="8"/>
        <v>60</v>
      </c>
      <c r="F65" s="35"/>
      <c r="G65" s="17">
        <f t="shared" ca="1" si="6"/>
        <v>2.0104008320665652</v>
      </c>
      <c r="H65" s="17">
        <v>1.9928274152129639</v>
      </c>
      <c r="I65" s="17">
        <v>2.0222970513287222</v>
      </c>
      <c r="J65" s="17">
        <v>2.03957623559061</v>
      </c>
      <c r="K65" s="17">
        <v>2.148636471425184</v>
      </c>
      <c r="L65" s="17">
        <v>1.9888768579584601</v>
      </c>
      <c r="M65" s="17">
        <v>1.8299500312304808</v>
      </c>
      <c r="N65" s="17">
        <v>1.7280740414279416</v>
      </c>
      <c r="O65" s="17">
        <v>2.1242243297037819</v>
      </c>
      <c r="P65" s="17">
        <v>2.2409118915588415</v>
      </c>
      <c r="Q65" s="17">
        <v>2.2311478637527076</v>
      </c>
      <c r="R65" s="37">
        <v>2.3518312985571588</v>
      </c>
    </row>
    <row r="66" spans="1:18">
      <c r="A66" t="str">
        <f>IFERROR(INDEX('2017 Data (WP)'!$C$9:$C$72,MATCH($B66,'2017 Data (WP)'!$D$9:$D$72,0)),"")</f>
        <v>Natural Gas Utility</v>
      </c>
      <c r="B66" s="31" t="s">
        <v>200</v>
      </c>
      <c r="C66" s="31" t="s">
        <v>199</v>
      </c>
      <c r="D66" s="35">
        <f t="shared" ca="1" si="7"/>
        <v>61</v>
      </c>
      <c r="E66" s="35">
        <f t="shared" ca="1" si="8"/>
        <v>61</v>
      </c>
      <c r="F66" s="35"/>
      <c r="G66" s="17">
        <f t="shared" ca="1" si="6"/>
        <v>1.9644916366957812</v>
      </c>
      <c r="H66" s="17">
        <v>1.6815436341456156</v>
      </c>
      <c r="I66" s="17">
        <v>1.6827558143174635</v>
      </c>
      <c r="J66" s="17">
        <v>1.6084088223710122</v>
      </c>
      <c r="K66" s="17">
        <v>1.5132075471698112</v>
      </c>
      <c r="L66" s="17">
        <v>1.4300558952620326</v>
      </c>
      <c r="M66" s="17">
        <v>1.2379465157134493</v>
      </c>
      <c r="N66" s="17">
        <v>0.9682909864571827</v>
      </c>
      <c r="O66" s="17">
        <v>1.1996593570364062</v>
      </c>
      <c r="P66" s="17">
        <v>1.4646649260226283</v>
      </c>
      <c r="Q66" s="17">
        <v>1.4622121310411937</v>
      </c>
    </row>
    <row r="67" spans="1:18">
      <c r="A67" t="str">
        <f>IFERROR(INDEX('2017 Data (WP)'!$C$9:$C$72,MATCH($B67,'2017 Data (WP)'!$D$9:$D$72,0)),"")</f>
        <v>Natural Gas Utility</v>
      </c>
      <c r="B67" s="31" t="s">
        <v>244</v>
      </c>
      <c r="C67" s="31" t="s">
        <v>243</v>
      </c>
      <c r="D67" s="35">
        <f t="shared" ca="1" si="7"/>
        <v>62</v>
      </c>
      <c r="E67" s="35">
        <f t="shared" ca="1" si="8"/>
        <v>62</v>
      </c>
      <c r="F67" s="35"/>
      <c r="G67" s="17">
        <f t="shared" ca="1" si="6"/>
        <v>1.6407197996540419</v>
      </c>
      <c r="H67" s="17">
        <v>1.4353647784879877</v>
      </c>
      <c r="I67" s="17">
        <v>1.3319496135127398</v>
      </c>
      <c r="J67" s="17">
        <v>1.3416669270914716</v>
      </c>
      <c r="K67" s="17">
        <v>1.5124840668816075</v>
      </c>
      <c r="L67" s="17">
        <v>1.4598200312989047</v>
      </c>
      <c r="M67" s="17">
        <v>1.3895941727367325</v>
      </c>
      <c r="N67" s="17">
        <v>1.6762852120224669</v>
      </c>
      <c r="O67" s="17">
        <v>1.7083954970839548</v>
      </c>
      <c r="P67" s="17">
        <v>1.6559025672124521</v>
      </c>
      <c r="Q67" s="17">
        <v>1.7099580879622263</v>
      </c>
    </row>
    <row r="68" spans="1:18">
      <c r="A68" t="str">
        <f>IFERROR(INDEX('2017 Data (WP)'!$C$9:$C$72,MATCH($B68,'2017 Data (WP)'!$D$9:$D$72,0)),"")</f>
        <v/>
      </c>
      <c r="B68" t="s">
        <v>39</v>
      </c>
      <c r="C68" t="s">
        <v>78</v>
      </c>
      <c r="D68" s="35" t="e">
        <f t="shared" ca="1" si="7"/>
        <v>#N/A</v>
      </c>
      <c r="E68" s="35" t="e">
        <f t="shared" ca="1" si="8"/>
        <v>#N/A</v>
      </c>
      <c r="F68" s="35"/>
      <c r="G68" s="17" t="str">
        <f t="shared" ca="1" si="6"/>
        <v>N/A</v>
      </c>
      <c r="H68" s="17" t="s">
        <v>106</v>
      </c>
      <c r="I68" s="17" t="s">
        <v>106</v>
      </c>
      <c r="J68" s="17" t="s">
        <v>106</v>
      </c>
      <c r="K68" s="17" t="s">
        <v>106</v>
      </c>
      <c r="L68" s="17" t="s">
        <v>106</v>
      </c>
      <c r="M68" s="17" t="s">
        <v>106</v>
      </c>
      <c r="N68" s="17" t="s">
        <v>106</v>
      </c>
      <c r="O68" s="17" t="s">
        <v>106</v>
      </c>
      <c r="P68" s="17" t="s">
        <v>106</v>
      </c>
      <c r="Q68" s="17" t="s">
        <v>106</v>
      </c>
      <c r="R68" s="37">
        <v>2.2347939829954222</v>
      </c>
    </row>
    <row r="69" spans="1:18">
      <c r="A69" t="str">
        <f>IFERROR(INDEX('2017 Data (WP)'!$C$9:$C$72,MATCH($B69,'2017 Data (WP)'!$D$9:$D$72,0)),"")</f>
        <v>Natural Gas Utility</v>
      </c>
      <c r="B69" s="31" t="s">
        <v>204</v>
      </c>
      <c r="C69" s="31" t="s">
        <v>203</v>
      </c>
      <c r="D69" s="35">
        <f t="shared" ca="1" si="7"/>
        <v>64</v>
      </c>
      <c r="E69" s="35">
        <f t="shared" ca="1" si="8"/>
        <v>64</v>
      </c>
      <c r="F69" s="35"/>
      <c r="G69" s="17">
        <f t="shared" ref="G69:G78" ca="1" si="9">IFERROR(INDEX(MarketPrice,$D69,G$2)/INDEX(BookValue,$E69,G$2),"N/A")</f>
        <v>2.4064986334649254</v>
      </c>
      <c r="H69" s="17">
        <v>2.2897106109324756</v>
      </c>
      <c r="I69" s="17">
        <v>1.9712875146160842</v>
      </c>
      <c r="J69" s="17">
        <v>1.6857260386672153</v>
      </c>
      <c r="K69" s="17">
        <v>1.4543871602695131</v>
      </c>
      <c r="L69" s="17">
        <v>1.7501908558826025</v>
      </c>
      <c r="M69" s="17">
        <v>1.5532029912604739</v>
      </c>
      <c r="N69" s="17">
        <v>1.6565057283142388</v>
      </c>
      <c r="O69" s="17">
        <v>2.0057954545454542</v>
      </c>
      <c r="P69" s="17">
        <v>2.1626527895437495</v>
      </c>
      <c r="Q69" s="17">
        <v>2.2097238204833141</v>
      </c>
    </row>
    <row r="70" spans="1:18">
      <c r="A70" t="str">
        <f>IFERROR(INDEX('2017 Data (WP)'!$C$9:$C$72,MATCH($B70,'2017 Data (WP)'!$D$9:$D$72,0)),"")</f>
        <v/>
      </c>
      <c r="B70" t="s">
        <v>40</v>
      </c>
      <c r="C70" t="s">
        <v>81</v>
      </c>
      <c r="D70" s="35" t="e">
        <f t="shared" ca="1" si="7"/>
        <v>#N/A</v>
      </c>
      <c r="E70" s="35" t="e">
        <f t="shared" ca="1" si="8"/>
        <v>#N/A</v>
      </c>
      <c r="F70" s="35"/>
      <c r="G70" s="17" t="str">
        <f t="shared" ca="1" si="9"/>
        <v>N/A</v>
      </c>
      <c r="H70" s="17" t="s">
        <v>106</v>
      </c>
      <c r="I70" s="17" t="s">
        <v>106</v>
      </c>
      <c r="J70" s="17" t="s">
        <v>106</v>
      </c>
      <c r="K70" s="17" t="s">
        <v>106</v>
      </c>
      <c r="L70" s="17" t="s">
        <v>106</v>
      </c>
      <c r="M70" s="17" t="s">
        <v>106</v>
      </c>
      <c r="N70" s="17" t="s">
        <v>106</v>
      </c>
      <c r="O70" s="17" t="s">
        <v>106</v>
      </c>
      <c r="P70" s="17" t="s">
        <v>106</v>
      </c>
      <c r="Q70" s="17" t="s">
        <v>106</v>
      </c>
      <c r="R70" s="37" t="s">
        <v>106</v>
      </c>
    </row>
    <row r="71" spans="1:18">
      <c r="A71" t="str">
        <f>IFERROR(INDEX('2017 Data (WP)'!$C$9:$C$72,MATCH($B71,'2017 Data (WP)'!$D$9:$D$72,0)),"")</f>
        <v/>
      </c>
      <c r="B71" t="s">
        <v>41</v>
      </c>
      <c r="C71" t="s">
        <v>79</v>
      </c>
      <c r="D71" s="35" t="e">
        <f t="shared" ca="1" si="7"/>
        <v>#N/A</v>
      </c>
      <c r="E71" s="35" t="e">
        <f t="shared" ca="1" si="8"/>
        <v>#N/A</v>
      </c>
      <c r="F71" s="35"/>
      <c r="G71" s="17" t="str">
        <f t="shared" ca="1" si="9"/>
        <v>N/A</v>
      </c>
      <c r="H71" s="17" t="s">
        <v>106</v>
      </c>
      <c r="I71" s="17" t="s">
        <v>106</v>
      </c>
      <c r="J71" s="17" t="s">
        <v>106</v>
      </c>
      <c r="K71" s="17" t="s">
        <v>106</v>
      </c>
      <c r="L71" s="17" t="s">
        <v>106</v>
      </c>
      <c r="M71" s="17" t="s">
        <v>106</v>
      </c>
      <c r="N71" s="17" t="s">
        <v>106</v>
      </c>
      <c r="O71" s="17" t="s">
        <v>106</v>
      </c>
      <c r="P71" s="17" t="s">
        <v>106</v>
      </c>
      <c r="Q71" s="17" t="s">
        <v>106</v>
      </c>
      <c r="R71" s="37" t="s">
        <v>106</v>
      </c>
    </row>
    <row r="72" spans="1:18">
      <c r="A72" t="str">
        <f>IFERROR(INDEX('2017 Data (WP)'!$C$9:$C$72,MATCH($B72,'2017 Data (WP)'!$D$9:$D$72,0)),"")</f>
        <v/>
      </c>
      <c r="B72" t="s">
        <v>83</v>
      </c>
      <c r="C72" t="s">
        <v>82</v>
      </c>
      <c r="D72" s="35">
        <f t="shared" ca="1" si="7"/>
        <v>65</v>
      </c>
      <c r="E72" s="35">
        <f t="shared" ca="1" si="8"/>
        <v>65</v>
      </c>
      <c r="F72" s="35"/>
      <c r="G72" s="17">
        <f t="shared" ca="1" si="9"/>
        <v>1.9529411764705884</v>
      </c>
      <c r="H72" s="17">
        <v>1.7338482103074409</v>
      </c>
      <c r="I72" s="17">
        <v>1.6775031847133757</v>
      </c>
      <c r="J72" s="17">
        <v>1.516688430399582</v>
      </c>
      <c r="K72" s="17">
        <v>1.4140558848433529</v>
      </c>
      <c r="L72" s="17">
        <v>1.4386857142857143</v>
      </c>
      <c r="M72" s="17">
        <v>1.2729472774416593</v>
      </c>
      <c r="N72" s="17">
        <v>1.1739716033447445</v>
      </c>
      <c r="O72" s="17">
        <v>1.4577189454870421</v>
      </c>
      <c r="P72" s="17">
        <v>1.5968783946029388</v>
      </c>
      <c r="Q72" s="17">
        <v>1.4355388616006934</v>
      </c>
      <c r="R72" s="37">
        <v>1.559888417504504</v>
      </c>
    </row>
    <row r="73" spans="1:18">
      <c r="A73" t="str">
        <f>IFERROR(INDEX('2017 Data (WP)'!$C$9:$C$72,MATCH($B73,'2017 Data (WP)'!$D$9:$D$72,0)),"")</f>
        <v>Electric Util. (Central)</v>
      </c>
      <c r="B73" t="s">
        <v>42</v>
      </c>
      <c r="C73" t="s">
        <v>89</v>
      </c>
      <c r="D73" s="35">
        <f t="shared" ca="1" si="7"/>
        <v>66</v>
      </c>
      <c r="E73" s="35">
        <f t="shared" ca="1" si="8"/>
        <v>66</v>
      </c>
      <c r="F73" s="35"/>
      <c r="G73" s="17">
        <f t="shared" ca="1" si="9"/>
        <v>2.2929482370592651</v>
      </c>
      <c r="H73" s="17">
        <v>2.1063139260424864</v>
      </c>
      <c r="I73" s="17">
        <v>2.0753213367609256</v>
      </c>
      <c r="J73" s="17">
        <v>1.8185336372793297</v>
      </c>
      <c r="K73" s="17">
        <v>1.5692664009479695</v>
      </c>
      <c r="L73" s="17">
        <v>1.5300659438918076</v>
      </c>
      <c r="M73" s="17">
        <v>1.4063138769021124</v>
      </c>
      <c r="N73" s="17">
        <v>1.3393313211051776</v>
      </c>
      <c r="O73" s="17">
        <v>1.6404891793057967</v>
      </c>
      <c r="P73" s="17">
        <v>1.7367704400569413</v>
      </c>
      <c r="Q73" s="17">
        <v>1.7654569021386908</v>
      </c>
      <c r="R73" s="37">
        <v>1.8218831212101021</v>
      </c>
    </row>
    <row r="74" spans="1:18">
      <c r="A74" t="str">
        <f>IFERROR(INDEX('2017 Data (WP)'!$C$9:$C$72,MATCH($B74,'2017 Data (WP)'!$D$9:$D$72,0)),"")</f>
        <v>Electric Util. (Central)</v>
      </c>
      <c r="B74" t="s">
        <v>44</v>
      </c>
      <c r="C74" t="s">
        <v>217</v>
      </c>
      <c r="D74" s="35">
        <f t="shared" ca="1" si="7"/>
        <v>67</v>
      </c>
      <c r="E74" s="35">
        <f t="shared" ca="1" si="8"/>
        <v>67</v>
      </c>
      <c r="F74" s="35"/>
      <c r="G74" s="17">
        <f t="shared" ca="1" si="9"/>
        <v>2.0868059237267169</v>
      </c>
      <c r="H74" s="17">
        <v>1.8208710242194339</v>
      </c>
      <c r="I74" s="17">
        <v>2.3404939279518318</v>
      </c>
      <c r="J74" s="17">
        <v>2.2113916617733413</v>
      </c>
      <c r="K74" s="17">
        <v>2.0509582364019057</v>
      </c>
      <c r="L74" s="17">
        <v>1.8064553649316661</v>
      </c>
      <c r="M74" s="17">
        <v>1.6539596655189375</v>
      </c>
      <c r="N74" s="17">
        <v>1.3998033431661749</v>
      </c>
      <c r="O74" s="17">
        <v>1.5682550805886477</v>
      </c>
      <c r="P74" s="17">
        <v>1.7651498000150934</v>
      </c>
      <c r="Q74" s="17">
        <v>1.7066968985342943</v>
      </c>
      <c r="R74" s="37">
        <v>1.6161501527717155</v>
      </c>
    </row>
    <row r="75" spans="1:18">
      <c r="A75" t="str">
        <f>IFERROR(INDEX('2017 Data (WP)'!$C$9:$C$72,MATCH($B75,'2017 Data (WP)'!$D$9:$D$72,0)),"")</f>
        <v>Electric Util. (Central)</v>
      </c>
      <c r="B75" t="s">
        <v>43</v>
      </c>
      <c r="C75" t="s">
        <v>87</v>
      </c>
      <c r="D75" s="35">
        <f t="shared" ca="1" si="7"/>
        <v>68</v>
      </c>
      <c r="E75" s="35">
        <f t="shared" ca="1" si="8"/>
        <v>68</v>
      </c>
      <c r="F75" s="35"/>
      <c r="G75" s="17">
        <f t="shared" ca="1" si="9"/>
        <v>1.9542490965314256</v>
      </c>
      <c r="H75" s="17">
        <v>1.4909350960609224</v>
      </c>
      <c r="I75" s="17">
        <v>1.4424860111910471</v>
      </c>
      <c r="J75" s="17">
        <v>1.3343942376146405</v>
      </c>
      <c r="K75" s="17">
        <v>1.2612038088582163</v>
      </c>
      <c r="L75" s="17">
        <v>1.200717171258681</v>
      </c>
      <c r="M75" s="17">
        <v>1.0974542374476495</v>
      </c>
      <c r="N75" s="17">
        <v>0.92936947440007789</v>
      </c>
      <c r="O75" s="17">
        <v>1.1009215219976218</v>
      </c>
      <c r="P75" s="17">
        <v>1.3558702126547886</v>
      </c>
      <c r="Q75" s="17">
        <v>1.2996309963099633</v>
      </c>
      <c r="R75" s="37">
        <v>1.4052860734653831</v>
      </c>
    </row>
    <row r="76" spans="1:18">
      <c r="A76" t="str">
        <f>IFERROR(INDEX('2017 Data (WP)'!$C$9:$C$72,MATCH($B76,'2017 Data (WP)'!$D$9:$D$72,0)),"")</f>
        <v>Natural Gas Utility</v>
      </c>
      <c r="B76" s="31" t="s">
        <v>206</v>
      </c>
      <c r="C76" s="31" t="s">
        <v>205</v>
      </c>
      <c r="D76" s="35">
        <f t="shared" ca="1" si="7"/>
        <v>69</v>
      </c>
      <c r="E76" s="35">
        <f t="shared" ca="1" si="8"/>
        <v>69</v>
      </c>
      <c r="F76" s="35"/>
      <c r="G76" s="17">
        <f t="shared" ca="1" si="9"/>
        <v>2.448203749346479</v>
      </c>
      <c r="H76" s="17">
        <v>2.1502022183958678</v>
      </c>
      <c r="I76" s="17">
        <v>1.6859740906826108</v>
      </c>
      <c r="J76" s="17">
        <v>1.7094589113328467</v>
      </c>
      <c r="K76" s="17">
        <v>1.6606063065622336</v>
      </c>
      <c r="L76" s="17">
        <v>1.6255054697143831</v>
      </c>
      <c r="M76" s="17">
        <v>1.5030233984751555</v>
      </c>
      <c r="N76" s="17">
        <v>1.4543876478918278</v>
      </c>
      <c r="O76" s="17">
        <v>1.5883446106928427</v>
      </c>
      <c r="P76" s="17">
        <v>1.6442472521932037</v>
      </c>
      <c r="Q76" s="17">
        <v>1.5905812473483241</v>
      </c>
    </row>
    <row r="77" spans="1:18">
      <c r="A77" t="str">
        <f>IFERROR(INDEX('2017 Data (WP)'!$C$9:$C$72,MATCH($B77,'2017 Data (WP)'!$D$9:$D$72,0)),"")</f>
        <v>Electric Utility (West)</v>
      </c>
      <c r="B77" t="s">
        <v>45</v>
      </c>
      <c r="C77" t="s">
        <v>65</v>
      </c>
      <c r="D77" s="35">
        <f t="shared" ca="1" si="7"/>
        <v>70</v>
      </c>
      <c r="E77" s="35">
        <f t="shared" ca="1" si="8"/>
        <v>70</v>
      </c>
      <c r="F77" s="35"/>
      <c r="G77" s="17">
        <f t="shared" ca="1" si="9"/>
        <v>1.8790960972017672</v>
      </c>
      <c r="H77" s="17">
        <v>1.6627088619715611</v>
      </c>
      <c r="I77" s="17">
        <v>1.5519136505421598</v>
      </c>
      <c r="J77" s="17">
        <v>1.4953149401353463</v>
      </c>
      <c r="K77" s="17">
        <v>1.5077532167601453</v>
      </c>
      <c r="L77" s="17">
        <v>1.4050473186119874</v>
      </c>
      <c r="M77" s="17">
        <v>1.3151739363923862</v>
      </c>
      <c r="N77" s="17">
        <v>1.1853759658269991</v>
      </c>
      <c r="O77" s="17">
        <v>1.3020982666492897</v>
      </c>
      <c r="P77" s="17">
        <v>1.529908132017693</v>
      </c>
      <c r="Q77" s="17">
        <v>1.3991037669794146</v>
      </c>
      <c r="R77" s="37">
        <v>1.3783177570093457</v>
      </c>
    </row>
    <row r="78" spans="1:18">
      <c r="A78" t="str">
        <f>IFERROR(INDEX('2017 Data (WP)'!$C$9:$C$72,MATCH($B78,'2017 Data (WP)'!$D$9:$D$72,0)),"")</f>
        <v>Water Utility</v>
      </c>
      <c r="B78" s="31" t="s">
        <v>208</v>
      </c>
      <c r="C78" s="31" t="s">
        <v>207</v>
      </c>
      <c r="D78" s="35">
        <f t="shared" ca="1" si="7"/>
        <v>71</v>
      </c>
      <c r="E78" s="35">
        <f t="shared" ca="1" si="8"/>
        <v>71</v>
      </c>
      <c r="F78" s="35"/>
      <c r="G78" s="17" t="str">
        <f t="shared" ca="1" si="9"/>
        <v>N/A</v>
      </c>
      <c r="H78" s="17">
        <v>2.6802537295900386</v>
      </c>
      <c r="I78" s="17">
        <v>2.5188957055214725</v>
      </c>
      <c r="J78" s="17">
        <v>2.469843260188088</v>
      </c>
      <c r="K78" s="17">
        <v>2.2777274492040895</v>
      </c>
      <c r="L78" s="17">
        <v>2.27917282127031</v>
      </c>
      <c r="M78" s="17">
        <v>2.0460361613351878</v>
      </c>
      <c r="N78" s="17">
        <v>2.0221066319895966</v>
      </c>
      <c r="O78" s="17">
        <v>2.2825484764542936</v>
      </c>
      <c r="P78" s="17">
        <v>2.8884795713328866</v>
      </c>
      <c r="Q78" s="17">
        <v>3.1060839760068548</v>
      </c>
    </row>
    <row r="79" spans="1:18">
      <c r="B79" s="31"/>
      <c r="C79" s="31"/>
      <c r="D79" s="35"/>
      <c r="E79" s="35"/>
      <c r="F79" s="35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</sheetData>
  <sortState ref="A5:Q78">
    <sortCondition ref="C5:C78"/>
  </sortState>
  <pageMargins left="0.7" right="0.7" top="0.75" bottom="0.75" header="0.3" footer="0.3"/>
  <pageSetup fitToHeight="0" orientation="landscape" r:id="rId1"/>
  <headerFoot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T79"/>
  <sheetViews>
    <sheetView zoomScale="70" zoomScaleNormal="70" workbookViewId="0">
      <selection activeCell="H2" sqref="H2"/>
    </sheetView>
  </sheetViews>
  <sheetFormatPr defaultRowHeight="14.25"/>
  <cols>
    <col min="1" max="1" width="15.25" customWidth="1"/>
    <col min="2" max="2" width="7.5" bestFit="1" customWidth="1"/>
    <col min="3" max="3" width="22.25" customWidth="1"/>
    <col min="4" max="4" width="6.125" bestFit="1" customWidth="1"/>
    <col min="5" max="5" width="2.875" bestFit="1" customWidth="1"/>
    <col min="6" max="6" width="1.5" customWidth="1"/>
    <col min="7" max="11" width="6" bestFit="1" customWidth="1"/>
    <col min="12" max="12" width="5" bestFit="1" customWidth="1"/>
    <col min="13" max="17" width="6" bestFit="1" customWidth="1"/>
    <col min="18" max="20" width="9.25" style="31" customWidth="1"/>
  </cols>
  <sheetData>
    <row r="1" spans="1:20">
      <c r="A1" t="s">
        <v>371</v>
      </c>
    </row>
    <row r="2" spans="1:20">
      <c r="E2" s="35"/>
      <c r="F2" s="35"/>
      <c r="G2" s="35">
        <f t="shared" ref="G2:Q2" ca="1" si="0">MATCH(G3,OFFSET(BookValue,-2,0,1,),0)</f>
        <v>2</v>
      </c>
      <c r="H2" s="35">
        <f t="shared" ca="1" si="0"/>
        <v>3</v>
      </c>
      <c r="I2" s="35">
        <f t="shared" ca="1" si="0"/>
        <v>4</v>
      </c>
      <c r="J2" s="35">
        <f t="shared" ca="1" si="0"/>
        <v>5</v>
      </c>
      <c r="K2" s="35">
        <f t="shared" ca="1" si="0"/>
        <v>6</v>
      </c>
      <c r="L2" s="35">
        <f t="shared" ca="1" si="0"/>
        <v>7</v>
      </c>
      <c r="M2" s="35">
        <f t="shared" ca="1" si="0"/>
        <v>8</v>
      </c>
      <c r="N2" s="35">
        <f t="shared" ca="1" si="0"/>
        <v>9</v>
      </c>
      <c r="O2" s="35">
        <f t="shared" ca="1" si="0"/>
        <v>10</v>
      </c>
      <c r="P2" s="35">
        <f t="shared" ca="1" si="0"/>
        <v>11</v>
      </c>
      <c r="Q2" s="35">
        <f t="shared" ca="1" si="0"/>
        <v>12</v>
      </c>
      <c r="R2" s="55"/>
      <c r="S2" s="55"/>
      <c r="T2" s="55"/>
    </row>
    <row r="3" spans="1:20" ht="15.75" thickBot="1">
      <c r="D3" s="35" t="s">
        <v>320</v>
      </c>
      <c r="E3" s="35" t="s">
        <v>213</v>
      </c>
      <c r="F3" s="35"/>
      <c r="G3" s="49">
        <v>2016</v>
      </c>
      <c r="H3" s="49">
        <v>2015</v>
      </c>
      <c r="I3" s="49">
        <v>2014</v>
      </c>
      <c r="J3" s="49">
        <v>2013</v>
      </c>
      <c r="K3" s="49">
        <v>2012</v>
      </c>
      <c r="L3" s="49">
        <v>2011</v>
      </c>
      <c r="M3" s="49">
        <v>2010</v>
      </c>
      <c r="N3" s="49">
        <v>2009</v>
      </c>
      <c r="O3" s="49">
        <v>2008</v>
      </c>
      <c r="P3" s="49">
        <v>2007</v>
      </c>
      <c r="Q3" s="49">
        <v>2006</v>
      </c>
      <c r="R3" s="56"/>
      <c r="S3" s="56"/>
      <c r="T3" s="56"/>
    </row>
    <row r="4" spans="1:20">
      <c r="D4" s="35"/>
      <c r="E4" s="35"/>
      <c r="F4" s="35"/>
      <c r="G4" s="35"/>
      <c r="H4" s="35"/>
    </row>
    <row r="5" spans="1:20">
      <c r="A5" t="str">
        <f>IFERROR(INDEX('[1]2017 Data (WP)'!$C$9:$C$72,MATCH($B5,'[1]2017 Data (WP)'!$D$9:$D$72,0)),"")</f>
        <v>Electric Util. (Central)</v>
      </c>
      <c r="B5" t="s">
        <v>0</v>
      </c>
      <c r="C5" t="s">
        <v>91</v>
      </c>
      <c r="D5" s="35">
        <f t="shared" ref="D5:D36" ca="1" si="1">MATCH(B5,OFFSET(Dividends,0,0,,1),0)</f>
        <v>3</v>
      </c>
      <c r="E5" s="35">
        <f t="shared" ref="E5:E36" ca="1" si="2">MATCH(B5,OFFSET(MarketPrice,0,0,,1),0)</f>
        <v>3</v>
      </c>
      <c r="F5" s="35"/>
      <c r="G5" s="99">
        <f t="shared" ref="G5:Q14" ca="1" si="3">IFERROR(INDEX(Dividends,$D5,G$2)/INDEX(MarketPrice,$E5,G$2),"N/A")</f>
        <v>3.5553124572678792E-2</v>
      </c>
      <c r="H5" s="99">
        <f t="shared" ca="1" si="3"/>
        <v>3.9693456474749457E-2</v>
      </c>
      <c r="I5" s="99">
        <f t="shared" ca="1" si="3"/>
        <v>3.9228244335921862E-2</v>
      </c>
      <c r="J5" s="99">
        <f t="shared" ca="1" si="3"/>
        <v>3.8852422141790889E-2</v>
      </c>
      <c r="K5" s="99">
        <f t="shared" ca="1" si="3"/>
        <v>4.4906526089715432E-2</v>
      </c>
      <c r="L5" s="99">
        <f t="shared" ca="1" si="3"/>
        <v>4.5811349890618976E-2</v>
      </c>
      <c r="M5" s="99">
        <f t="shared" ca="1" si="3"/>
        <v>5.0304398776688485E-2</v>
      </c>
      <c r="N5" s="99">
        <f t="shared" ca="1" si="3"/>
        <v>5.7909976309555147E-2</v>
      </c>
      <c r="O5" s="99">
        <f t="shared" ca="1" si="3"/>
        <v>4.3730295942235327E-2</v>
      </c>
      <c r="P5" s="99">
        <f t="shared" ca="1" si="3"/>
        <v>3.6023371260378682E-2</v>
      </c>
      <c r="Q5" s="99">
        <f t="shared" ca="1" si="3"/>
        <v>3.1638664630154918E-2</v>
      </c>
      <c r="R5" s="57"/>
      <c r="S5" s="58"/>
      <c r="T5" s="58"/>
    </row>
    <row r="6" spans="1:20">
      <c r="A6" t="str">
        <f>IFERROR(INDEX('[1]2017 Data (WP)'!$C$9:$C$72,MATCH($B6,'[1]2017 Data (WP)'!$D$9:$D$72,0)),"")</f>
        <v>Electric Util. (Central)</v>
      </c>
      <c r="B6" t="s">
        <v>1</v>
      </c>
      <c r="C6" t="s">
        <v>84</v>
      </c>
      <c r="D6" s="35">
        <f t="shared" ca="1" si="1"/>
        <v>4</v>
      </c>
      <c r="E6" s="35">
        <f t="shared" ca="1" si="2"/>
        <v>4</v>
      </c>
      <c r="F6" s="35"/>
      <c r="G6" s="99">
        <f t="shared" ca="1" si="3"/>
        <v>3.2064346077552236E-2</v>
      </c>
      <c r="H6" s="99">
        <f t="shared" ca="1" si="3"/>
        <v>3.6017157264005763E-2</v>
      </c>
      <c r="I6" s="99">
        <f t="shared" ca="1" si="3"/>
        <v>3.5306334371754934E-2</v>
      </c>
      <c r="J6" s="99">
        <f t="shared" ca="1" si="3"/>
        <v>3.7406979983286237E-2</v>
      </c>
      <c r="K6" s="99">
        <f t="shared" ca="1" si="3"/>
        <v>4.0707404224523951E-2</v>
      </c>
      <c r="L6" s="99">
        <f t="shared" ca="1" si="3"/>
        <v>4.2778057372924005E-2</v>
      </c>
      <c r="M6" s="99">
        <f t="shared" ca="1" si="3"/>
        <v>4.6064139941690965E-2</v>
      </c>
      <c r="N6" s="99">
        <f t="shared" ca="1" si="3"/>
        <v>5.7256279105275212E-2</v>
      </c>
      <c r="O6" s="99">
        <f t="shared" ca="1" si="3"/>
        <v>4.1031652989449004E-2</v>
      </c>
      <c r="P6" s="99">
        <f t="shared" ca="1" si="3"/>
        <v>3.131318112332955E-2</v>
      </c>
      <c r="Q6" s="99">
        <f t="shared" ca="1" si="3"/>
        <v>3.3189033189033185E-2</v>
      </c>
      <c r="R6" s="57"/>
      <c r="S6" s="57"/>
      <c r="T6" s="57"/>
    </row>
    <row r="7" spans="1:20">
      <c r="A7" t="str">
        <f>IFERROR(INDEX('[1]2017 Data (WP)'!$C$9:$C$72,MATCH($B7,'[1]2017 Data (WP)'!$D$9:$D$72,0)),"")</f>
        <v>Water Utility</v>
      </c>
      <c r="B7" s="31" t="s">
        <v>165</v>
      </c>
      <c r="C7" s="31" t="s">
        <v>164</v>
      </c>
      <c r="D7" s="35">
        <f t="shared" ca="1" si="1"/>
        <v>6</v>
      </c>
      <c r="E7" s="35">
        <f t="shared" ca="1" si="2"/>
        <v>6</v>
      </c>
      <c r="F7" s="35"/>
      <c r="G7" s="99">
        <f t="shared" ca="1" si="3"/>
        <v>2.204481319794506E-2</v>
      </c>
      <c r="H7" s="99">
        <f t="shared" ca="1" si="3"/>
        <v>2.2090231265006952E-2</v>
      </c>
      <c r="I7" s="99">
        <f t="shared" ca="1" si="3"/>
        <v>2.633997908016102E-2</v>
      </c>
      <c r="J7" s="99">
        <f t="shared" ca="1" si="3"/>
        <v>2.7498371806932483E-2</v>
      </c>
      <c r="K7" s="99">
        <f t="shared" ca="1" si="3"/>
        <v>3.1491767506447131E-2</v>
      </c>
      <c r="L7" s="99">
        <f t="shared" ca="1" si="3"/>
        <v>3.1976744186046513E-2</v>
      </c>
      <c r="M7" s="99">
        <f t="shared" ca="1" si="3"/>
        <v>2.9778948574046501E-2</v>
      </c>
      <c r="N7" s="99">
        <f t="shared" ca="1" si="3"/>
        <v>2.9413477779719262E-2</v>
      </c>
      <c r="O7" s="99">
        <f t="shared" ca="1" si="3"/>
        <v>2.8566531451751129E-2</v>
      </c>
      <c r="P7" s="99">
        <f t="shared" ca="1" si="3"/>
        <v>2.4584683433626495E-2</v>
      </c>
      <c r="Q7" s="99">
        <f t="shared" ca="1" si="3"/>
        <v>2.467462039045553E-2</v>
      </c>
      <c r="R7" s="57"/>
      <c r="S7" s="57"/>
      <c r="T7" s="57"/>
    </row>
    <row r="8" spans="1:20">
      <c r="A8" t="str">
        <f>IFERROR(INDEX('[1]2017 Data (WP)'!$C$9:$C$72,MATCH($B8,'[1]2017 Data (WP)'!$D$9:$D$72,0)),"")</f>
        <v>Water Utility</v>
      </c>
      <c r="B8" s="31" t="s">
        <v>167</v>
      </c>
      <c r="C8" s="31" t="s">
        <v>166</v>
      </c>
      <c r="D8" s="35">
        <f t="shared" ca="1" si="1"/>
        <v>7</v>
      </c>
      <c r="E8" s="35">
        <f t="shared" ca="1" si="2"/>
        <v>7</v>
      </c>
      <c r="F8" s="35"/>
      <c r="G8" s="99">
        <f t="shared" ca="1" si="3"/>
        <v>2.0246818357115309E-2</v>
      </c>
      <c r="H8" s="99">
        <f t="shared" ca="1" si="3"/>
        <v>2.4565486415101312E-2</v>
      </c>
      <c r="I8" s="99">
        <f t="shared" ca="1" si="3"/>
        <v>2.5292113459166821E-2</v>
      </c>
      <c r="J8" s="99">
        <f t="shared" ca="1" si="3"/>
        <v>2.0489304095421615E-2</v>
      </c>
      <c r="K8" s="99">
        <f t="shared" ca="1" si="3"/>
        <v>3.4324293657097465E-2</v>
      </c>
      <c r="L8" s="99">
        <f t="shared" ca="1" si="3"/>
        <v>3.1149413352715191E-2</v>
      </c>
      <c r="M8" s="99">
        <f t="shared" ca="1" si="3"/>
        <v>3.846497897844172E-2</v>
      </c>
      <c r="N8" s="99">
        <f t="shared" ca="1" si="3"/>
        <v>4.1956610724519033E-2</v>
      </c>
      <c r="O8" s="99">
        <f t="shared" ca="1" si="3"/>
        <v>1.9222451823730117E-2</v>
      </c>
      <c r="P8" s="99" t="str">
        <f t="shared" ca="1" si="3"/>
        <v>N/A</v>
      </c>
      <c r="Q8" s="99" t="str">
        <f t="shared" ca="1" si="3"/>
        <v>N/A</v>
      </c>
      <c r="R8" s="57"/>
      <c r="S8" s="57"/>
      <c r="T8" s="57"/>
    </row>
    <row r="9" spans="1:20">
      <c r="A9" t="str">
        <f>IFERROR(INDEX('[1]2017 Data (WP)'!$C$9:$C$72,MATCH($B9,'[1]2017 Data (WP)'!$D$9:$D$72,0)),"")</f>
        <v>Electric Util. (Central)</v>
      </c>
      <c r="B9" t="s">
        <v>3</v>
      </c>
      <c r="C9" t="s">
        <v>80</v>
      </c>
      <c r="D9" s="35">
        <f t="shared" ca="1" si="1"/>
        <v>8</v>
      </c>
      <c r="E9" s="35">
        <f t="shared" ca="1" si="2"/>
        <v>8</v>
      </c>
      <c r="F9" s="35"/>
      <c r="G9" s="99">
        <f t="shared" ca="1" si="3"/>
        <v>3.498001142204455E-2</v>
      </c>
      <c r="H9" s="99">
        <f t="shared" ca="1" si="3"/>
        <v>3.9633124191771632E-2</v>
      </c>
      <c r="I9" s="99">
        <f t="shared" ca="1" si="3"/>
        <v>4.0154632747225347E-2</v>
      </c>
      <c r="J9" s="99">
        <f t="shared" ca="1" si="3"/>
        <v>4.6129450771226752E-2</v>
      </c>
      <c r="K9" s="99">
        <f t="shared" ca="1" si="3"/>
        <v>4.9724958821518478E-2</v>
      </c>
      <c r="L9" s="99">
        <f t="shared" ca="1" si="3"/>
        <v>5.275299385961936E-2</v>
      </c>
      <c r="M9" s="99">
        <f t="shared" ca="1" si="3"/>
        <v>5.7585162472422693E-2</v>
      </c>
      <c r="N9" s="99">
        <f t="shared" ca="1" si="3"/>
        <v>5.9817440279665957E-2</v>
      </c>
      <c r="O9" s="99">
        <f t="shared" ca="1" si="3"/>
        <v>6.2085991542616896E-2</v>
      </c>
      <c r="P9" s="99">
        <f t="shared" ca="1" si="3"/>
        <v>4.8846153846153845E-2</v>
      </c>
      <c r="Q9" s="99">
        <f t="shared" ca="1" si="3"/>
        <v>4.9258217783380201E-2</v>
      </c>
      <c r="R9" s="57"/>
      <c r="S9" s="57"/>
      <c r="T9" s="57"/>
    </row>
    <row r="10" spans="1:20">
      <c r="A10" t="str">
        <f>IFERROR(INDEX('[1]2017 Data (WP)'!$C$9:$C$72,MATCH($B10,'[1]2017 Data (WP)'!$D$9:$D$72,0)),"")</f>
        <v>Electric Util. (Central)</v>
      </c>
      <c r="B10" t="s">
        <v>2</v>
      </c>
      <c r="C10" t="s">
        <v>103</v>
      </c>
      <c r="D10" s="35">
        <f t="shared" ca="1" si="1"/>
        <v>5</v>
      </c>
      <c r="E10" s="35">
        <f t="shared" ca="1" si="2"/>
        <v>5</v>
      </c>
      <c r="F10" s="35"/>
      <c r="G10" s="99">
        <f t="shared" ca="1" si="3"/>
        <v>3.540457920019964E-2</v>
      </c>
      <c r="H10" s="99">
        <f t="shared" ca="1" si="3"/>
        <v>3.7978484746780658E-2</v>
      </c>
      <c r="I10" s="99">
        <f t="shared" ca="1" si="3"/>
        <v>3.8283828382838281E-2</v>
      </c>
      <c r="J10" s="99">
        <f t="shared" ca="1" si="3"/>
        <v>4.2307608860732031E-2</v>
      </c>
      <c r="K10" s="99">
        <f t="shared" ca="1" si="3"/>
        <v>4.582459903475844E-2</v>
      </c>
      <c r="L10" s="99">
        <f t="shared" ca="1" si="3"/>
        <v>4.9593866445058046E-2</v>
      </c>
      <c r="M10" s="99">
        <f t="shared" ca="1" si="3"/>
        <v>4.9022418439309677E-2</v>
      </c>
      <c r="N10" s="99">
        <f t="shared" ca="1" si="3"/>
        <v>5.5042792414834694E-2</v>
      </c>
      <c r="O10" s="99">
        <f t="shared" ca="1" si="3"/>
        <v>4.1996363729481956E-2</v>
      </c>
      <c r="P10" s="99">
        <f t="shared" ca="1" si="3"/>
        <v>3.3959506512487643E-2</v>
      </c>
      <c r="Q10" s="99">
        <f t="shared" ca="1" si="3"/>
        <v>4.0638292108043671E-2</v>
      </c>
      <c r="R10" s="57"/>
      <c r="S10" s="57"/>
      <c r="T10" s="57"/>
    </row>
    <row r="11" spans="1:20">
      <c r="A11" t="str">
        <f>IFERROR(INDEX('[1]2017 Data (WP)'!$C$9:$C$72,MATCH($B11,'[1]2017 Data (WP)'!$D$9:$D$72,0)),"")</f>
        <v>Water Utility</v>
      </c>
      <c r="B11" s="31" t="s">
        <v>171</v>
      </c>
      <c r="C11" s="31" t="s">
        <v>170</v>
      </c>
      <c r="D11" s="35">
        <f t="shared" ca="1" si="1"/>
        <v>10</v>
      </c>
      <c r="E11" s="35">
        <f t="shared" ca="1" si="2"/>
        <v>10</v>
      </c>
      <c r="F11" s="35"/>
      <c r="G11" s="99">
        <f t="shared" ca="1" si="3"/>
        <v>2.3492809295533192E-2</v>
      </c>
      <c r="H11" s="99">
        <f t="shared" ca="1" si="3"/>
        <v>2.5746268656716417E-2</v>
      </c>
      <c r="I11" s="99">
        <f t="shared" ca="1" si="3"/>
        <v>2.5288002247822423E-2</v>
      </c>
      <c r="J11" s="99">
        <f t="shared" ca="1" si="3"/>
        <v>2.3606984411249948E-2</v>
      </c>
      <c r="K11" s="99">
        <f t="shared" ca="1" si="3"/>
        <v>2.8020283339432274E-2</v>
      </c>
      <c r="L11" s="99">
        <f t="shared" ca="1" si="3"/>
        <v>2.8497116363225151E-2</v>
      </c>
      <c r="M11" s="99">
        <f t="shared" ca="1" si="3"/>
        <v>3.1101739588824458E-2</v>
      </c>
      <c r="N11" s="99">
        <f t="shared" ca="1" si="3"/>
        <v>3.0929284408828903E-2</v>
      </c>
      <c r="O11" s="99">
        <f t="shared" ca="1" si="3"/>
        <v>2.8025827723588404E-2</v>
      </c>
      <c r="P11" s="99">
        <f t="shared" ca="1" si="3"/>
        <v>2.1147703491573962E-2</v>
      </c>
      <c r="Q11" s="99">
        <f t="shared" ca="1" si="3"/>
        <v>1.811258618915303E-2</v>
      </c>
      <c r="R11" s="57"/>
      <c r="S11" s="57"/>
      <c r="T11" s="57"/>
    </row>
    <row r="12" spans="1:20">
      <c r="A12" t="str">
        <f>IFERROR(INDEX('[1]2017 Data (WP)'!$C$9:$C$72,MATCH($B12,'[1]2017 Data (WP)'!$D$9:$D$72,0)),"")</f>
        <v>Natural Gas Utility</v>
      </c>
      <c r="B12" s="31" t="s">
        <v>175</v>
      </c>
      <c r="C12" s="31" t="s">
        <v>174</v>
      </c>
      <c r="D12" s="35">
        <f t="shared" ca="1" si="1"/>
        <v>12</v>
      </c>
      <c r="E12" s="35">
        <f t="shared" ca="1" si="2"/>
        <v>12</v>
      </c>
      <c r="F12" s="35"/>
      <c r="G12" s="99">
        <f t="shared" ca="1" si="3"/>
        <v>2.389588222743759E-2</v>
      </c>
      <c r="H12" s="99">
        <f t="shared" ca="1" si="3"/>
        <v>2.8846687253832357E-2</v>
      </c>
      <c r="I12" s="99">
        <f t="shared" ca="1" si="3"/>
        <v>3.1070896227405369E-2</v>
      </c>
      <c r="J12" s="99">
        <f t="shared" ca="1" si="3"/>
        <v>3.527959075674722E-2</v>
      </c>
      <c r="K12" s="99">
        <f t="shared" ca="1" si="3"/>
        <v>4.1253138825780224E-2</v>
      </c>
      <c r="L12" s="99">
        <f t="shared" ca="1" si="3"/>
        <v>4.1920966648172124E-2</v>
      </c>
      <c r="M12" s="99">
        <f t="shared" ca="1" si="3"/>
        <v>4.6963165457540396E-2</v>
      </c>
      <c r="N12" s="99">
        <f t="shared" ca="1" si="3"/>
        <v>5.3441295546558708E-2</v>
      </c>
      <c r="O12" s="99">
        <f t="shared" ca="1" si="3"/>
        <v>4.7848651036107331E-2</v>
      </c>
      <c r="P12" s="99">
        <f t="shared" ca="1" si="3"/>
        <v>4.1585445094217022E-2</v>
      </c>
      <c r="Q12" s="99">
        <f t="shared" ca="1" si="3"/>
        <v>4.6583850931677023E-2</v>
      </c>
      <c r="R12" s="57"/>
      <c r="S12" s="57"/>
      <c r="T12" s="57"/>
    </row>
    <row r="13" spans="1:20">
      <c r="A13" t="str">
        <f>IFERROR(INDEX('[1]2017 Data (WP)'!$C$9:$C$72,MATCH($B13,'[1]2017 Data (WP)'!$D$9:$D$72,0)),"")</f>
        <v>Electric Utility (East)</v>
      </c>
      <c r="B13" t="s">
        <v>261</v>
      </c>
      <c r="C13" t="s">
        <v>262</v>
      </c>
      <c r="D13" s="35">
        <f t="shared" ca="1" si="1"/>
        <v>13</v>
      </c>
      <c r="E13" s="35">
        <f t="shared" ca="1" si="2"/>
        <v>13</v>
      </c>
      <c r="F13" s="35"/>
      <c r="G13" s="99">
        <f t="shared" ca="1" si="3"/>
        <v>4.2587800369685763E-2</v>
      </c>
      <c r="H13" s="99">
        <f t="shared" ca="1" si="3"/>
        <v>0</v>
      </c>
      <c r="I13" s="99" t="str">
        <f t="shared" ca="1" si="3"/>
        <v>N/A</v>
      </c>
      <c r="J13" s="99" t="str">
        <f t="shared" ca="1" si="3"/>
        <v>N/A</v>
      </c>
      <c r="K13" s="99" t="str">
        <f t="shared" ca="1" si="3"/>
        <v>N/A</v>
      </c>
      <c r="L13" s="99" t="str">
        <f t="shared" ca="1" si="3"/>
        <v>N/A</v>
      </c>
      <c r="M13" s="99" t="str">
        <f t="shared" ca="1" si="3"/>
        <v>N/A</v>
      </c>
      <c r="N13" s="99" t="str">
        <f t="shared" ca="1" si="3"/>
        <v>N/A</v>
      </c>
      <c r="O13" s="99" t="str">
        <f t="shared" ca="1" si="3"/>
        <v>N/A</v>
      </c>
      <c r="P13" s="99" t="str">
        <f t="shared" ca="1" si="3"/>
        <v>N/A</v>
      </c>
      <c r="Q13" s="99" t="str">
        <f t="shared" ca="1" si="3"/>
        <v>N/A</v>
      </c>
      <c r="R13" s="57"/>
      <c r="S13" s="57"/>
      <c r="T13" s="57"/>
    </row>
    <row r="14" spans="1:20">
      <c r="A14" t="str">
        <f>IFERROR(INDEX('[1]2017 Data (WP)'!$C$9:$C$72,MATCH($B14,'[1]2017 Data (WP)'!$D$9:$D$72,0)),"")</f>
        <v>Electric Utility (West)</v>
      </c>
      <c r="B14" t="s">
        <v>4</v>
      </c>
      <c r="C14" t="s">
        <v>86</v>
      </c>
      <c r="D14" s="35">
        <f t="shared" ca="1" si="1"/>
        <v>14</v>
      </c>
      <c r="E14" s="35">
        <f t="shared" ca="1" si="2"/>
        <v>14</v>
      </c>
      <c r="F14" s="35"/>
      <c r="G14" s="99">
        <f t="shared" ca="1" si="3"/>
        <v>3.3903338365215675E-2</v>
      </c>
      <c r="H14" s="99">
        <f t="shared" ca="1" si="3"/>
        <v>3.9675383228133451E-2</v>
      </c>
      <c r="I14" s="99">
        <f t="shared" ca="1" si="3"/>
        <v>3.9938362841598796E-2</v>
      </c>
      <c r="J14" s="99">
        <f t="shared" ca="1" si="3"/>
        <v>4.5061682795301761E-2</v>
      </c>
      <c r="K14" s="99">
        <f t="shared" ca="1" si="3"/>
        <v>4.5540201005025122E-2</v>
      </c>
      <c r="L14" s="99">
        <f t="shared" ca="1" si="3"/>
        <v>4.5428264640290747E-2</v>
      </c>
      <c r="M14" s="99">
        <f t="shared" ca="1" si="3"/>
        <v>4.7573739295908662E-2</v>
      </c>
      <c r="N14" s="99">
        <f t="shared" ca="1" si="3"/>
        <v>4.4907689748849594E-2</v>
      </c>
      <c r="O14" s="99">
        <f t="shared" ca="1" si="3"/>
        <v>3.388665160593262E-2</v>
      </c>
      <c r="P14" s="99">
        <f t="shared" ca="1" si="3"/>
        <v>2.6765632028789923E-2</v>
      </c>
      <c r="Q14" s="99">
        <f t="shared" ca="1" si="3"/>
        <v>2.5194483734087694E-2</v>
      </c>
      <c r="R14" s="57"/>
      <c r="S14" s="57"/>
      <c r="T14" s="57"/>
    </row>
    <row r="15" spans="1:20">
      <c r="A15" t="str">
        <f>IFERROR(INDEX('[1]2017 Data (WP)'!$C$9:$C$72,MATCH($B15,'[1]2017 Data (WP)'!$D$9:$D$72,0)),"")</f>
        <v>Electric Utility (West)</v>
      </c>
      <c r="B15" t="s">
        <v>5</v>
      </c>
      <c r="C15" t="s">
        <v>46</v>
      </c>
      <c r="D15" s="35">
        <f t="shared" ca="1" si="1"/>
        <v>15</v>
      </c>
      <c r="E15" s="35">
        <f t="shared" ca="1" si="2"/>
        <v>15</v>
      </c>
      <c r="F15" s="35"/>
      <c r="G15" s="99">
        <f t="shared" ref="G15:Q24" ca="1" si="4">IFERROR(INDEX(Dividends,$D15,G$2)/INDEX(MarketPrice,$E15,G$2),"N/A")</f>
        <v>2.8659649601664988E-2</v>
      </c>
      <c r="H15" s="99">
        <f t="shared" ca="1" si="4"/>
        <v>3.5473416834544982E-2</v>
      </c>
      <c r="I15" s="99">
        <f t="shared" ca="1" si="4"/>
        <v>2.8366215110464589E-2</v>
      </c>
      <c r="J15" s="99">
        <f t="shared" ca="1" si="4"/>
        <v>3.1932773109243695E-2</v>
      </c>
      <c r="K15" s="99">
        <f t="shared" ca="1" si="4"/>
        <v>4.3853151204480127E-2</v>
      </c>
      <c r="L15" s="99">
        <f t="shared" ca="1" si="4"/>
        <v>4.6437659033078879E-2</v>
      </c>
      <c r="M15" s="99">
        <f t="shared" ca="1" si="4"/>
        <v>4.7936085219707054E-2</v>
      </c>
      <c r="N15" s="99">
        <f t="shared" ca="1" si="4"/>
        <v>6.1664061142956403E-2</v>
      </c>
      <c r="O15" s="99">
        <f t="shared" ca="1" si="4"/>
        <v>4.2115396185548402E-2</v>
      </c>
      <c r="P15" s="99">
        <f t="shared" ca="1" si="4"/>
        <v>3.4027967511984301E-2</v>
      </c>
      <c r="Q15" s="99">
        <f t="shared" ca="1" si="4"/>
        <v>3.7880961946851865E-2</v>
      </c>
      <c r="R15" s="57"/>
      <c r="S15" s="57"/>
      <c r="T15" s="57"/>
    </row>
    <row r="16" spans="1:20">
      <c r="A16" t="str">
        <f>IFERROR(INDEX('[1]2017 Data (WP)'!$C$9:$C$72,MATCH($B16,'[1]2017 Data (WP)'!$D$9:$D$72,0)),"")</f>
        <v>Water Utility</v>
      </c>
      <c r="B16" s="31" t="s">
        <v>177</v>
      </c>
      <c r="C16" s="31" t="s">
        <v>176</v>
      </c>
      <c r="D16" s="35">
        <f t="shared" ca="1" si="1"/>
        <v>16</v>
      </c>
      <c r="E16" s="35">
        <f t="shared" ca="1" si="2"/>
        <v>16</v>
      </c>
      <c r="F16" s="35"/>
      <c r="G16" s="99">
        <f t="shared" ca="1" si="4"/>
        <v>2.3041474654377878E-2</v>
      </c>
      <c r="H16" s="99">
        <f t="shared" ca="1" si="4"/>
        <v>2.8771417529093488E-2</v>
      </c>
      <c r="I16" s="99">
        <f t="shared" ca="1" si="4"/>
        <v>2.7739842949812226E-2</v>
      </c>
      <c r="J16" s="99">
        <f t="shared" ca="1" si="4"/>
        <v>3.1176929072486363E-2</v>
      </c>
      <c r="K16" s="99">
        <f t="shared" ca="1" si="4"/>
        <v>3.4547049791620967E-2</v>
      </c>
      <c r="L16" s="99">
        <f t="shared" ca="1" si="4"/>
        <v>3.3610230626297956E-2</v>
      </c>
      <c r="M16" s="99">
        <f t="shared" ca="1" si="4"/>
        <v>3.2395056351064405E-2</v>
      </c>
      <c r="N16" s="99">
        <f t="shared" ca="1" si="4"/>
        <v>3.0738772533083256E-2</v>
      </c>
      <c r="O16" s="99">
        <f t="shared" ca="1" si="4"/>
        <v>3.1153477473639366E-2</v>
      </c>
      <c r="P16" s="99">
        <f t="shared" ca="1" si="4"/>
        <v>2.9678145627590441E-2</v>
      </c>
      <c r="Q16" s="99">
        <f t="shared" ca="1" si="4"/>
        <v>2.9351710056151094E-2</v>
      </c>
      <c r="R16" s="57"/>
      <c r="S16" s="57"/>
      <c r="T16" s="57"/>
    </row>
    <row r="17" spans="1:20">
      <c r="A17" t="str">
        <f>IFERROR(INDEX('[1]2017 Data (WP)'!$C$9:$C$72,MATCH($B17,'[1]2017 Data (WP)'!$D$9:$D$72,0)),"")</f>
        <v>Electric Util. (Central)</v>
      </c>
      <c r="B17" t="s">
        <v>6</v>
      </c>
      <c r="C17" t="s">
        <v>90</v>
      </c>
      <c r="D17" s="35">
        <f t="shared" ca="1" si="1"/>
        <v>17</v>
      </c>
      <c r="E17" s="35">
        <f t="shared" ca="1" si="2"/>
        <v>17</v>
      </c>
      <c r="F17" s="35"/>
      <c r="G17" s="99">
        <f t="shared" ca="1" si="4"/>
        <v>4.701049748973072E-2</v>
      </c>
      <c r="H17" s="99">
        <f t="shared" ca="1" si="4"/>
        <v>5.0649749309321604E-2</v>
      </c>
      <c r="I17" s="99">
        <f t="shared" ca="1" si="4"/>
        <v>3.94469127600382E-2</v>
      </c>
      <c r="J17" s="99">
        <f t="shared" ca="1" si="4"/>
        <v>3.5705067538501251E-2</v>
      </c>
      <c r="K17" s="99">
        <f t="shared" ca="1" si="4"/>
        <v>4.0413111809609346E-2</v>
      </c>
      <c r="L17" s="99">
        <f t="shared" ca="1" si="4"/>
        <v>4.267963263101026E-2</v>
      </c>
      <c r="M17" s="99">
        <f t="shared" ca="1" si="4"/>
        <v>5.2895700528957007E-2</v>
      </c>
      <c r="N17" s="99">
        <f t="shared" ca="1" si="4"/>
        <v>6.3731656184486368E-2</v>
      </c>
      <c r="O17" s="99">
        <f t="shared" ca="1" si="4"/>
        <v>4.9815749965879626E-2</v>
      </c>
      <c r="P17" s="99">
        <f t="shared" ca="1" si="4"/>
        <v>3.8742023701002735E-2</v>
      </c>
      <c r="Q17" s="99">
        <f t="shared" ca="1" si="4"/>
        <v>4.3949604453559922E-2</v>
      </c>
      <c r="R17" s="57"/>
      <c r="S17" s="57"/>
      <c r="T17" s="57"/>
    </row>
    <row r="18" spans="1:20">
      <c r="A18" t="str">
        <f>IFERROR(INDEX('[1]2017 Data (WP)'!$C$9:$C$72,MATCH($B18,'[1]2017 Data (WP)'!$D$9:$D$72,0)),"")</f>
        <v/>
      </c>
      <c r="B18" t="s">
        <v>7</v>
      </c>
      <c r="C18" t="s">
        <v>48</v>
      </c>
      <c r="D18" s="35" t="e">
        <f t="shared" ca="1" si="1"/>
        <v>#N/A</v>
      </c>
      <c r="E18" s="35" t="e">
        <f t="shared" ca="1" si="2"/>
        <v>#N/A</v>
      </c>
      <c r="F18" s="35"/>
      <c r="G18" s="99" t="str">
        <f t="shared" ca="1" si="4"/>
        <v>N/A</v>
      </c>
      <c r="H18" s="99" t="str">
        <f t="shared" ca="1" si="4"/>
        <v>N/A</v>
      </c>
      <c r="I18" s="99" t="str">
        <f t="shared" ca="1" si="4"/>
        <v>N/A</v>
      </c>
      <c r="J18" s="99" t="str">
        <f t="shared" ca="1" si="4"/>
        <v>N/A</v>
      </c>
      <c r="K18" s="99" t="str">
        <f t="shared" ca="1" si="4"/>
        <v>N/A</v>
      </c>
      <c r="L18" s="99" t="str">
        <f t="shared" ca="1" si="4"/>
        <v>N/A</v>
      </c>
      <c r="M18" s="99" t="str">
        <f t="shared" ca="1" si="4"/>
        <v>N/A</v>
      </c>
      <c r="N18" s="99" t="str">
        <f t="shared" ca="1" si="4"/>
        <v>N/A</v>
      </c>
      <c r="O18" s="99" t="str">
        <f t="shared" ca="1" si="4"/>
        <v>N/A</v>
      </c>
      <c r="P18" s="99" t="str">
        <f t="shared" ca="1" si="4"/>
        <v>N/A</v>
      </c>
      <c r="Q18" s="99" t="str">
        <f t="shared" ca="1" si="4"/>
        <v>N/A</v>
      </c>
      <c r="R18" s="57"/>
      <c r="S18" s="57"/>
      <c r="T18" s="57"/>
    </row>
    <row r="19" spans="1:20">
      <c r="A19" t="str">
        <f>IFERROR(INDEX('[1]2017 Data (WP)'!$C$9:$C$72,MATCH($B19,'[1]2017 Data (WP)'!$D$9:$D$72,0)),"")</f>
        <v>Natural Gas Utility</v>
      </c>
      <c r="B19" s="31" t="s">
        <v>178</v>
      </c>
      <c r="C19" s="31" t="s">
        <v>215</v>
      </c>
      <c r="D19" s="35">
        <f t="shared" ca="1" si="1"/>
        <v>18</v>
      </c>
      <c r="E19" s="35">
        <f t="shared" ca="1" si="2"/>
        <v>18</v>
      </c>
      <c r="F19" s="35"/>
      <c r="G19" s="99">
        <f t="shared" ca="1" si="4"/>
        <v>1.9108791649939783E-2</v>
      </c>
      <c r="H19" s="99">
        <f t="shared" ca="1" si="4"/>
        <v>2.1828529107953774E-2</v>
      </c>
      <c r="I19" s="99">
        <f t="shared" ca="1" si="4"/>
        <v>2.4403631955721244E-2</v>
      </c>
      <c r="J19" s="99">
        <f t="shared" ca="1" si="4"/>
        <v>2.8692007024301816E-2</v>
      </c>
      <c r="K19" s="99">
        <f t="shared" ca="1" si="4"/>
        <v>3.2528038491512215E-2</v>
      </c>
      <c r="L19" s="99">
        <f t="shared" ca="1" si="4"/>
        <v>3.3594211458948614E-2</v>
      </c>
      <c r="M19" s="99">
        <f t="shared" ca="1" si="4"/>
        <v>3.9138062890818302E-2</v>
      </c>
      <c r="N19" s="99">
        <f t="shared" ca="1" si="4"/>
        <v>4.0927627376799482E-2</v>
      </c>
      <c r="O19" s="99">
        <f t="shared" ca="1" si="4"/>
        <v>4.0960308598111866E-2</v>
      </c>
      <c r="P19" s="99">
        <f t="shared" ca="1" si="4"/>
        <v>3.6221492343988526E-2</v>
      </c>
      <c r="Q19" s="99">
        <f t="shared" ca="1" si="4"/>
        <v>3.7601328254712373E-2</v>
      </c>
      <c r="R19" s="58"/>
      <c r="S19" s="58"/>
      <c r="T19" s="58"/>
    </row>
    <row r="20" spans="1:20">
      <c r="A20" t="str">
        <f>IFERROR(INDEX('[1]2017 Data (WP)'!$C$9:$C$72,MATCH($B20,'[1]2017 Data (WP)'!$D$9:$D$72,0)),"")</f>
        <v/>
      </c>
      <c r="B20" t="s">
        <v>8</v>
      </c>
      <c r="C20" t="s">
        <v>49</v>
      </c>
      <c r="D20" s="35" t="e">
        <f t="shared" ca="1" si="1"/>
        <v>#N/A</v>
      </c>
      <c r="E20" s="35" t="e">
        <f t="shared" ca="1" si="2"/>
        <v>#N/A</v>
      </c>
      <c r="F20" s="35"/>
      <c r="G20" s="99" t="str">
        <f t="shared" ca="1" si="4"/>
        <v>N/A</v>
      </c>
      <c r="H20" s="99" t="str">
        <f t="shared" ca="1" si="4"/>
        <v>N/A</v>
      </c>
      <c r="I20" s="99" t="str">
        <f t="shared" ca="1" si="4"/>
        <v>N/A</v>
      </c>
      <c r="J20" s="99" t="str">
        <f t="shared" ca="1" si="4"/>
        <v>N/A</v>
      </c>
      <c r="K20" s="99" t="str">
        <f t="shared" ca="1" si="4"/>
        <v>N/A</v>
      </c>
      <c r="L20" s="99" t="str">
        <f t="shared" ca="1" si="4"/>
        <v>N/A</v>
      </c>
      <c r="M20" s="99" t="str">
        <f t="shared" ca="1" si="4"/>
        <v>N/A</v>
      </c>
      <c r="N20" s="99" t="str">
        <f t="shared" ca="1" si="4"/>
        <v>N/A</v>
      </c>
      <c r="O20" s="99" t="str">
        <f t="shared" ca="1" si="4"/>
        <v>N/A</v>
      </c>
      <c r="P20" s="99" t="str">
        <f t="shared" ca="1" si="4"/>
        <v>N/A</v>
      </c>
      <c r="Q20" s="99" t="str">
        <f t="shared" ca="1" si="4"/>
        <v>N/A</v>
      </c>
      <c r="R20" s="57"/>
      <c r="S20" s="57"/>
      <c r="T20" s="57"/>
    </row>
    <row r="21" spans="1:20">
      <c r="A21" t="str">
        <f>IFERROR(INDEX('[1]2017 Data (WP)'!$C$9:$C$72,MATCH($B21,'[1]2017 Data (WP)'!$D$9:$D$72,0)),"")</f>
        <v>Electric Util. (Central)</v>
      </c>
      <c r="B21" t="s">
        <v>9</v>
      </c>
      <c r="C21" t="s">
        <v>47</v>
      </c>
      <c r="D21" s="35">
        <f t="shared" ca="1" si="1"/>
        <v>19</v>
      </c>
      <c r="E21" s="35">
        <f t="shared" ca="1" si="2"/>
        <v>19</v>
      </c>
      <c r="F21" s="35"/>
      <c r="G21" s="99">
        <f t="shared" ca="1" si="4"/>
        <v>2.9903296597294234E-2</v>
      </c>
      <c r="H21" s="99">
        <f t="shared" ca="1" si="4"/>
        <v>3.3555105582875326E-2</v>
      </c>
      <c r="I21" s="99">
        <f t="shared" ca="1" si="4"/>
        <v>3.5880398671096346E-2</v>
      </c>
      <c r="J21" s="99">
        <f t="shared" ca="1" si="4"/>
        <v>3.7643932683790966E-2</v>
      </c>
      <c r="K21" s="99">
        <f t="shared" ca="1" si="4"/>
        <v>4.1637751561415678E-2</v>
      </c>
      <c r="L21" s="99">
        <f t="shared" ca="1" si="4"/>
        <v>4.2548880559213853E-2</v>
      </c>
      <c r="M21" s="99">
        <f t="shared" ca="1" si="4"/>
        <v>3.9838232631134181E-2</v>
      </c>
      <c r="N21" s="99">
        <f t="shared" ca="1" si="4"/>
        <v>3.9660506068057433E-2</v>
      </c>
      <c r="O21" s="99">
        <f t="shared" ca="1" si="4"/>
        <v>2.6936026936026935E-2</v>
      </c>
      <c r="P21" s="99">
        <f t="shared" ca="1" si="4"/>
        <v>1.1644154634373547E-2</v>
      </c>
      <c r="Q21" s="99">
        <f t="shared" ca="1" si="4"/>
        <v>0</v>
      </c>
      <c r="R21" s="57"/>
      <c r="S21" s="57"/>
      <c r="T21" s="57"/>
    </row>
    <row r="22" spans="1:20">
      <c r="A22" t="str">
        <f>IFERROR(INDEX('[1]2017 Data (WP)'!$C$9:$C$72,MATCH($B22,'[1]2017 Data (WP)'!$D$9:$D$72,0)),"")</f>
        <v>Water Utility</v>
      </c>
      <c r="B22" s="31" t="s">
        <v>180</v>
      </c>
      <c r="C22" s="31" t="s">
        <v>179</v>
      </c>
      <c r="D22" s="35">
        <f t="shared" ca="1" si="1"/>
        <v>20</v>
      </c>
      <c r="E22" s="35">
        <f t="shared" ca="1" si="2"/>
        <v>20</v>
      </c>
      <c r="F22" s="35"/>
      <c r="G22" s="99">
        <f t="shared" ca="1" si="4"/>
        <v>2.312472900708195E-2</v>
      </c>
      <c r="H22" s="99">
        <f t="shared" ca="1" si="4"/>
        <v>2.9282985191176062E-2</v>
      </c>
      <c r="I22" s="99">
        <f t="shared" ca="1" si="4"/>
        <v>3.0022888736957881E-2</v>
      </c>
      <c r="J22" s="99">
        <f t="shared" ca="1" si="4"/>
        <v>3.2142740004591816E-2</v>
      </c>
      <c r="K22" s="99">
        <f t="shared" ca="1" si="4"/>
        <v>3.2367915303954956E-2</v>
      </c>
      <c r="L22" s="99">
        <f t="shared" ca="1" si="4"/>
        <v>3.6174716182412928E-2</v>
      </c>
      <c r="M22" s="99">
        <f t="shared" ca="1" si="4"/>
        <v>3.939030655934235E-2</v>
      </c>
      <c r="N22" s="99">
        <f t="shared" ca="1" si="4"/>
        <v>4.1092137704319243E-2</v>
      </c>
      <c r="O22" s="99">
        <f t="shared" ca="1" si="4"/>
        <v>3.5763634885800206E-2</v>
      </c>
      <c r="P22" s="99">
        <f t="shared" ca="1" si="4"/>
        <v>3.6023353070266238E-2</v>
      </c>
      <c r="Q22" s="99">
        <f t="shared" ca="1" si="4"/>
        <v>3.6427932342039109E-2</v>
      </c>
      <c r="R22" s="57"/>
      <c r="S22" s="57"/>
      <c r="T22" s="57"/>
    </row>
    <row r="23" spans="1:20">
      <c r="A23" t="str">
        <f>IFERROR(INDEX('[1]2017 Data (WP)'!$C$9:$C$72,MATCH($B23,'[1]2017 Data (WP)'!$D$9:$D$72,0)),"")</f>
        <v>Electric Utility (East)</v>
      </c>
      <c r="B23" t="s">
        <v>10</v>
      </c>
      <c r="C23" t="s">
        <v>50</v>
      </c>
      <c r="D23" s="35">
        <f t="shared" ca="1" si="1"/>
        <v>21</v>
      </c>
      <c r="E23" s="35">
        <f t="shared" ca="1" si="2"/>
        <v>21</v>
      </c>
      <c r="F23" s="35"/>
      <c r="G23" s="99">
        <f t="shared" ca="1" si="4"/>
        <v>3.6177594189986374E-2</v>
      </c>
      <c r="H23" s="99">
        <f t="shared" ca="1" si="4"/>
        <v>4.1181594994852307E-2</v>
      </c>
      <c r="I23" s="99">
        <f t="shared" ca="1" si="4"/>
        <v>4.3778121362680888E-2</v>
      </c>
      <c r="J23" s="99">
        <f t="shared" ca="1" si="4"/>
        <v>4.2515684139575884E-2</v>
      </c>
      <c r="K23" s="99">
        <f t="shared" ca="1" si="4"/>
        <v>4.0736625930040737E-2</v>
      </c>
      <c r="L23" s="99">
        <f t="shared" ca="1" si="4"/>
        <v>4.4593916646537467E-2</v>
      </c>
      <c r="M23" s="99">
        <f t="shared" ca="1" si="4"/>
        <v>5.1581023384842113E-2</v>
      </c>
      <c r="N23" s="99">
        <f t="shared" ca="1" si="4"/>
        <v>5.990912090980631E-2</v>
      </c>
      <c r="O23" s="99">
        <f t="shared" ca="1" si="4"/>
        <v>5.6687419753385489E-2</v>
      </c>
      <c r="P23" s="99">
        <f t="shared" ca="1" si="4"/>
        <v>4.8370619018827006E-2</v>
      </c>
      <c r="Q23" s="99">
        <f t="shared" ca="1" si="4"/>
        <v>5.0350262697022766E-2</v>
      </c>
      <c r="R23" s="57"/>
      <c r="S23" s="57"/>
      <c r="T23" s="57"/>
    </row>
    <row r="24" spans="1:20">
      <c r="A24" t="str">
        <f>IFERROR(INDEX('[1]2017 Data (WP)'!$C$9:$C$72,MATCH($B24,'[1]2017 Data (WP)'!$D$9:$D$72,0)),"")</f>
        <v>Water Utility</v>
      </c>
      <c r="B24" s="31" t="s">
        <v>182</v>
      </c>
      <c r="C24" s="31" t="s">
        <v>181</v>
      </c>
      <c r="D24" s="35">
        <f t="shared" ca="1" si="1"/>
        <v>22</v>
      </c>
      <c r="E24" s="35">
        <f t="shared" ca="1" si="2"/>
        <v>22</v>
      </c>
      <c r="F24" s="35"/>
      <c r="G24" s="99">
        <f t="shared" ca="1" si="4"/>
        <v>2.4797487187964949E-2</v>
      </c>
      <c r="H24" s="99">
        <f t="shared" ca="1" si="4"/>
        <v>2.5922405599239608E-2</v>
      </c>
      <c r="I24" s="99">
        <f t="shared" ca="1" si="4"/>
        <v>2.52503997979968E-2</v>
      </c>
      <c r="J24" s="99">
        <f t="shared" ca="1" si="4"/>
        <v>2.5833118057349523E-2</v>
      </c>
      <c r="K24" s="99">
        <f t="shared" ca="1" si="4"/>
        <v>3.7759597230962866E-2</v>
      </c>
      <c r="L24" s="99">
        <f t="shared" ca="1" si="4"/>
        <v>3.1897926634768738E-2</v>
      </c>
      <c r="M24" s="99">
        <f t="shared" ca="1" si="4"/>
        <v>2.596728122565567E-2</v>
      </c>
      <c r="N24" s="99">
        <f t="shared" ca="1" si="4"/>
        <v>1.9882127387630479E-2</v>
      </c>
      <c r="O24" s="99">
        <f t="shared" ca="1" si="4"/>
        <v>1.7200317544323895E-2</v>
      </c>
      <c r="P24" s="99">
        <f t="shared" ca="1" si="4"/>
        <v>6.9747478360397746E-3</v>
      </c>
      <c r="Q24" s="99">
        <f t="shared" ca="1" si="4"/>
        <v>9.4491909130280712E-3</v>
      </c>
      <c r="R24" s="57"/>
      <c r="S24" s="57"/>
      <c r="T24" s="57"/>
    </row>
    <row r="25" spans="1:20">
      <c r="A25" t="str">
        <f>IFERROR(INDEX('[1]2017 Data (WP)'!$C$9:$C$72,MATCH($B25,'[1]2017 Data (WP)'!$D$9:$D$72,0)),"")</f>
        <v>Electric Utility (East)</v>
      </c>
      <c r="B25" t="s">
        <v>11</v>
      </c>
      <c r="C25" t="s">
        <v>52</v>
      </c>
      <c r="D25" s="35">
        <f t="shared" ca="1" si="1"/>
        <v>24</v>
      </c>
      <c r="E25" s="35">
        <f t="shared" ca="1" si="2"/>
        <v>24</v>
      </c>
      <c r="F25" s="35"/>
      <c r="G25" s="99">
        <f t="shared" ref="G25:Q34" ca="1" si="5">IFERROR(INDEX(Dividends,$D25,G$2)/INDEX(MarketPrice,$E25,G$2),"N/A")</f>
        <v>3.8168979525068834E-2</v>
      </c>
      <c r="H25" s="99">
        <f t="shared" ca="1" si="5"/>
        <v>3.656281321908042E-2</v>
      </c>
      <c r="I25" s="99">
        <f t="shared" ca="1" si="5"/>
        <v>3.4253418205691777E-2</v>
      </c>
      <c r="J25" s="99">
        <f t="shared" ca="1" si="5"/>
        <v>3.7836747048733729E-2</v>
      </c>
      <c r="K25" s="99">
        <f t="shared" ca="1" si="5"/>
        <v>4.0570681433625591E-2</v>
      </c>
      <c r="L25" s="99">
        <f t="shared" ca="1" si="5"/>
        <v>4.132924936013091E-2</v>
      </c>
      <c r="M25" s="99">
        <f t="shared" ca="1" si="5"/>
        <v>4.413147804278101E-2</v>
      </c>
      <c r="N25" s="99">
        <f t="shared" ca="1" si="5"/>
        <v>5.2022949552602629E-2</v>
      </c>
      <c r="O25" s="99">
        <f t="shared" ca="1" si="5"/>
        <v>3.7717832418238242E-2</v>
      </c>
      <c r="P25" s="99">
        <f t="shared" ca="1" si="5"/>
        <v>3.3232422097284497E-2</v>
      </c>
      <c r="Q25" s="99">
        <f t="shared" ca="1" si="5"/>
        <v>3.5990924027853838E-2</v>
      </c>
      <c r="R25" s="57"/>
      <c r="S25" s="57"/>
      <c r="T25" s="57"/>
    </row>
    <row r="26" spans="1:20">
      <c r="A26" t="str">
        <f>IFERROR(INDEX('[1]2017 Data (WP)'!$C$9:$C$72,MATCH($B26,'[1]2017 Data (WP)'!$D$9:$D$72,0)),"")</f>
        <v>Electric Util. (Central)</v>
      </c>
      <c r="B26" t="s">
        <v>12</v>
      </c>
      <c r="C26" t="s">
        <v>51</v>
      </c>
      <c r="D26" s="35">
        <f t="shared" ca="1" si="1"/>
        <v>25</v>
      </c>
      <c r="E26" s="35">
        <f t="shared" ca="1" si="2"/>
        <v>25</v>
      </c>
      <c r="F26" s="35"/>
      <c r="G26" s="99">
        <f t="shared" ca="1" si="5"/>
        <v>3.3403925507062858E-2</v>
      </c>
      <c r="H26" s="99">
        <f t="shared" ca="1" si="5"/>
        <v>3.5313281026571997E-2</v>
      </c>
      <c r="I26" s="99">
        <f t="shared" ca="1" si="5"/>
        <v>3.5370070871628995E-2</v>
      </c>
      <c r="J26" s="99">
        <f t="shared" ca="1" si="5"/>
        <v>3.8449547958017243E-2</v>
      </c>
      <c r="K26" s="99">
        <f t="shared" ca="1" si="5"/>
        <v>4.1889529348635129E-2</v>
      </c>
      <c r="L26" s="99">
        <f t="shared" ca="1" si="5"/>
        <v>4.6794005526533407E-2</v>
      </c>
      <c r="M26" s="99">
        <f t="shared" ca="1" si="5"/>
        <v>4.7521471857697173E-2</v>
      </c>
      <c r="N26" s="99">
        <f t="shared" ca="1" si="5"/>
        <v>6.2855787476280831E-2</v>
      </c>
      <c r="O26" s="99">
        <f t="shared" ca="1" si="5"/>
        <v>5.2431122322797653E-2</v>
      </c>
      <c r="P26" s="99">
        <f t="shared" ca="1" si="5"/>
        <v>4.3634866728414122E-2</v>
      </c>
      <c r="Q26" s="99">
        <f t="shared" ca="1" si="5"/>
        <v>4.8586882712435907E-2</v>
      </c>
      <c r="R26" s="57"/>
      <c r="S26" s="57"/>
      <c r="T26" s="57"/>
    </row>
    <row r="27" spans="1:20">
      <c r="A27" t="str">
        <f>IFERROR(INDEX('[1]2017 Data (WP)'!$C$9:$C$72,MATCH($B27,'[1]2017 Data (WP)'!$D$9:$D$72,0)),"")</f>
        <v>Electric Utility (East)</v>
      </c>
      <c r="B27" t="s">
        <v>13</v>
      </c>
      <c r="C27" t="s">
        <v>93</v>
      </c>
      <c r="D27" s="35">
        <f t="shared" ca="1" si="1"/>
        <v>26</v>
      </c>
      <c r="E27" s="35">
        <f t="shared" ca="1" si="2"/>
        <v>26</v>
      </c>
      <c r="F27" s="35"/>
      <c r="G27" s="99">
        <f t="shared" ca="1" si="5"/>
        <v>4.2616338799893454E-2</v>
      </c>
      <c r="H27" s="99">
        <f t="shared" ca="1" si="5"/>
        <v>4.3376978070527754E-2</v>
      </c>
      <c r="I27" s="99">
        <f t="shared" ca="1" si="5"/>
        <v>4.2579650982035443E-2</v>
      </c>
      <c r="J27" s="99">
        <f t="shared" ca="1" si="5"/>
        <v>4.4494362607456039E-2</v>
      </c>
      <c r="K27" s="99">
        <f t="shared" ca="1" si="5"/>
        <v>4.6766476308072229E-2</v>
      </c>
      <c r="L27" s="99">
        <f t="shared" ca="1" si="5"/>
        <v>5.2124466908861161E-2</v>
      </c>
      <c r="M27" s="99">
        <f t="shared" ca="1" si="5"/>
        <v>5.7066656207714783E-2</v>
      </c>
      <c r="N27" s="99">
        <f t="shared" ca="1" si="5"/>
        <v>6.2468156746339404E-2</v>
      </c>
      <c r="O27" s="99">
        <f t="shared" ca="1" si="5"/>
        <v>5.155918803826838E-2</v>
      </c>
      <c r="P27" s="99">
        <f t="shared" ca="1" si="5"/>
        <v>4.4432963058641181E-2</v>
      </c>
      <c r="Q27" s="99" t="str">
        <f t="shared" ca="1" si="5"/>
        <v>N/A</v>
      </c>
      <c r="R27" s="57"/>
      <c r="S27" s="57"/>
      <c r="T27" s="57"/>
    </row>
    <row r="28" spans="1:20">
      <c r="A28" t="str">
        <f>IFERROR(INDEX('[1]2017 Data (WP)'!$C$9:$C$72,MATCH($B28,'[1]2017 Data (WP)'!$D$9:$D$72,0)),"")</f>
        <v>Electric Utility (West)</v>
      </c>
      <c r="B28" t="s">
        <v>14</v>
      </c>
      <c r="C28" t="s">
        <v>53</v>
      </c>
      <c r="D28" s="35">
        <f t="shared" ca="1" si="1"/>
        <v>27</v>
      </c>
      <c r="E28" s="35">
        <f t="shared" ca="1" si="2"/>
        <v>27</v>
      </c>
      <c r="F28" s="35"/>
      <c r="G28" s="99">
        <f t="shared" ca="1" si="5"/>
        <v>2.8086227409211944E-2</v>
      </c>
      <c r="H28" s="99">
        <f t="shared" ca="1" si="5"/>
        <v>2.8279103162429427E-2</v>
      </c>
      <c r="I28" s="99">
        <f t="shared" ca="1" si="5"/>
        <v>2.6245000530917072E-2</v>
      </c>
      <c r="J28" s="99">
        <f t="shared" ca="1" si="5"/>
        <v>2.8497625197900178E-2</v>
      </c>
      <c r="K28" s="99">
        <f t="shared" ca="1" si="5"/>
        <v>2.9729423751839693E-2</v>
      </c>
      <c r="L28" s="99">
        <f t="shared" ca="1" si="5"/>
        <v>3.3692545688140743E-2</v>
      </c>
      <c r="M28" s="99">
        <f t="shared" ca="1" si="5"/>
        <v>3.6593479707252158E-2</v>
      </c>
      <c r="N28" s="99">
        <f t="shared" ca="1" si="5"/>
        <v>3.9540127671737549E-2</v>
      </c>
      <c r="O28" s="99">
        <f t="shared" ca="1" si="5"/>
        <v>2.6937877954920288E-2</v>
      </c>
      <c r="P28" s="99">
        <f t="shared" ca="1" si="5"/>
        <v>2.2080655466606532E-2</v>
      </c>
      <c r="Q28" s="99">
        <f t="shared" ca="1" si="5"/>
        <v>2.5822202399117353E-2</v>
      </c>
      <c r="R28" s="57"/>
      <c r="S28" s="57"/>
      <c r="T28" s="57"/>
    </row>
    <row r="29" spans="1:20">
      <c r="A29" t="str">
        <f>IFERROR(INDEX('[1]2017 Data (WP)'!$C$9:$C$72,MATCH($B29,'[1]2017 Data (WP)'!$D$9:$D$72,0)),"")</f>
        <v>Electric Utility (West)</v>
      </c>
      <c r="B29" t="s">
        <v>15</v>
      </c>
      <c r="C29" t="s">
        <v>88</v>
      </c>
      <c r="D29" s="35">
        <f t="shared" ca="1" si="1"/>
        <v>28</v>
      </c>
      <c r="E29" s="35">
        <f t="shared" ca="1" si="2"/>
        <v>28</v>
      </c>
      <c r="F29" s="35"/>
      <c r="G29" s="99">
        <f t="shared" ca="1" si="5"/>
        <v>2.7472527472527472E-2</v>
      </c>
      <c r="H29" s="99">
        <f t="shared" ca="1" si="5"/>
        <v>3.1311312387453973E-2</v>
      </c>
      <c r="I29" s="99">
        <f t="shared" ca="1" si="5"/>
        <v>2.9712288249529446E-2</v>
      </c>
      <c r="J29" s="99">
        <f t="shared" ca="1" si="5"/>
        <v>2.9914407580225E-2</v>
      </c>
      <c r="K29" s="99">
        <f t="shared" ca="1" si="5"/>
        <v>2.9654539896056251E-2</v>
      </c>
      <c r="L29" s="99">
        <f t="shared" ca="1" si="5"/>
        <v>2.1129466000768343E-2</v>
      </c>
      <c r="M29" s="99">
        <f t="shared" ca="1" si="5"/>
        <v>0</v>
      </c>
      <c r="N29" s="99">
        <f t="shared" ca="1" si="5"/>
        <v>0</v>
      </c>
      <c r="O29" s="99">
        <f t="shared" ca="1" si="5"/>
        <v>0</v>
      </c>
      <c r="P29" s="99">
        <f t="shared" ca="1" si="5"/>
        <v>0</v>
      </c>
      <c r="Q29" s="99">
        <f t="shared" ca="1" si="5"/>
        <v>0</v>
      </c>
      <c r="R29" s="57"/>
      <c r="S29" s="57"/>
      <c r="T29" s="57"/>
    </row>
    <row r="30" spans="1:20">
      <c r="A30" t="str">
        <f>IFERROR(INDEX('[1]2017 Data (WP)'!$C$9:$C$72,MATCH($B30,'[1]2017 Data (WP)'!$D$9:$D$72,0)),"")</f>
        <v/>
      </c>
      <c r="B30" t="s">
        <v>16</v>
      </c>
      <c r="C30" t="s">
        <v>102</v>
      </c>
      <c r="D30" s="35" t="e">
        <f t="shared" ca="1" si="1"/>
        <v>#N/A</v>
      </c>
      <c r="E30" s="35">
        <f t="shared" ca="1" si="2"/>
        <v>29</v>
      </c>
      <c r="F30" s="35"/>
      <c r="G30" s="99" t="str">
        <f t="shared" ca="1" si="5"/>
        <v>N/A</v>
      </c>
      <c r="H30" s="99" t="str">
        <f t="shared" ca="1" si="5"/>
        <v>N/A</v>
      </c>
      <c r="I30" s="99" t="str">
        <f t="shared" ca="1" si="5"/>
        <v>N/A</v>
      </c>
      <c r="J30" s="99" t="str">
        <f t="shared" ca="1" si="5"/>
        <v>N/A</v>
      </c>
      <c r="K30" s="99" t="str">
        <f t="shared" ca="1" si="5"/>
        <v>N/A</v>
      </c>
      <c r="L30" s="99" t="str">
        <f t="shared" ca="1" si="5"/>
        <v>N/A</v>
      </c>
      <c r="M30" s="99" t="str">
        <f t="shared" ca="1" si="5"/>
        <v>N/A</v>
      </c>
      <c r="N30" s="99" t="str">
        <f t="shared" ca="1" si="5"/>
        <v>N/A</v>
      </c>
      <c r="O30" s="99" t="str">
        <f t="shared" ca="1" si="5"/>
        <v>N/A</v>
      </c>
      <c r="P30" s="99" t="str">
        <f t="shared" ca="1" si="5"/>
        <v>N/A</v>
      </c>
      <c r="Q30" s="99" t="str">
        <f t="shared" ca="1" si="5"/>
        <v>N/A</v>
      </c>
      <c r="R30" s="57"/>
      <c r="S30" s="57"/>
      <c r="T30" s="57"/>
    </row>
    <row r="31" spans="1:20">
      <c r="A31" t="str">
        <f>IFERROR(INDEX('[1]2017 Data (WP)'!$C$9:$C$72,MATCH($B31,'[1]2017 Data (WP)'!$D$9:$D$72,0)),"")</f>
        <v>Electric Util. (Central)</v>
      </c>
      <c r="B31" t="s">
        <v>17</v>
      </c>
      <c r="C31" t="s">
        <v>55</v>
      </c>
      <c r="D31" s="35">
        <f t="shared" ca="1" si="1"/>
        <v>29</v>
      </c>
      <c r="E31" s="35">
        <f t="shared" ca="1" si="2"/>
        <v>30</v>
      </c>
      <c r="F31" s="35"/>
      <c r="G31" s="99">
        <f t="shared" ca="1" si="5"/>
        <v>4.5513221457753883E-2</v>
      </c>
      <c r="H31" s="99">
        <f t="shared" ca="1" si="5"/>
        <v>4.5882272134075142E-2</v>
      </c>
      <c r="I31" s="99">
        <f t="shared" ca="1" si="5"/>
        <v>4.4653665097511772E-2</v>
      </c>
      <c r="J31" s="99">
        <f t="shared" ca="1" si="5"/>
        <v>5.0656087885260902E-2</v>
      </c>
      <c r="K31" s="99">
        <f t="shared" ca="1" si="5"/>
        <v>4.91356855316126E-2</v>
      </c>
      <c r="L31" s="99">
        <f t="shared" ca="1" si="5"/>
        <v>4.8525951152491337E-2</v>
      </c>
      <c r="M31" s="99">
        <f t="shared" ca="1" si="5"/>
        <v>4.2045159615883732E-2</v>
      </c>
      <c r="N31" s="99">
        <f t="shared" ca="1" si="5"/>
        <v>3.9745101416250449E-2</v>
      </c>
      <c r="O31" s="99">
        <f t="shared" ca="1" si="5"/>
        <v>2.9225808337148926E-2</v>
      </c>
      <c r="P31" s="99">
        <f t="shared" ca="1" si="5"/>
        <v>2.3867893982145335E-2</v>
      </c>
      <c r="Q31" s="99">
        <f t="shared" ca="1" si="5"/>
        <v>2.8227545379699692E-2</v>
      </c>
      <c r="R31" s="57"/>
      <c r="S31" s="57"/>
      <c r="T31" s="57"/>
    </row>
    <row r="32" spans="1:20">
      <c r="A32" t="str">
        <f>IFERROR(INDEX('[1]2017 Data (WP)'!$C$9:$C$72,MATCH($B32,'[1]2017 Data (WP)'!$D$9:$D$72,0)),"")</f>
        <v>Electric Utility (East)</v>
      </c>
      <c r="B32" t="s">
        <v>211</v>
      </c>
      <c r="C32" t="s">
        <v>212</v>
      </c>
      <c r="D32" s="35">
        <f t="shared" ca="1" si="1"/>
        <v>30</v>
      </c>
      <c r="E32" s="35">
        <f t="shared" ca="1" si="2"/>
        <v>31</v>
      </c>
      <c r="F32" s="35"/>
      <c r="G32" s="99">
        <f t="shared" ca="1" si="5"/>
        <v>3.2172357077014838E-2</v>
      </c>
      <c r="H32" s="99">
        <f t="shared" ca="1" si="5"/>
        <v>3.3411359862353197E-2</v>
      </c>
      <c r="I32" s="99">
        <f t="shared" ca="1" si="5"/>
        <v>3.3958427962710619E-2</v>
      </c>
      <c r="J32" s="99">
        <f t="shared" ca="1" si="5"/>
        <v>3.4848161581679825E-2</v>
      </c>
      <c r="K32" s="99">
        <f t="shared" ca="1" si="5"/>
        <v>3.5175611575973993E-2</v>
      </c>
      <c r="L32" s="99">
        <f t="shared" ca="1" si="5"/>
        <v>3.2279836840097428E-2</v>
      </c>
      <c r="M32" s="99">
        <f t="shared" ca="1" si="5"/>
        <v>3.6361701372875942E-2</v>
      </c>
      <c r="N32" s="99">
        <f t="shared" ca="1" si="5"/>
        <v>4.1586412187007524E-2</v>
      </c>
      <c r="O32" s="99">
        <f t="shared" ca="1" si="5"/>
        <v>3.2464977176137257E-2</v>
      </c>
      <c r="P32" s="99">
        <f t="shared" ca="1" si="5"/>
        <v>2.6001476212843051E-2</v>
      </c>
      <c r="Q32" s="99">
        <f t="shared" ca="1" si="5"/>
        <v>3.2667958365250299E-2</v>
      </c>
      <c r="R32" s="57"/>
      <c r="S32" s="57"/>
      <c r="T32" s="57"/>
    </row>
    <row r="33" spans="1:20">
      <c r="A33" t="str">
        <f>IFERROR(INDEX('[1]2017 Data (WP)'!$C$9:$C$72,MATCH($B33,'[1]2017 Data (WP)'!$D$9:$D$72,0)),"")</f>
        <v>Electric Utility (East)</v>
      </c>
      <c r="B33" t="s">
        <v>18</v>
      </c>
      <c r="C33" t="s">
        <v>69</v>
      </c>
      <c r="D33" s="35">
        <f t="shared" ca="1" si="1"/>
        <v>31</v>
      </c>
      <c r="E33" s="35">
        <f t="shared" ca="1" si="2"/>
        <v>32</v>
      </c>
      <c r="F33" s="35"/>
      <c r="G33" s="99">
        <f t="shared" ca="1" si="5"/>
        <v>3.7471004579789455E-2</v>
      </c>
      <c r="H33" s="99">
        <f t="shared" ca="1" si="5"/>
        <v>3.8819146604889956E-2</v>
      </c>
      <c r="I33" s="99">
        <f t="shared" ca="1" si="5"/>
        <v>3.6863071526250075E-2</v>
      </c>
      <c r="J33" s="99">
        <f t="shared" ca="1" si="5"/>
        <v>4.689010634869481E-2</v>
      </c>
      <c r="K33" s="99">
        <f t="shared" ca="1" si="5"/>
        <v>5.7330057330057325E-2</v>
      </c>
      <c r="L33" s="99">
        <f t="shared" ca="1" si="5"/>
        <v>4.9551675318546484E-2</v>
      </c>
      <c r="M33" s="99">
        <f t="shared" ca="1" si="5"/>
        <v>4.946646880079146E-2</v>
      </c>
      <c r="N33" s="99">
        <f t="shared" ca="1" si="5"/>
        <v>4.261017774531288E-2</v>
      </c>
      <c r="O33" s="99">
        <f t="shared" ca="1" si="5"/>
        <v>2.7820752924571826E-2</v>
      </c>
      <c r="P33" s="99">
        <f t="shared" ca="1" si="5"/>
        <v>2.4784159925919876E-2</v>
      </c>
      <c r="Q33" s="99">
        <f t="shared" ca="1" si="5"/>
        <v>2.8349178910976661E-2</v>
      </c>
      <c r="R33" s="57"/>
      <c r="S33" s="57"/>
      <c r="T33" s="57"/>
    </row>
    <row r="34" spans="1:20">
      <c r="A34" t="str">
        <f>IFERROR(INDEX('[1]2017 Data (WP)'!$C$9:$C$72,MATCH($B34,'[1]2017 Data (WP)'!$D$9:$D$72,0)),"")</f>
        <v>Electric Utility (East)</v>
      </c>
      <c r="B34" t="s">
        <v>19</v>
      </c>
      <c r="C34" t="s">
        <v>66</v>
      </c>
      <c r="D34" s="35">
        <f t="shared" ca="1" si="1"/>
        <v>32</v>
      </c>
      <c r="E34" s="35">
        <f t="shared" ca="1" si="2"/>
        <v>33</v>
      </c>
      <c r="F34" s="35"/>
      <c r="G34" s="99">
        <f t="shared" ca="1" si="5"/>
        <v>4.3089260600257341E-2</v>
      </c>
      <c r="H34" s="99">
        <f t="shared" ca="1" si="5"/>
        <v>4.2296959906006751E-2</v>
      </c>
      <c r="I34" s="99">
        <f t="shared" ca="1" si="5"/>
        <v>4.2577097069867835E-2</v>
      </c>
      <c r="J34" s="99">
        <f t="shared" ca="1" si="5"/>
        <v>4.2556484060662335E-2</v>
      </c>
      <c r="K34" s="99">
        <f t="shared" ca="1" si="5"/>
        <v>4.8962877236713255E-2</v>
      </c>
      <c r="L34" s="99">
        <f t="shared" ca="1" si="5"/>
        <v>5.2263980614814465E-2</v>
      </c>
      <c r="M34" s="99">
        <f t="shared" ca="1" si="5"/>
        <v>5.7621791513881616E-2</v>
      </c>
      <c r="N34" s="99">
        <f t="shared" ca="1" si="5"/>
        <v>5.0878815911193344E-2</v>
      </c>
      <c r="O34" s="99">
        <f t="shared" ca="1" si="5"/>
        <v>3.2108351090224467E-2</v>
      </c>
      <c r="P34" s="99">
        <f t="shared" ca="1" si="5"/>
        <v>3.1165909056357081E-2</v>
      </c>
      <c r="Q34" s="99">
        <f t="shared" ca="1" si="5"/>
        <v>3.4036133495234946E-2</v>
      </c>
      <c r="R34" s="57"/>
      <c r="S34" s="57"/>
      <c r="T34" s="57"/>
    </row>
    <row r="35" spans="1:20">
      <c r="A35" t="str">
        <f>IFERROR(INDEX('[1]2017 Data (WP)'!$C$9:$C$72,MATCH($B35,'[1]2017 Data (WP)'!$D$9:$D$72,0)),"")</f>
        <v>Electric Util. (Central)</v>
      </c>
      <c r="B35" t="s">
        <v>267</v>
      </c>
      <c r="C35" t="s">
        <v>266</v>
      </c>
      <c r="D35" s="35">
        <f t="shared" ca="1" si="1"/>
        <v>33</v>
      </c>
      <c r="E35" s="35">
        <f t="shared" ca="1" si="2"/>
        <v>34</v>
      </c>
      <c r="F35" s="35"/>
      <c r="G35" s="99">
        <f t="shared" ref="G35:Q44" ca="1" si="6">IFERROR(INDEX(Dividends,$D35,G$2)/INDEX(MarketPrice,$E35,G$2),"N/A")</f>
        <v>3.7963212422542802E-2</v>
      </c>
      <c r="H35" s="99">
        <f t="shared" ca="1" si="6"/>
        <v>3.7646439383967355E-2</v>
      </c>
      <c r="I35" s="99">
        <f t="shared" ca="1" si="6"/>
        <v>3.8788602118454425E-2</v>
      </c>
      <c r="J35" s="99">
        <f t="shared" ca="1" si="6"/>
        <v>3.8401277994531656E-2</v>
      </c>
      <c r="K35" s="99">
        <f t="shared" ca="1" si="6"/>
        <v>3.6443587735678573E-2</v>
      </c>
      <c r="L35" s="99">
        <f t="shared" ca="1" si="6"/>
        <v>3.5780910731215025E-2</v>
      </c>
      <c r="M35" s="99">
        <f t="shared" ca="1" si="6"/>
        <v>3.7955808594279522E-2</v>
      </c>
      <c r="N35" s="99">
        <f t="shared" ca="1" si="6"/>
        <v>4.2088223391339538E-2</v>
      </c>
      <c r="O35" s="99">
        <f t="shared" ca="1" si="6"/>
        <v>3.7632183042938319E-2</v>
      </c>
      <c r="P35" s="99">
        <f t="shared" ca="1" si="6"/>
        <v>3.0133764515654856E-2</v>
      </c>
      <c r="Q35" s="99">
        <f t="shared" ca="1" si="6"/>
        <v>2.7878333957475139E-2</v>
      </c>
      <c r="R35" s="57"/>
      <c r="S35" s="57"/>
      <c r="T35" s="57"/>
    </row>
    <row r="36" spans="1:20">
      <c r="A36" t="str">
        <f>IFERROR(INDEX('[1]2017 Data (WP)'!$C$9:$C$72,MATCH($B36,'[1]2017 Data (WP)'!$D$9:$D$72,0)),"")</f>
        <v/>
      </c>
      <c r="B36" t="s">
        <v>57</v>
      </c>
      <c r="C36" t="s">
        <v>56</v>
      </c>
      <c r="D36" s="35" t="e">
        <f t="shared" ca="1" si="1"/>
        <v>#N/A</v>
      </c>
      <c r="E36" s="35" t="e">
        <f t="shared" ca="1" si="2"/>
        <v>#N/A</v>
      </c>
      <c r="F36" s="35"/>
      <c r="G36" s="99" t="str">
        <f t="shared" ca="1" si="6"/>
        <v>N/A</v>
      </c>
      <c r="H36" s="99" t="str">
        <f t="shared" ca="1" si="6"/>
        <v>N/A</v>
      </c>
      <c r="I36" s="99" t="str">
        <f t="shared" ca="1" si="6"/>
        <v>N/A</v>
      </c>
      <c r="J36" s="99" t="str">
        <f t="shared" ca="1" si="6"/>
        <v>N/A</v>
      </c>
      <c r="K36" s="99" t="str">
        <f t="shared" ca="1" si="6"/>
        <v>N/A</v>
      </c>
      <c r="L36" s="99" t="str">
        <f t="shared" ca="1" si="6"/>
        <v>N/A</v>
      </c>
      <c r="M36" s="99" t="str">
        <f t="shared" ca="1" si="6"/>
        <v>N/A</v>
      </c>
      <c r="N36" s="99" t="str">
        <f t="shared" ca="1" si="6"/>
        <v>N/A</v>
      </c>
      <c r="O36" s="99" t="str">
        <f t="shared" ca="1" si="6"/>
        <v>N/A</v>
      </c>
      <c r="P36" s="99" t="str">
        <f t="shared" ca="1" si="6"/>
        <v>N/A</v>
      </c>
      <c r="Q36" s="99" t="str">
        <f t="shared" ca="1" si="6"/>
        <v>N/A</v>
      </c>
      <c r="R36" s="57"/>
      <c r="S36" s="57"/>
      <c r="T36" s="57"/>
    </row>
    <row r="37" spans="1:20">
      <c r="A37" t="str">
        <f>IFERROR(INDEX('[1]2017 Data (WP)'!$C$9:$C$72,MATCH($B37,'[1]2017 Data (WP)'!$D$9:$D$72,0)),"")</f>
        <v>Electric Util. (Central)</v>
      </c>
      <c r="B37" t="s">
        <v>20</v>
      </c>
      <c r="C37" t="s">
        <v>104</v>
      </c>
      <c r="D37" s="35">
        <f t="shared" ref="D37:D46" ca="1" si="7">MATCH(B37,OFFSET(Dividends,0,0,,1),0)</f>
        <v>35</v>
      </c>
      <c r="E37" s="35">
        <f t="shared" ref="E37:E46" ca="1" si="8">MATCH(B37,OFFSET(MarketPrice,0,0,,1),0)</f>
        <v>36</v>
      </c>
      <c r="F37" s="35"/>
      <c r="G37" s="99">
        <f t="shared" ca="1" si="6"/>
        <v>3.6443400462882997E-2</v>
      </c>
      <c r="H37" s="99">
        <f t="shared" ca="1" si="6"/>
        <v>3.7616373299159477E-2</v>
      </c>
      <c r="I37" s="99">
        <f t="shared" ca="1" si="6"/>
        <v>3.6159022352850186E-2</v>
      </c>
      <c r="J37" s="99">
        <f t="shared" ca="1" si="6"/>
        <v>3.8377860934644507E-2</v>
      </c>
      <c r="K37" s="99">
        <f t="shared" ca="1" si="6"/>
        <v>4.0770587954794713E-2</v>
      </c>
      <c r="L37" s="99">
        <f t="shared" ca="1" si="6"/>
        <v>4.1478317023496102E-2</v>
      </c>
      <c r="M37" s="99">
        <f t="shared" ca="1" si="6"/>
        <v>4.4852742502026477E-2</v>
      </c>
      <c r="N37" s="99">
        <f t="shared" ca="1" si="6"/>
        <v>5.0260385127770375E-2</v>
      </c>
      <c r="O37" s="99">
        <f t="shared" ca="1" si="6"/>
        <v>6.9648401443316271E-2</v>
      </c>
      <c r="P37" s="99">
        <f t="shared" ca="1" si="6"/>
        <v>5.4888734583209337E-2</v>
      </c>
      <c r="Q37" s="99">
        <f t="shared" ca="1" si="6"/>
        <v>5.5997841047092163E-2</v>
      </c>
      <c r="R37" s="57"/>
      <c r="S37" s="58"/>
      <c r="T37" s="58"/>
    </row>
    <row r="38" spans="1:20">
      <c r="A38" t="str">
        <f>IFERROR(INDEX('[1]2017 Data (WP)'!$C$9:$C$72,MATCH($B38,'[1]2017 Data (WP)'!$D$9:$D$72,0)),"")</f>
        <v>Electric Utility (West)</v>
      </c>
      <c r="B38" t="s">
        <v>21</v>
      </c>
      <c r="C38" t="s">
        <v>58</v>
      </c>
      <c r="D38" s="35">
        <f t="shared" ca="1" si="7"/>
        <v>36</v>
      </c>
      <c r="E38" s="35">
        <f t="shared" ca="1" si="8"/>
        <v>37</v>
      </c>
      <c r="F38" s="35"/>
      <c r="G38" s="99">
        <f t="shared" ca="1" si="6"/>
        <v>3.9943306274964563E-2</v>
      </c>
      <c r="H38" s="99">
        <f t="shared" ca="1" si="6"/>
        <v>4.0517579401385444E-2</v>
      </c>
      <c r="I38" s="99">
        <f t="shared" ca="1" si="6"/>
        <v>4.7609905932040696E-2</v>
      </c>
      <c r="J38" s="99">
        <f t="shared" ca="1" si="6"/>
        <v>4.7211117456691411E-2</v>
      </c>
      <c r="K38" s="99">
        <f t="shared" ca="1" si="6"/>
        <v>4.6955468039987881E-2</v>
      </c>
      <c r="L38" s="99">
        <f t="shared" ca="1" si="6"/>
        <v>5.0388069405502049E-2</v>
      </c>
      <c r="M38" s="99">
        <f t="shared" ca="1" si="6"/>
        <v>5.513316437686186E-2</v>
      </c>
      <c r="N38" s="99">
        <f t="shared" ca="1" si="6"/>
        <v>6.886975840044432E-2</v>
      </c>
      <c r="O38" s="99">
        <f t="shared" ca="1" si="6"/>
        <v>5.0036316681462349E-2</v>
      </c>
      <c r="P38" s="99">
        <f t="shared" ca="1" si="6"/>
        <v>5.1781016411241491E-2</v>
      </c>
      <c r="Q38" s="99">
        <f t="shared" ca="1" si="6"/>
        <v>4.5861380279606477E-2</v>
      </c>
      <c r="R38" s="57"/>
      <c r="S38" s="57"/>
      <c r="T38" s="57"/>
    </row>
    <row r="39" spans="1:20">
      <c r="A39" t="str">
        <f>IFERROR(INDEX('[1]2017 Data (WP)'!$C$9:$C$72,MATCH($B39,'[1]2017 Data (WP)'!$D$9:$D$72,0)),"")</f>
        <v>Electric Utility (West)</v>
      </c>
      <c r="B39" t="s">
        <v>22</v>
      </c>
      <c r="C39" t="s">
        <v>59</v>
      </c>
      <c r="D39" s="35">
        <f t="shared" ca="1" si="7"/>
        <v>37</v>
      </c>
      <c r="E39" s="35">
        <f t="shared" ca="1" si="8"/>
        <v>38</v>
      </c>
      <c r="F39" s="35"/>
      <c r="G39" s="99">
        <f t="shared" ca="1" si="6"/>
        <v>2.7697142400596553E-2</v>
      </c>
      <c r="H39" s="99">
        <f t="shared" ca="1" si="6"/>
        <v>3.0590784526161492E-2</v>
      </c>
      <c r="I39" s="99">
        <f t="shared" ca="1" si="6"/>
        <v>3.117306363910094E-2</v>
      </c>
      <c r="J39" s="99">
        <f t="shared" ca="1" si="6"/>
        <v>3.206895847376269E-2</v>
      </c>
      <c r="K39" s="99">
        <f t="shared" ca="1" si="6"/>
        <v>3.275944524151124E-2</v>
      </c>
      <c r="L39" s="99">
        <f t="shared" ca="1" si="6"/>
        <v>3.0961349914856284E-2</v>
      </c>
      <c r="M39" s="99">
        <f t="shared" ca="1" si="6"/>
        <v>3.4393809114359415E-2</v>
      </c>
      <c r="N39" s="99">
        <f t="shared" ca="1" si="6"/>
        <v>4.4574867204041455E-2</v>
      </c>
      <c r="O39" s="99">
        <f t="shared" ca="1" si="6"/>
        <v>3.9529597786342525E-2</v>
      </c>
      <c r="P39" s="99">
        <f t="shared" ca="1" si="6"/>
        <v>3.5460992907801414E-2</v>
      </c>
      <c r="Q39" s="99">
        <f t="shared" ca="1" si="6"/>
        <v>3.3884904275145421E-2</v>
      </c>
      <c r="R39" s="57"/>
      <c r="S39" s="57"/>
      <c r="T39" s="57"/>
    </row>
    <row r="40" spans="1:20">
      <c r="A40" t="str">
        <f>IFERROR(INDEX('[1]2017 Data (WP)'!$C$9:$C$72,MATCH($B40,'[1]2017 Data (WP)'!$D$9:$D$72,0)),"")</f>
        <v/>
      </c>
      <c r="B40" t="s">
        <v>23</v>
      </c>
      <c r="C40" t="s">
        <v>85</v>
      </c>
      <c r="D40" s="35" t="e">
        <f t="shared" ca="1" si="7"/>
        <v>#N/A</v>
      </c>
      <c r="E40" s="35" t="e">
        <f t="shared" ca="1" si="8"/>
        <v>#N/A</v>
      </c>
      <c r="F40" s="35"/>
      <c r="G40" s="99" t="str">
        <f t="shared" ca="1" si="6"/>
        <v>N/A</v>
      </c>
      <c r="H40" s="99" t="str">
        <f t="shared" ca="1" si="6"/>
        <v>N/A</v>
      </c>
      <c r="I40" s="99" t="str">
        <f t="shared" ca="1" si="6"/>
        <v>N/A</v>
      </c>
      <c r="J40" s="99" t="str">
        <f t="shared" ca="1" si="6"/>
        <v>N/A</v>
      </c>
      <c r="K40" s="99" t="str">
        <f t="shared" ca="1" si="6"/>
        <v>N/A</v>
      </c>
      <c r="L40" s="99" t="str">
        <f t="shared" ca="1" si="6"/>
        <v>N/A</v>
      </c>
      <c r="M40" s="99" t="str">
        <f t="shared" ca="1" si="6"/>
        <v>N/A</v>
      </c>
      <c r="N40" s="99" t="str">
        <f t="shared" ca="1" si="6"/>
        <v>N/A</v>
      </c>
      <c r="O40" s="99" t="str">
        <f t="shared" ca="1" si="6"/>
        <v>N/A</v>
      </c>
      <c r="P40" s="99" t="str">
        <f t="shared" ca="1" si="6"/>
        <v>N/A</v>
      </c>
      <c r="Q40" s="99" t="str">
        <f t="shared" ca="1" si="6"/>
        <v>N/A</v>
      </c>
      <c r="R40" s="57"/>
      <c r="S40" s="57"/>
      <c r="T40" s="57"/>
    </row>
    <row r="41" spans="1:20">
      <c r="A41" t="str">
        <f>IFERROR(INDEX('[1]2017 Data (WP)'!$C$9:$C$72,MATCH($B41,'[1]2017 Data (WP)'!$D$9:$D$72,0)),"")</f>
        <v/>
      </c>
      <c r="B41" t="s">
        <v>161</v>
      </c>
      <c r="C41" t="s">
        <v>160</v>
      </c>
      <c r="D41" s="35" t="e">
        <f t="shared" ca="1" si="7"/>
        <v>#N/A</v>
      </c>
      <c r="E41" s="35" t="e">
        <f t="shared" ca="1" si="8"/>
        <v>#N/A</v>
      </c>
      <c r="F41" s="35"/>
      <c r="G41" s="99" t="str">
        <f t="shared" ca="1" si="6"/>
        <v>N/A</v>
      </c>
      <c r="H41" s="99" t="str">
        <f t="shared" ca="1" si="6"/>
        <v>N/A</v>
      </c>
      <c r="I41" s="99" t="str">
        <f t="shared" ca="1" si="6"/>
        <v>N/A</v>
      </c>
      <c r="J41" s="99" t="str">
        <f t="shared" ca="1" si="6"/>
        <v>N/A</v>
      </c>
      <c r="K41" s="99" t="str">
        <f t="shared" ca="1" si="6"/>
        <v>N/A</v>
      </c>
      <c r="L41" s="99" t="str">
        <f t="shared" ca="1" si="6"/>
        <v>N/A</v>
      </c>
      <c r="M41" s="99" t="str">
        <f t="shared" ca="1" si="6"/>
        <v>N/A</v>
      </c>
      <c r="N41" s="99" t="str">
        <f t="shared" ca="1" si="6"/>
        <v>N/A</v>
      </c>
      <c r="O41" s="99" t="str">
        <f t="shared" ca="1" si="6"/>
        <v>N/A</v>
      </c>
      <c r="P41" s="99" t="str">
        <f t="shared" ca="1" si="6"/>
        <v>N/A</v>
      </c>
      <c r="Q41" s="99" t="str">
        <f t="shared" ca="1" si="6"/>
        <v>N/A</v>
      </c>
      <c r="R41" s="57"/>
      <c r="S41" s="57"/>
      <c r="T41" s="57"/>
    </row>
    <row r="42" spans="1:20">
      <c r="A42" t="str">
        <f>IFERROR(INDEX('[1]2017 Data (WP)'!$C$9:$C$72,MATCH($B42,'[1]2017 Data (WP)'!$D$9:$D$72,0)),"")</f>
        <v/>
      </c>
      <c r="B42" t="s">
        <v>24</v>
      </c>
      <c r="C42" t="s">
        <v>60</v>
      </c>
      <c r="D42" s="35" t="e">
        <f t="shared" ca="1" si="7"/>
        <v>#N/A</v>
      </c>
      <c r="E42" s="35" t="e">
        <f t="shared" ca="1" si="8"/>
        <v>#N/A</v>
      </c>
      <c r="F42" s="35"/>
      <c r="G42" s="99" t="str">
        <f t="shared" ca="1" si="6"/>
        <v>N/A</v>
      </c>
      <c r="H42" s="99" t="str">
        <f t="shared" ca="1" si="6"/>
        <v>N/A</v>
      </c>
      <c r="I42" s="99" t="str">
        <f t="shared" ca="1" si="6"/>
        <v>N/A</v>
      </c>
      <c r="J42" s="99" t="str">
        <f t="shared" ca="1" si="6"/>
        <v>N/A</v>
      </c>
      <c r="K42" s="99" t="str">
        <f t="shared" ca="1" si="6"/>
        <v>N/A</v>
      </c>
      <c r="L42" s="99" t="str">
        <f t="shared" ca="1" si="6"/>
        <v>N/A</v>
      </c>
      <c r="M42" s="99" t="str">
        <f t="shared" ca="1" si="6"/>
        <v>N/A</v>
      </c>
      <c r="N42" s="99" t="str">
        <f t="shared" ca="1" si="6"/>
        <v>N/A</v>
      </c>
      <c r="O42" s="99" t="str">
        <f t="shared" ca="1" si="6"/>
        <v>N/A</v>
      </c>
      <c r="P42" s="99" t="str">
        <f t="shared" ca="1" si="6"/>
        <v>N/A</v>
      </c>
      <c r="Q42" s="99" t="str">
        <f t="shared" ca="1" si="6"/>
        <v>N/A</v>
      </c>
      <c r="R42" s="57"/>
      <c r="S42" s="57"/>
      <c r="T42" s="57"/>
    </row>
    <row r="43" spans="1:20">
      <c r="A43" t="str">
        <f>IFERROR(INDEX('[1]2017 Data (WP)'!$C$9:$C$72,MATCH($B43,'[1]2017 Data (WP)'!$D$9:$D$72,0)),"")</f>
        <v>Electric Util. (Central)</v>
      </c>
      <c r="B43" t="s">
        <v>25</v>
      </c>
      <c r="C43" t="s">
        <v>61</v>
      </c>
      <c r="D43" s="35">
        <f t="shared" ca="1" si="7"/>
        <v>38</v>
      </c>
      <c r="E43" s="35">
        <f t="shared" ca="1" si="8"/>
        <v>39</v>
      </c>
      <c r="F43" s="35"/>
      <c r="G43" s="99">
        <f t="shared" ca="1" si="6"/>
        <v>2.2287714127832012E-2</v>
      </c>
      <c r="H43" s="99">
        <f t="shared" ca="1" si="6"/>
        <v>2.7767803710353083E-2</v>
      </c>
      <c r="I43" s="99">
        <f t="shared" ca="1" si="6"/>
        <v>2.7831406865080361E-2</v>
      </c>
      <c r="J43" s="99">
        <f t="shared" ca="1" si="6"/>
        <v>2.9114854017577758E-2</v>
      </c>
      <c r="K43" s="99">
        <f t="shared" ca="1" si="6"/>
        <v>3.2450310462104906E-2</v>
      </c>
      <c r="L43" s="99">
        <f t="shared" ca="1" si="6"/>
        <v>3.6302919314876655E-2</v>
      </c>
      <c r="M43" s="99">
        <f t="shared" ca="1" si="6"/>
        <v>3.9772499699603475E-2</v>
      </c>
      <c r="N43" s="99">
        <f t="shared" ca="1" si="6"/>
        <v>4.363228699551569E-2</v>
      </c>
      <c r="O43" s="99">
        <f t="shared" ca="1" si="6"/>
        <v>4.2360864941510097E-2</v>
      </c>
      <c r="P43" s="99">
        <f t="shared" ca="1" si="6"/>
        <v>4.1398749229278602E-2</v>
      </c>
      <c r="Q43" s="99">
        <f t="shared" ca="1" si="6"/>
        <v>4.2519034950921936E-2</v>
      </c>
      <c r="R43" s="57"/>
      <c r="S43" s="57"/>
      <c r="T43" s="57"/>
    </row>
    <row r="44" spans="1:20">
      <c r="A44" t="str">
        <f>IFERROR(INDEX('[1]2017 Data (WP)'!$C$9:$C$72,MATCH($B44,'[1]2017 Data (WP)'!$D$9:$D$72,0)),"")</f>
        <v>Water Utility</v>
      </c>
      <c r="B44" s="31" t="s">
        <v>188</v>
      </c>
      <c r="C44" s="31" t="s">
        <v>187</v>
      </c>
      <c r="D44" s="35">
        <f t="shared" ca="1" si="7"/>
        <v>39</v>
      </c>
      <c r="E44" s="35">
        <f t="shared" ca="1" si="8"/>
        <v>40</v>
      </c>
      <c r="F44" s="35"/>
      <c r="G44" s="99">
        <f t="shared" ca="1" si="6"/>
        <v>2.283130827917491E-2</v>
      </c>
      <c r="H44" s="99">
        <f t="shared" ca="1" si="6"/>
        <v>3.3284721626490522E-2</v>
      </c>
      <c r="I44" s="99">
        <f t="shared" ca="1" si="6"/>
        <v>3.652465294399234E-2</v>
      </c>
      <c r="J44" s="99">
        <f t="shared" ca="1" si="6"/>
        <v>3.7102734663710273E-2</v>
      </c>
      <c r="K44" s="99">
        <f t="shared" ca="1" si="6"/>
        <v>3.9635122159394007E-2</v>
      </c>
      <c r="L44" s="99">
        <f t="shared" ca="1" si="6"/>
        <v>4.0164383561643834E-2</v>
      </c>
      <c r="M44" s="99">
        <f t="shared" ca="1" si="6"/>
        <v>4.2288120722933843E-2</v>
      </c>
      <c r="N44" s="99">
        <f t="shared" ca="1" si="6"/>
        <v>4.711868887126619E-2</v>
      </c>
      <c r="O44" s="99">
        <f t="shared" ca="1" si="6"/>
        <v>3.9895579138527891E-2</v>
      </c>
      <c r="P44" s="99">
        <f t="shared" ca="1" si="6"/>
        <v>3.6897029070386535E-2</v>
      </c>
      <c r="Q44" s="99">
        <f t="shared" ca="1" si="6"/>
        <v>3.6663266949379998E-2</v>
      </c>
      <c r="R44" s="58"/>
      <c r="S44" s="58"/>
      <c r="T44" s="58"/>
    </row>
    <row r="45" spans="1:20">
      <c r="A45" t="str">
        <f>IFERROR(INDEX('[1]2017 Data (WP)'!$C$9:$C$72,MATCH($B45,'[1]2017 Data (WP)'!$D$9:$D$72,0)),"")</f>
        <v>Natural Gas Utility</v>
      </c>
      <c r="B45" s="31" t="s">
        <v>190</v>
      </c>
      <c r="C45" s="31" t="s">
        <v>189</v>
      </c>
      <c r="D45" s="35">
        <f t="shared" ca="1" si="7"/>
        <v>40</v>
      </c>
      <c r="E45" s="35">
        <f t="shared" ca="1" si="8"/>
        <v>41</v>
      </c>
      <c r="F45" s="35"/>
      <c r="G45" s="99">
        <f t="shared" ref="G45:Q53" ca="1" si="9">IFERROR(INDEX(Dividends,$D45,G$2)/INDEX(MarketPrice,$E45,G$2),"N/A")</f>
        <v>2.8644082658638527E-2</v>
      </c>
      <c r="H45" s="99">
        <f t="shared" ca="1" si="9"/>
        <v>3.1449731155523991E-2</v>
      </c>
      <c r="I45" s="99">
        <f t="shared" ca="1" si="9"/>
        <v>3.50366758185469E-2</v>
      </c>
      <c r="J45" s="99">
        <f t="shared" ca="1" si="9"/>
        <v>3.7127011046431686E-2</v>
      </c>
      <c r="K45" s="99">
        <f t="shared" ca="1" si="9"/>
        <v>3.3767486734201636E-2</v>
      </c>
      <c r="L45" s="99">
        <f t="shared" ca="1" si="9"/>
        <v>3.3311742389192191E-2</v>
      </c>
      <c r="M45" s="99">
        <f t="shared" ca="1" si="9"/>
        <v>3.689636462289745E-2</v>
      </c>
      <c r="N45" s="99">
        <f t="shared" ca="1" si="9"/>
        <v>3.461753210496929E-2</v>
      </c>
      <c r="O45" s="99">
        <f t="shared" ca="1" si="9"/>
        <v>3.3494266747133378E-2</v>
      </c>
      <c r="P45" s="99">
        <f t="shared" ca="1" si="9"/>
        <v>3.0192949023344448E-2</v>
      </c>
      <c r="Q45" s="99">
        <f t="shared" ca="1" si="9"/>
        <v>3.1904287138584245E-2</v>
      </c>
      <c r="R45" s="57"/>
      <c r="S45" s="57"/>
      <c r="T45" s="57"/>
    </row>
    <row r="46" spans="1:20">
      <c r="A46" t="str">
        <f>IFERROR(INDEX('[1]2017 Data (WP)'!$C$9:$C$72,MATCH($B46,'[1]2017 Data (WP)'!$D$9:$D$72,0)),"")</f>
        <v>Electric Utility (East)</v>
      </c>
      <c r="B46" t="s">
        <v>141</v>
      </c>
      <c r="C46" t="s">
        <v>209</v>
      </c>
      <c r="D46" s="35">
        <f t="shared" ca="1" si="7"/>
        <v>41</v>
      </c>
      <c r="E46" s="35">
        <f t="shared" ca="1" si="8"/>
        <v>42</v>
      </c>
      <c r="F46" s="35"/>
      <c r="G46" s="99">
        <f t="shared" ca="1" si="9"/>
        <v>2.9069767441860465E-2</v>
      </c>
      <c r="H46" s="99">
        <f t="shared" ca="1" si="9"/>
        <v>3.0084000781402619E-2</v>
      </c>
      <c r="I46" s="99">
        <f t="shared" ca="1" si="9"/>
        <v>3.0012936610608019E-2</v>
      </c>
      <c r="J46" s="99">
        <f t="shared" ca="1" si="9"/>
        <v>3.2983920338834821E-2</v>
      </c>
      <c r="K46" s="99">
        <f t="shared" ca="1" si="9"/>
        <v>3.6464743151465431E-2</v>
      </c>
      <c r="L46" s="99">
        <f t="shared" ca="1" si="9"/>
        <v>3.9566922053163561E-2</v>
      </c>
      <c r="M46" s="99">
        <f t="shared" ca="1" si="9"/>
        <v>3.8965846435599201E-2</v>
      </c>
      <c r="N46" s="99">
        <f t="shared" ca="1" si="9"/>
        <v>3.548629365377394E-2</v>
      </c>
      <c r="O46" s="99">
        <f t="shared" ca="1" si="9"/>
        <v>3.0198666508321599E-2</v>
      </c>
      <c r="P46" s="99">
        <f t="shared" ca="1" si="9"/>
        <v>2.6540223002605473E-2</v>
      </c>
      <c r="Q46" s="99">
        <f t="shared" ca="1" si="9"/>
        <v>3.4015919450302738E-2</v>
      </c>
      <c r="R46" s="57"/>
      <c r="S46" s="57"/>
      <c r="T46" s="57"/>
    </row>
    <row r="47" spans="1:20">
      <c r="A47" t="str">
        <f>IFERROR(INDEX('[1]2017 Data (WP)'!$C$9:$C$72,MATCH($B47,'[1]2017 Data (WP)'!$D$9:$D$72,0)),"")</f>
        <v>Natural Gas Utility</v>
      </c>
      <c r="B47" t="s">
        <v>26</v>
      </c>
      <c r="C47" t="s">
        <v>62</v>
      </c>
      <c r="D47" s="35">
        <f t="shared" ref="D47:D78" ca="1" si="10">MATCH(B47,OFFSET(Dividends,0,0,,1),0)</f>
        <v>42</v>
      </c>
      <c r="E47" s="35">
        <f t="shared" ref="E47:E78" ca="1" si="11">MATCH(B47,OFFSET(MarketPrice,0,0,,1),0)</f>
        <v>43</v>
      </c>
      <c r="F47" s="35"/>
      <c r="G47" s="99">
        <f t="shared" ca="1" si="9"/>
        <v>2.7606435750334297E-2</v>
      </c>
      <c r="H47" s="99">
        <f t="shared" ca="1" si="9"/>
        <v>3.5283115116476783E-2</v>
      </c>
      <c r="I47" s="99">
        <f t="shared" ca="1" si="9"/>
        <v>2.6856947260328078E-2</v>
      </c>
      <c r="J47" s="99">
        <f t="shared" ca="1" si="9"/>
        <v>3.304670375990558E-2</v>
      </c>
      <c r="K47" s="99">
        <f t="shared" ca="1" si="9"/>
        <v>3.8395555918634097E-2</v>
      </c>
      <c r="L47" s="99">
        <f t="shared" ca="1" si="9"/>
        <v>4.525109438788058E-2</v>
      </c>
      <c r="M47" s="99">
        <f t="shared" ca="1" si="9"/>
        <v>5.6625838616359947E-2</v>
      </c>
      <c r="N47" s="99">
        <f t="shared" ca="1" si="9"/>
        <v>7.6405614151648538E-2</v>
      </c>
      <c r="O47" s="99">
        <f t="shared" ca="1" si="9"/>
        <v>5.6906043174367538E-2</v>
      </c>
      <c r="P47" s="99">
        <f t="shared" ca="1" si="9"/>
        <v>4.2890442890442894E-2</v>
      </c>
      <c r="Q47" s="99">
        <f t="shared" ca="1" si="9"/>
        <v>4.2120684918963466E-2</v>
      </c>
      <c r="R47" s="57"/>
      <c r="S47" s="57"/>
      <c r="T47" s="57"/>
    </row>
    <row r="48" spans="1:20">
      <c r="A48" t="str">
        <f>IFERROR(INDEX('[1]2017 Data (WP)'!$C$9:$C$72,MATCH($B48,'[1]2017 Data (WP)'!$D$9:$D$72,0)),"")</f>
        <v>Natural Gas Utility</v>
      </c>
      <c r="B48" s="31" t="s">
        <v>192</v>
      </c>
      <c r="C48" s="31" t="s">
        <v>191</v>
      </c>
      <c r="D48" s="35">
        <f t="shared" ca="1" si="10"/>
        <v>43</v>
      </c>
      <c r="E48" s="35">
        <f t="shared" ca="1" si="11"/>
        <v>44</v>
      </c>
      <c r="F48" s="35"/>
      <c r="G48" s="99">
        <f t="shared" ca="1" si="9"/>
        <v>3.2763333099726684E-2</v>
      </c>
      <c r="H48" s="99">
        <f t="shared" ca="1" si="9"/>
        <v>4.0055129640795939E-2</v>
      </c>
      <c r="I48" s="99">
        <f t="shared" ca="1" si="9"/>
        <v>4.1395359244590632E-2</v>
      </c>
      <c r="J48" s="99">
        <f t="shared" ca="1" si="9"/>
        <v>4.2156185210780933E-2</v>
      </c>
      <c r="K48" s="99">
        <f t="shared" ca="1" si="9"/>
        <v>3.8256855243753871E-2</v>
      </c>
      <c r="L48" s="99">
        <f t="shared" ca="1" si="9"/>
        <v>3.8500462005544064E-2</v>
      </c>
      <c r="M48" s="99">
        <f t="shared" ca="1" si="9"/>
        <v>3.6260036260036259E-2</v>
      </c>
      <c r="N48" s="99">
        <f t="shared" ca="1" si="9"/>
        <v>3.7261294829995344E-2</v>
      </c>
      <c r="O48" s="99">
        <f t="shared" ca="1" si="9"/>
        <v>3.2721245129485717E-2</v>
      </c>
      <c r="P48" s="99">
        <f t="shared" ca="1" si="9"/>
        <v>3.1170180527295553E-2</v>
      </c>
      <c r="Q48" s="99">
        <f t="shared" ca="1" si="9"/>
        <v>3.7317439862542955E-2</v>
      </c>
      <c r="R48" s="57"/>
      <c r="S48" s="57"/>
      <c r="T48" s="57"/>
    </row>
    <row r="49" spans="1:20">
      <c r="A49" t="str">
        <f>IFERROR(INDEX('[1]2017 Data (WP)'!$C$9:$C$72,MATCH($B49,'[1]2017 Data (WP)'!$D$9:$D$72,0)),"")</f>
        <v>Electric Utility (West)</v>
      </c>
      <c r="B49" t="str">
        <f>"NWE"</f>
        <v>NWE</v>
      </c>
      <c r="C49" t="s">
        <v>94</v>
      </c>
      <c r="D49" s="35">
        <f t="shared" ca="1" si="10"/>
        <v>44</v>
      </c>
      <c r="E49" s="35">
        <f t="shared" ca="1" si="11"/>
        <v>45</v>
      </c>
      <c r="F49" s="35"/>
      <c r="G49" s="99">
        <f t="shared" ca="1" si="9"/>
        <v>3.4328281354593981E-2</v>
      </c>
      <c r="H49" s="99">
        <f t="shared" ca="1" si="9"/>
        <v>3.605701515521418E-2</v>
      </c>
      <c r="I49" s="99">
        <f t="shared" ca="1" si="9"/>
        <v>3.2959789057350038E-2</v>
      </c>
      <c r="J49" s="99">
        <f t="shared" ca="1" si="9"/>
        <v>3.6648583484026519E-2</v>
      </c>
      <c r="K49" s="99">
        <f t="shared" ca="1" si="9"/>
        <v>4.1665493651642689E-2</v>
      </c>
      <c r="L49" s="99">
        <f t="shared" ca="1" si="9"/>
        <v>4.5091592296852979E-2</v>
      </c>
      <c r="M49" s="99">
        <f t="shared" ca="1" si="9"/>
        <v>4.9282504710827658E-2</v>
      </c>
      <c r="N49" s="99">
        <f t="shared" ca="1" si="9"/>
        <v>5.749345690136011E-2</v>
      </c>
      <c r="O49" s="99">
        <f t="shared" ca="1" si="9"/>
        <v>5.3783156093387123E-2</v>
      </c>
      <c r="P49" s="99">
        <f t="shared" ca="1" si="9"/>
        <v>4.0897181928557735E-2</v>
      </c>
      <c r="Q49" s="99">
        <f t="shared" ca="1" si="9"/>
        <v>3.6472733690217071E-2</v>
      </c>
      <c r="R49" s="57"/>
      <c r="S49" s="57"/>
      <c r="T49" s="57"/>
    </row>
    <row r="50" spans="1:20">
      <c r="A50" t="str">
        <f>IFERROR(INDEX('[1]2017 Data (WP)'!$C$9:$C$72,MATCH($B50,'[1]2017 Data (WP)'!$D$9:$D$72,0)),"")</f>
        <v>Electric Util. (Central)</v>
      </c>
      <c r="B50" t="s">
        <v>27</v>
      </c>
      <c r="C50" t="s">
        <v>67</v>
      </c>
      <c r="D50" s="35">
        <f t="shared" ca="1" si="10"/>
        <v>45</v>
      </c>
      <c r="E50" s="35">
        <f t="shared" ca="1" si="11"/>
        <v>46</v>
      </c>
      <c r="F50" s="35"/>
      <c r="G50" s="99">
        <f t="shared" ca="1" si="9"/>
        <v>3.8654618473895584E-2</v>
      </c>
      <c r="H50" s="99">
        <f t="shared" ca="1" si="9"/>
        <v>3.5122930255895635E-2</v>
      </c>
      <c r="I50" s="99">
        <f t="shared" ca="1" si="9"/>
        <v>2.6267765304429577E-2</v>
      </c>
      <c r="J50" s="99">
        <f t="shared" ca="1" si="9"/>
        <v>2.4793147651788836E-2</v>
      </c>
      <c r="K50" s="99">
        <f t="shared" ca="1" si="9"/>
        <v>2.9415017140329538E-2</v>
      </c>
      <c r="L50" s="99">
        <f t="shared" ca="1" si="9"/>
        <v>3.0627068033249941E-2</v>
      </c>
      <c r="M50" s="99">
        <f t="shared" ca="1" si="9"/>
        <v>3.6776527331189711E-2</v>
      </c>
      <c r="N50" s="99">
        <f t="shared" ca="1" si="9"/>
        <v>4.9552363106391835E-2</v>
      </c>
      <c r="O50" s="99">
        <f t="shared" ca="1" si="9"/>
        <v>4.52485758674262E-2</v>
      </c>
      <c r="P50" s="99">
        <f t="shared" ca="1" si="9"/>
        <v>3.768387416671258E-2</v>
      </c>
      <c r="Q50" s="99">
        <f t="shared" ca="1" si="9"/>
        <v>3.9935530085959889E-2</v>
      </c>
      <c r="R50" s="57"/>
      <c r="S50" s="57"/>
      <c r="T50" s="57"/>
    </row>
    <row r="51" spans="1:20">
      <c r="A51" t="str">
        <f>IFERROR(INDEX('[1]2017 Data (WP)'!$C$9:$C$72,MATCH($B51,'[1]2017 Data (WP)'!$D$9:$D$72,0)),"")</f>
        <v>Natural Gas Utility</v>
      </c>
      <c r="B51" t="s">
        <v>353</v>
      </c>
      <c r="C51" t="s">
        <v>356</v>
      </c>
      <c r="D51" s="35">
        <f t="shared" ca="1" si="10"/>
        <v>46</v>
      </c>
      <c r="E51" s="35">
        <f t="shared" ca="1" si="11"/>
        <v>47</v>
      </c>
      <c r="F51" s="35"/>
      <c r="G51" s="99">
        <f t="shared" ca="1" si="9"/>
        <v>2.3233815158404832E-2</v>
      </c>
      <c r="H51" s="99">
        <f t="shared" ca="1" si="9"/>
        <v>2.7069704489059328E-2</v>
      </c>
      <c r="I51" s="99">
        <f t="shared" ca="1" si="9"/>
        <v>2.2762993875670694E-2</v>
      </c>
      <c r="J51" s="99" t="str">
        <f t="shared" ca="1" si="9"/>
        <v>N/A</v>
      </c>
      <c r="K51" s="99" t="str">
        <f t="shared" ca="1" si="9"/>
        <v>N/A</v>
      </c>
      <c r="L51" s="99" t="str">
        <f t="shared" ca="1" si="9"/>
        <v>N/A</v>
      </c>
      <c r="M51" s="99" t="str">
        <f t="shared" ca="1" si="9"/>
        <v>N/A</v>
      </c>
      <c r="N51" s="99" t="str">
        <f t="shared" ca="1" si="9"/>
        <v>N/A</v>
      </c>
      <c r="O51" s="99" t="str">
        <f t="shared" ca="1" si="9"/>
        <v>N/A</v>
      </c>
      <c r="P51" s="99" t="str">
        <f t="shared" ca="1" si="9"/>
        <v>N/A</v>
      </c>
      <c r="Q51" s="99" t="str">
        <f t="shared" ca="1" si="9"/>
        <v>N/A</v>
      </c>
      <c r="R51" s="57"/>
      <c r="S51" s="57"/>
      <c r="T51" s="57"/>
    </row>
    <row r="52" spans="1:20">
      <c r="A52" t="str">
        <f>IFERROR(INDEX('[1]2017 Data (WP)'!$C$9:$C$72,MATCH($B52,'[1]2017 Data (WP)'!$D$9:$D$72,0)),"")</f>
        <v>Electric Util. (Central)</v>
      </c>
      <c r="B52" t="s">
        <v>28</v>
      </c>
      <c r="C52" t="s">
        <v>68</v>
      </c>
      <c r="D52" s="35">
        <f t="shared" ca="1" si="10"/>
        <v>47</v>
      </c>
      <c r="E52" s="35">
        <f t="shared" ca="1" si="11"/>
        <v>48</v>
      </c>
      <c r="F52" s="35"/>
      <c r="G52" s="99">
        <f t="shared" ca="1" si="9"/>
        <v>3.8688910210777187E-2</v>
      </c>
      <c r="H52" s="99">
        <f t="shared" ca="1" si="9"/>
        <v>4.3325114476928495E-2</v>
      </c>
      <c r="I52" s="99">
        <f t="shared" ca="1" si="9"/>
        <v>4.1439775334771736E-2</v>
      </c>
      <c r="J52" s="99">
        <f t="shared" ca="1" si="9"/>
        <v>4.1128084606345469E-2</v>
      </c>
      <c r="K52" s="99">
        <f t="shared" ca="1" si="9"/>
        <v>5.2108420545605813E-2</v>
      </c>
      <c r="L52" s="99">
        <f t="shared" ca="1" si="9"/>
        <v>5.569335891795759E-2</v>
      </c>
      <c r="M52" s="99">
        <f t="shared" ca="1" si="9"/>
        <v>5.6837178201270475E-2</v>
      </c>
      <c r="N52" s="99">
        <f t="shared" ca="1" si="9"/>
        <v>5.3790173122994167E-2</v>
      </c>
      <c r="O52" s="99">
        <f t="shared" ca="1" si="9"/>
        <v>3.6323677543420523E-2</v>
      </c>
      <c r="P52" s="99">
        <f t="shared" ca="1" si="9"/>
        <v>3.4559149313247675E-2</v>
      </c>
      <c r="Q52" s="99">
        <f t="shared" ca="1" si="9"/>
        <v>3.9223711586343322E-2</v>
      </c>
      <c r="R52" s="57"/>
      <c r="S52" s="57"/>
      <c r="T52" s="57"/>
    </row>
    <row r="53" spans="1:20">
      <c r="A53" t="str">
        <f>IFERROR(INDEX('[1]2017 Data (WP)'!$C$9:$C$72,MATCH($B53,'[1]2017 Data (WP)'!$D$9:$D$72,0)),"")</f>
        <v/>
      </c>
      <c r="B53" t="s">
        <v>29</v>
      </c>
      <c r="C53" t="s">
        <v>73</v>
      </c>
      <c r="D53" s="35" t="e">
        <f t="shared" ca="1" si="10"/>
        <v>#N/A</v>
      </c>
      <c r="E53" s="35" t="e">
        <f t="shared" ca="1" si="11"/>
        <v>#N/A</v>
      </c>
      <c r="F53" s="35"/>
      <c r="G53" s="99" t="str">
        <f t="shared" ca="1" si="9"/>
        <v>N/A</v>
      </c>
      <c r="H53" s="99" t="str">
        <f t="shared" ca="1" si="9"/>
        <v>N/A</v>
      </c>
      <c r="I53" s="99" t="str">
        <f t="shared" ca="1" si="9"/>
        <v>N/A</v>
      </c>
      <c r="J53" s="99" t="str">
        <f t="shared" ca="1" si="9"/>
        <v>N/A</v>
      </c>
      <c r="K53" s="99" t="str">
        <f t="shared" ca="1" si="9"/>
        <v>N/A</v>
      </c>
      <c r="L53" s="99" t="str">
        <f t="shared" ca="1" si="9"/>
        <v>N/A</v>
      </c>
      <c r="M53" s="99" t="str">
        <f t="shared" ca="1" si="9"/>
        <v>N/A</v>
      </c>
      <c r="N53" s="99" t="str">
        <f t="shared" ca="1" si="9"/>
        <v>N/A</v>
      </c>
      <c r="O53" s="99" t="str">
        <f t="shared" ca="1" si="9"/>
        <v>N/A</v>
      </c>
      <c r="P53" s="99" t="str">
        <f t="shared" ca="1" si="9"/>
        <v>N/A</v>
      </c>
      <c r="Q53" s="99" t="str">
        <f t="shared" ca="1" si="9"/>
        <v>N/A</v>
      </c>
      <c r="R53" s="57"/>
      <c r="S53" s="57"/>
      <c r="T53" s="57"/>
    </row>
    <row r="54" spans="1:20">
      <c r="A54" t="str">
        <f>IFERROR(INDEX('[1]2017 Data (WP)'!$C$9:$C$72,MATCH($B54,'[1]2017 Data (WP)'!$D$9:$D$72,0)),"")</f>
        <v>Electric Utility (West)</v>
      </c>
      <c r="B54" t="s">
        <v>30</v>
      </c>
      <c r="C54" t="s">
        <v>71</v>
      </c>
      <c r="D54" s="35">
        <f t="shared" ca="1" si="10"/>
        <v>48</v>
      </c>
      <c r="E54" s="35">
        <f t="shared" ca="1" si="11"/>
        <v>49</v>
      </c>
      <c r="F54" s="35"/>
      <c r="G54" s="99">
        <f t="shared" ref="G54:Q63" ca="1" si="12">IFERROR(INDEX(Dividends,$D54,G$2)/INDEX(MarketPrice,$E54,G$2),"N/A")</f>
        <v>3.2197096407305816E-2</v>
      </c>
      <c r="H54" s="99">
        <f t="shared" ca="1" si="12"/>
        <v>3.4471655586491658E-2</v>
      </c>
      <c r="I54" s="99">
        <f t="shared" ca="1" si="12"/>
        <v>3.964364285869873E-2</v>
      </c>
      <c r="J54" s="99">
        <f t="shared" ca="1" si="12"/>
        <v>4.2023597866494268E-2</v>
      </c>
      <c r="K54" s="99">
        <f t="shared" ca="1" si="12"/>
        <v>4.2470772174643547E-2</v>
      </c>
      <c r="L54" s="99">
        <f t="shared" ca="1" si="12"/>
        <v>4.2352174621273823E-2</v>
      </c>
      <c r="M54" s="99">
        <f t="shared" ca="1" si="12"/>
        <v>4.0839223605968811E-2</v>
      </c>
      <c r="N54" s="99">
        <f t="shared" ca="1" si="12"/>
        <v>4.2619041578934015E-2</v>
      </c>
      <c r="O54" s="99">
        <f t="shared" ca="1" si="12"/>
        <v>4.009149083806636E-2</v>
      </c>
      <c r="P54" s="99">
        <f t="shared" ca="1" si="12"/>
        <v>3.0745580322828592E-2</v>
      </c>
      <c r="Q54" s="99">
        <f t="shared" ca="1" si="12"/>
        <v>3.2223415682062301E-2</v>
      </c>
      <c r="R54" s="57"/>
      <c r="S54" s="57"/>
      <c r="T54" s="57"/>
    </row>
    <row r="55" spans="1:20">
      <c r="A55" t="str">
        <f>IFERROR(INDEX('[1]2017 Data (WP)'!$C$9:$C$72,MATCH($B55,'[1]2017 Data (WP)'!$D$9:$D$72,0)),"")</f>
        <v>Electric Utility (West)</v>
      </c>
      <c r="B55" t="s">
        <v>31</v>
      </c>
      <c r="C55" t="s">
        <v>72</v>
      </c>
      <c r="D55" s="35">
        <f t="shared" ca="1" si="10"/>
        <v>49</v>
      </c>
      <c r="E55" s="35">
        <f t="shared" ca="1" si="11"/>
        <v>50</v>
      </c>
      <c r="F55" s="35"/>
      <c r="G55" s="99">
        <f t="shared" ca="1" si="12"/>
        <v>3.4578240021611403E-2</v>
      </c>
      <c r="H55" s="99">
        <f t="shared" ca="1" si="12"/>
        <v>3.8816417435571113E-2</v>
      </c>
      <c r="I55" s="99">
        <f t="shared" ca="1" si="12"/>
        <v>4.088127725418484E-2</v>
      </c>
      <c r="J55" s="99">
        <f t="shared" ca="1" si="12"/>
        <v>3.9817465998568363E-2</v>
      </c>
      <c r="K55" s="99">
        <f t="shared" ca="1" si="12"/>
        <v>5.3176658036247756E-2</v>
      </c>
      <c r="L55" s="99">
        <f t="shared" ca="1" si="12"/>
        <v>4.8092337287592185E-2</v>
      </c>
      <c r="M55" s="99">
        <f t="shared" ca="1" si="12"/>
        <v>5.4264968087030678E-2</v>
      </c>
      <c r="N55" s="99">
        <f t="shared" ca="1" si="12"/>
        <v>6.7619783616692422E-2</v>
      </c>
      <c r="O55" s="99">
        <f t="shared" ca="1" si="12"/>
        <v>6.1655901350557839E-2</v>
      </c>
      <c r="P55" s="99">
        <f t="shared" ca="1" si="12"/>
        <v>4.7515612272603862E-2</v>
      </c>
      <c r="Q55" s="99">
        <f t="shared" ca="1" si="12"/>
        <v>4.6660061291734826E-2</v>
      </c>
      <c r="R55" s="57"/>
      <c r="S55" s="57"/>
      <c r="T55" s="57"/>
    </row>
    <row r="56" spans="1:20">
      <c r="A56" t="str">
        <f>IFERROR(INDEX('[1]2017 Data (WP)'!$C$9:$C$72,MATCH($B56,'[1]2017 Data (WP)'!$D$9:$D$72,0)),"")</f>
        <v>Electric Utility (West)</v>
      </c>
      <c r="B56" t="s">
        <v>32</v>
      </c>
      <c r="C56" t="s">
        <v>74</v>
      </c>
      <c r="D56" s="35">
        <f t="shared" ca="1" si="10"/>
        <v>50</v>
      </c>
      <c r="E56" s="35">
        <f t="shared" ca="1" si="11"/>
        <v>51</v>
      </c>
      <c r="F56" s="35"/>
      <c r="G56" s="99">
        <f t="shared" ca="1" si="12"/>
        <v>2.6893221685716031E-2</v>
      </c>
      <c r="H56" s="99">
        <f t="shared" ca="1" si="12"/>
        <v>2.8955083426834123E-2</v>
      </c>
      <c r="I56" s="99">
        <f t="shared" ca="1" si="12"/>
        <v>2.7880354505169867E-2</v>
      </c>
      <c r="J56" s="99">
        <f t="shared" ca="1" si="12"/>
        <v>2.9896680589140471E-2</v>
      </c>
      <c r="K56" s="99">
        <f t="shared" ca="1" si="12"/>
        <v>2.9573730369161739E-2</v>
      </c>
      <c r="L56" s="99">
        <f t="shared" ca="1" si="12"/>
        <v>3.1857279388340237E-2</v>
      </c>
      <c r="M56" s="99">
        <f t="shared" ca="1" si="12"/>
        <v>4.0919878877158526E-2</v>
      </c>
      <c r="N56" s="99">
        <f t="shared" ca="1" si="12"/>
        <v>4.7646274061368399E-2</v>
      </c>
      <c r="O56" s="99">
        <f t="shared" ca="1" si="12"/>
        <v>4.8520330419440212E-2</v>
      </c>
      <c r="P56" s="99">
        <f t="shared" ca="1" si="12"/>
        <v>3.3588011663529323E-2</v>
      </c>
      <c r="Q56" s="99">
        <f t="shared" ca="1" si="12"/>
        <v>3.2106324199208537E-2</v>
      </c>
      <c r="R56" s="57"/>
      <c r="S56" s="57"/>
      <c r="T56" s="57"/>
    </row>
    <row r="57" spans="1:20">
      <c r="A57" t="str">
        <f>IFERROR(INDEX('[1]2017 Data (WP)'!$C$9:$C$72,MATCH($B57,'[1]2017 Data (WP)'!$D$9:$D$72,0)),"")</f>
        <v>Electric Utility (West)</v>
      </c>
      <c r="B57" t="s">
        <v>33</v>
      </c>
      <c r="C57" t="s">
        <v>92</v>
      </c>
      <c r="D57" s="35">
        <f t="shared" ca="1" si="10"/>
        <v>51</v>
      </c>
      <c r="E57" s="35">
        <f t="shared" ca="1" si="11"/>
        <v>52</v>
      </c>
      <c r="F57" s="35"/>
      <c r="G57" s="99">
        <f t="shared" ca="1" si="12"/>
        <v>3.0608526660998423E-2</v>
      </c>
      <c r="H57" s="99">
        <f t="shared" ca="1" si="12"/>
        <v>3.2653513019896503E-2</v>
      </c>
      <c r="I57" s="99">
        <f t="shared" ca="1" si="12"/>
        <v>3.3390231485640701E-2</v>
      </c>
      <c r="J57" s="99">
        <f t="shared" ca="1" si="12"/>
        <v>3.6650266090972987E-2</v>
      </c>
      <c r="K57" s="99">
        <f t="shared" ca="1" si="12"/>
        <v>4.1124713083397088E-2</v>
      </c>
      <c r="L57" s="99">
        <f t="shared" ca="1" si="12"/>
        <v>4.3737821815015961E-2</v>
      </c>
      <c r="M57" s="99">
        <f t="shared" ca="1" si="12"/>
        <v>5.1957831325301199E-2</v>
      </c>
      <c r="N57" s="99">
        <f t="shared" ca="1" si="12"/>
        <v>5.3561011825847167E-2</v>
      </c>
      <c r="O57" s="99">
        <f t="shared" ca="1" si="12"/>
        <v>4.282371639221226E-2</v>
      </c>
      <c r="P57" s="99">
        <f t="shared" ca="1" si="12"/>
        <v>3.3424381828637148E-2</v>
      </c>
      <c r="Q57" s="99">
        <f t="shared" ca="1" si="12"/>
        <v>2.5357827115969799E-2</v>
      </c>
      <c r="R57" s="57"/>
      <c r="S57" s="57"/>
      <c r="T57" s="57"/>
    </row>
    <row r="58" spans="1:20">
      <c r="A58" t="str">
        <f>IFERROR(INDEX('[1]2017 Data (WP)'!$C$9:$C$72,MATCH($B58,'[1]2017 Data (WP)'!$D$9:$D$72,0)),"")</f>
        <v>Electric Utility (East)</v>
      </c>
      <c r="B58" t="s">
        <v>34</v>
      </c>
      <c r="C58" t="s">
        <v>70</v>
      </c>
      <c r="D58" s="35">
        <f t="shared" ca="1" si="10"/>
        <v>52</v>
      </c>
      <c r="E58" s="35">
        <f t="shared" ca="1" si="11"/>
        <v>53</v>
      </c>
      <c r="F58" s="35"/>
      <c r="G58" s="99">
        <f t="shared" ca="1" si="12"/>
        <v>4.2465217634240382E-2</v>
      </c>
      <c r="H58" s="99">
        <f t="shared" ca="1" si="12"/>
        <v>4.5483489493313926E-2</v>
      </c>
      <c r="I58" s="99">
        <f t="shared" ca="1" si="12"/>
        <v>4.4474956719001847E-2</v>
      </c>
      <c r="J58" s="99">
        <f t="shared" ca="1" si="12"/>
        <v>4.8089505365087673E-2</v>
      </c>
      <c r="K58" s="99">
        <f t="shared" ca="1" si="12"/>
        <v>5.070244005492764E-2</v>
      </c>
      <c r="L58" s="99">
        <f t="shared" ca="1" si="12"/>
        <v>5.1009254536180132E-2</v>
      </c>
      <c r="M58" s="99">
        <f t="shared" ca="1" si="12"/>
        <v>5.124638529960833E-2</v>
      </c>
      <c r="N58" s="99">
        <f t="shared" ca="1" si="12"/>
        <v>4.5146726862302478E-2</v>
      </c>
      <c r="O58" s="99">
        <f t="shared" ca="1" si="12"/>
        <v>3.100846947748415E-2</v>
      </c>
      <c r="P58" s="99">
        <f t="shared" ca="1" si="12"/>
        <v>2.6872246696035242E-2</v>
      </c>
      <c r="Q58" s="99">
        <f t="shared" ca="1" si="12"/>
        <v>3.4067329431075599E-2</v>
      </c>
      <c r="R58" s="57"/>
      <c r="S58" s="57"/>
      <c r="T58" s="57"/>
    </row>
    <row r="59" spans="1:20">
      <c r="A59" t="str">
        <f>IFERROR(INDEX('[1]2017 Data (WP)'!$C$9:$C$72,MATCH($B59,'[1]2017 Data (WP)'!$D$9:$D$72,0)),"")</f>
        <v>Electric Utility (East)</v>
      </c>
      <c r="B59" t="s">
        <v>35</v>
      </c>
      <c r="C59" t="s">
        <v>75</v>
      </c>
      <c r="D59" s="35">
        <f t="shared" ca="1" si="10"/>
        <v>53</v>
      </c>
      <c r="E59" s="35">
        <f t="shared" ca="1" si="11"/>
        <v>54</v>
      </c>
      <c r="F59" s="35"/>
      <c r="G59" s="99">
        <f t="shared" ca="1" si="12"/>
        <v>3.7759307439044043E-2</v>
      </c>
      <c r="H59" s="99">
        <f t="shared" ca="1" si="12"/>
        <v>3.80859375E-2</v>
      </c>
      <c r="I59" s="99">
        <f t="shared" ca="1" si="12"/>
        <v>3.9241681028768391E-2</v>
      </c>
      <c r="J59" s="99">
        <f t="shared" ca="1" si="12"/>
        <v>4.3537414965986392E-2</v>
      </c>
      <c r="K59" s="99">
        <f t="shared" ca="1" si="12"/>
        <v>4.5508444700830049E-2</v>
      </c>
      <c r="L59" s="99">
        <f t="shared" ca="1" si="12"/>
        <v>4.2379435147090673E-2</v>
      </c>
      <c r="M59" s="99">
        <f t="shared" ca="1" si="12"/>
        <v>4.3038451872329735E-2</v>
      </c>
      <c r="N59" s="99">
        <f t="shared" ca="1" si="12"/>
        <v>4.301423027166882E-2</v>
      </c>
      <c r="O59" s="99">
        <f t="shared" ca="1" si="12"/>
        <v>3.259798347358047E-2</v>
      </c>
      <c r="P59" s="99">
        <f t="shared" ca="1" si="12"/>
        <v>2.7307099845959949E-2</v>
      </c>
      <c r="Q59" s="99">
        <f t="shared" ca="1" si="12"/>
        <v>3.4696859021183343E-2</v>
      </c>
      <c r="R59" s="57"/>
      <c r="S59" s="57"/>
      <c r="T59" s="57"/>
    </row>
    <row r="60" spans="1:20">
      <c r="A60" t="str">
        <f>IFERROR(INDEX('[1]2017 Data (WP)'!$C$9:$C$72,MATCH($B60,'[1]2017 Data (WP)'!$D$9:$D$72,0)),"")</f>
        <v>Electric Utility (East)</v>
      </c>
      <c r="B60" t="s">
        <v>36</v>
      </c>
      <c r="C60" t="s">
        <v>76</v>
      </c>
      <c r="D60" s="35">
        <f t="shared" ca="1" si="10"/>
        <v>55</v>
      </c>
      <c r="E60" s="35">
        <f t="shared" ca="1" si="11"/>
        <v>56</v>
      </c>
      <c r="F60" s="35"/>
      <c r="G60" s="99">
        <f t="shared" ca="1" si="12"/>
        <v>3.2917805670449829E-2</v>
      </c>
      <c r="H60" s="99">
        <f t="shared" ca="1" si="12"/>
        <v>3.901565995525727E-2</v>
      </c>
      <c r="I60" s="99">
        <f t="shared" ca="1" si="12"/>
        <v>4.0513948373654358E-2</v>
      </c>
      <c r="J60" s="99">
        <f t="shared" ca="1" si="12"/>
        <v>4.1508199402936242E-2</v>
      </c>
      <c r="K60" s="99">
        <f t="shared" ca="1" si="12"/>
        <v>4.2473775661239464E-2</v>
      </c>
      <c r="L60" s="99">
        <f t="shared" ca="1" si="12"/>
        <v>4.7780897492734349E-2</v>
      </c>
      <c r="M60" s="99">
        <f t="shared" ca="1" si="12"/>
        <v>4.9295591936278957E-2</v>
      </c>
      <c r="N60" s="99">
        <f t="shared" ca="1" si="12"/>
        <v>5.6737588652482268E-2</v>
      </c>
      <c r="O60" s="99">
        <f t="shared" ca="1" si="12"/>
        <v>4.9238673767026148E-2</v>
      </c>
      <c r="P60" s="99">
        <f t="shared" ca="1" si="12"/>
        <v>4.2946731412117807E-2</v>
      </c>
      <c r="Q60" s="99">
        <f t="shared" ca="1" si="12"/>
        <v>4.2066254350602197E-2</v>
      </c>
      <c r="R60" s="57"/>
      <c r="S60" s="57"/>
      <c r="T60" s="57"/>
    </row>
    <row r="61" spans="1:20">
      <c r="A61" t="str">
        <f>IFERROR(INDEX('[1]2017 Data (WP)'!$C$9:$C$72,MATCH($B61,'[1]2017 Data (WP)'!$D$9:$D$72,0)),"")</f>
        <v>Electric Utility (West)</v>
      </c>
      <c r="B61" t="s">
        <v>37</v>
      </c>
      <c r="C61" t="s">
        <v>54</v>
      </c>
      <c r="D61" s="35">
        <f t="shared" ca="1" si="10"/>
        <v>56</v>
      </c>
      <c r="E61" s="35">
        <f t="shared" ca="1" si="11"/>
        <v>57</v>
      </c>
      <c r="F61" s="35"/>
      <c r="G61" s="99">
        <f t="shared" ca="1" si="12"/>
        <v>2.9223921037352427E-2</v>
      </c>
      <c r="H61" s="99">
        <f t="shared" ca="1" si="12"/>
        <v>2.7140724657348351E-2</v>
      </c>
      <c r="I61" s="99">
        <f t="shared" ca="1" si="12"/>
        <v>2.6070211820471041E-2</v>
      </c>
      <c r="J61" s="99">
        <f t="shared" ca="1" si="12"/>
        <v>3.0337687353277555E-2</v>
      </c>
      <c r="K61" s="99">
        <f t="shared" ca="1" si="12"/>
        <v>3.7058196809906886E-2</v>
      </c>
      <c r="L61" s="99">
        <f t="shared" ca="1" si="12"/>
        <v>3.6490801277178041E-2</v>
      </c>
      <c r="M61" s="99">
        <f t="shared" ca="1" si="12"/>
        <v>3.0810554589982622E-2</v>
      </c>
      <c r="N61" s="99">
        <f t="shared" ca="1" si="12"/>
        <v>3.2345684131953809E-2</v>
      </c>
      <c r="O61" s="99">
        <f t="shared" ca="1" si="12"/>
        <v>2.6209060299969392E-2</v>
      </c>
      <c r="P61" s="99">
        <f t="shared" ca="1" si="12"/>
        <v>2.078131022809164E-2</v>
      </c>
      <c r="Q61" s="99">
        <f t="shared" ca="1" si="12"/>
        <v>2.4666995559940796E-2</v>
      </c>
    </row>
    <row r="62" spans="1:20">
      <c r="A62" t="str">
        <f>IFERROR(INDEX('[1]2017 Data (WP)'!$C$9:$C$72,MATCH($B62,'[1]2017 Data (WP)'!$D$9:$D$72,0)),"")</f>
        <v/>
      </c>
      <c r="B62" t="s">
        <v>64</v>
      </c>
      <c r="C62" t="s">
        <v>63</v>
      </c>
      <c r="D62" s="35" t="e">
        <f t="shared" ca="1" si="10"/>
        <v>#N/A</v>
      </c>
      <c r="E62" s="35" t="e">
        <f t="shared" ca="1" si="11"/>
        <v>#N/A</v>
      </c>
      <c r="F62" s="35"/>
      <c r="G62" s="99" t="str">
        <f t="shared" ca="1" si="12"/>
        <v>N/A</v>
      </c>
      <c r="H62" s="99" t="str">
        <f t="shared" ca="1" si="12"/>
        <v>N/A</v>
      </c>
      <c r="I62" s="99" t="str">
        <f t="shared" ca="1" si="12"/>
        <v>N/A</v>
      </c>
      <c r="J62" s="99" t="str">
        <f t="shared" ca="1" si="12"/>
        <v>N/A</v>
      </c>
      <c r="K62" s="99" t="str">
        <f t="shared" ca="1" si="12"/>
        <v>N/A</v>
      </c>
      <c r="L62" s="99" t="str">
        <f t="shared" ca="1" si="12"/>
        <v>N/A</v>
      </c>
      <c r="M62" s="99" t="str">
        <f t="shared" ca="1" si="12"/>
        <v>N/A</v>
      </c>
      <c r="N62" s="99" t="str">
        <f t="shared" ca="1" si="12"/>
        <v>N/A</v>
      </c>
      <c r="O62" s="99" t="str">
        <f t="shared" ca="1" si="12"/>
        <v>N/A</v>
      </c>
      <c r="P62" s="99" t="str">
        <f t="shared" ca="1" si="12"/>
        <v>N/A</v>
      </c>
      <c r="Q62" s="99" t="str">
        <f t="shared" ca="1" si="12"/>
        <v>N/A</v>
      </c>
    </row>
    <row r="63" spans="1:20">
      <c r="A63" t="str">
        <f>IFERROR(INDEX('[1]2017 Data (WP)'!$C$9:$C$72,MATCH($B63,'[1]2017 Data (WP)'!$D$9:$D$72,0)),"")</f>
        <v>Water Utility</v>
      </c>
      <c r="B63" s="31" t="s">
        <v>196</v>
      </c>
      <c r="C63" s="31" t="s">
        <v>195</v>
      </c>
      <c r="D63" s="35">
        <f t="shared" ca="1" si="10"/>
        <v>57</v>
      </c>
      <c r="E63" s="35">
        <f t="shared" ca="1" si="11"/>
        <v>58</v>
      </c>
      <c r="F63" s="35"/>
      <c r="G63" s="99">
        <f t="shared" ca="1" si="12"/>
        <v>2.0105741306128529E-2</v>
      </c>
      <c r="H63" s="99">
        <f t="shared" ca="1" si="12"/>
        <v>2.5334545926984541E-2</v>
      </c>
      <c r="I63" s="99">
        <f t="shared" ca="1" si="12"/>
        <v>2.6391723555492998E-2</v>
      </c>
      <c r="J63" s="99">
        <f t="shared" ca="1" si="12"/>
        <v>2.678112847604373E-2</v>
      </c>
      <c r="K63" s="99">
        <f t="shared" ca="1" si="12"/>
        <v>2.9543941411451398E-2</v>
      </c>
      <c r="L63" s="99">
        <f t="shared" ca="1" si="12"/>
        <v>2.9357954303705906E-2</v>
      </c>
      <c r="M63" s="99">
        <f t="shared" ca="1" si="12"/>
        <v>2.7797081306462822E-2</v>
      </c>
      <c r="N63" s="99">
        <f t="shared" ca="1" si="12"/>
        <v>2.8423772609819126E-2</v>
      </c>
      <c r="O63" s="99">
        <f t="shared" ca="1" si="12"/>
        <v>2.2677730117431967E-2</v>
      </c>
      <c r="P63" s="99">
        <f t="shared" ca="1" si="12"/>
        <v>1.7403060637441028E-2</v>
      </c>
      <c r="Q63" s="99">
        <f t="shared" ca="1" si="12"/>
        <v>2.0196604110813223E-2</v>
      </c>
    </row>
    <row r="64" spans="1:20">
      <c r="A64" t="str">
        <f>IFERROR(INDEX('[1]2017 Data (WP)'!$C$9:$C$72,MATCH($B64,'[1]2017 Data (WP)'!$D$9:$D$72,0)),"")</f>
        <v>Natural Gas Utility</v>
      </c>
      <c r="B64" s="31" t="s">
        <v>198</v>
      </c>
      <c r="C64" s="31" t="s">
        <v>197</v>
      </c>
      <c r="D64" s="35">
        <f t="shared" ca="1" si="10"/>
        <v>58</v>
      </c>
      <c r="E64" s="35">
        <f t="shared" ca="1" si="11"/>
        <v>59</v>
      </c>
      <c r="F64" s="35"/>
      <c r="G64" s="99">
        <f t="shared" ref="G64:Q72" ca="1" si="13">IFERROR(INDEX(Dividends,$D64,G$2)/INDEX(MarketPrice,$E64,G$2),"N/A")</f>
        <v>3.6429872495446269E-2</v>
      </c>
      <c r="H64" s="99">
        <f t="shared" ca="1" si="13"/>
        <v>3.9464520622146559E-2</v>
      </c>
      <c r="I64" s="99">
        <f t="shared" ca="1" si="13"/>
        <v>3.4014810615455478E-2</v>
      </c>
      <c r="J64" s="99">
        <f t="shared" ca="1" si="13"/>
        <v>3.1426775612822123E-2</v>
      </c>
      <c r="K64" s="99">
        <f t="shared" ca="1" si="13"/>
        <v>3.215622076707203E-2</v>
      </c>
      <c r="L64" s="99">
        <f t="shared" ca="1" si="13"/>
        <v>2.8083576724331611E-2</v>
      </c>
      <c r="M64" s="99">
        <f t="shared" ca="1" si="13"/>
        <v>2.996914940502424E-2</v>
      </c>
      <c r="N64" s="99">
        <f t="shared" ca="1" si="13"/>
        <v>3.4275439680845086E-2</v>
      </c>
      <c r="O64" s="99">
        <f t="shared" ca="1" si="13"/>
        <v>3.0759851465942473E-2</v>
      </c>
      <c r="P64" s="99">
        <f t="shared" ca="1" si="13"/>
        <v>2.8127436782889606E-2</v>
      </c>
      <c r="Q64" s="99">
        <f t="shared" ca="1" si="13"/>
        <v>3.1539252656839219E-2</v>
      </c>
    </row>
    <row r="65" spans="1:17" customFormat="1">
      <c r="A65" t="str">
        <f>IFERROR(INDEX('[1]2017 Data (WP)'!$C$9:$C$72,MATCH($B65,'[1]2017 Data (WP)'!$D$9:$D$72,0)),"")</f>
        <v>Electric Utility (East)</v>
      </c>
      <c r="B65" t="s">
        <v>38</v>
      </c>
      <c r="C65" t="s">
        <v>77</v>
      </c>
      <c r="D65" s="35">
        <f t="shared" ca="1" si="10"/>
        <v>59</v>
      </c>
      <c r="E65" s="35">
        <f t="shared" ca="1" si="11"/>
        <v>60</v>
      </c>
      <c r="F65" s="35"/>
      <c r="G65" s="99">
        <f t="shared" ca="1" si="13"/>
        <v>4.4233524355300854E-2</v>
      </c>
      <c r="H65" s="99">
        <f t="shared" ca="1" si="13"/>
        <v>4.7833814707842703E-2</v>
      </c>
      <c r="I65" s="99">
        <f t="shared" ca="1" si="13"/>
        <v>4.6870077854281988E-2</v>
      </c>
      <c r="J65" s="99">
        <f t="shared" ca="1" si="13"/>
        <v>4.606196512745412E-2</v>
      </c>
      <c r="K65" s="99">
        <f t="shared" ca="1" si="13"/>
        <v>4.2888045205721349E-2</v>
      </c>
      <c r="L65" s="99">
        <f t="shared" ca="1" si="13"/>
        <v>4.6349913387775304E-2</v>
      </c>
      <c r="M65" s="99">
        <f t="shared" ca="1" si="13"/>
        <v>5.128423926956225E-2</v>
      </c>
      <c r="N65" s="99">
        <f t="shared" ca="1" si="13"/>
        <v>5.5247385870951293E-2</v>
      </c>
      <c r="O65" s="99">
        <f t="shared" ca="1" si="13"/>
        <v>4.5830347792537064E-2</v>
      </c>
      <c r="P65" s="99">
        <f t="shared" ca="1" si="13"/>
        <v>4.3854825405554028E-2</v>
      </c>
      <c r="Q65" s="99">
        <f t="shared" ca="1" si="13"/>
        <v>4.515237086716084E-2</v>
      </c>
    </row>
    <row r="66" spans="1:17" customFormat="1">
      <c r="A66" t="str">
        <f>IFERROR(INDEX('[1]2017 Data (WP)'!$C$9:$C$72,MATCH($B66,'[1]2017 Data (WP)'!$D$9:$D$72,0)),"")</f>
        <v>Natural Gas Utility</v>
      </c>
      <c r="B66" s="31" t="s">
        <v>200</v>
      </c>
      <c r="C66" s="31" t="s">
        <v>199</v>
      </c>
      <c r="D66" s="35">
        <f t="shared" ca="1" si="10"/>
        <v>60</v>
      </c>
      <c r="E66" s="35">
        <f t="shared" ca="1" si="11"/>
        <v>61</v>
      </c>
      <c r="F66" s="35"/>
      <c r="G66" s="99">
        <f t="shared" ca="1" si="13"/>
        <v>2.6153667325351623E-2</v>
      </c>
      <c r="H66" s="99">
        <f t="shared" ca="1" si="13"/>
        <v>2.866495620631691E-2</v>
      </c>
      <c r="I66" s="99">
        <f t="shared" ca="1" si="13"/>
        <v>2.7158243270894174E-2</v>
      </c>
      <c r="J66" s="99">
        <f t="shared" ca="1" si="13"/>
        <v>2.6936026936026935E-2</v>
      </c>
      <c r="K66" s="99">
        <f t="shared" ca="1" si="13"/>
        <v>2.750134010767474E-2</v>
      </c>
      <c r="L66" s="99">
        <f t="shared" ca="1" si="13"/>
        <v>2.7806196059914481E-2</v>
      </c>
      <c r="M66" s="99">
        <f t="shared" ca="1" si="13"/>
        <v>3.1535793125197095E-2</v>
      </c>
      <c r="N66" s="99">
        <f t="shared" ca="1" si="13"/>
        <v>4.0141975830305078E-2</v>
      </c>
      <c r="O66" s="99">
        <f t="shared" ca="1" si="13"/>
        <v>3.1944345850784414E-2</v>
      </c>
      <c r="P66" s="99">
        <f t="shared" ca="1" si="13"/>
        <v>2.5551131974567709E-2</v>
      </c>
      <c r="Q66" s="99">
        <f t="shared" ca="1" si="13"/>
        <v>2.5985549499302825E-2</v>
      </c>
    </row>
    <row r="67" spans="1:17" customFormat="1">
      <c r="A67" t="str">
        <f>IFERROR(INDEX('[1]2017 Data (WP)'!$C$9:$C$72,MATCH($B67,'[1]2017 Data (WP)'!$D$9:$D$72,0)),"")</f>
        <v>Natural Gas Utility</v>
      </c>
      <c r="B67" s="31" t="s">
        <v>244</v>
      </c>
      <c r="C67" s="31" t="s">
        <v>243</v>
      </c>
      <c r="D67" s="35">
        <f t="shared" ca="1" si="10"/>
        <v>61</v>
      </c>
      <c r="E67" s="35">
        <f t="shared" ca="1" si="11"/>
        <v>62</v>
      </c>
      <c r="F67" s="35"/>
      <c r="G67" s="99">
        <f t="shared" ca="1" si="13"/>
        <v>3.0841856805664831E-2</v>
      </c>
      <c r="H67" s="99">
        <f t="shared" ca="1" si="13"/>
        <v>3.5318054435870862E-2</v>
      </c>
      <c r="I67" s="99">
        <f t="shared" ca="1" si="13"/>
        <v>3.7829124126813544E-2</v>
      </c>
      <c r="J67" s="99">
        <f t="shared" ca="1" si="13"/>
        <v>3.9597503028044344E-2</v>
      </c>
      <c r="K67" s="99">
        <f t="shared" ca="1" si="13"/>
        <v>4.1146143168748754E-2</v>
      </c>
      <c r="L67" s="99">
        <f t="shared" ca="1" si="13"/>
        <v>4.3148500522606062E-2</v>
      </c>
      <c r="M67" s="99">
        <f t="shared" ca="1" si="13"/>
        <v>4.702710798262693E-2</v>
      </c>
      <c r="N67" s="99">
        <f t="shared" ca="1" si="13"/>
        <v>3.9134438305709028E-2</v>
      </c>
      <c r="O67" s="99">
        <f t="shared" ca="1" si="13"/>
        <v>3.9430507039271728E-2</v>
      </c>
      <c r="P67" s="99">
        <f t="shared" ca="1" si="13"/>
        <v>4.425183874019592E-2</v>
      </c>
      <c r="Q67" s="99">
        <f t="shared" ca="1" si="13"/>
        <v>4.3436443175824513E-2</v>
      </c>
    </row>
    <row r="68" spans="1:17" customFormat="1">
      <c r="A68" t="str">
        <f>IFERROR(INDEX('[1]2017 Data (WP)'!$C$9:$C$72,MATCH($B68,'[1]2017 Data (WP)'!$D$9:$D$72,0)),"")</f>
        <v/>
      </c>
      <c r="B68" t="s">
        <v>39</v>
      </c>
      <c r="C68" t="s">
        <v>78</v>
      </c>
      <c r="D68" s="35" t="e">
        <f t="shared" ca="1" si="10"/>
        <v>#N/A</v>
      </c>
      <c r="E68" s="35" t="e">
        <f t="shared" ca="1" si="11"/>
        <v>#N/A</v>
      </c>
      <c r="F68" s="35"/>
      <c r="G68" s="99" t="str">
        <f t="shared" ca="1" si="13"/>
        <v>N/A</v>
      </c>
      <c r="H68" s="99" t="str">
        <f t="shared" ca="1" si="13"/>
        <v>N/A</v>
      </c>
      <c r="I68" s="99" t="str">
        <f t="shared" ca="1" si="13"/>
        <v>N/A</v>
      </c>
      <c r="J68" s="99" t="str">
        <f t="shared" ca="1" si="13"/>
        <v>N/A</v>
      </c>
      <c r="K68" s="99" t="str">
        <f t="shared" ca="1" si="13"/>
        <v>N/A</v>
      </c>
      <c r="L68" s="99" t="str">
        <f t="shared" ca="1" si="13"/>
        <v>N/A</v>
      </c>
      <c r="M68" s="99" t="str">
        <f t="shared" ca="1" si="13"/>
        <v>N/A</v>
      </c>
      <c r="N68" s="99" t="str">
        <f t="shared" ca="1" si="13"/>
        <v>N/A</v>
      </c>
      <c r="O68" s="99" t="str">
        <f t="shared" ca="1" si="13"/>
        <v>N/A</v>
      </c>
      <c r="P68" s="99" t="str">
        <f t="shared" ca="1" si="13"/>
        <v>N/A</v>
      </c>
      <c r="Q68" s="99" t="str">
        <f t="shared" ca="1" si="13"/>
        <v>N/A</v>
      </c>
    </row>
    <row r="69" spans="1:17" customFormat="1">
      <c r="A69" t="str">
        <f>IFERROR(INDEX('[1]2017 Data (WP)'!$C$9:$C$72,MATCH($B69,'[1]2017 Data (WP)'!$D$9:$D$72,0)),"")</f>
        <v>Natural Gas Utility</v>
      </c>
      <c r="B69" s="31" t="s">
        <v>204</v>
      </c>
      <c r="C69" s="31" t="s">
        <v>203</v>
      </c>
      <c r="D69" s="35">
        <f t="shared" ca="1" si="10"/>
        <v>63</v>
      </c>
      <c r="E69" s="35">
        <f t="shared" ca="1" si="11"/>
        <v>64</v>
      </c>
      <c r="F69" s="35"/>
      <c r="G69" s="99">
        <f t="shared" ca="1" si="13"/>
        <v>2.3471216212805696E-2</v>
      </c>
      <c r="H69" s="99">
        <f t="shared" ca="1" si="13"/>
        <v>2.499648925712681E-2</v>
      </c>
      <c r="I69" s="99">
        <f t="shared" ca="1" si="13"/>
        <v>2.6066038357608911E-2</v>
      </c>
      <c r="J69" s="99">
        <f t="shared" ca="1" si="13"/>
        <v>3.0095981779729948E-2</v>
      </c>
      <c r="K69" s="99">
        <f t="shared" ca="1" si="13"/>
        <v>3.6801832283587528E-2</v>
      </c>
      <c r="L69" s="99">
        <f t="shared" ca="1" si="13"/>
        <v>3.2956913681965787E-2</v>
      </c>
      <c r="M69" s="99">
        <f t="shared" ca="1" si="13"/>
        <v>3.4804803062822666E-2</v>
      </c>
      <c r="N69" s="99">
        <f t="shared" ca="1" si="13"/>
        <v>3.2295912066197363E-2</v>
      </c>
      <c r="O69" s="99">
        <f t="shared" ca="1" si="13"/>
        <v>2.8496969010254378E-2</v>
      </c>
      <c r="P69" s="99">
        <f t="shared" ca="1" si="13"/>
        <v>2.6916620033575821E-2</v>
      </c>
      <c r="Q69" s="99">
        <f t="shared" ca="1" si="13"/>
        <v>2.9618539252701474E-2</v>
      </c>
    </row>
    <row r="70" spans="1:17" customFormat="1">
      <c r="A70" t="str">
        <f>IFERROR(INDEX('[1]2017 Data (WP)'!$C$9:$C$72,MATCH($B70,'[1]2017 Data (WP)'!$D$9:$D$72,0)),"")</f>
        <v/>
      </c>
      <c r="B70" t="s">
        <v>40</v>
      </c>
      <c r="C70" t="s">
        <v>81</v>
      </c>
      <c r="D70" s="35" t="e">
        <f t="shared" ca="1" si="10"/>
        <v>#N/A</v>
      </c>
      <c r="E70" s="35" t="e">
        <f t="shared" ca="1" si="11"/>
        <v>#N/A</v>
      </c>
      <c r="F70" s="35"/>
      <c r="G70" s="99" t="str">
        <f t="shared" ca="1" si="13"/>
        <v>N/A</v>
      </c>
      <c r="H70" s="99" t="str">
        <f t="shared" ca="1" si="13"/>
        <v>N/A</v>
      </c>
      <c r="I70" s="99" t="str">
        <f t="shared" ca="1" si="13"/>
        <v>N/A</v>
      </c>
      <c r="J70" s="99" t="str">
        <f t="shared" ca="1" si="13"/>
        <v>N/A</v>
      </c>
      <c r="K70" s="99" t="str">
        <f t="shared" ca="1" si="13"/>
        <v>N/A</v>
      </c>
      <c r="L70" s="99" t="str">
        <f t="shared" ca="1" si="13"/>
        <v>N/A</v>
      </c>
      <c r="M70" s="99" t="str">
        <f t="shared" ca="1" si="13"/>
        <v>N/A</v>
      </c>
      <c r="N70" s="99" t="str">
        <f t="shared" ca="1" si="13"/>
        <v>N/A</v>
      </c>
      <c r="O70" s="99" t="str">
        <f t="shared" ca="1" si="13"/>
        <v>N/A</v>
      </c>
      <c r="P70" s="99" t="str">
        <f t="shared" ca="1" si="13"/>
        <v>N/A</v>
      </c>
      <c r="Q70" s="99" t="str">
        <f t="shared" ca="1" si="13"/>
        <v>N/A</v>
      </c>
    </row>
    <row r="71" spans="1:17" customFormat="1">
      <c r="A71" t="str">
        <f>IFERROR(INDEX('[1]2017 Data (WP)'!$C$9:$C$72,MATCH($B71,'[1]2017 Data (WP)'!$D$9:$D$72,0)),"")</f>
        <v/>
      </c>
      <c r="B71" t="s">
        <v>41</v>
      </c>
      <c r="C71" t="s">
        <v>79</v>
      </c>
      <c r="D71" s="35" t="e">
        <f t="shared" ca="1" si="10"/>
        <v>#N/A</v>
      </c>
      <c r="E71" s="35" t="e">
        <f t="shared" ca="1" si="11"/>
        <v>#N/A</v>
      </c>
      <c r="F71" s="35"/>
      <c r="G71" s="99" t="str">
        <f t="shared" ca="1" si="13"/>
        <v>N/A</v>
      </c>
      <c r="H71" s="99" t="str">
        <f t="shared" ca="1" si="13"/>
        <v>N/A</v>
      </c>
      <c r="I71" s="99" t="str">
        <f t="shared" ca="1" si="13"/>
        <v>N/A</v>
      </c>
      <c r="J71" s="99" t="str">
        <f t="shared" ca="1" si="13"/>
        <v>N/A</v>
      </c>
      <c r="K71" s="99" t="str">
        <f t="shared" ca="1" si="13"/>
        <v>N/A</v>
      </c>
      <c r="L71" s="99" t="str">
        <f t="shared" ca="1" si="13"/>
        <v>N/A</v>
      </c>
      <c r="M71" s="99" t="str">
        <f t="shared" ca="1" si="13"/>
        <v>N/A</v>
      </c>
      <c r="N71" s="99" t="str">
        <f t="shared" ca="1" si="13"/>
        <v>N/A</v>
      </c>
      <c r="O71" s="99" t="str">
        <f t="shared" ca="1" si="13"/>
        <v>N/A</v>
      </c>
      <c r="P71" s="99" t="str">
        <f t="shared" ca="1" si="13"/>
        <v>N/A</v>
      </c>
      <c r="Q71" s="99" t="str">
        <f t="shared" ca="1" si="13"/>
        <v>N/A</v>
      </c>
    </row>
    <row r="72" spans="1:17" customFormat="1">
      <c r="A72" t="str">
        <f>IFERROR(INDEX('[1]2017 Data (WP)'!$C$9:$C$72,MATCH($B72,'[1]2017 Data (WP)'!$D$9:$D$72,0)),"")</f>
        <v/>
      </c>
      <c r="B72" t="s">
        <v>83</v>
      </c>
      <c r="C72" t="s">
        <v>82</v>
      </c>
      <c r="D72" s="35">
        <f t="shared" ca="1" si="10"/>
        <v>64</v>
      </c>
      <c r="E72" s="35">
        <f t="shared" ca="1" si="11"/>
        <v>65</v>
      </c>
      <c r="F72" s="35"/>
      <c r="G72" s="99">
        <f t="shared" ca="1" si="13"/>
        <v>3.4915170887632158E-2</v>
      </c>
      <c r="H72" s="99">
        <f t="shared" ca="1" si="13"/>
        <v>3.9974872937011019E-2</v>
      </c>
      <c r="I72" s="99">
        <f t="shared" ref="G72:Q78" ca="1" si="14">IFERROR(INDEX(Dividends,$D72,I$2)/INDEX(MarketPrice,$E72,I$2),"N/A")</f>
        <v>4.2070410983870481E-2</v>
      </c>
      <c r="J72" s="99">
        <f t="shared" ca="1" si="14"/>
        <v>4.7525570823432173E-2</v>
      </c>
      <c r="K72" s="99">
        <f t="shared" ca="1" si="14"/>
        <v>5.1646706586826345E-2</v>
      </c>
      <c r="L72" s="99">
        <f t="shared" ca="1" si="14"/>
        <v>5.4811931524804382E-2</v>
      </c>
      <c r="M72" s="99">
        <f t="shared" ca="1" si="14"/>
        <v>6.2466051059206953E-2</v>
      </c>
      <c r="N72" s="99">
        <f t="shared" ca="1" si="14"/>
        <v>6.5968736555284666E-2</v>
      </c>
      <c r="O72" s="99">
        <f t="shared" ca="1" si="14"/>
        <v>5.2875589103030765E-2</v>
      </c>
      <c r="P72" s="99">
        <f t="shared" ca="1" si="14"/>
        <v>4.9407468404281972E-2</v>
      </c>
      <c r="Q72" s="99">
        <f t="shared" ca="1" si="14"/>
        <v>5.5551082843571367E-2</v>
      </c>
    </row>
    <row r="73" spans="1:17" customFormat="1">
      <c r="A73" t="str">
        <f>IFERROR(INDEX('[1]2017 Data (WP)'!$C$9:$C$72,MATCH($B73,'[1]2017 Data (WP)'!$D$9:$D$72,0)),"")</f>
        <v>Electric Util. (Central)</v>
      </c>
      <c r="B73" t="s">
        <v>42</v>
      </c>
      <c r="C73" t="s">
        <v>89</v>
      </c>
      <c r="D73" s="35">
        <f t="shared" ca="1" si="10"/>
        <v>65</v>
      </c>
      <c r="E73" s="35">
        <f t="shared" ca="1" si="11"/>
        <v>66</v>
      </c>
      <c r="F73" s="35"/>
      <c r="G73" s="99">
        <f t="shared" ca="1" si="14"/>
        <v>3.3126124652380171E-2</v>
      </c>
      <c r="H73" s="99">
        <f t="shared" ca="1" si="14"/>
        <v>3.5952747817154594E-2</v>
      </c>
      <c r="I73" s="99">
        <f t="shared" ca="1" si="14"/>
        <v>3.616994921342747E-2</v>
      </c>
      <c r="J73" s="99">
        <f t="shared" ca="1" si="14"/>
        <v>4.1541556132116728E-2</v>
      </c>
      <c r="K73" s="99">
        <f t="shared" ca="1" si="14"/>
        <v>4.8223785824609573E-2</v>
      </c>
      <c r="L73" s="99">
        <f t="shared" ca="1" si="14"/>
        <v>5.058621571277256E-2</v>
      </c>
      <c r="M73" s="99">
        <f t="shared" ca="1" si="14"/>
        <v>5.5313307493540055E-2</v>
      </c>
      <c r="N73" s="99">
        <f t="shared" ca="1" si="14"/>
        <v>5.8507410938718904E-2</v>
      </c>
      <c r="O73" s="99">
        <f t="shared" ca="1" si="14"/>
        <v>4.7871368536451679E-2</v>
      </c>
      <c r="P73" s="99">
        <f t="shared" ca="1" si="14"/>
        <v>4.5258543886532908E-2</v>
      </c>
      <c r="Q73" s="99">
        <f t="shared" ca="1" si="14"/>
        <v>4.5152527440255497E-2</v>
      </c>
    </row>
    <row r="74" spans="1:17" customFormat="1">
      <c r="A74" t="str">
        <f>IFERROR(INDEX('[1]2017 Data (WP)'!$C$9:$C$72,MATCH($B74,'[1]2017 Data (WP)'!$D$9:$D$72,0)),"")</f>
        <v>Electric Util. (Central)</v>
      </c>
      <c r="B74" t="s">
        <v>44</v>
      </c>
      <c r="C74" t="s">
        <v>217</v>
      </c>
      <c r="D74" s="35">
        <f t="shared" ca="1" si="10"/>
        <v>66</v>
      </c>
      <c r="E74" s="35">
        <f t="shared" ca="1" si="11"/>
        <v>67</v>
      </c>
      <c r="F74" s="35"/>
      <c r="G74" s="99">
        <f t="shared" ca="1" si="14"/>
        <v>3.3535449341146981E-2</v>
      </c>
      <c r="H74" s="99">
        <f t="shared" ca="1" si="14"/>
        <v>3.4855071012199278E-2</v>
      </c>
      <c r="I74" s="99">
        <f t="shared" ca="1" si="14"/>
        <v>3.4009897752294578E-2</v>
      </c>
      <c r="J74" s="99">
        <f t="shared" ca="1" si="14"/>
        <v>3.4881475401921498E-2</v>
      </c>
      <c r="K74" s="99">
        <f t="shared" ca="1" si="14"/>
        <v>3.2407907529437181E-2</v>
      </c>
      <c r="L74" s="99">
        <f t="shared" ca="1" si="14"/>
        <v>3.3481424248277637E-2</v>
      </c>
      <c r="M74" s="99">
        <f t="shared" ca="1" si="14"/>
        <v>2.9739776951672865E-2</v>
      </c>
      <c r="N74" s="99">
        <f t="shared" ca="1" si="14"/>
        <v>3.1610002809778028E-2</v>
      </c>
      <c r="O74" s="99">
        <f t="shared" ca="1" si="14"/>
        <v>2.4129764511372269E-2</v>
      </c>
      <c r="P74" s="99">
        <f t="shared" ca="1" si="14"/>
        <v>2.1376656690893545E-2</v>
      </c>
      <c r="Q74" s="99">
        <f t="shared" ca="1" si="14"/>
        <v>2.1825773391535398E-2</v>
      </c>
    </row>
    <row r="75" spans="1:17" customFormat="1">
      <c r="A75" t="str">
        <f>IFERROR(INDEX('[1]2017 Data (WP)'!$C$9:$C$72,MATCH($B75,'[1]2017 Data (WP)'!$D$9:$D$72,0)),"")</f>
        <v>Electric Util. (Central)</v>
      </c>
      <c r="B75" t="s">
        <v>43</v>
      </c>
      <c r="C75" t="s">
        <v>87</v>
      </c>
      <c r="D75" s="35">
        <f t="shared" ca="1" si="10"/>
        <v>67</v>
      </c>
      <c r="E75" s="35">
        <f t="shared" ca="1" si="11"/>
        <v>68</v>
      </c>
      <c r="F75" s="35"/>
      <c r="G75" s="99">
        <f t="shared" ca="1" si="14"/>
        <v>2.8977770999351813E-2</v>
      </c>
      <c r="H75" s="99">
        <f t="shared" ca="1" si="14"/>
        <v>3.7335684098628426E-2</v>
      </c>
      <c r="I75" s="99">
        <f t="shared" ca="1" si="14"/>
        <v>3.8790834280014404E-2</v>
      </c>
      <c r="J75" s="99">
        <f t="shared" ca="1" si="14"/>
        <v>4.2681395932714035E-2</v>
      </c>
      <c r="K75" s="99">
        <f t="shared" ca="1" si="14"/>
        <v>4.5715868947842353E-2</v>
      </c>
      <c r="L75" s="99">
        <f t="shared" ca="1" si="14"/>
        <v>4.8387706498317772E-2</v>
      </c>
      <c r="M75" s="99">
        <f t="shared" ca="1" si="14"/>
        <v>5.3168681931223739E-2</v>
      </c>
      <c r="N75" s="99">
        <f t="shared" ca="1" si="14"/>
        <v>6.2722140915743255E-2</v>
      </c>
      <c r="O75" s="99">
        <f t="shared" ca="1" si="14"/>
        <v>5.220287115791368E-2</v>
      </c>
      <c r="P75" s="99">
        <f t="shared" ca="1" si="14"/>
        <v>4.1618497109826597E-2</v>
      </c>
      <c r="Q75" s="99">
        <f t="shared" ca="1" si="14"/>
        <v>4.2807845192853709E-2</v>
      </c>
    </row>
    <row r="76" spans="1:17" customFormat="1">
      <c r="A76" t="str">
        <f>IFERROR(INDEX('[1]2017 Data (WP)'!$C$9:$C$72,MATCH($B76,'[1]2017 Data (WP)'!$D$9:$D$72,0)),"")</f>
        <v>Natural Gas Utility</v>
      </c>
      <c r="B76" s="31" t="s">
        <v>206</v>
      </c>
      <c r="C76" s="31" t="s">
        <v>205</v>
      </c>
      <c r="D76" s="35">
        <f t="shared" ca="1" si="10"/>
        <v>68</v>
      </c>
      <c r="E76" s="35">
        <f t="shared" ca="1" si="11"/>
        <v>69</v>
      </c>
      <c r="F76" s="35"/>
      <c r="G76" s="99">
        <f t="shared" ca="1" si="14"/>
        <v>2.9439580219042676E-2</v>
      </c>
      <c r="H76" s="99">
        <f t="shared" ca="1" si="14"/>
        <v>3.4080116207609361E-2</v>
      </c>
      <c r="I76" s="99">
        <f t="shared" ca="1" si="14"/>
        <v>4.2359315355251816E-2</v>
      </c>
      <c r="J76" s="99">
        <f t="shared" ca="1" si="14"/>
        <v>3.9387827737572663E-2</v>
      </c>
      <c r="K76" s="99">
        <f t="shared" ca="1" si="14"/>
        <v>3.8857254576113789E-2</v>
      </c>
      <c r="L76" s="99">
        <f t="shared" ca="1" si="14"/>
        <v>4.0588666596836701E-2</v>
      </c>
      <c r="M76" s="99">
        <f t="shared" ca="1" si="14"/>
        <v>4.3729228616407205E-2</v>
      </c>
      <c r="N76" s="99">
        <f t="shared" ca="1" si="14"/>
        <v>4.6171241912180409E-2</v>
      </c>
      <c r="O76" s="99">
        <f t="shared" ca="1" si="14"/>
        <v>4.2240422404224043E-2</v>
      </c>
      <c r="P76" s="99">
        <f t="shared" ca="1" si="14"/>
        <v>4.1855758616460195E-2</v>
      </c>
      <c r="Q76" s="99">
        <f t="shared" ca="1" si="14"/>
        <v>4.4845292077887434E-2</v>
      </c>
    </row>
    <row r="77" spans="1:17" customFormat="1">
      <c r="A77" t="str">
        <f>IFERROR(INDEX('[1]2017 Data (WP)'!$C$9:$C$72,MATCH($B77,'[1]2017 Data (WP)'!$D$9:$D$72,0)),"")</f>
        <v>Electric Utility (West)</v>
      </c>
      <c r="B77" t="s">
        <v>45</v>
      </c>
      <c r="C77" t="s">
        <v>65</v>
      </c>
      <c r="D77" s="35">
        <f t="shared" ca="1" si="10"/>
        <v>69</v>
      </c>
      <c r="E77" s="35">
        <f t="shared" ca="1" si="11"/>
        <v>70</v>
      </c>
      <c r="F77" s="35"/>
      <c r="G77" s="99">
        <f t="shared" ca="1" si="14"/>
        <v>3.3309657351392394E-2</v>
      </c>
      <c r="H77" s="99">
        <f t="shared" ca="1" si="14"/>
        <v>3.6856805551556335E-2</v>
      </c>
      <c r="I77" s="99">
        <f t="shared" ca="1" si="14"/>
        <v>3.8284839203675342E-2</v>
      </c>
      <c r="J77" s="99">
        <f t="shared" ca="1" si="14"/>
        <v>3.8642297650130553E-2</v>
      </c>
      <c r="K77" s="99">
        <f t="shared" ca="1" si="14"/>
        <v>3.9022611232676876E-2</v>
      </c>
      <c r="L77" s="99">
        <f t="shared" ca="1" si="14"/>
        <v>4.2045964812017798E-2</v>
      </c>
      <c r="M77" s="99">
        <f t="shared" ca="1" si="14"/>
        <v>4.5369992287101313E-2</v>
      </c>
      <c r="N77" s="99">
        <f t="shared" ca="1" si="14"/>
        <v>5.1404345521992578E-2</v>
      </c>
      <c r="O77" s="99">
        <f t="shared" ca="1" si="14"/>
        <v>4.7042338104293861E-2</v>
      </c>
      <c r="P77" s="99">
        <f t="shared" ca="1" si="14"/>
        <v>4.047682590516858E-2</v>
      </c>
      <c r="Q77" s="99">
        <f t="shared" ca="1" si="14"/>
        <v>4.4039635672104893E-2</v>
      </c>
    </row>
    <row r="78" spans="1:17" customFormat="1">
      <c r="A78" t="str">
        <f>IFERROR(INDEX('[1]2017 Data (WP)'!$C$9:$C$72,MATCH($B78,'[1]2017 Data (WP)'!$D$9:$D$72,0)),"")</f>
        <v>Water Utility</v>
      </c>
      <c r="B78" s="31" t="s">
        <v>208</v>
      </c>
      <c r="C78" s="31" t="s">
        <v>207</v>
      </c>
      <c r="D78" s="35">
        <f t="shared" ca="1" si="10"/>
        <v>70</v>
      </c>
      <c r="E78" s="35">
        <f t="shared" ca="1" si="11"/>
        <v>71</v>
      </c>
      <c r="F78" s="35"/>
      <c r="G78" s="99" t="str">
        <f t="shared" ca="1" si="14"/>
        <v>N/A</v>
      </c>
      <c r="H78" s="99">
        <f t="shared" ca="1" si="14"/>
        <v>2.629618267081562E-2</v>
      </c>
      <c r="I78" s="99">
        <f t="shared" ca="1" si="14"/>
        <v>2.7863023040576744E-2</v>
      </c>
      <c r="J78" s="99">
        <f t="shared" ca="1" si="14"/>
        <v>2.8024572269888821E-2</v>
      </c>
      <c r="K78" s="99">
        <f t="shared" ca="1" si="14"/>
        <v>3.0624999999999999E-2</v>
      </c>
      <c r="L78" s="99">
        <f t="shared" ca="1" si="14"/>
        <v>3.1049313615742653E-2</v>
      </c>
      <c r="M78" s="99">
        <f t="shared" ca="1" si="14"/>
        <v>3.5007817279586705E-2</v>
      </c>
      <c r="N78" s="99">
        <f t="shared" ca="1" si="14"/>
        <v>3.6155769917827797E-2</v>
      </c>
      <c r="O78" s="99">
        <f t="shared" ca="1" si="14"/>
        <v>3.490862364363221E-2</v>
      </c>
      <c r="P78" s="99">
        <f t="shared" ca="1" si="14"/>
        <v>2.753623188405797E-2</v>
      </c>
      <c r="Q78" s="99">
        <f t="shared" ca="1" si="14"/>
        <v>2.5049657912160673E-2</v>
      </c>
    </row>
    <row r="79" spans="1:17" customFormat="1">
      <c r="B79" s="31"/>
      <c r="C79" s="31"/>
      <c r="D79" s="35"/>
      <c r="E79" s="35"/>
      <c r="F79" s="35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</sheetData>
  <pageMargins left="0.7" right="0.7" top="0.75" bottom="0.75" header="0.3" footer="0.3"/>
  <pageSetup scale="75" fitToHeight="0" orientation="landscape" r:id="rId1"/>
  <headerFoot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1"/>
  <dimension ref="A1:T79"/>
  <sheetViews>
    <sheetView zoomScale="70" zoomScaleNormal="70" workbookViewId="0"/>
  </sheetViews>
  <sheetFormatPr defaultRowHeight="14.25"/>
  <cols>
    <col min="1" max="1" width="15.25" customWidth="1"/>
    <col min="2" max="2" width="7.5" bestFit="1" customWidth="1"/>
    <col min="3" max="3" width="22.25" customWidth="1"/>
    <col min="4" max="4" width="3.25" bestFit="1" customWidth="1"/>
    <col min="5" max="5" width="2.875" bestFit="1" customWidth="1"/>
    <col min="6" max="6" width="1.5" customWidth="1"/>
    <col min="7" max="11" width="5" bestFit="1" customWidth="1"/>
    <col min="12" max="12" width="4.875" bestFit="1" customWidth="1"/>
    <col min="13" max="13" width="5" bestFit="1" customWidth="1"/>
    <col min="14" max="17" width="5.25" bestFit="1" customWidth="1"/>
    <col min="18" max="20" width="9.25" style="31" customWidth="1"/>
  </cols>
  <sheetData>
    <row r="1" spans="1:20">
      <c r="A1" t="s">
        <v>322</v>
      </c>
    </row>
    <row r="2" spans="1:20">
      <c r="E2" s="35"/>
      <c r="F2" s="35"/>
      <c r="G2" s="35">
        <f t="shared" ref="G2:Q2" ca="1" si="0">MATCH(G3,OFFSET(BookValue,-2,0,1,),0)</f>
        <v>2</v>
      </c>
      <c r="H2" s="35">
        <f t="shared" ca="1" si="0"/>
        <v>3</v>
      </c>
      <c r="I2" s="35">
        <f t="shared" ca="1" si="0"/>
        <v>4</v>
      </c>
      <c r="J2" s="35">
        <f t="shared" ca="1" si="0"/>
        <v>5</v>
      </c>
      <c r="K2" s="35">
        <f t="shared" ca="1" si="0"/>
        <v>6</v>
      </c>
      <c r="L2" s="35">
        <f t="shared" ca="1" si="0"/>
        <v>7</v>
      </c>
      <c r="M2" s="35">
        <f t="shared" ca="1" si="0"/>
        <v>8</v>
      </c>
      <c r="N2" s="35">
        <f t="shared" ca="1" si="0"/>
        <v>9</v>
      </c>
      <c r="O2" s="35">
        <f t="shared" ca="1" si="0"/>
        <v>10</v>
      </c>
      <c r="P2" s="35">
        <f t="shared" ca="1" si="0"/>
        <v>11</v>
      </c>
      <c r="Q2" s="35">
        <f t="shared" ca="1" si="0"/>
        <v>12</v>
      </c>
      <c r="R2" s="55"/>
      <c r="S2" s="55"/>
      <c r="T2" s="55"/>
    </row>
    <row r="3" spans="1:20" ht="15.75" thickBot="1">
      <c r="D3" s="35" t="s">
        <v>320</v>
      </c>
      <c r="E3" s="35" t="s">
        <v>256</v>
      </c>
      <c r="F3" s="35"/>
      <c r="G3" s="49">
        <v>2016</v>
      </c>
      <c r="H3" s="49">
        <v>2015</v>
      </c>
      <c r="I3" s="49">
        <v>2014</v>
      </c>
      <c r="J3" s="49">
        <v>2013</v>
      </c>
      <c r="K3" s="49">
        <v>2012</v>
      </c>
      <c r="L3" s="49">
        <v>2011</v>
      </c>
      <c r="M3" s="49">
        <v>2010</v>
      </c>
      <c r="N3" s="49">
        <v>2009</v>
      </c>
      <c r="O3" s="49">
        <v>2008</v>
      </c>
      <c r="P3" s="49">
        <v>2007</v>
      </c>
      <c r="Q3" s="49">
        <v>2006</v>
      </c>
      <c r="R3" s="56"/>
      <c r="S3" s="56"/>
      <c r="T3" s="56"/>
    </row>
    <row r="4" spans="1:20">
      <c r="D4" s="35"/>
      <c r="E4" s="35"/>
      <c r="F4" s="35"/>
      <c r="G4" s="35"/>
      <c r="H4" s="35"/>
    </row>
    <row r="5" spans="1:20">
      <c r="A5" t="str">
        <f>IFERROR(INDEX('2017 Data (WP)'!$C$9:$C$72,MATCH($B5,'2017 Data (WP)'!$D$9:$D$72,0)),"")</f>
        <v>Electric Util. (Central)</v>
      </c>
      <c r="B5" t="s">
        <v>0</v>
      </c>
      <c r="C5" t="s">
        <v>91</v>
      </c>
      <c r="D5" s="35">
        <f t="shared" ref="D5:D36" ca="1" si="1">MATCH(B5,OFFSET(Dividends,0,0,,1),0)</f>
        <v>3</v>
      </c>
      <c r="E5" s="35">
        <f t="shared" ref="E5:E46" ca="1" si="2">MATCH(B5,OFFSET(BookValue,0,0,,1),0)</f>
        <v>3</v>
      </c>
      <c r="F5" s="35"/>
      <c r="G5" s="17">
        <f t="shared" ref="G5:Q14" ca="1" si="3">IFERROR(INDEX(Dividends,$D5,G$2)/INDEX(BookValue,$E5,G$2),"N/A")</f>
        <v>5.4500196515131667E-2</v>
      </c>
      <c r="H5" s="17">
        <f t="shared" ca="1" si="3"/>
        <v>5.4490032640069061E-2</v>
      </c>
      <c r="I5" s="17">
        <f t="shared" ca="1" si="3"/>
        <v>5.5899381113994805E-2</v>
      </c>
      <c r="J5" s="17">
        <f t="shared" ca="1" si="3"/>
        <v>5.8575084009002069E-2</v>
      </c>
      <c r="K5" s="17">
        <f t="shared" ca="1" si="3"/>
        <v>6.0363493209107021E-2</v>
      </c>
      <c r="L5" s="17">
        <f t="shared" ca="1" si="3"/>
        <v>6.1846356971613219E-2</v>
      </c>
      <c r="M5" s="17">
        <f t="shared" ca="1" si="3"/>
        <v>6.4556358434508299E-2</v>
      </c>
      <c r="N5" s="17">
        <f t="shared" ca="1" si="3"/>
        <v>6.6651518594258885E-2</v>
      </c>
      <c r="O5" s="17">
        <f t="shared" ca="1" si="3"/>
        <v>6.7793937960663755E-2</v>
      </c>
      <c r="P5" s="17">
        <f t="shared" ca="1" si="3"/>
        <v>6.8021567814184988E-2</v>
      </c>
      <c r="Q5" s="17">
        <f t="shared" ca="1" si="3"/>
        <v>6.6207022510387653E-2</v>
      </c>
      <c r="R5" s="57"/>
      <c r="S5" s="58"/>
      <c r="T5" s="58"/>
    </row>
    <row r="6" spans="1:20">
      <c r="A6" t="str">
        <f>IFERROR(INDEX('2017 Data (WP)'!$C$9:$C$72,MATCH($B6,'2017 Data (WP)'!$D$9:$D$72,0)),"")</f>
        <v>Electric Util. (Central)</v>
      </c>
      <c r="B6" t="s">
        <v>1</v>
      </c>
      <c r="C6" t="s">
        <v>84</v>
      </c>
      <c r="D6" s="35">
        <f t="shared" ca="1" si="1"/>
        <v>4</v>
      </c>
      <c r="E6" s="35">
        <f t="shared" ca="1" si="2"/>
        <v>4</v>
      </c>
      <c r="F6" s="35"/>
      <c r="G6" s="17">
        <f t="shared" ca="1" si="3"/>
        <v>6.9563166892648701E-2</v>
      </c>
      <c r="H6" s="17">
        <f t="shared" ca="1" si="3"/>
        <v>6.7024128686327081E-2</v>
      </c>
      <c r="I6" s="17">
        <f t="shared" ca="1" si="3"/>
        <v>6.5620174987133295E-2</v>
      </c>
      <c r="J6" s="17">
        <f t="shared" ca="1" si="3"/>
        <v>6.356075461491649E-2</v>
      </c>
      <c r="K6" s="17">
        <f t="shared" ca="1" si="3"/>
        <v>6.3725837286695466E-2</v>
      </c>
      <c r="L6" s="17">
        <f t="shared" ca="1" si="3"/>
        <v>6.2638172439204123E-2</v>
      </c>
      <c r="M6" s="17">
        <f t="shared" ca="1" si="3"/>
        <v>6.0550318080784857E-2</v>
      </c>
      <c r="N6" s="17">
        <f t="shared" ca="1" si="3"/>
        <v>5.9822924144532177E-2</v>
      </c>
      <c r="O6" s="17">
        <f t="shared" ca="1" si="3"/>
        <v>5.4764512595837894E-2</v>
      </c>
      <c r="P6" s="17">
        <f t="shared" ca="1" si="3"/>
        <v>5.2271978926572274E-2</v>
      </c>
      <c r="Q6" s="17">
        <f t="shared" ca="1" si="3"/>
        <v>5.0367904695164674E-2</v>
      </c>
      <c r="R6" s="57"/>
      <c r="S6" s="57"/>
      <c r="T6" s="57"/>
    </row>
    <row r="7" spans="1:20">
      <c r="A7" t="str">
        <f>IFERROR(INDEX('2017 Data (WP)'!$C$9:$C$72,MATCH($B7,'2017 Data (WP)'!$D$9:$D$72,0)),"")</f>
        <v>Water Utility</v>
      </c>
      <c r="B7" s="31" t="s">
        <v>165</v>
      </c>
      <c r="C7" s="31" t="s">
        <v>164</v>
      </c>
      <c r="D7" s="35">
        <f t="shared" ca="1" si="1"/>
        <v>6</v>
      </c>
      <c r="E7" s="35">
        <f t="shared" ca="1" si="2"/>
        <v>6</v>
      </c>
      <c r="F7" s="35"/>
      <c r="G7" s="17">
        <f t="shared" ca="1" si="3"/>
        <v>6.7623557265463152E-2</v>
      </c>
      <c r="H7" s="17">
        <f t="shared" ca="1" si="3"/>
        <v>6.8468468468468463E-2</v>
      </c>
      <c r="I7" s="17">
        <f t="shared" ca="1" si="3"/>
        <v>6.2778575205862358E-2</v>
      </c>
      <c r="J7" s="17">
        <f t="shared" ca="1" si="3"/>
        <v>5.9762522607533224E-2</v>
      </c>
      <c r="K7" s="17">
        <f t="shared" ca="1" si="3"/>
        <v>5.381812017967625E-2</v>
      </c>
      <c r="L7" s="17">
        <f t="shared" ca="1" si="3"/>
        <v>5.073332718383914E-2</v>
      </c>
      <c r="M7" s="17">
        <f t="shared" ca="1" si="3"/>
        <v>5.1322542439794713E-2</v>
      </c>
      <c r="N7" s="17">
        <f t="shared" ca="1" si="3"/>
        <v>5.2077962256367953E-2</v>
      </c>
      <c r="O7" s="17">
        <f t="shared" ca="1" si="3"/>
        <v>5.5716514374860707E-2</v>
      </c>
      <c r="P7" s="17">
        <f t="shared" ca="1" si="3"/>
        <v>5.4522641724649254E-2</v>
      </c>
      <c r="Q7" s="17">
        <f t="shared" ca="1" si="3"/>
        <v>5.4680927773104196E-2</v>
      </c>
      <c r="R7" s="57"/>
      <c r="S7" s="57"/>
      <c r="T7" s="57"/>
    </row>
    <row r="8" spans="1:20">
      <c r="A8" t="str">
        <f>IFERROR(INDEX('2017 Data (WP)'!$C$9:$C$72,MATCH($B8,'2017 Data (WP)'!$D$9:$D$72,0)),"")</f>
        <v>Water Utility</v>
      </c>
      <c r="B8" s="31" t="s">
        <v>167</v>
      </c>
      <c r="C8" s="31" t="s">
        <v>166</v>
      </c>
      <c r="D8" s="35">
        <f t="shared" ca="1" si="1"/>
        <v>7</v>
      </c>
      <c r="E8" s="35">
        <f t="shared" ca="1" si="2"/>
        <v>7</v>
      </c>
      <c r="F8" s="35"/>
      <c r="G8" s="17">
        <f t="shared" ca="1" si="3"/>
        <v>5.0268440310501657E-2</v>
      </c>
      <c r="H8" s="17">
        <f t="shared" ca="1" si="3"/>
        <v>4.707464694014795E-2</v>
      </c>
      <c r="I8" s="17">
        <f t="shared" ca="1" si="3"/>
        <v>4.4175094008981057E-2</v>
      </c>
      <c r="J8" s="17">
        <f t="shared" ca="1" si="3"/>
        <v>3.1669431458301915E-2</v>
      </c>
      <c r="K8" s="17">
        <f t="shared" ca="1" si="3"/>
        <v>4.8197570205138415E-2</v>
      </c>
      <c r="L8" s="17">
        <f t="shared" ca="1" si="3"/>
        <v>3.7324264919338115E-2</v>
      </c>
      <c r="M8" s="17">
        <f t="shared" ca="1" si="3"/>
        <v>3.6459216550788535E-2</v>
      </c>
      <c r="N8" s="17">
        <f t="shared" ca="1" si="3"/>
        <v>3.579223046704496E-2</v>
      </c>
      <c r="O8" s="17">
        <f t="shared" ca="1" si="3"/>
        <v>1.5601841017240034E-2</v>
      </c>
      <c r="P8" s="17">
        <f t="shared" ca="1" si="3"/>
        <v>0</v>
      </c>
      <c r="Q8" s="17">
        <f t="shared" ca="1" si="3"/>
        <v>0</v>
      </c>
      <c r="R8" s="57"/>
      <c r="S8" s="57"/>
      <c r="T8" s="57"/>
    </row>
    <row r="9" spans="1:20">
      <c r="A9" t="str">
        <f>IFERROR(INDEX('2017 Data (WP)'!$C$9:$C$72,MATCH($B9,'2017 Data (WP)'!$D$9:$D$72,0)),"")</f>
        <v>Electric Util. (Central)</v>
      </c>
      <c r="B9" t="s">
        <v>3</v>
      </c>
      <c r="C9" t="s">
        <v>80</v>
      </c>
      <c r="D9" s="35">
        <f t="shared" ca="1" si="1"/>
        <v>8</v>
      </c>
      <c r="E9" s="35">
        <f t="shared" ca="1" si="2"/>
        <v>8</v>
      </c>
      <c r="F9" s="35"/>
      <c r="G9" s="17">
        <f t="shared" ca="1" si="3"/>
        <v>5.8584409373505501E-2</v>
      </c>
      <c r="H9" s="17">
        <f t="shared" ca="1" si="3"/>
        <v>5.7812554581339298E-2</v>
      </c>
      <c r="I9" s="17">
        <f t="shared" ca="1" si="3"/>
        <v>5.8192069975060538E-2</v>
      </c>
      <c r="J9" s="17">
        <f t="shared" ca="1" si="3"/>
        <v>5.9322976530347411E-2</v>
      </c>
      <c r="K9" s="17">
        <f t="shared" ca="1" si="3"/>
        <v>5.8678989254410098E-2</v>
      </c>
      <c r="L9" s="17">
        <f t="shared" ca="1" si="3"/>
        <v>4.7638012376692601E-2</v>
      </c>
      <c r="M9" s="17">
        <f t="shared" ca="1" si="3"/>
        <v>4.7893018193127038E-2</v>
      </c>
      <c r="N9" s="17">
        <f t="shared" ca="1" si="3"/>
        <v>4.6555216300371835E-2</v>
      </c>
      <c r="O9" s="17">
        <f t="shared" ca="1" si="3"/>
        <v>7.7443746569912791E-2</v>
      </c>
      <c r="P9" s="17">
        <f t="shared" ca="1" si="3"/>
        <v>7.8358784513342591E-2</v>
      </c>
      <c r="Q9" s="17">
        <f t="shared" ca="1" si="3"/>
        <v>7.9713783580215913E-2</v>
      </c>
      <c r="R9" s="57"/>
      <c r="S9" s="57"/>
      <c r="T9" s="57"/>
    </row>
    <row r="10" spans="1:20">
      <c r="A10" t="str">
        <f>IFERROR(INDEX('2017 Data (WP)'!$C$9:$C$72,MATCH($B10,'2017 Data (WP)'!$D$9:$D$72,0)),"")</f>
        <v>Electric Util. (Central)</v>
      </c>
      <c r="B10" t="s">
        <v>2</v>
      </c>
      <c r="C10" t="s">
        <v>103</v>
      </c>
      <c r="D10" s="35">
        <f t="shared" ca="1" si="1"/>
        <v>5</v>
      </c>
      <c r="E10" s="35">
        <f t="shared" ca="1" si="2"/>
        <v>5</v>
      </c>
      <c r="F10" s="35"/>
      <c r="G10" s="17">
        <f t="shared" ca="1" si="3"/>
        <v>6.4160542679479932E-2</v>
      </c>
      <c r="H10" s="17">
        <f t="shared" ca="1" si="3"/>
        <v>5.9009194455880327E-2</v>
      </c>
      <c r="I10" s="17">
        <f t="shared" ca="1" si="3"/>
        <v>5.9066573556797008E-2</v>
      </c>
      <c r="J10" s="17">
        <f t="shared" ca="1" si="3"/>
        <v>5.9133915574963614E-2</v>
      </c>
      <c r="K10" s="17">
        <f t="shared" ca="1" si="3"/>
        <v>5.9924138590507756E-2</v>
      </c>
      <c r="L10" s="17">
        <f t="shared" ca="1" si="3"/>
        <v>6.0987670600646145E-2</v>
      </c>
      <c r="M10" s="17">
        <f t="shared" ca="1" si="3"/>
        <v>6.0355781448538752E-2</v>
      </c>
      <c r="N10" s="17">
        <f t="shared" ca="1" si="3"/>
        <v>5.9666739430983044E-2</v>
      </c>
      <c r="O10" s="17">
        <f t="shared" ca="1" si="3"/>
        <v>6.2279269357839971E-2</v>
      </c>
      <c r="P10" s="17">
        <f t="shared" ca="1" si="3"/>
        <v>6.2770648762464742E-2</v>
      </c>
      <c r="Q10" s="17">
        <f t="shared" ca="1" si="3"/>
        <v>6.3219117461120244E-2</v>
      </c>
      <c r="R10" s="57"/>
      <c r="S10" s="57"/>
      <c r="T10" s="57"/>
    </row>
    <row r="11" spans="1:20">
      <c r="A11" t="str">
        <f>IFERROR(INDEX('2017 Data (WP)'!$C$9:$C$72,MATCH($B11,'2017 Data (WP)'!$D$9:$D$72,0)),"")</f>
        <v>Water Utility</v>
      </c>
      <c r="B11" s="31" t="s">
        <v>171</v>
      </c>
      <c r="C11" s="31" t="s">
        <v>170</v>
      </c>
      <c r="D11" s="35">
        <f t="shared" ca="1" si="1"/>
        <v>10</v>
      </c>
      <c r="E11" s="35">
        <f t="shared" ca="1" si="2"/>
        <v>10</v>
      </c>
      <c r="F11" s="35"/>
      <c r="G11" s="17">
        <f t="shared" ca="1" si="3"/>
        <v>7.0955988110077667E-2</v>
      </c>
      <c r="H11" s="17">
        <f t="shared" ca="1" si="3"/>
        <v>7.0581014729950903E-2</v>
      </c>
      <c r="I11" s="17">
        <f t="shared" ca="1" si="3"/>
        <v>6.7968497141007653E-2</v>
      </c>
      <c r="J11" s="17">
        <f t="shared" ca="1" si="3"/>
        <v>6.7230787063869243E-2</v>
      </c>
      <c r="K11" s="17">
        <f t="shared" ca="1" si="3"/>
        <v>6.7856690720344351E-2</v>
      </c>
      <c r="L11" s="17">
        <f t="shared" ca="1" si="3"/>
        <v>6.9922308546059936E-2</v>
      </c>
      <c r="M11" s="17">
        <f t="shared" ca="1" si="3"/>
        <v>6.9320017623733285E-2</v>
      </c>
      <c r="N11" s="17">
        <f t="shared" ca="1" si="3"/>
        <v>6.7692307692307691E-2</v>
      </c>
      <c r="O11" s="17">
        <f t="shared" ca="1" si="3"/>
        <v>6.5227817745803357E-2</v>
      </c>
      <c r="P11" s="17">
        <f t="shared" ca="1" si="3"/>
        <v>6.5584970111016216E-2</v>
      </c>
      <c r="Q11" s="17">
        <f t="shared" ca="1" si="3"/>
        <v>6.3173007896625985E-2</v>
      </c>
      <c r="R11" s="57"/>
      <c r="S11" s="57"/>
      <c r="T11" s="57"/>
    </row>
    <row r="12" spans="1:20">
      <c r="A12" t="str">
        <f>IFERROR(INDEX('2017 Data (WP)'!$C$9:$C$72,MATCH($B12,'2017 Data (WP)'!$D$9:$D$72,0)),"")</f>
        <v>Natural Gas Utility</v>
      </c>
      <c r="B12" s="31" t="s">
        <v>175</v>
      </c>
      <c r="C12" s="31" t="s">
        <v>174</v>
      </c>
      <c r="D12" s="35">
        <f t="shared" ca="1" si="1"/>
        <v>12</v>
      </c>
      <c r="E12" s="35">
        <f t="shared" ca="1" si="2"/>
        <v>12</v>
      </c>
      <c r="F12" s="35"/>
      <c r="G12" s="17">
        <f t="shared" ca="1" si="3"/>
        <v>5.0418654902313856E-2</v>
      </c>
      <c r="H12" s="17">
        <f t="shared" ca="1" si="3"/>
        <v>4.955212502382314E-2</v>
      </c>
      <c r="I12" s="17">
        <f t="shared" ca="1" si="3"/>
        <v>4.8141040236801873E-2</v>
      </c>
      <c r="J12" s="17">
        <f t="shared" ca="1" si="3"/>
        <v>4.9176297024834024E-2</v>
      </c>
      <c r="K12" s="17">
        <f t="shared" ca="1" si="3"/>
        <v>5.2784577723378211E-2</v>
      </c>
      <c r="L12" s="17">
        <f t="shared" ca="1" si="3"/>
        <v>5.4447914164464727E-2</v>
      </c>
      <c r="M12" s="17">
        <f t="shared" ca="1" si="3"/>
        <v>5.5463576158940403E-2</v>
      </c>
      <c r="N12" s="17">
        <f t="shared" ca="1" si="3"/>
        <v>5.6124835239593523E-2</v>
      </c>
      <c r="O12" s="17">
        <f t="shared" ca="1" si="3"/>
        <v>5.7519578779700015E-2</v>
      </c>
      <c r="P12" s="17">
        <f t="shared" ca="1" si="3"/>
        <v>5.8165954739616471E-2</v>
      </c>
      <c r="Q12" s="17">
        <f t="shared" ca="1" si="3"/>
        <v>6.2490700788573127E-2</v>
      </c>
      <c r="R12" s="57"/>
      <c r="S12" s="57"/>
      <c r="T12" s="57"/>
    </row>
    <row r="13" spans="1:20">
      <c r="A13" t="str">
        <f>IFERROR(INDEX('2017 Data (WP)'!$C$9:$C$72,MATCH($B13,'2017 Data (WP)'!$D$9:$D$72,0)),"")</f>
        <v>Electric Utility (East)</v>
      </c>
      <c r="B13" t="s">
        <v>261</v>
      </c>
      <c r="C13" t="s">
        <v>262</v>
      </c>
      <c r="D13" s="35">
        <f t="shared" ca="1" si="1"/>
        <v>13</v>
      </c>
      <c r="E13" s="35">
        <f t="shared" ca="1" si="2"/>
        <v>13</v>
      </c>
      <c r="F13" s="35"/>
      <c r="G13" s="17">
        <f t="shared" ca="1" si="3"/>
        <v>3.5338868665385083E-2</v>
      </c>
      <c r="H13" s="17">
        <f ca="1">IFERROR(INDEX(Dividends,$D13,H$2)/INDEX(BookValue,$E13,H$2),"N/A")</f>
        <v>0</v>
      </c>
      <c r="I13" s="17" t="str">
        <f t="shared" ca="1" si="3"/>
        <v>N/A</v>
      </c>
      <c r="J13" s="17" t="str">
        <f t="shared" ca="1" si="3"/>
        <v>N/A</v>
      </c>
      <c r="K13" s="17" t="str">
        <f t="shared" ca="1" si="3"/>
        <v>N/A</v>
      </c>
      <c r="L13" s="17" t="str">
        <f t="shared" ca="1" si="3"/>
        <v>N/A</v>
      </c>
      <c r="M13" s="17" t="str">
        <f t="shared" ca="1" si="3"/>
        <v>N/A</v>
      </c>
      <c r="N13" s="17" t="str">
        <f t="shared" ca="1" si="3"/>
        <v>N/A</v>
      </c>
      <c r="O13" s="17" t="str">
        <f t="shared" ca="1" si="3"/>
        <v>N/A</v>
      </c>
      <c r="P13" s="17" t="str">
        <f t="shared" ca="1" si="3"/>
        <v>N/A</v>
      </c>
      <c r="Q13" s="17" t="str">
        <f t="shared" ca="1" si="3"/>
        <v>N/A</v>
      </c>
      <c r="R13" s="57"/>
      <c r="S13" s="57"/>
      <c r="T13" s="57"/>
    </row>
    <row r="14" spans="1:20">
      <c r="A14" t="str">
        <f>IFERROR(INDEX('2017 Data (WP)'!$C$9:$C$72,MATCH($B14,'2017 Data (WP)'!$D$9:$D$72,0)),"")</f>
        <v>Electric Utility (West)</v>
      </c>
      <c r="B14" t="s">
        <v>4</v>
      </c>
      <c r="C14" t="s">
        <v>86</v>
      </c>
      <c r="D14" s="35">
        <f t="shared" ca="1" si="1"/>
        <v>14</v>
      </c>
      <c r="E14" s="35">
        <f t="shared" ca="1" si="2"/>
        <v>14</v>
      </c>
      <c r="F14" s="35"/>
      <c r="G14" s="17">
        <f t="shared" ca="1" si="3"/>
        <v>5.3336447870435261E-2</v>
      </c>
      <c r="H14" s="17">
        <f t="shared" ca="1" si="3"/>
        <v>5.3807272134355127E-2</v>
      </c>
      <c r="I14" s="17">
        <f t="shared" ca="1" si="3"/>
        <v>5.3278516591853002E-2</v>
      </c>
      <c r="J14" s="17">
        <f t="shared" ca="1" si="3"/>
        <v>5.6455344747801943E-2</v>
      </c>
      <c r="K14" s="17">
        <f t="shared" ca="1" si="3"/>
        <v>5.5088569121907204E-2</v>
      </c>
      <c r="L14" s="17">
        <f t="shared" ca="1" si="3"/>
        <v>5.4200542005420051E-2</v>
      </c>
      <c r="M14" s="17">
        <f t="shared" ca="1" si="3"/>
        <v>5.0738241412552641E-2</v>
      </c>
      <c r="N14" s="17">
        <f t="shared" ca="1" si="3"/>
        <v>4.2251317093526683E-2</v>
      </c>
      <c r="O14" s="17">
        <f t="shared" ca="1" si="3"/>
        <v>3.7713161346742456E-2</v>
      </c>
      <c r="P14" s="17">
        <f t="shared" ca="1" si="3"/>
        <v>3.4444830380919299E-2</v>
      </c>
      <c r="Q14" s="17">
        <f t="shared" ca="1" si="3"/>
        <v>3.2647917979265709E-2</v>
      </c>
      <c r="R14" s="57"/>
      <c r="S14" s="57"/>
      <c r="T14" s="57"/>
    </row>
    <row r="15" spans="1:20">
      <c r="A15" t="str">
        <f>IFERROR(INDEX('2017 Data (WP)'!$C$9:$C$72,MATCH($B15,'2017 Data (WP)'!$D$9:$D$72,0)),"")</f>
        <v>Electric Utility (West)</v>
      </c>
      <c r="B15" t="s">
        <v>5</v>
      </c>
      <c r="C15" t="s">
        <v>46</v>
      </c>
      <c r="D15" s="35">
        <f t="shared" ca="1" si="1"/>
        <v>15</v>
      </c>
      <c r="E15" s="35">
        <f t="shared" ca="1" si="2"/>
        <v>15</v>
      </c>
      <c r="F15" s="35"/>
      <c r="G15" s="17">
        <f t="shared" ref="G15:Q24" ca="1" si="4">IFERROR(INDEX(Dividends,$D15,G$2)/INDEX(BookValue,$E15,G$2),"N/A")</f>
        <v>5.5542698449432999E-2</v>
      </c>
      <c r="H15" s="17">
        <f t="shared" ca="1" si="4"/>
        <v>5.6574122577265587E-2</v>
      </c>
      <c r="I15" s="17">
        <f t="shared" ca="1" si="4"/>
        <v>5.0644417751517706E-2</v>
      </c>
      <c r="J15" s="17">
        <f t="shared" ca="1" si="4"/>
        <v>5.1721791207295489E-2</v>
      </c>
      <c r="K15" s="17">
        <f t="shared" ca="1" si="4"/>
        <v>5.3082744521358631E-2</v>
      </c>
      <c r="L15" s="17">
        <f t="shared" ca="1" si="4"/>
        <v>5.3029202382681967E-2</v>
      </c>
      <c r="M15" s="17">
        <f t="shared" ca="1" si="4"/>
        <v>5.1393697134087583E-2</v>
      </c>
      <c r="N15" s="17">
        <f t="shared" ca="1" si="4"/>
        <v>5.1007579295233307E-2</v>
      </c>
      <c r="O15" s="17">
        <f t="shared" ca="1" si="4"/>
        <v>5.1487624581663047E-2</v>
      </c>
      <c r="P15" s="17">
        <f t="shared" ca="1" si="4"/>
        <v>5.3390491036632896E-2</v>
      </c>
      <c r="Q15" s="17">
        <f t="shared" ca="1" si="4"/>
        <v>5.5752660922453123E-2</v>
      </c>
      <c r="R15" s="57"/>
      <c r="S15" s="57"/>
      <c r="T15" s="57"/>
    </row>
    <row r="16" spans="1:20">
      <c r="A16" t="str">
        <f>IFERROR(INDEX('2017 Data (WP)'!$C$9:$C$72,MATCH($B16,'2017 Data (WP)'!$D$9:$D$72,0)),"")</f>
        <v>Water Utility</v>
      </c>
      <c r="B16" s="31" t="s">
        <v>177</v>
      </c>
      <c r="C16" s="31" t="s">
        <v>176</v>
      </c>
      <c r="D16" s="35">
        <f t="shared" ca="1" si="1"/>
        <v>16</v>
      </c>
      <c r="E16" s="35">
        <f t="shared" ca="1" si="2"/>
        <v>16</v>
      </c>
      <c r="F16" s="35"/>
      <c r="G16" s="17">
        <f t="shared" ca="1" si="4"/>
        <v>5.0185468034038831E-2</v>
      </c>
      <c r="H16" s="17">
        <f t="shared" ca="1" si="4"/>
        <v>4.9951539551181694E-2</v>
      </c>
      <c r="I16" s="17">
        <f t="shared" ca="1" si="4"/>
        <v>4.9588037839487335E-2</v>
      </c>
      <c r="J16" s="17">
        <f t="shared" ca="1" si="4"/>
        <v>5.1028544091851383E-2</v>
      </c>
      <c r="K16" s="17">
        <f t="shared" ca="1" si="4"/>
        <v>5.5831265508684863E-2</v>
      </c>
      <c r="L16" s="17">
        <f t="shared" ca="1" si="4"/>
        <v>5.7172073998326675E-2</v>
      </c>
      <c r="M16" s="17">
        <f t="shared" ca="1" si="4"/>
        <v>5.692145795465417E-2</v>
      </c>
      <c r="N16" s="17">
        <f t="shared" ca="1" si="4"/>
        <v>5.8254344391785146E-2</v>
      </c>
      <c r="O16" s="17">
        <f t="shared" ca="1" si="4"/>
        <v>6.0172803949804565E-2</v>
      </c>
      <c r="P16" s="17">
        <f t="shared" ca="1" si="4"/>
        <v>6.271626297577855E-2</v>
      </c>
      <c r="Q16" s="17">
        <f t="shared" ca="1" si="4"/>
        <v>6.3374848451449348E-2</v>
      </c>
      <c r="R16" s="57"/>
      <c r="S16" s="57"/>
      <c r="T16" s="57"/>
    </row>
    <row r="17" spans="1:20">
      <c r="A17" t="str">
        <f>IFERROR(INDEX('2017 Data (WP)'!$C$9:$C$72,MATCH($B17,'2017 Data (WP)'!$D$9:$D$72,0)),"")</f>
        <v>Electric Util. (Central)</v>
      </c>
      <c r="B17" t="s">
        <v>6</v>
      </c>
      <c r="C17" t="s">
        <v>90</v>
      </c>
      <c r="D17" s="35">
        <f t="shared" ca="1" si="1"/>
        <v>17</v>
      </c>
      <c r="E17" s="35">
        <f t="shared" ca="1" si="2"/>
        <v>17</v>
      </c>
      <c r="F17" s="35"/>
      <c r="G17" s="17">
        <f t="shared" ca="1" si="4"/>
        <v>0.12820512820512819</v>
      </c>
      <c r="H17" s="17">
        <f t="shared" ca="1" si="4"/>
        <v>0.12299664554603057</v>
      </c>
      <c r="I17" s="17">
        <f t="shared" ca="1" si="4"/>
        <v>8.9614187340816887E-2</v>
      </c>
      <c r="J17" s="17">
        <f t="shared" ca="1" si="4"/>
        <v>8.2251511247646417E-2</v>
      </c>
      <c r="K17" s="17">
        <f t="shared" ca="1" si="4"/>
        <v>8.050089445438284E-2</v>
      </c>
      <c r="L17" s="17">
        <f t="shared" ca="1" si="4"/>
        <v>7.9717457114026238E-2</v>
      </c>
      <c r="M17" s="17">
        <f t="shared" ca="1" si="4"/>
        <v>0.10358565737051793</v>
      </c>
      <c r="N17" s="17">
        <f t="shared" ca="1" si="4"/>
        <v>0.11282660332541568</v>
      </c>
      <c r="O17" s="17">
        <f t="shared" ca="1" si="4"/>
        <v>0.12402310567448181</v>
      </c>
      <c r="P17" s="17">
        <f t="shared" ca="1" si="4"/>
        <v>0.12123373150294171</v>
      </c>
      <c r="Q17" s="17">
        <f t="shared" ca="1" si="4"/>
        <v>0.12094335819391251</v>
      </c>
      <c r="R17" s="57"/>
      <c r="S17" s="57"/>
      <c r="T17" s="57"/>
    </row>
    <row r="18" spans="1:20">
      <c r="A18" t="str">
        <f>IFERROR(INDEX('2017 Data (WP)'!$C$9:$C$72,MATCH($B18,'2017 Data (WP)'!$D$9:$D$72,0)),"")</f>
        <v/>
      </c>
      <c r="B18" t="s">
        <v>7</v>
      </c>
      <c r="C18" t="s">
        <v>48</v>
      </c>
      <c r="D18" s="35" t="e">
        <f t="shared" ca="1" si="1"/>
        <v>#N/A</v>
      </c>
      <c r="E18" s="35" t="e">
        <f t="shared" ca="1" si="2"/>
        <v>#N/A</v>
      </c>
      <c r="F18" s="35"/>
      <c r="G18" s="17" t="str">
        <f t="shared" ca="1" si="4"/>
        <v>N/A</v>
      </c>
      <c r="H18" s="17" t="str">
        <f t="shared" ca="1" si="4"/>
        <v>N/A</v>
      </c>
      <c r="I18" s="17" t="str">
        <f t="shared" ca="1" si="4"/>
        <v>N/A</v>
      </c>
      <c r="J18" s="17" t="str">
        <f t="shared" ca="1" si="4"/>
        <v>N/A</v>
      </c>
      <c r="K18" s="17" t="str">
        <f t="shared" ca="1" si="4"/>
        <v>N/A</v>
      </c>
      <c r="L18" s="17" t="str">
        <f t="shared" ca="1" si="4"/>
        <v>N/A</v>
      </c>
      <c r="M18" s="17" t="str">
        <f t="shared" ca="1" si="4"/>
        <v>N/A</v>
      </c>
      <c r="N18" s="17" t="str">
        <f t="shared" ca="1" si="4"/>
        <v>N/A</v>
      </c>
      <c r="O18" s="17" t="str">
        <f t="shared" ca="1" si="4"/>
        <v>N/A</v>
      </c>
      <c r="P18" s="17" t="str">
        <f t="shared" ca="1" si="4"/>
        <v>N/A</v>
      </c>
      <c r="Q18" s="17" t="str">
        <f t="shared" ca="1" si="4"/>
        <v>N/A</v>
      </c>
      <c r="R18" s="57"/>
      <c r="S18" s="57"/>
      <c r="T18" s="57"/>
    </row>
    <row r="19" spans="1:20">
      <c r="A19" t="str">
        <f>IFERROR(INDEX('2017 Data (WP)'!$C$9:$C$72,MATCH($B19,'2017 Data (WP)'!$D$9:$D$72,0)),"")</f>
        <v>Natural Gas Utility</v>
      </c>
      <c r="B19" s="31" t="s">
        <v>178</v>
      </c>
      <c r="C19" s="31" t="s">
        <v>215</v>
      </c>
      <c r="D19" s="35">
        <f t="shared" ca="1" si="1"/>
        <v>18</v>
      </c>
      <c r="E19" s="35">
        <f t="shared" ca="1" si="2"/>
        <v>18</v>
      </c>
      <c r="F19" s="35"/>
      <c r="G19" s="17">
        <f t="shared" ca="1" si="4"/>
        <v>4.3492562406344797E-2</v>
      </c>
      <c r="H19" s="17">
        <f t="shared" ca="1" si="4"/>
        <v>4.7755084637359835E-2</v>
      </c>
      <c r="I19" s="17">
        <f t="shared" ca="1" si="4"/>
        <v>5.1831341688526184E-2</v>
      </c>
      <c r="J19" s="17">
        <f t="shared" ca="1" si="4"/>
        <v>5.2536043978840367E-2</v>
      </c>
      <c r="K19" s="17">
        <f t="shared" ca="1" si="4"/>
        <v>5.3859964093357263E-2</v>
      </c>
      <c r="L19" s="17">
        <f t="shared" ca="1" si="4"/>
        <v>5.4237692215997148E-2</v>
      </c>
      <c r="M19" s="17">
        <f t="shared" ca="1" si="4"/>
        <v>5.4938115685779235E-2</v>
      </c>
      <c r="N19" s="17">
        <f t="shared" ca="1" si="4"/>
        <v>5.5954859944918382E-2</v>
      </c>
      <c r="O19" s="17">
        <f t="shared" ca="1" si="4"/>
        <v>6.7149276085871193E-2</v>
      </c>
      <c r="P19" s="17">
        <f t="shared" ca="1" si="4"/>
        <v>6.657031117156946E-2</v>
      </c>
      <c r="Q19" s="17">
        <f t="shared" ca="1" si="4"/>
        <v>6.9494584837545129E-2</v>
      </c>
      <c r="R19" s="58"/>
      <c r="S19" s="58"/>
      <c r="T19" s="58"/>
    </row>
    <row r="20" spans="1:20">
      <c r="A20" t="str">
        <f>IFERROR(INDEX('2017 Data (WP)'!$C$9:$C$72,MATCH($B20,'2017 Data (WP)'!$D$9:$D$72,0)),"")</f>
        <v/>
      </c>
      <c r="B20" t="s">
        <v>8</v>
      </c>
      <c r="C20" t="s">
        <v>49</v>
      </c>
      <c r="D20" s="35" t="e">
        <f t="shared" ca="1" si="1"/>
        <v>#N/A</v>
      </c>
      <c r="E20" s="35" t="e">
        <f t="shared" ca="1" si="2"/>
        <v>#N/A</v>
      </c>
      <c r="F20" s="35"/>
      <c r="G20" s="17" t="str">
        <f t="shared" ca="1" si="4"/>
        <v>N/A</v>
      </c>
      <c r="H20" s="17" t="str">
        <f t="shared" ca="1" si="4"/>
        <v>N/A</v>
      </c>
      <c r="I20" s="17" t="str">
        <f t="shared" ca="1" si="4"/>
        <v>N/A</v>
      </c>
      <c r="J20" s="17" t="str">
        <f t="shared" ca="1" si="4"/>
        <v>N/A</v>
      </c>
      <c r="K20" s="17" t="str">
        <f t="shared" ca="1" si="4"/>
        <v>N/A</v>
      </c>
      <c r="L20" s="17" t="str">
        <f t="shared" ca="1" si="4"/>
        <v>N/A</v>
      </c>
      <c r="M20" s="17" t="str">
        <f t="shared" ca="1" si="4"/>
        <v>N/A</v>
      </c>
      <c r="N20" s="17" t="str">
        <f t="shared" ca="1" si="4"/>
        <v>N/A</v>
      </c>
      <c r="O20" s="17" t="str">
        <f t="shared" ca="1" si="4"/>
        <v>N/A</v>
      </c>
      <c r="P20" s="17" t="str">
        <f t="shared" ca="1" si="4"/>
        <v>N/A</v>
      </c>
      <c r="Q20" s="17" t="str">
        <f t="shared" ca="1" si="4"/>
        <v>N/A</v>
      </c>
      <c r="R20" s="57"/>
      <c r="S20" s="57"/>
      <c r="T20" s="57"/>
    </row>
    <row r="21" spans="1:20">
      <c r="A21" t="str">
        <f>IFERROR(INDEX('2017 Data (WP)'!$C$9:$C$72,MATCH($B21,'2017 Data (WP)'!$D$9:$D$72,0)),"")</f>
        <v>Electric Util. (Central)</v>
      </c>
      <c r="B21" t="s">
        <v>9</v>
      </c>
      <c r="C21" t="s">
        <v>47</v>
      </c>
      <c r="D21" s="35">
        <f t="shared" ca="1" si="1"/>
        <v>19</v>
      </c>
      <c r="E21" s="35">
        <f t="shared" ca="1" si="2"/>
        <v>19</v>
      </c>
      <c r="F21" s="35"/>
      <c r="G21" s="17">
        <f t="shared" ca="1" si="4"/>
        <v>8.1407563025210086E-2</v>
      </c>
      <c r="H21" s="17">
        <f t="shared" ca="1" si="4"/>
        <v>8.1644144144144143E-2</v>
      </c>
      <c r="I21" s="17">
        <f t="shared" ca="1" si="4"/>
        <v>8.0983803239352128E-2</v>
      </c>
      <c r="J21" s="17">
        <f t="shared" ca="1" si="4"/>
        <v>7.8582434514637908E-2</v>
      </c>
      <c r="K21" s="17">
        <f t="shared" ca="1" si="4"/>
        <v>7.9378204068132965E-2</v>
      </c>
      <c r="L21" s="17">
        <f t="shared" ca="1" si="4"/>
        <v>7.0487538810103209E-2</v>
      </c>
      <c r="M21" s="17">
        <f t="shared" ca="1" si="4"/>
        <v>5.8981233243967833E-2</v>
      </c>
      <c r="N21" s="17">
        <f t="shared" ca="1" si="4"/>
        <v>4.3790506218251889E-2</v>
      </c>
      <c r="O21" s="17">
        <f t="shared" ca="1" si="4"/>
        <v>3.3094318808604521E-2</v>
      </c>
      <c r="P21" s="17">
        <f t="shared" ca="1" si="4"/>
        <v>2.1139414438220063E-2</v>
      </c>
      <c r="Q21" s="17">
        <f t="shared" ca="1" si="4"/>
        <v>0</v>
      </c>
      <c r="R21" s="57"/>
      <c r="S21" s="57"/>
      <c r="T21" s="57"/>
    </row>
    <row r="22" spans="1:20">
      <c r="A22" t="str">
        <f>IFERROR(INDEX('2017 Data (WP)'!$C$9:$C$72,MATCH($B22,'2017 Data (WP)'!$D$9:$D$72,0)),"")</f>
        <v>Water Utility</v>
      </c>
      <c r="B22" s="31" t="s">
        <v>180</v>
      </c>
      <c r="C22" s="31" t="s">
        <v>179</v>
      </c>
      <c r="D22" s="35">
        <f t="shared" ca="1" si="1"/>
        <v>20</v>
      </c>
      <c r="E22" s="35">
        <f t="shared" ca="1" si="2"/>
        <v>20</v>
      </c>
      <c r="F22" s="35"/>
      <c r="G22" s="17">
        <f t="shared" ca="1" si="4"/>
        <v>5.3376542915693659E-2</v>
      </c>
      <c r="H22" s="17">
        <f t="shared" ca="1" si="4"/>
        <v>5.2473763118440778E-2</v>
      </c>
      <c r="I22" s="17">
        <f t="shared" ca="1" si="4"/>
        <v>5.3640660682989005E-2</v>
      </c>
      <c r="J22" s="17">
        <f t="shared" ca="1" si="4"/>
        <v>5.4702763047725374E-2</v>
      </c>
      <c r="K22" s="17">
        <f t="shared" ca="1" si="4"/>
        <v>4.5832139788026346E-2</v>
      </c>
      <c r="L22" s="17">
        <f t="shared" ca="1" si="4"/>
        <v>6.9645106319922948E-2</v>
      </c>
      <c r="M22" s="17">
        <f t="shared" ca="1" si="4"/>
        <v>7.0525105404369487E-2</v>
      </c>
      <c r="N22" s="17">
        <f t="shared" ca="1" si="4"/>
        <v>7.1033938437253363E-2</v>
      </c>
      <c r="O22" s="17">
        <f t="shared" ca="1" si="4"/>
        <v>7.1936565029019864E-2</v>
      </c>
      <c r="P22" s="17">
        <f t="shared" ca="1" si="4"/>
        <v>7.2803347280334732E-2</v>
      </c>
      <c r="Q22" s="17">
        <f t="shared" ca="1" si="4"/>
        <v>7.3719606828763579E-2</v>
      </c>
      <c r="R22" s="57"/>
      <c r="S22" s="57"/>
      <c r="T22" s="57"/>
    </row>
    <row r="23" spans="1:20">
      <c r="A23" t="str">
        <f>IFERROR(INDEX('2017 Data (WP)'!$C$9:$C$72,MATCH($B23,'2017 Data (WP)'!$D$9:$D$72,0)),"")</f>
        <v>Electric Utility (East)</v>
      </c>
      <c r="B23" t="s">
        <v>10</v>
      </c>
      <c r="C23" t="s">
        <v>50</v>
      </c>
      <c r="D23" s="35">
        <f t="shared" ca="1" si="1"/>
        <v>21</v>
      </c>
      <c r="E23" s="35">
        <f t="shared" ca="1" si="2"/>
        <v>21</v>
      </c>
      <c r="F23" s="35"/>
      <c r="G23" s="17">
        <f t="shared" ca="1" si="4"/>
        <v>5.7168454958510216E-2</v>
      </c>
      <c r="H23" s="17">
        <f t="shared" ca="1" si="4"/>
        <v>5.8366632245319447E-2</v>
      </c>
      <c r="I23" s="17">
        <f t="shared" ca="1" si="4"/>
        <v>5.8686539357242669E-2</v>
      </c>
      <c r="J23" s="17">
        <f t="shared" ca="1" si="4"/>
        <v>5.8837598660607504E-2</v>
      </c>
      <c r="K23" s="17">
        <f t="shared" ca="1" si="4"/>
        <v>5.9714751024033945E-2</v>
      </c>
      <c r="L23" s="17">
        <f t="shared" ca="1" si="4"/>
        <v>6.1465963222865336E-2</v>
      </c>
      <c r="M23" s="17">
        <f t="shared" ca="1" si="4"/>
        <v>6.2747165831795404E-2</v>
      </c>
      <c r="N23" s="17">
        <f t="shared" ca="1" si="4"/>
        <v>6.4733795978824366E-2</v>
      </c>
      <c r="O23" s="17">
        <f t="shared" ca="1" si="4"/>
        <v>6.6045723962743441E-2</v>
      </c>
      <c r="P23" s="17">
        <f t="shared" ca="1" si="4"/>
        <v>7.1204959793751146E-2</v>
      </c>
      <c r="Q23" s="17">
        <f t="shared" ca="1" si="4"/>
        <v>7.3981150889382091E-2</v>
      </c>
      <c r="R23" s="57"/>
      <c r="S23" s="57"/>
      <c r="T23" s="57"/>
    </row>
    <row r="24" spans="1:20">
      <c r="A24" t="str">
        <f>IFERROR(INDEX('2017 Data (WP)'!$C$9:$C$72,MATCH($B24,'2017 Data (WP)'!$D$9:$D$72,0)),"")</f>
        <v>Water Utility</v>
      </c>
      <c r="B24" s="31" t="s">
        <v>182</v>
      </c>
      <c r="C24" s="31" t="s">
        <v>181</v>
      </c>
      <c r="D24" s="35">
        <f t="shared" ca="1" si="1"/>
        <v>22</v>
      </c>
      <c r="E24" s="35">
        <f t="shared" ca="1" si="2"/>
        <v>22</v>
      </c>
      <c r="F24" s="35"/>
      <c r="G24" s="17">
        <f t="shared" ca="1" si="4"/>
        <v>3.0646644192460926E-2</v>
      </c>
      <c r="H24" s="17">
        <f t="shared" ca="1" si="4"/>
        <v>3.0577922739781875E-2</v>
      </c>
      <c r="I24" s="17">
        <f t="shared" ca="1" si="4"/>
        <v>3.1325049597995196E-2</v>
      </c>
      <c r="J24" s="17">
        <f t="shared" ca="1" si="4"/>
        <v>3.1769564756962833E-2</v>
      </c>
      <c r="K24" s="17">
        <f t="shared" ca="1" si="4"/>
        <v>3.2626427406199018E-2</v>
      </c>
      <c r="L24" s="17">
        <f t="shared" ca="1" si="4"/>
        <v>3.3955857385398976E-2</v>
      </c>
      <c r="M24" s="17">
        <f t="shared" ca="1" si="4"/>
        <v>3.4534361689881436E-2</v>
      </c>
      <c r="N24" s="17">
        <f t="shared" ca="1" si="4"/>
        <v>3.2813781788351114E-2</v>
      </c>
      <c r="O24" s="17">
        <f t="shared" ca="1" si="4"/>
        <v>3.8857006217120994E-2</v>
      </c>
      <c r="P24" s="17">
        <f t="shared" ca="1" si="4"/>
        <v>2.3737066342057214E-2</v>
      </c>
      <c r="Q24" s="17">
        <f t="shared" ca="1" si="4"/>
        <v>3.2051282051282048E-2</v>
      </c>
      <c r="R24" s="57"/>
      <c r="S24" s="57"/>
      <c r="T24" s="57"/>
    </row>
    <row r="25" spans="1:20">
      <c r="A25" t="str">
        <f>IFERROR(INDEX('2017 Data (WP)'!$C$9:$C$72,MATCH($B25,'2017 Data (WP)'!$D$9:$D$72,0)),"")</f>
        <v>Electric Utility (East)</v>
      </c>
      <c r="B25" t="s">
        <v>11</v>
      </c>
      <c r="C25" t="s">
        <v>52</v>
      </c>
      <c r="D25" s="35">
        <f t="shared" ca="1" si="1"/>
        <v>24</v>
      </c>
      <c r="E25" s="35">
        <f t="shared" ca="1" si="2"/>
        <v>24</v>
      </c>
      <c r="F25" s="35"/>
      <c r="G25" s="17">
        <f t="shared" ref="G25:Q34" ca="1" si="5">IFERROR(INDEX(Dividends,$D25,G$2)/INDEX(BookValue,$E25,G$2),"N/A")</f>
        <v>0.12035763411279229</v>
      </c>
      <c r="H25" s="17">
        <f t="shared" ca="1" si="5"/>
        <v>0.12195121951219512</v>
      </c>
      <c r="I25" s="17">
        <f t="shared" ca="1" si="5"/>
        <v>0.12156823016918245</v>
      </c>
      <c r="J25" s="17">
        <f t="shared" ca="1" si="5"/>
        <v>0.11238199890115379</v>
      </c>
      <c r="K25" s="17">
        <f t="shared" ca="1" si="5"/>
        <v>0.11502398604448319</v>
      </c>
      <c r="L25" s="17">
        <f t="shared" ca="1" si="5"/>
        <v>9.8053854959932296E-2</v>
      </c>
      <c r="M25" s="17">
        <f t="shared" ca="1" si="5"/>
        <v>8.8594113090627424E-2</v>
      </c>
      <c r="N25" s="17">
        <f t="shared" ca="1" si="5"/>
        <v>9.3783494105037515E-2</v>
      </c>
      <c r="O25" s="17">
        <f t="shared" ca="1" si="5"/>
        <v>9.1440476879449048E-2</v>
      </c>
      <c r="P25" s="17">
        <f t="shared" ca="1" si="5"/>
        <v>8.9532102777948125E-2</v>
      </c>
      <c r="Q25" s="17">
        <f t="shared" ca="1" si="5"/>
        <v>7.4594594594594582E-2</v>
      </c>
      <c r="R25" s="57"/>
      <c r="S25" s="57"/>
      <c r="T25" s="57"/>
    </row>
    <row r="26" spans="1:20">
      <c r="A26" t="str">
        <f>IFERROR(INDEX('2017 Data (WP)'!$C$9:$C$72,MATCH($B26,'2017 Data (WP)'!$D$9:$D$72,0)),"")</f>
        <v>Electric Util. (Central)</v>
      </c>
      <c r="B26" t="s">
        <v>12</v>
      </c>
      <c r="C26" t="s">
        <v>51</v>
      </c>
      <c r="D26" s="35">
        <f t="shared" ca="1" si="1"/>
        <v>25</v>
      </c>
      <c r="E26" s="35">
        <f t="shared" ca="1" si="2"/>
        <v>25</v>
      </c>
      <c r="F26" s="35"/>
      <c r="G26" s="17">
        <f t="shared" ca="1" si="5"/>
        <v>6.0933112965212366E-2</v>
      </c>
      <c r="H26" s="17">
        <f t="shared" ca="1" si="5"/>
        <v>5.8105039179982401E-2</v>
      </c>
      <c r="I26" s="17">
        <f t="shared" ca="1" si="5"/>
        <v>5.7175650399591903E-2</v>
      </c>
      <c r="J26" s="17">
        <f t="shared" ca="1" si="5"/>
        <v>5.7904267924612667E-2</v>
      </c>
      <c r="K26" s="17">
        <f t="shared" ca="1" si="5"/>
        <v>5.6569812291077388E-2</v>
      </c>
      <c r="L26" s="17">
        <f t="shared" ca="1" si="5"/>
        <v>5.6021056190085239E-2</v>
      </c>
      <c r="M26" s="17">
        <f t="shared" ca="1" si="5"/>
        <v>5.4946439823566486E-2</v>
      </c>
      <c r="N26" s="17">
        <f t="shared" ca="1" si="5"/>
        <v>5.5854146906944881E-2</v>
      </c>
      <c r="O26" s="17">
        <f t="shared" ca="1" si="5"/>
        <v>5.7647858599592122E-2</v>
      </c>
      <c r="P26" s="17">
        <f t="shared" ca="1" si="5"/>
        <v>5.9123741528850714E-2</v>
      </c>
      <c r="Q26" s="17">
        <f t="shared" ca="1" si="5"/>
        <v>6.2842605772434057E-2</v>
      </c>
      <c r="R26" s="57"/>
      <c r="S26" s="57"/>
      <c r="T26" s="57"/>
    </row>
    <row r="27" spans="1:20">
      <c r="A27" t="str">
        <f>IFERROR(INDEX('2017 Data (WP)'!$C$9:$C$72,MATCH($B27,'2017 Data (WP)'!$D$9:$D$72,0)),"")</f>
        <v>Electric Utility (East)</v>
      </c>
      <c r="B27" t="s">
        <v>13</v>
      </c>
      <c r="C27" t="s">
        <v>93</v>
      </c>
      <c r="D27" s="35">
        <f t="shared" ca="1" si="1"/>
        <v>26</v>
      </c>
      <c r="E27" s="35">
        <f t="shared" ca="1" si="2"/>
        <v>26</v>
      </c>
      <c r="F27" s="35"/>
      <c r="G27" s="17">
        <f t="shared" ca="1" si="5"/>
        <v>5.7319299203329975E-2</v>
      </c>
      <c r="H27" s="17">
        <f t="shared" ca="1" si="5"/>
        <v>5.6110697400550719E-2</v>
      </c>
      <c r="I27" s="17">
        <f t="shared" ca="1" si="5"/>
        <v>5.4484130415982011E-2</v>
      </c>
      <c r="J27" s="17">
        <f t="shared" ca="1" si="5"/>
        <v>5.2783519242923765E-2</v>
      </c>
      <c r="K27" s="17">
        <f t="shared" ca="1" si="5"/>
        <v>5.220177796154641E-2</v>
      </c>
      <c r="L27" s="17">
        <f t="shared" ca="1" si="5"/>
        <v>5.8075870160344156E-2</v>
      </c>
      <c r="M27" s="17">
        <f t="shared" ca="1" si="5"/>
        <v>5.7232766250368772E-2</v>
      </c>
      <c r="N27" s="17">
        <f t="shared" ca="1" si="5"/>
        <v>5.6567439621278984E-2</v>
      </c>
      <c r="O27" s="17">
        <f t="shared" ca="1" si="5"/>
        <v>5.4539945460054542E-2</v>
      </c>
      <c r="P27" s="17">
        <f t="shared" ca="1" si="5"/>
        <v>5.1191491894680453E-2</v>
      </c>
      <c r="Q27" s="17">
        <f t="shared" ca="1" si="5"/>
        <v>0</v>
      </c>
      <c r="R27" s="57"/>
      <c r="S27" s="57"/>
      <c r="T27" s="57"/>
    </row>
    <row r="28" spans="1:20">
      <c r="A28" t="str">
        <f>IFERROR(INDEX('2017 Data (WP)'!$C$9:$C$72,MATCH($B28,'2017 Data (WP)'!$D$9:$D$72,0)),"")</f>
        <v>Electric Utility (West)</v>
      </c>
      <c r="B28" t="s">
        <v>14</v>
      </c>
      <c r="C28" t="s">
        <v>53</v>
      </c>
      <c r="D28" s="35">
        <f t="shared" ca="1" si="1"/>
        <v>27</v>
      </c>
      <c r="E28" s="35">
        <f t="shared" ca="1" si="2"/>
        <v>27</v>
      </c>
      <c r="F28" s="35"/>
      <c r="G28" s="17">
        <f t="shared" ca="1" si="5"/>
        <v>5.3858062413427846E-2</v>
      </c>
      <c r="H28" s="17">
        <f t="shared" ca="1" si="5"/>
        <v>4.9668969075119661E-2</v>
      </c>
      <c r="I28" s="17">
        <f t="shared" ca="1" si="5"/>
        <v>4.4085733820862685E-2</v>
      </c>
      <c r="J28" s="17">
        <f t="shared" ca="1" si="5"/>
        <v>4.4849518064389228E-2</v>
      </c>
      <c r="K28" s="17">
        <f t="shared" ca="1" si="5"/>
        <v>4.5355625410204145E-2</v>
      </c>
      <c r="L28" s="17">
        <f t="shared" ca="1" si="5"/>
        <v>4.1638313729302351E-2</v>
      </c>
      <c r="M28" s="17">
        <f t="shared" ca="1" si="5"/>
        <v>3.899266383083657E-2</v>
      </c>
      <c r="N28" s="17">
        <f t="shared" ca="1" si="5"/>
        <v>4.1218341334216195E-2</v>
      </c>
      <c r="O28" s="17">
        <f t="shared" ca="1" si="5"/>
        <v>4.193769257103732E-2</v>
      </c>
      <c r="P28" s="17">
        <f t="shared" ca="1" si="5"/>
        <v>4.5337037465756069E-2</v>
      </c>
      <c r="Q28" s="17">
        <f t="shared" ca="1" si="5"/>
        <v>4.6490004649000466E-2</v>
      </c>
      <c r="R28" s="57"/>
      <c r="S28" s="57"/>
      <c r="T28" s="57"/>
    </row>
    <row r="29" spans="1:20">
      <c r="A29" t="str">
        <f>IFERROR(INDEX('2017 Data (WP)'!$C$9:$C$72,MATCH($B29,'2017 Data (WP)'!$D$9:$D$72,0)),"")</f>
        <v>Electric Utility (West)</v>
      </c>
      <c r="B29" t="s">
        <v>15</v>
      </c>
      <c r="C29" t="s">
        <v>88</v>
      </c>
      <c r="D29" s="35">
        <f t="shared" ca="1" si="1"/>
        <v>28</v>
      </c>
      <c r="E29" s="35">
        <f t="shared" ca="1" si="2"/>
        <v>28</v>
      </c>
      <c r="F29" s="35"/>
      <c r="G29" s="17">
        <f t="shared" ca="1" si="5"/>
        <v>4.6196779424520121E-2</v>
      </c>
      <c r="H29" s="17">
        <f t="shared" ca="1" si="5"/>
        <v>4.6349711557589018E-2</v>
      </c>
      <c r="I29" s="17">
        <f t="shared" ca="1" si="5"/>
        <v>4.5307310672844318E-2</v>
      </c>
      <c r="J29" s="17">
        <f t="shared" ca="1" si="5"/>
        <v>4.4581911262798632E-2</v>
      </c>
      <c r="K29" s="17">
        <f t="shared" ca="1" si="5"/>
        <v>4.7162930908737292E-2</v>
      </c>
      <c r="L29" s="17">
        <f t="shared" ca="1" si="5"/>
        <v>3.468937243771681E-2</v>
      </c>
      <c r="M29" s="17">
        <f t="shared" ca="1" si="5"/>
        <v>0</v>
      </c>
      <c r="N29" s="17">
        <f t="shared" ca="1" si="5"/>
        <v>0</v>
      </c>
      <c r="O29" s="17">
        <f t="shared" ca="1" si="5"/>
        <v>0</v>
      </c>
      <c r="P29" s="17">
        <f t="shared" ca="1" si="5"/>
        <v>0</v>
      </c>
      <c r="Q29" s="17">
        <f t="shared" ca="1" si="5"/>
        <v>0</v>
      </c>
      <c r="R29" s="57"/>
      <c r="S29" s="57"/>
      <c r="T29" s="57"/>
    </row>
    <row r="30" spans="1:20">
      <c r="A30" t="str">
        <f>IFERROR(INDEX('2017 Data (WP)'!$C$9:$C$72,MATCH($B30,'2017 Data (WP)'!$D$9:$D$72,0)),"")</f>
        <v/>
      </c>
      <c r="B30" t="s">
        <v>16</v>
      </c>
      <c r="C30" t="s">
        <v>102</v>
      </c>
      <c r="D30" s="35" t="e">
        <f t="shared" ca="1" si="1"/>
        <v>#N/A</v>
      </c>
      <c r="E30" s="35">
        <f t="shared" ca="1" si="2"/>
        <v>29</v>
      </c>
      <c r="F30" s="35"/>
      <c r="G30" s="17" t="str">
        <f t="shared" ca="1" si="5"/>
        <v>N/A</v>
      </c>
      <c r="H30" s="17" t="str">
        <f t="shared" ca="1" si="5"/>
        <v>N/A</v>
      </c>
      <c r="I30" s="17" t="str">
        <f t="shared" ca="1" si="5"/>
        <v>N/A</v>
      </c>
      <c r="J30" s="17" t="str">
        <f t="shared" ca="1" si="5"/>
        <v>N/A</v>
      </c>
      <c r="K30" s="17" t="str">
        <f t="shared" ca="1" si="5"/>
        <v>N/A</v>
      </c>
      <c r="L30" s="17" t="str">
        <f t="shared" ca="1" si="5"/>
        <v>N/A</v>
      </c>
      <c r="M30" s="17" t="str">
        <f t="shared" ca="1" si="5"/>
        <v>N/A</v>
      </c>
      <c r="N30" s="17" t="str">
        <f t="shared" ca="1" si="5"/>
        <v>N/A</v>
      </c>
      <c r="O30" s="17" t="str">
        <f t="shared" ca="1" si="5"/>
        <v>N/A</v>
      </c>
      <c r="P30" s="17" t="str">
        <f t="shared" ca="1" si="5"/>
        <v>N/A</v>
      </c>
      <c r="Q30" s="17" t="str">
        <f t="shared" ca="1" si="5"/>
        <v>N/A</v>
      </c>
      <c r="R30" s="57"/>
      <c r="S30" s="57"/>
      <c r="T30" s="57"/>
    </row>
    <row r="31" spans="1:20">
      <c r="A31" t="str">
        <f>IFERROR(INDEX('2017 Data (WP)'!$C$9:$C$72,MATCH($B31,'2017 Data (WP)'!$D$9:$D$72,0)),"")</f>
        <v>Electric Util. (Central)</v>
      </c>
      <c r="B31" t="s">
        <v>17</v>
      </c>
      <c r="C31" t="s">
        <v>55</v>
      </c>
      <c r="D31" s="35">
        <f t="shared" ca="1" si="1"/>
        <v>29</v>
      </c>
      <c r="E31" s="35">
        <f t="shared" ca="1" si="2"/>
        <v>30</v>
      </c>
      <c r="F31" s="35"/>
      <c r="G31" s="17">
        <f t="shared" ca="1" si="5"/>
        <v>7.580291242768801E-2</v>
      </c>
      <c r="H31" s="17">
        <f t="shared" ca="1" si="5"/>
        <v>6.4365689618623656E-2</v>
      </c>
      <c r="I31" s="17">
        <f t="shared" ca="1" si="5"/>
        <v>5.9461976573414045E-2</v>
      </c>
      <c r="J31" s="17">
        <f t="shared" ca="1" si="5"/>
        <v>6.1479204473908367E-2</v>
      </c>
      <c r="K31" s="17">
        <f t="shared" ca="1" si="5"/>
        <v>6.4185596906718212E-2</v>
      </c>
      <c r="L31" s="17">
        <f t="shared" ca="1" si="5"/>
        <v>6.5336324634943127E-2</v>
      </c>
      <c r="M31" s="17">
        <f t="shared" ca="1" si="5"/>
        <v>6.8163170849725452E-2</v>
      </c>
      <c r="N31" s="17">
        <f t="shared" ca="1" si="5"/>
        <v>6.5868920847513446E-2</v>
      </c>
      <c r="O31" s="17">
        <f t="shared" ca="1" si="5"/>
        <v>7.1308026906895486E-2</v>
      </c>
      <c r="P31" s="17">
        <f t="shared" ca="1" si="5"/>
        <v>6.3368865746426292E-2</v>
      </c>
      <c r="Q31" s="17">
        <f t="shared" ca="1" si="5"/>
        <v>5.3399258343634119E-2</v>
      </c>
      <c r="R31" s="57"/>
      <c r="S31" s="57"/>
      <c r="T31" s="57"/>
    </row>
    <row r="32" spans="1:20">
      <c r="A32" t="str">
        <f>IFERROR(INDEX('2017 Data (WP)'!$C$9:$C$72,MATCH($B32,'2017 Data (WP)'!$D$9:$D$72,0)),"")</f>
        <v>Electric Utility (East)</v>
      </c>
      <c r="B32" t="s">
        <v>211</v>
      </c>
      <c r="C32" t="s">
        <v>212</v>
      </c>
      <c r="D32" s="35">
        <f t="shared" ca="1" si="1"/>
        <v>30</v>
      </c>
      <c r="E32" s="35">
        <f t="shared" ca="1" si="2"/>
        <v>31</v>
      </c>
      <c r="F32" s="35"/>
      <c r="G32" s="17">
        <f t="shared" ca="1" si="5"/>
        <v>5.2658048102239452E-2</v>
      </c>
      <c r="H32" s="17">
        <f t="shared" ca="1" si="5"/>
        <v>5.1168918711891408E-2</v>
      </c>
      <c r="I32" s="17">
        <f t="shared" ca="1" si="5"/>
        <v>4.988244265107708E-2</v>
      </c>
      <c r="J32" s="17">
        <f t="shared" ca="1" si="5"/>
        <v>4.8218854556189725E-2</v>
      </c>
      <c r="K32" s="17">
        <f t="shared" ca="1" si="5"/>
        <v>4.4879640962872301E-2</v>
      </c>
      <c r="L32" s="17">
        <f t="shared" ca="1" si="5"/>
        <v>4.8565121412803537E-2</v>
      </c>
      <c r="M32" s="17">
        <f t="shared" ca="1" si="5"/>
        <v>4.7455900736145189E-2</v>
      </c>
      <c r="N32" s="17">
        <f t="shared" ca="1" si="5"/>
        <v>4.6630344082854755E-2</v>
      </c>
      <c r="O32" s="17">
        <f t="shared" ca="1" si="5"/>
        <v>4.2565266742338244E-2</v>
      </c>
      <c r="P32" s="17">
        <f t="shared" ca="1" si="5"/>
        <v>4.1550503967402959E-2</v>
      </c>
      <c r="Q32" s="17">
        <f t="shared" ca="1" si="5"/>
        <v>3.9960315273108081E-2</v>
      </c>
      <c r="R32" s="57"/>
      <c r="S32" s="57"/>
      <c r="T32" s="57"/>
    </row>
    <row r="33" spans="1:20">
      <c r="A33" t="str">
        <f>IFERROR(INDEX('2017 Data (WP)'!$C$9:$C$72,MATCH($B33,'2017 Data (WP)'!$D$9:$D$72,0)),"")</f>
        <v>Electric Utility (East)</v>
      </c>
      <c r="B33" t="s">
        <v>18</v>
      </c>
      <c r="C33" t="s">
        <v>69</v>
      </c>
      <c r="D33" s="35">
        <f t="shared" ca="1" si="1"/>
        <v>31</v>
      </c>
      <c r="E33" s="35">
        <f t="shared" ca="1" si="2"/>
        <v>32</v>
      </c>
      <c r="F33" s="35"/>
      <c r="G33" s="17">
        <f t="shared" ca="1" si="5"/>
        <v>4.5062765995493727E-2</v>
      </c>
      <c r="H33" s="17">
        <f t="shared" ca="1" si="5"/>
        <v>4.4225693701405236E-2</v>
      </c>
      <c r="I33" s="17">
        <f t="shared" ca="1" si="5"/>
        <v>4.7160841288555889E-2</v>
      </c>
      <c r="J33" s="17">
        <f t="shared" ca="1" si="5"/>
        <v>5.4872529793332334E-2</v>
      </c>
      <c r="K33" s="17">
        <f t="shared" ca="1" si="5"/>
        <v>8.3758774728781113E-2</v>
      </c>
      <c r="L33" s="17">
        <f t="shared" ca="1" si="5"/>
        <v>9.6841134424717562E-2</v>
      </c>
      <c r="M33" s="17">
        <f t="shared" ca="1" si="5"/>
        <v>0.10249902381882078</v>
      </c>
      <c r="N33" s="17">
        <f t="shared" ca="1" si="5"/>
        <v>0.10960906101571065</v>
      </c>
      <c r="O33" s="17">
        <f t="shared" ca="1" si="5"/>
        <v>0.12213285671730711</v>
      </c>
      <c r="P33" s="17">
        <f t="shared" ca="1" si="5"/>
        <v>0.11865180259469327</v>
      </c>
      <c r="Q33" s="17">
        <f t="shared" ca="1" si="5"/>
        <v>0.11015583019881783</v>
      </c>
      <c r="R33" s="57"/>
      <c r="S33" s="57"/>
      <c r="T33" s="57"/>
    </row>
    <row r="34" spans="1:20">
      <c r="A34" t="str">
        <f>IFERROR(INDEX('2017 Data (WP)'!$C$9:$C$72,MATCH($B34,'2017 Data (WP)'!$D$9:$D$72,0)),"")</f>
        <v>Electric Utility (East)</v>
      </c>
      <c r="B34" t="s">
        <v>19</v>
      </c>
      <c r="C34" t="s">
        <v>66</v>
      </c>
      <c r="D34" s="35">
        <f t="shared" ca="1" si="1"/>
        <v>32</v>
      </c>
      <c r="E34" s="35">
        <f t="shared" ca="1" si="2"/>
        <v>33</v>
      </c>
      <c r="F34" s="35"/>
      <c r="G34" s="17">
        <f t="shared" ca="1" si="5"/>
        <v>0.10206251328938974</v>
      </c>
      <c r="H34" s="17">
        <f t="shared" ca="1" si="5"/>
        <v>4.9104859335038366E-2</v>
      </c>
      <c r="I34" s="17">
        <f t="shared" ca="1" si="5"/>
        <v>4.8823489523292872E-2</v>
      </c>
      <c r="J34" s="17">
        <f t="shared" ca="1" si="5"/>
        <v>5.4423114981199283E-2</v>
      </c>
      <c r="K34" s="17">
        <f t="shared" ca="1" si="5"/>
        <v>7.0321240210963726E-2</v>
      </c>
      <c r="L34" s="17">
        <f t="shared" ca="1" si="5"/>
        <v>6.9282610064873726E-2</v>
      </c>
      <c r="M34" s="17">
        <f t="shared" ca="1" si="5"/>
        <v>7.8481735159817365E-2</v>
      </c>
      <c r="N34" s="17">
        <f t="shared" ca="1" si="5"/>
        <v>7.8355949709726827E-2</v>
      </c>
      <c r="O34" s="17">
        <f t="shared" ca="1" si="5"/>
        <v>8.0965699985278972E-2</v>
      </c>
      <c r="P34" s="17">
        <f t="shared" ca="1" si="5"/>
        <v>6.96118713708445E-2</v>
      </c>
      <c r="Q34" s="17">
        <f t="shared" ca="1" si="5"/>
        <v>6.535947712418301E-2</v>
      </c>
      <c r="R34" s="57"/>
      <c r="S34" s="57"/>
      <c r="T34" s="57"/>
    </row>
    <row r="35" spans="1:20">
      <c r="A35" t="str">
        <f>IFERROR(INDEX('2017 Data (WP)'!$C$9:$C$72,MATCH($B35,'2017 Data (WP)'!$D$9:$D$72,0)),"")</f>
        <v>Electric Util. (Central)</v>
      </c>
      <c r="B35" t="s">
        <v>267</v>
      </c>
      <c r="C35" t="s">
        <v>266</v>
      </c>
      <c r="D35" s="35">
        <f t="shared" ca="1" si="1"/>
        <v>33</v>
      </c>
      <c r="E35" s="35">
        <f t="shared" ca="1" si="2"/>
        <v>34</v>
      </c>
      <c r="F35" s="35"/>
      <c r="G35" s="17">
        <f t="shared" ref="G35:Q44" ca="1" si="6">IFERROR(INDEX(Dividends,$D35,G$2)/INDEX(BookValue,$E35,G$2),"N/A")</f>
        <v>4.796534117282996E-2</v>
      </c>
      <c r="H35" s="17">
        <f t="shared" ca="1" si="6"/>
        <v>4.9954586739327879E-2</v>
      </c>
      <c r="I35" s="17">
        <f t="shared" ca="1" si="6"/>
        <v>5.2219321148825069E-2</v>
      </c>
      <c r="J35" s="17">
        <f t="shared" ca="1" si="6"/>
        <v>5.5838470472616815E-2</v>
      </c>
      <c r="K35" s="17">
        <f t="shared" ca="1" si="6"/>
        <v>5.8064206535822262E-2</v>
      </c>
      <c r="L35" s="17">
        <f t="shared" ca="1" si="6"/>
        <v>5.6984219754529511E-2</v>
      </c>
      <c r="M35" s="17">
        <f t="shared" ca="1" si="6"/>
        <v>5.9099783652577703E-2</v>
      </c>
      <c r="N35" s="17">
        <f t="shared" ca="1" si="6"/>
        <v>5.6007324034681463E-2</v>
      </c>
      <c r="O35" s="17">
        <f t="shared" ca="1" si="6"/>
        <v>5.5546297839249012E-2</v>
      </c>
      <c r="P35" s="17">
        <f t="shared" ca="1" si="6"/>
        <v>4.9031332217172922E-2</v>
      </c>
      <c r="Q35" s="17">
        <f t="shared" ca="1" si="6"/>
        <v>5.4671562627498976E-2</v>
      </c>
      <c r="R35" s="57"/>
      <c r="S35" s="57"/>
      <c r="T35" s="57"/>
    </row>
    <row r="36" spans="1:20">
      <c r="A36" t="str">
        <f>IFERROR(INDEX('2017 Data (WP)'!$C$9:$C$72,MATCH($B36,'2017 Data (WP)'!$D$9:$D$72,0)),"")</f>
        <v/>
      </c>
      <c r="B36" t="s">
        <v>57</v>
      </c>
      <c r="C36" t="s">
        <v>56</v>
      </c>
      <c r="D36" s="35" t="e">
        <f t="shared" ca="1" si="1"/>
        <v>#N/A</v>
      </c>
      <c r="E36" s="35" t="e">
        <f t="shared" ca="1" si="2"/>
        <v>#N/A</v>
      </c>
      <c r="F36" s="35"/>
      <c r="G36" s="17" t="str">
        <f t="shared" ca="1" si="6"/>
        <v>N/A</v>
      </c>
      <c r="H36" s="17" t="str">
        <f t="shared" ca="1" si="6"/>
        <v>N/A</v>
      </c>
      <c r="I36" s="17" t="str">
        <f t="shared" ca="1" si="6"/>
        <v>N/A</v>
      </c>
      <c r="J36" s="17" t="str">
        <f t="shared" ca="1" si="6"/>
        <v>N/A</v>
      </c>
      <c r="K36" s="17" t="str">
        <f t="shared" ca="1" si="6"/>
        <v>N/A</v>
      </c>
      <c r="L36" s="17" t="str">
        <f t="shared" ca="1" si="6"/>
        <v>N/A</v>
      </c>
      <c r="M36" s="17" t="str">
        <f t="shared" ca="1" si="6"/>
        <v>N/A</v>
      </c>
      <c r="N36" s="17" t="str">
        <f t="shared" ca="1" si="6"/>
        <v>N/A</v>
      </c>
      <c r="O36" s="17" t="str">
        <f t="shared" ca="1" si="6"/>
        <v>N/A</v>
      </c>
      <c r="P36" s="17" t="str">
        <f t="shared" ca="1" si="6"/>
        <v>N/A</v>
      </c>
      <c r="Q36" s="17" t="str">
        <f t="shared" ca="1" si="6"/>
        <v>N/A</v>
      </c>
      <c r="R36" s="57"/>
      <c r="S36" s="57"/>
      <c r="T36" s="57"/>
    </row>
    <row r="37" spans="1:20">
      <c r="A37" t="str">
        <f>IFERROR(INDEX('2017 Data (WP)'!$C$9:$C$72,MATCH($B37,'2017 Data (WP)'!$D$9:$D$72,0)),"")</f>
        <v>Electric Util. (Central)</v>
      </c>
      <c r="B37" t="s">
        <v>20</v>
      </c>
      <c r="C37" t="s">
        <v>104</v>
      </c>
      <c r="D37" s="35">
        <f t="shared" ref="D37:D46" ca="1" si="7">MATCH(B37,OFFSET(Dividends,0,0,,1),0)</f>
        <v>35</v>
      </c>
      <c r="E37" s="35">
        <f t="shared" ca="1" si="2"/>
        <v>36</v>
      </c>
      <c r="F37" s="35"/>
      <c r="G37" s="17">
        <f t="shared" ca="1" si="6"/>
        <v>4.2659010957907077E-2</v>
      </c>
      <c r="H37" s="17">
        <f t="shared" ca="1" si="6"/>
        <v>4.2143490562053965E-2</v>
      </c>
      <c r="I37" s="17">
        <f t="shared" ca="1" si="6"/>
        <v>4.0194308313988479E-2</v>
      </c>
      <c r="J37" s="17">
        <f t="shared" ca="1" si="6"/>
        <v>3.9059386209645275E-2</v>
      </c>
      <c r="K37" s="17">
        <f t="shared" ca="1" si="6"/>
        <v>3.9301310043668124E-2</v>
      </c>
      <c r="L37" s="17">
        <f t="shared" ca="1" si="6"/>
        <v>3.8406697024055927E-2</v>
      </c>
      <c r="M37" s="17">
        <f t="shared" ca="1" si="6"/>
        <v>3.9031272043263579E-2</v>
      </c>
      <c r="N37" s="17">
        <f t="shared" ca="1" si="6"/>
        <v>4.0250230347703801E-2</v>
      </c>
      <c r="O37" s="17">
        <f t="shared" ca="1" si="6"/>
        <v>7.7613615111277345E-2</v>
      </c>
      <c r="P37" s="17">
        <f t="shared" ca="1" si="6"/>
        <v>9.1299087009129906E-2</v>
      </c>
      <c r="Q37" s="17">
        <f t="shared" ca="1" si="6"/>
        <v>9.9395245793665044E-2</v>
      </c>
      <c r="R37" s="57"/>
      <c r="S37" s="58"/>
      <c r="T37" s="58"/>
    </row>
    <row r="38" spans="1:20">
      <c r="A38" t="str">
        <f>IFERROR(INDEX('2017 Data (WP)'!$C$9:$C$72,MATCH($B38,'2017 Data (WP)'!$D$9:$D$72,0)),"")</f>
        <v>Electric Utility (West)</v>
      </c>
      <c r="B38" t="s">
        <v>21</v>
      </c>
      <c r="C38" t="s">
        <v>58</v>
      </c>
      <c r="D38" s="35">
        <f t="shared" ca="1" si="7"/>
        <v>36</v>
      </c>
      <c r="E38" s="35">
        <f t="shared" ca="1" si="2"/>
        <v>37</v>
      </c>
      <c r="F38" s="35"/>
      <c r="G38" s="17">
        <f t="shared" ca="1" si="6"/>
        <v>6.5146579804560262E-2</v>
      </c>
      <c r="H38" s="17">
        <f t="shared" ca="1" si="6"/>
        <v>6.912699297580556E-2</v>
      </c>
      <c r="I38" s="17">
        <f t="shared" ca="1" si="6"/>
        <v>7.0995076147944577E-2</v>
      </c>
      <c r="J38" s="17">
        <f t="shared" ca="1" si="6"/>
        <v>7.2701688555347088E-2</v>
      </c>
      <c r="K38" s="17">
        <f t="shared" ca="1" si="6"/>
        <v>7.6185795035635287E-2</v>
      </c>
      <c r="L38" s="17">
        <f t="shared" ca="1" si="6"/>
        <v>7.7738072848097292E-2</v>
      </c>
      <c r="M38" s="17">
        <f t="shared" ca="1" si="6"/>
        <v>7.9142200663773296E-2</v>
      </c>
      <c r="N38" s="17">
        <f t="shared" ca="1" si="6"/>
        <v>7.9579001411885508E-2</v>
      </c>
      <c r="O38" s="17">
        <f t="shared" ca="1" si="6"/>
        <v>8.0781758957654728E-2</v>
      </c>
      <c r="P38" s="17">
        <f t="shared" ca="1" si="6"/>
        <v>8.111467259763197E-2</v>
      </c>
      <c r="Q38" s="17">
        <f t="shared" ca="1" si="6"/>
        <v>9.2227593901078458E-2</v>
      </c>
      <c r="R38" s="57"/>
      <c r="S38" s="57"/>
      <c r="T38" s="57"/>
    </row>
    <row r="39" spans="1:20">
      <c r="A39" t="str">
        <f>IFERROR(INDEX('2017 Data (WP)'!$C$9:$C$72,MATCH($B39,'2017 Data (WP)'!$D$9:$D$72,0)),"")</f>
        <v>Electric Utility (West)</v>
      </c>
      <c r="B39" t="s">
        <v>22</v>
      </c>
      <c r="C39" t="s">
        <v>59</v>
      </c>
      <c r="D39" s="35">
        <f t="shared" ca="1" si="7"/>
        <v>37</v>
      </c>
      <c r="E39" s="35">
        <f t="shared" ca="1" si="2"/>
        <v>38</v>
      </c>
      <c r="F39" s="35"/>
      <c r="G39" s="17">
        <f t="shared" ca="1" si="6"/>
        <v>4.8667493390112081E-2</v>
      </c>
      <c r="H39" s="17">
        <f t="shared" ca="1" si="6"/>
        <v>4.6967880819002425E-2</v>
      </c>
      <c r="I39" s="17">
        <f t="shared" ca="1" si="6"/>
        <v>4.5297781438204565E-2</v>
      </c>
      <c r="J39" s="17">
        <f t="shared" ca="1" si="6"/>
        <v>4.2614407469735632E-2</v>
      </c>
      <c r="K39" s="17">
        <f t="shared" ca="1" si="6"/>
        <v>3.9070298017966638E-2</v>
      </c>
      <c r="L39" s="17">
        <f t="shared" ca="1" si="6"/>
        <v>3.6160916076540602E-2</v>
      </c>
      <c r="M39" s="17">
        <f t="shared" ca="1" si="6"/>
        <v>3.8695946599593689E-2</v>
      </c>
      <c r="N39" s="17">
        <f t="shared" ca="1" si="6"/>
        <v>4.1132515253307737E-2</v>
      </c>
      <c r="O39" s="17">
        <f t="shared" ca="1" si="6"/>
        <v>4.3229222954717386E-2</v>
      </c>
      <c r="P39" s="17">
        <f t="shared" ca="1" si="6"/>
        <v>4.4789489399820838E-2</v>
      </c>
      <c r="Q39" s="17">
        <f t="shared" ca="1" si="6"/>
        <v>4.6573003182488554E-2</v>
      </c>
      <c r="R39" s="57"/>
      <c r="S39" s="57"/>
      <c r="T39" s="57"/>
    </row>
    <row r="40" spans="1:20">
      <c r="A40" t="str">
        <f>IFERROR(INDEX('2017 Data (WP)'!$C$9:$C$72,MATCH($B40,'2017 Data (WP)'!$D$9:$D$72,0)),"")</f>
        <v/>
      </c>
      <c r="B40" t="s">
        <v>23</v>
      </c>
      <c r="C40" t="s">
        <v>85</v>
      </c>
      <c r="D40" s="35" t="e">
        <f t="shared" ca="1" si="7"/>
        <v>#N/A</v>
      </c>
      <c r="E40" s="35" t="e">
        <f t="shared" ca="1" si="2"/>
        <v>#N/A</v>
      </c>
      <c r="F40" s="35"/>
      <c r="G40" s="17" t="str">
        <f t="shared" ca="1" si="6"/>
        <v>N/A</v>
      </c>
      <c r="H40" s="17" t="str">
        <f t="shared" ca="1" si="6"/>
        <v>N/A</v>
      </c>
      <c r="I40" s="17" t="str">
        <f t="shared" ca="1" si="6"/>
        <v>N/A</v>
      </c>
      <c r="J40" s="17" t="str">
        <f t="shared" ca="1" si="6"/>
        <v>N/A</v>
      </c>
      <c r="K40" s="17" t="str">
        <f t="shared" ca="1" si="6"/>
        <v>N/A</v>
      </c>
      <c r="L40" s="17" t="str">
        <f t="shared" ca="1" si="6"/>
        <v>N/A</v>
      </c>
      <c r="M40" s="17" t="str">
        <f t="shared" ca="1" si="6"/>
        <v>N/A</v>
      </c>
      <c r="N40" s="17" t="str">
        <f t="shared" ca="1" si="6"/>
        <v>N/A</v>
      </c>
      <c r="O40" s="17" t="str">
        <f t="shared" ca="1" si="6"/>
        <v>N/A</v>
      </c>
      <c r="P40" s="17" t="str">
        <f t="shared" ca="1" si="6"/>
        <v>N/A</v>
      </c>
      <c r="Q40" s="17" t="str">
        <f t="shared" ca="1" si="6"/>
        <v>N/A</v>
      </c>
      <c r="R40" s="57"/>
      <c r="S40" s="57"/>
      <c r="T40" s="57"/>
    </row>
    <row r="41" spans="1:20">
      <c r="A41" t="str">
        <f>IFERROR(INDEX('2017 Data (WP)'!$C$9:$C$72,MATCH($B41,'2017 Data (WP)'!$D$9:$D$72,0)),"")</f>
        <v/>
      </c>
      <c r="B41" t="s">
        <v>161</v>
      </c>
      <c r="C41" t="s">
        <v>160</v>
      </c>
      <c r="D41" s="35" t="e">
        <f t="shared" ca="1" si="7"/>
        <v>#N/A</v>
      </c>
      <c r="E41" s="35" t="e">
        <f t="shared" ca="1" si="2"/>
        <v>#N/A</v>
      </c>
      <c r="F41" s="35"/>
      <c r="G41" s="17" t="str">
        <f t="shared" ca="1" si="6"/>
        <v>N/A</v>
      </c>
      <c r="H41" s="17" t="str">
        <f t="shared" ca="1" si="6"/>
        <v>N/A</v>
      </c>
      <c r="I41" s="17" t="str">
        <f t="shared" ca="1" si="6"/>
        <v>N/A</v>
      </c>
      <c r="J41" s="17" t="str">
        <f t="shared" ca="1" si="6"/>
        <v>N/A</v>
      </c>
      <c r="K41" s="17" t="str">
        <f t="shared" ca="1" si="6"/>
        <v>N/A</v>
      </c>
      <c r="L41" s="17" t="str">
        <f t="shared" ca="1" si="6"/>
        <v>N/A</v>
      </c>
      <c r="M41" s="17" t="str">
        <f t="shared" ca="1" si="6"/>
        <v>N/A</v>
      </c>
      <c r="N41" s="17" t="str">
        <f t="shared" ca="1" si="6"/>
        <v>N/A</v>
      </c>
      <c r="O41" s="17" t="str">
        <f t="shared" ca="1" si="6"/>
        <v>N/A</v>
      </c>
      <c r="P41" s="17" t="str">
        <f t="shared" ca="1" si="6"/>
        <v>N/A</v>
      </c>
      <c r="Q41" s="17" t="str">
        <f t="shared" ca="1" si="6"/>
        <v>N/A</v>
      </c>
      <c r="R41" s="57"/>
      <c r="S41" s="57"/>
      <c r="T41" s="57"/>
    </row>
    <row r="42" spans="1:20">
      <c r="A42" t="str">
        <f>IFERROR(INDEX('2017 Data (WP)'!$C$9:$C$72,MATCH($B42,'2017 Data (WP)'!$D$9:$D$72,0)),"")</f>
        <v/>
      </c>
      <c r="B42" t="s">
        <v>24</v>
      </c>
      <c r="C42" t="s">
        <v>60</v>
      </c>
      <c r="D42" s="35" t="e">
        <f t="shared" ca="1" si="7"/>
        <v>#N/A</v>
      </c>
      <c r="E42" s="35" t="e">
        <f t="shared" ca="1" si="2"/>
        <v>#N/A</v>
      </c>
      <c r="F42" s="35"/>
      <c r="G42" s="17" t="str">
        <f t="shared" ca="1" si="6"/>
        <v>N/A</v>
      </c>
      <c r="H42" s="17" t="str">
        <f t="shared" ca="1" si="6"/>
        <v>N/A</v>
      </c>
      <c r="I42" s="17" t="str">
        <f t="shared" ca="1" si="6"/>
        <v>N/A</v>
      </c>
      <c r="J42" s="17" t="str">
        <f t="shared" ca="1" si="6"/>
        <v>N/A</v>
      </c>
      <c r="K42" s="17" t="str">
        <f t="shared" ca="1" si="6"/>
        <v>N/A</v>
      </c>
      <c r="L42" s="17" t="str">
        <f t="shared" ca="1" si="6"/>
        <v>N/A</v>
      </c>
      <c r="M42" s="17" t="str">
        <f t="shared" ca="1" si="6"/>
        <v>N/A</v>
      </c>
      <c r="N42" s="17" t="str">
        <f t="shared" ca="1" si="6"/>
        <v>N/A</v>
      </c>
      <c r="O42" s="17" t="str">
        <f t="shared" ca="1" si="6"/>
        <v>N/A</v>
      </c>
      <c r="P42" s="17" t="str">
        <f t="shared" ca="1" si="6"/>
        <v>N/A</v>
      </c>
      <c r="Q42" s="17" t="str">
        <f t="shared" ca="1" si="6"/>
        <v>N/A</v>
      </c>
      <c r="R42" s="57"/>
      <c r="S42" s="57"/>
      <c r="T42" s="57"/>
    </row>
    <row r="43" spans="1:20">
      <c r="A43" t="str">
        <f>IFERROR(INDEX('2017 Data (WP)'!$C$9:$C$72,MATCH($B43,'2017 Data (WP)'!$D$9:$D$72,0)),"")</f>
        <v>Electric Util. (Central)</v>
      </c>
      <c r="B43" t="s">
        <v>25</v>
      </c>
      <c r="C43" t="s">
        <v>61</v>
      </c>
      <c r="D43" s="35">
        <f t="shared" ca="1" si="7"/>
        <v>38</v>
      </c>
      <c r="E43" s="35">
        <f t="shared" ca="1" si="2"/>
        <v>39</v>
      </c>
      <c r="F43" s="35"/>
      <c r="G43" s="17">
        <f t="shared" ca="1" si="6"/>
        <v>5.7933544000766064E-2</v>
      </c>
      <c r="H43" s="17">
        <f t="shared" ca="1" si="6"/>
        <v>5.8244627435227951E-2</v>
      </c>
      <c r="I43" s="17">
        <f t="shared" ca="1" si="6"/>
        <v>5.8359621451104106E-2</v>
      </c>
      <c r="J43" s="17">
        <f t="shared" ca="1" si="6"/>
        <v>6.0071861666292387E-2</v>
      </c>
      <c r="K43" s="17">
        <f t="shared" ca="1" si="6"/>
        <v>6.2230732407850646E-2</v>
      </c>
      <c r="L43" s="17">
        <f t="shared" ca="1" si="6"/>
        <v>6.3624921334172427E-2</v>
      </c>
      <c r="M43" s="17">
        <f t="shared" ca="1" si="6"/>
        <v>6.5570522979397777E-2</v>
      </c>
      <c r="N43" s="17">
        <f t="shared" ca="1" si="6"/>
        <v>6.7228632626269602E-2</v>
      </c>
      <c r="O43" s="17">
        <f t="shared" ca="1" si="6"/>
        <v>6.8688029889351923E-2</v>
      </c>
      <c r="P43" s="17">
        <f t="shared" ca="1" si="6"/>
        <v>7.2363356428021552E-2</v>
      </c>
      <c r="Q43" s="17">
        <f t="shared" ca="1" si="6"/>
        <v>7.7709782882052145E-2</v>
      </c>
      <c r="R43" s="57"/>
      <c r="S43" s="57"/>
      <c r="T43" s="57"/>
    </row>
    <row r="44" spans="1:20">
      <c r="A44" t="str">
        <f>IFERROR(INDEX('2017 Data (WP)'!$C$9:$C$72,MATCH($B44,'2017 Data (WP)'!$D$9:$D$72,0)),"")</f>
        <v>Water Utility</v>
      </c>
      <c r="B44" s="31" t="s">
        <v>188</v>
      </c>
      <c r="C44" s="31" t="s">
        <v>187</v>
      </c>
      <c r="D44" s="35">
        <f t="shared" ca="1" si="7"/>
        <v>39</v>
      </c>
      <c r="E44" s="35">
        <f t="shared" ca="1" si="2"/>
        <v>40</v>
      </c>
      <c r="F44" s="35"/>
      <c r="G44" s="17">
        <f t="shared" ca="1" si="6"/>
        <v>6.0280513279618031E-2</v>
      </c>
      <c r="H44" s="17">
        <f t="shared" ca="1" si="6"/>
        <v>6.0915299474056044E-2</v>
      </c>
      <c r="I44" s="17">
        <f t="shared" ca="1" si="6"/>
        <v>6.2356979405034325E-2</v>
      </c>
      <c r="J44" s="17">
        <f t="shared" ca="1" si="6"/>
        <v>6.3684032476319347E-2</v>
      </c>
      <c r="K44" s="17">
        <f t="shared" ca="1" si="6"/>
        <v>6.4698711250435387E-2</v>
      </c>
      <c r="L44" s="17">
        <f t="shared" ca="1" si="6"/>
        <v>6.5039929015084291E-2</v>
      </c>
      <c r="M44" s="17">
        <f t="shared" ca="1" si="6"/>
        <v>6.494789795185052E-2</v>
      </c>
      <c r="N44" s="17">
        <f t="shared" ca="1" si="6"/>
        <v>6.9028947623196821E-2</v>
      </c>
      <c r="O44" s="17">
        <f t="shared" ca="1" si="6"/>
        <v>7.0096719513411107E-2</v>
      </c>
      <c r="P44" s="17">
        <f t="shared" ca="1" si="6"/>
        <v>6.8927789934354472E-2</v>
      </c>
      <c r="Q44" s="17">
        <f t="shared" ca="1" si="6"/>
        <v>7.1728628439403488E-2</v>
      </c>
      <c r="R44" s="58"/>
      <c r="S44" s="58"/>
      <c r="T44" s="58"/>
    </row>
    <row r="45" spans="1:20">
      <c r="A45" t="str">
        <f>IFERROR(INDEX('2017 Data (WP)'!$C$9:$C$72,MATCH($B45,'2017 Data (WP)'!$D$9:$D$72,0)),"")</f>
        <v>Natural Gas Utility</v>
      </c>
      <c r="B45" s="31" t="s">
        <v>190</v>
      </c>
      <c r="C45" s="31" t="s">
        <v>189</v>
      </c>
      <c r="D45" s="35">
        <f t="shared" ca="1" si="7"/>
        <v>40</v>
      </c>
      <c r="E45" s="35">
        <f t="shared" ca="1" si="2"/>
        <v>41</v>
      </c>
      <c r="F45" s="35"/>
      <c r="G45" s="17">
        <f t="shared" ref="G45:Q54" ca="1" si="8">IFERROR(INDEX(Dividends,$D45,G$2)/INDEX(BookValue,$E45,G$2),"N/A")</f>
        <v>7.2149009791651328E-2</v>
      </c>
      <c r="H45" s="17">
        <f t="shared" ca="1" si="8"/>
        <v>7.1565986918045416E-2</v>
      </c>
      <c r="I45" s="17">
        <f t="shared" ca="1" si="8"/>
        <v>7.4509803921568626E-2</v>
      </c>
      <c r="J45" s="17">
        <f t="shared" ca="1" si="8"/>
        <v>7.6049197258473394E-2</v>
      </c>
      <c r="K45" s="17">
        <f t="shared" ca="1" si="8"/>
        <v>7.8579446882334938E-2</v>
      </c>
      <c r="L45" s="17">
        <f t="shared" ca="1" si="8"/>
        <v>7.6882007474639608E-2</v>
      </c>
      <c r="M45" s="17">
        <f t="shared" ca="1" si="8"/>
        <v>7.7185017026106695E-2</v>
      </c>
      <c r="N45" s="17">
        <f t="shared" ca="1" si="8"/>
        <v>7.4761847341131074E-2</v>
      </c>
      <c r="O45" s="17">
        <f t="shared" ca="1" si="8"/>
        <v>6.4221245082156916E-2</v>
      </c>
      <c r="P45" s="17">
        <f t="shared" ca="1" si="8"/>
        <v>6.5436241610738258E-2</v>
      </c>
      <c r="Q45" s="17">
        <f t="shared" ca="1" si="8"/>
        <v>6.3991467804292754E-2</v>
      </c>
      <c r="R45" s="57"/>
      <c r="S45" s="57"/>
      <c r="T45" s="57"/>
    </row>
    <row r="46" spans="1:20">
      <c r="A46" t="str">
        <f>IFERROR(INDEX('2017 Data (WP)'!$C$9:$C$72,MATCH($B46,'2017 Data (WP)'!$D$9:$D$72,0)),"")</f>
        <v>Electric Utility (East)</v>
      </c>
      <c r="B46" t="s">
        <v>141</v>
      </c>
      <c r="C46" t="s">
        <v>209</v>
      </c>
      <c r="D46" s="35">
        <f t="shared" ca="1" si="7"/>
        <v>41</v>
      </c>
      <c r="E46" s="35">
        <f t="shared" ca="1" si="2"/>
        <v>42</v>
      </c>
      <c r="F46" s="35"/>
      <c r="G46" s="17">
        <f t="shared" ca="1" si="8"/>
        <v>6.6908923112418528E-2</v>
      </c>
      <c r="H46" s="17">
        <f t="shared" ca="1" si="8"/>
        <v>6.2899503747421731E-2</v>
      </c>
      <c r="I46" s="17">
        <f t="shared" ca="1" si="8"/>
        <v>6.4506083590986946E-2</v>
      </c>
      <c r="J46" s="17">
        <f t="shared" ca="1" si="8"/>
        <v>6.3658942393479787E-2</v>
      </c>
      <c r="K46" s="17">
        <f t="shared" ca="1" si="8"/>
        <v>6.333122229259025E-2</v>
      </c>
      <c r="L46" s="17">
        <f t="shared" ca="1" si="8"/>
        <v>6.1245510982433679E-2</v>
      </c>
      <c r="M46" s="17">
        <f t="shared" ca="1" si="8"/>
        <v>5.8207217694994179E-2</v>
      </c>
      <c r="N46" s="17">
        <f t="shared" ca="1" si="8"/>
        <v>6.028708133971291E-2</v>
      </c>
      <c r="O46" s="17">
        <f t="shared" ca="1" si="8"/>
        <v>6.23118392494574E-2</v>
      </c>
      <c r="P46" s="17">
        <f t="shared" ca="1" si="8"/>
        <v>6.2229642559004324E-2</v>
      </c>
      <c r="Q46" s="17">
        <f t="shared" ca="1" si="8"/>
        <v>6.1239487221360335E-2</v>
      </c>
      <c r="R46" s="57"/>
      <c r="S46" s="57"/>
      <c r="T46" s="57"/>
    </row>
    <row r="47" spans="1:20">
      <c r="A47" t="str">
        <f>IFERROR(INDEX('2017 Data (WP)'!$C$9:$C$72,MATCH($B47,'2017 Data (WP)'!$D$9:$D$72,0)),"")</f>
        <v>Natural Gas Utility</v>
      </c>
      <c r="B47" t="s">
        <v>26</v>
      </c>
      <c r="C47" t="s">
        <v>62</v>
      </c>
      <c r="D47" s="35">
        <f t="shared" ref="D47:D78" ca="1" si="9">MATCH(B47,OFFSET(Dividends,0,0,,1),0)</f>
        <v>42</v>
      </c>
      <c r="E47" s="35">
        <f t="shared" ref="E47:E78" ca="1" si="10">MATCH(B47,OFFSET(BookValue,0,0,,1),0)</f>
        <v>43</v>
      </c>
      <c r="F47" s="35"/>
      <c r="G47" s="17">
        <f t="shared" ca="1" si="8"/>
        <v>5.0801714557866327E-2</v>
      </c>
      <c r="H47" s="17">
        <f t="shared" ca="1" si="8"/>
        <v>6.8913982065758883E-2</v>
      </c>
      <c r="I47" s="17">
        <f t="shared" ca="1" si="8"/>
        <v>5.2200614124872063E-2</v>
      </c>
      <c r="J47" s="17">
        <f t="shared" ca="1" si="8"/>
        <v>5.2219321148825062E-2</v>
      </c>
      <c r="K47" s="17">
        <f t="shared" ca="1" si="8"/>
        <v>5.2511032903189765E-2</v>
      </c>
      <c r="L47" s="17">
        <f t="shared" ca="1" si="8"/>
        <v>5.1948051948051945E-2</v>
      </c>
      <c r="M47" s="17">
        <f t="shared" ca="1" si="8"/>
        <v>5.2192658989050893E-2</v>
      </c>
      <c r="N47" s="17">
        <f t="shared" ca="1" si="8"/>
        <v>5.2460512060215549E-2</v>
      </c>
      <c r="O47" s="17">
        <f t="shared" ca="1" si="8"/>
        <v>5.3358079109152072E-2</v>
      </c>
      <c r="P47" s="17">
        <f t="shared" ca="1" si="8"/>
        <v>4.9686757399006271E-2</v>
      </c>
      <c r="Q47" s="17">
        <f t="shared" ca="1" si="8"/>
        <v>5.0215599585175477E-2</v>
      </c>
      <c r="R47" s="57"/>
      <c r="S47" s="57"/>
      <c r="T47" s="57"/>
    </row>
    <row r="48" spans="1:20">
      <c r="A48" t="str">
        <f>IFERROR(INDEX('2017 Data (WP)'!$C$9:$C$72,MATCH($B48,'2017 Data (WP)'!$D$9:$D$72,0)),"")</f>
        <v>Natural Gas Utility</v>
      </c>
      <c r="B48" s="31" t="s">
        <v>192</v>
      </c>
      <c r="C48" s="31" t="s">
        <v>191</v>
      </c>
      <c r="D48" s="35">
        <f t="shared" ca="1" si="9"/>
        <v>43</v>
      </c>
      <c r="E48" s="35">
        <f t="shared" ca="1" si="10"/>
        <v>44</v>
      </c>
      <c r="F48" s="35"/>
      <c r="G48" s="17">
        <f t="shared" ca="1" si="8"/>
        <v>6.2950245741601032E-2</v>
      </c>
      <c r="H48" s="17">
        <f t="shared" ca="1" si="8"/>
        <v>6.5320456540825286E-2</v>
      </c>
      <c r="I48" s="17">
        <f t="shared" ca="1" si="8"/>
        <v>6.5782455641290052E-2</v>
      </c>
      <c r="J48" s="17">
        <f t="shared" ca="1" si="8"/>
        <v>6.5898451566438601E-2</v>
      </c>
      <c r="K48" s="17">
        <f t="shared" ca="1" si="8"/>
        <v>6.5729078691293658E-2</v>
      </c>
      <c r="L48" s="17">
        <f t="shared" ca="1" si="8"/>
        <v>6.5533253445176756E-2</v>
      </c>
      <c r="M48" s="17">
        <f t="shared" ca="1" si="8"/>
        <v>6.4417177914110432E-2</v>
      </c>
      <c r="N48" s="17">
        <f t="shared" ca="1" si="8"/>
        <v>6.4311266530005226E-2</v>
      </c>
      <c r="O48" s="17">
        <f t="shared" ca="1" si="8"/>
        <v>6.4105267597317703E-2</v>
      </c>
      <c r="P48" s="17">
        <f t="shared" ca="1" si="8"/>
        <v>6.3937483349613716E-2</v>
      </c>
      <c r="Q48" s="17">
        <f t="shared" ca="1" si="8"/>
        <v>6.3150243060288033E-2</v>
      </c>
      <c r="R48" s="57"/>
      <c r="S48" s="57"/>
      <c r="T48" s="57"/>
    </row>
    <row r="49" spans="1:20">
      <c r="A49" t="str">
        <f>IFERROR(INDEX('2017 Data (WP)'!$C$9:$C$72,MATCH($B49,'2017 Data (WP)'!$D$9:$D$72,0)),"")</f>
        <v>Electric Utility (West)</v>
      </c>
      <c r="B49" t="str">
        <f>"NWE"</f>
        <v>NWE</v>
      </c>
      <c r="C49" t="s">
        <v>94</v>
      </c>
      <c r="D49" s="35">
        <f t="shared" ca="1" si="9"/>
        <v>44</v>
      </c>
      <c r="E49" s="35">
        <f t="shared" ca="1" si="10"/>
        <v>45</v>
      </c>
      <c r="F49" s="35"/>
      <c r="G49" s="17">
        <f t="shared" ca="1" si="8"/>
        <v>5.7666801222536181E-2</v>
      </c>
      <c r="H49" s="17">
        <f t="shared" ca="1" si="8"/>
        <v>5.7799987958335831E-2</v>
      </c>
      <c r="I49" s="17">
        <f t="shared" ca="1" si="8"/>
        <v>5.0795263341693389E-2</v>
      </c>
      <c r="J49" s="17">
        <f t="shared" ca="1" si="8"/>
        <v>5.7140708995902414E-2</v>
      </c>
      <c r="K49" s="17">
        <f t="shared" ca="1" si="8"/>
        <v>5.8978241810791421E-2</v>
      </c>
      <c r="L49" s="17">
        <f t="shared" ca="1" si="8"/>
        <v>6.0808242895148003E-2</v>
      </c>
      <c r="M49" s="17">
        <f t="shared" ca="1" si="8"/>
        <v>6.0062712538091242E-2</v>
      </c>
      <c r="N49" s="17">
        <f t="shared" ca="1" si="8"/>
        <v>6.1299176578225076E-2</v>
      </c>
      <c r="O49" s="17">
        <f t="shared" ca="1" si="8"/>
        <v>6.2114724012987621E-2</v>
      </c>
      <c r="P49" s="17">
        <f t="shared" ca="1" si="8"/>
        <v>6.0608930347080828E-2</v>
      </c>
      <c r="Q49" s="17">
        <f t="shared" ca="1" si="8"/>
        <v>6.0045518376834049E-2</v>
      </c>
      <c r="R49" s="57"/>
      <c r="S49" s="57"/>
      <c r="T49" s="57"/>
    </row>
    <row r="50" spans="1:20">
      <c r="A50" t="str">
        <f>IFERROR(INDEX('2017 Data (WP)'!$C$9:$C$72,MATCH($B50,'2017 Data (WP)'!$D$9:$D$72,0)),"")</f>
        <v>Electric Util. (Central)</v>
      </c>
      <c r="B50" t="s">
        <v>27</v>
      </c>
      <c r="C50" t="s">
        <v>67</v>
      </c>
      <c r="D50" s="35">
        <f t="shared" ca="1" si="9"/>
        <v>45</v>
      </c>
      <c r="E50" s="35">
        <f t="shared" ca="1" si="10"/>
        <v>46</v>
      </c>
      <c r="F50" s="35"/>
      <c r="G50" s="17">
        <f t="shared" ca="1" si="8"/>
        <v>6.6975935053638733E-2</v>
      </c>
      <c r="H50" s="17">
        <f t="shared" ca="1" si="8"/>
        <v>6.3044130891624139E-2</v>
      </c>
      <c r="I50" s="17">
        <f t="shared" ca="1" si="8"/>
        <v>5.8386085673898344E-2</v>
      </c>
      <c r="J50" s="17">
        <f t="shared" ca="1" si="8"/>
        <v>5.5620915032679734E-2</v>
      </c>
      <c r="K50" s="17">
        <f t="shared" ca="1" si="8"/>
        <v>5.698371893744645E-2</v>
      </c>
      <c r="L50" s="17">
        <f t="shared" ca="1" si="8"/>
        <v>5.8094144661308841E-2</v>
      </c>
      <c r="M50" s="17">
        <f t="shared" ca="1" si="8"/>
        <v>6.2404092071611253E-2</v>
      </c>
      <c r="N50" s="17">
        <f t="shared" ca="1" si="8"/>
        <v>6.7870722433460082E-2</v>
      </c>
      <c r="O50" s="17">
        <f t="shared" ca="1" si="8"/>
        <v>6.8914522330671385E-2</v>
      </c>
      <c r="P50" s="17">
        <f t="shared" ca="1" si="8"/>
        <v>7.4713271436373574E-2</v>
      </c>
      <c r="Q50" s="17">
        <f t="shared" ca="1" si="8"/>
        <v>7.6083248038212231E-2</v>
      </c>
      <c r="R50" s="57"/>
      <c r="S50" s="57"/>
      <c r="T50" s="57"/>
    </row>
    <row r="51" spans="1:20">
      <c r="A51" t="str">
        <f>IFERROR(INDEX('2017 Data (WP)'!$C$9:$C$72,MATCH($B51,'2017 Data (WP)'!$D$9:$D$72,0)),"")</f>
        <v>Natural Gas Utility</v>
      </c>
      <c r="B51" t="s">
        <v>353</v>
      </c>
      <c r="C51" t="s">
        <v>356</v>
      </c>
      <c r="D51" s="35">
        <f t="shared" ca="1" si="9"/>
        <v>46</v>
      </c>
      <c r="E51" s="35">
        <f t="shared" ca="1" si="10"/>
        <v>47</v>
      </c>
      <c r="F51" s="35"/>
      <c r="G51" s="17">
        <f t="shared" ca="1" si="8"/>
        <v>3.8762909433230887E-2</v>
      </c>
      <c r="H51" s="17">
        <f t="shared" ca="1" si="8"/>
        <v>3.4053179715655954E-2</v>
      </c>
      <c r="I51" s="17">
        <f t="shared" ca="1" si="8"/>
        <v>2.4386703440267093E-2</v>
      </c>
      <c r="J51" s="17" t="str">
        <f t="shared" ca="1" si="8"/>
        <v>N/A</v>
      </c>
      <c r="K51" s="17" t="str">
        <f t="shared" ca="1" si="8"/>
        <v>N/A</v>
      </c>
      <c r="L51" s="17" t="str">
        <f t="shared" ca="1" si="8"/>
        <v>N/A</v>
      </c>
      <c r="M51" s="17" t="str">
        <f t="shared" ca="1" si="8"/>
        <v>N/A</v>
      </c>
      <c r="N51" s="17" t="str">
        <f t="shared" ca="1" si="8"/>
        <v>N/A</v>
      </c>
      <c r="O51" s="17" t="str">
        <f t="shared" ca="1" si="8"/>
        <v>N/A</v>
      </c>
      <c r="P51" s="17" t="str">
        <f t="shared" ca="1" si="8"/>
        <v>N/A</v>
      </c>
      <c r="Q51" s="17" t="str">
        <f t="shared" ca="1" si="8"/>
        <v>N/A</v>
      </c>
      <c r="R51" s="57"/>
      <c r="S51" s="57"/>
      <c r="T51" s="57"/>
    </row>
    <row r="52" spans="1:20">
      <c r="A52" t="str">
        <f>IFERROR(INDEX('2017 Data (WP)'!$C$9:$C$72,MATCH($B52,'2017 Data (WP)'!$D$9:$D$72,0)),"")</f>
        <v>Electric Util. (Central)</v>
      </c>
      <c r="B52" t="s">
        <v>28</v>
      </c>
      <c r="C52" t="s">
        <v>68</v>
      </c>
      <c r="D52" s="35">
        <f t="shared" ca="1" si="9"/>
        <v>47</v>
      </c>
      <c r="E52" s="35">
        <f t="shared" ca="1" si="10"/>
        <v>48</v>
      </c>
      <c r="F52" s="35"/>
      <c r="G52" s="17">
        <f t="shared" ca="1" si="8"/>
        <v>7.3399882560187896E-2</v>
      </c>
      <c r="H52" s="17">
        <f t="shared" ca="1" si="8"/>
        <v>7.6961581779501936E-2</v>
      </c>
      <c r="I52" s="17">
        <f t="shared" ca="1" si="8"/>
        <v>7.8627591136526093E-2</v>
      </c>
      <c r="J52" s="17">
        <f t="shared" ca="1" si="8"/>
        <v>8.0705323838589346E-2</v>
      </c>
      <c r="K52" s="17">
        <f t="shared" ca="1" si="8"/>
        <v>8.2455654101995554E-2</v>
      </c>
      <c r="L52" s="17">
        <f t="shared" ca="1" si="8"/>
        <v>7.5178469897024439E-2</v>
      </c>
      <c r="M52" s="17">
        <f t="shared" ca="1" si="8"/>
        <v>6.7748363222317101E-2</v>
      </c>
      <c r="N52" s="17">
        <f t="shared" ca="1" si="8"/>
        <v>6.3348416289592757E-2</v>
      </c>
      <c r="O52" s="17">
        <f t="shared" ca="1" si="8"/>
        <v>6.2176707246982599E-2</v>
      </c>
      <c r="P52" s="17">
        <f t="shared" ca="1" si="8"/>
        <v>6.6662868212637463E-2</v>
      </c>
      <c r="Q52" s="17">
        <f t="shared" ca="1" si="8"/>
        <v>6.8998620027599433E-2</v>
      </c>
      <c r="R52" s="57"/>
      <c r="S52" s="57"/>
      <c r="T52" s="57"/>
    </row>
    <row r="53" spans="1:20">
      <c r="A53" t="str">
        <f>IFERROR(INDEX('2017 Data (WP)'!$C$9:$C$72,MATCH($B53,'2017 Data (WP)'!$D$9:$D$72,0)),"")</f>
        <v/>
      </c>
      <c r="B53" t="s">
        <v>29</v>
      </c>
      <c r="C53" t="s">
        <v>73</v>
      </c>
      <c r="D53" s="35" t="e">
        <f t="shared" ca="1" si="9"/>
        <v>#N/A</v>
      </c>
      <c r="E53" s="35" t="e">
        <f t="shared" ca="1" si="10"/>
        <v>#N/A</v>
      </c>
      <c r="F53" s="35"/>
      <c r="G53" s="17" t="str">
        <f t="shared" ca="1" si="8"/>
        <v>N/A</v>
      </c>
      <c r="H53" s="17" t="str">
        <f t="shared" ca="1" si="8"/>
        <v>N/A</v>
      </c>
      <c r="I53" s="17" t="str">
        <f t="shared" ca="1" si="8"/>
        <v>N/A</v>
      </c>
      <c r="J53" s="17" t="str">
        <f t="shared" ca="1" si="8"/>
        <v>N/A</v>
      </c>
      <c r="K53" s="17" t="str">
        <f t="shared" ca="1" si="8"/>
        <v>N/A</v>
      </c>
      <c r="L53" s="17" t="str">
        <f t="shared" ca="1" si="8"/>
        <v>N/A</v>
      </c>
      <c r="M53" s="17" t="str">
        <f t="shared" ca="1" si="8"/>
        <v>N/A</v>
      </c>
      <c r="N53" s="17" t="str">
        <f t="shared" ca="1" si="8"/>
        <v>N/A</v>
      </c>
      <c r="O53" s="17" t="str">
        <f t="shared" ca="1" si="8"/>
        <v>N/A</v>
      </c>
      <c r="P53" s="17" t="str">
        <f t="shared" ca="1" si="8"/>
        <v>N/A</v>
      </c>
      <c r="Q53" s="17" t="str">
        <f t="shared" ca="1" si="8"/>
        <v>N/A</v>
      </c>
      <c r="R53" s="57"/>
      <c r="S53" s="57"/>
      <c r="T53" s="57"/>
    </row>
    <row r="54" spans="1:20">
      <c r="A54" t="str">
        <f>IFERROR(INDEX('2017 Data (WP)'!$C$9:$C$72,MATCH($B54,'2017 Data (WP)'!$D$9:$D$72,0)),"")</f>
        <v>Electric Utility (West)</v>
      </c>
      <c r="B54" t="s">
        <v>30</v>
      </c>
      <c r="C54" t="s">
        <v>71</v>
      </c>
      <c r="D54" s="35">
        <f t="shared" ca="1" si="9"/>
        <v>48</v>
      </c>
      <c r="E54" s="35">
        <f t="shared" ca="1" si="10"/>
        <v>49</v>
      </c>
      <c r="F54" s="35"/>
      <c r="G54" s="17">
        <f t="shared" ca="1" si="8"/>
        <v>5.4390822784810125E-2</v>
      </c>
      <c r="H54" s="17">
        <f t="shared" ca="1" si="8"/>
        <v>5.4023568523850519E-2</v>
      </c>
      <c r="I54" s="17">
        <f t="shared" ca="1" si="8"/>
        <v>5.5001511030522809E-2</v>
      </c>
      <c r="J54" s="17">
        <f t="shared" ca="1" si="8"/>
        <v>5.7950710055403427E-2</v>
      </c>
      <c r="K54" s="17">
        <f t="shared" ca="1" si="8"/>
        <v>5.9959148711866646E-2</v>
      </c>
      <c r="L54" s="17">
        <f t="shared" ca="1" si="8"/>
        <v>6.2003883759751986E-2</v>
      </c>
      <c r="M54" s="17">
        <f t="shared" ca="1" si="8"/>
        <v>6.3756743501716534E-2</v>
      </c>
      <c r="N54" s="17">
        <f t="shared" ca="1" si="8"/>
        <v>6.0253927264902085E-2</v>
      </c>
      <c r="O54" s="17">
        <f t="shared" ca="1" si="8"/>
        <v>6.0066997805244313E-2</v>
      </c>
      <c r="P54" s="17">
        <f t="shared" ca="1" si="8"/>
        <v>5.9553349875930521E-2</v>
      </c>
      <c r="Q54" s="17">
        <f t="shared" ca="1" si="8"/>
        <v>5.8831394571466772E-2</v>
      </c>
      <c r="R54" s="57"/>
      <c r="S54" s="57"/>
      <c r="T54" s="57"/>
    </row>
    <row r="55" spans="1:20">
      <c r="A55" t="str">
        <f>IFERROR(INDEX('2017 Data (WP)'!$C$9:$C$72,MATCH($B55,'2017 Data (WP)'!$D$9:$D$72,0)),"")</f>
        <v>Electric Utility (West)</v>
      </c>
      <c r="B55" t="s">
        <v>31</v>
      </c>
      <c r="C55" t="s">
        <v>72</v>
      </c>
      <c r="D55" s="35">
        <f t="shared" ca="1" si="9"/>
        <v>49</v>
      </c>
      <c r="E55" s="35">
        <f t="shared" ca="1" si="10"/>
        <v>50</v>
      </c>
      <c r="F55" s="35"/>
      <c r="G55" s="17">
        <f t="shared" ref="G55:Q64" ca="1" si="11">IFERROR(INDEX(Dividends,$D55,G$2)/INDEX(BookValue,$E55,G$2),"N/A")</f>
        <v>5.9334801251593461E-2</v>
      </c>
      <c r="H55" s="17">
        <f t="shared" ca="1" si="11"/>
        <v>5.9074181677319385E-2</v>
      </c>
      <c r="I55" s="17">
        <f t="shared" ca="1" si="11"/>
        <v>5.8862249677207018E-2</v>
      </c>
      <c r="J55" s="17">
        <f t="shared" ca="1" si="11"/>
        <v>5.8446505030339643E-2</v>
      </c>
      <c r="K55" s="17">
        <f t="shared" ca="1" si="11"/>
        <v>7.3754868650037289E-2</v>
      </c>
      <c r="L55" s="17">
        <f t="shared" ca="1" si="11"/>
        <v>6.0027441115938718E-2</v>
      </c>
      <c r="M55" s="17">
        <f t="shared" ca="1" si="11"/>
        <v>6.2012756909992924E-2</v>
      </c>
      <c r="N55" s="17">
        <f t="shared" ca="1" si="11"/>
        <v>6.4235898690811213E-2</v>
      </c>
      <c r="O55" s="17">
        <f t="shared" ca="1" si="11"/>
        <v>6.1482609204824928E-2</v>
      </c>
      <c r="P55" s="17">
        <f t="shared" ca="1" si="11"/>
        <v>5.9752454118651301E-2</v>
      </c>
      <c r="Q55" s="17">
        <f t="shared" ca="1" si="11"/>
        <v>5.8738216098622183E-2</v>
      </c>
      <c r="R55" s="57"/>
      <c r="S55" s="57"/>
      <c r="T55" s="57"/>
    </row>
    <row r="56" spans="1:20">
      <c r="A56" t="str">
        <f>IFERROR(INDEX('2017 Data (WP)'!$C$9:$C$72,MATCH($B56,'2017 Data (WP)'!$D$9:$D$72,0)),"")</f>
        <v>Electric Utility (West)</v>
      </c>
      <c r="B56" t="s">
        <v>32</v>
      </c>
      <c r="C56" t="s">
        <v>74</v>
      </c>
      <c r="D56" s="35">
        <f t="shared" ca="1" si="9"/>
        <v>50</v>
      </c>
      <c r="E56" s="35">
        <f t="shared" ca="1" si="10"/>
        <v>51</v>
      </c>
      <c r="F56" s="35"/>
      <c r="G56" s="17">
        <f t="shared" ca="1" si="11"/>
        <v>4.1825095057034224E-2</v>
      </c>
      <c r="H56" s="17">
        <f t="shared" ca="1" si="11"/>
        <v>3.8507821901323708E-2</v>
      </c>
      <c r="I56" s="17">
        <f t="shared" ca="1" si="11"/>
        <v>3.3718904917154215E-2</v>
      </c>
      <c r="J56" s="17">
        <f t="shared" ca="1" si="11"/>
        <v>3.2588900603853159E-2</v>
      </c>
      <c r="K56" s="17">
        <f t="shared" ca="1" si="11"/>
        <v>2.893489648291344E-2</v>
      </c>
      <c r="L56" s="17">
        <f t="shared" ca="1" si="11"/>
        <v>2.5489396411092987E-2</v>
      </c>
      <c r="M56" s="17">
        <f t="shared" ca="1" si="11"/>
        <v>2.8413934193328407E-2</v>
      </c>
      <c r="N56" s="17">
        <f t="shared" ca="1" si="11"/>
        <v>2.6453626792233214E-2</v>
      </c>
      <c r="O56" s="17">
        <f t="shared" ca="1" si="11"/>
        <v>3.2022442174350289E-2</v>
      </c>
      <c r="P56" s="17">
        <f t="shared" ca="1" si="11"/>
        <v>4.1303558460421205E-2</v>
      </c>
      <c r="Q56" s="17">
        <f t="shared" ca="1" si="11"/>
        <v>3.8928118776027525E-2</v>
      </c>
      <c r="R56" s="57"/>
      <c r="S56" s="57"/>
      <c r="T56" s="57"/>
    </row>
    <row r="57" spans="1:20">
      <c r="A57" t="str">
        <f>IFERROR(INDEX('2017 Data (WP)'!$C$9:$C$72,MATCH($B57,'2017 Data (WP)'!$D$9:$D$72,0)),"")</f>
        <v>Electric Utility (West)</v>
      </c>
      <c r="B57" t="s">
        <v>33</v>
      </c>
      <c r="C57" t="s">
        <v>92</v>
      </c>
      <c r="D57" s="35">
        <f t="shared" ca="1" si="9"/>
        <v>51</v>
      </c>
      <c r="E57" s="35">
        <f t="shared" ca="1" si="10"/>
        <v>52</v>
      </c>
      <c r="F57" s="35"/>
      <c r="G57" s="17">
        <f t="shared" ca="1" si="11"/>
        <v>4.7812393275907861E-2</v>
      </c>
      <c r="H57" s="17">
        <f t="shared" ca="1" si="11"/>
        <v>4.640188753440818E-2</v>
      </c>
      <c r="I57" s="17">
        <f t="shared" ca="1" si="11"/>
        <v>4.5644342557720645E-2</v>
      </c>
      <c r="J57" s="17">
        <f t="shared" ca="1" si="11"/>
        <v>4.7005795235028972E-2</v>
      </c>
      <c r="K57" s="17">
        <f t="shared" ca="1" si="11"/>
        <v>4.7004809794490593E-2</v>
      </c>
      <c r="L57" s="17">
        <f t="shared" ca="1" si="11"/>
        <v>4.7808945484207187E-2</v>
      </c>
      <c r="M57" s="17">
        <f t="shared" ca="1" si="11"/>
        <v>4.8966267682263323E-2</v>
      </c>
      <c r="N57" s="17">
        <f t="shared" ca="1" si="11"/>
        <v>4.9263486489123015E-2</v>
      </c>
      <c r="O57" s="17">
        <f t="shared" ca="1" si="11"/>
        <v>4.4828542379147789E-2</v>
      </c>
      <c r="P57" s="17">
        <f t="shared" ca="1" si="11"/>
        <v>4.4188919509645541E-2</v>
      </c>
      <c r="Q57" s="17">
        <f t="shared" ca="1" si="11"/>
        <v>3.4468671807179704E-2</v>
      </c>
      <c r="R57" s="57"/>
      <c r="S57" s="57"/>
      <c r="T57" s="57"/>
    </row>
    <row r="58" spans="1:20">
      <c r="A58" t="str">
        <f>IFERROR(INDEX('2017 Data (WP)'!$C$9:$C$72,MATCH($B58,'2017 Data (WP)'!$D$9:$D$72,0)),"")</f>
        <v>Electric Utility (East)</v>
      </c>
      <c r="B58" t="s">
        <v>34</v>
      </c>
      <c r="C58" t="s">
        <v>70</v>
      </c>
      <c r="D58" s="35">
        <f t="shared" ca="1" si="9"/>
        <v>52</v>
      </c>
      <c r="E58" s="35">
        <f t="shared" ca="1" si="10"/>
        <v>53</v>
      </c>
      <c r="F58" s="35"/>
      <c r="G58" s="17">
        <f t="shared" ca="1" si="11"/>
        <v>0.10437409874339078</v>
      </c>
      <c r="H58" s="17">
        <f t="shared" ca="1" si="11"/>
        <v>0.10190217391304347</v>
      </c>
      <c r="I58" s="17">
        <f t="shared" ca="1" si="11"/>
        <v>7.2800117261933847E-2</v>
      </c>
      <c r="J58" s="17">
        <f t="shared" ca="1" si="11"/>
        <v>7.4328765737978461E-2</v>
      </c>
      <c r="K58" s="17">
        <f t="shared" ca="1" si="11"/>
        <v>7.9960019990004988E-2</v>
      </c>
      <c r="L58" s="17">
        <f t="shared" ca="1" si="11"/>
        <v>7.4786324786324784E-2</v>
      </c>
      <c r="M58" s="17">
        <f t="shared" ca="1" si="11"/>
        <v>8.2430522845030607E-2</v>
      </c>
      <c r="N58" s="17">
        <f t="shared" ca="1" si="11"/>
        <v>9.4708667901997112E-2</v>
      </c>
      <c r="O58" s="17">
        <f t="shared" ca="1" si="11"/>
        <v>9.8863804043086909E-2</v>
      </c>
      <c r="P58" s="17">
        <f t="shared" ca="1" si="11"/>
        <v>8.1961706415854887E-2</v>
      </c>
      <c r="Q58" s="17">
        <f t="shared" ca="1" si="11"/>
        <v>8.2688115462677597E-2</v>
      </c>
      <c r="R58" s="57"/>
      <c r="S58" s="57"/>
      <c r="T58" s="57"/>
    </row>
    <row r="59" spans="1:20">
      <c r="A59" t="str">
        <f>IFERROR(INDEX('2017 Data (WP)'!$C$9:$C$72,MATCH($B59,'2017 Data (WP)'!$D$9:$D$72,0)),"")</f>
        <v>Electric Utility (East)</v>
      </c>
      <c r="B59" t="s">
        <v>35</v>
      </c>
      <c r="C59" t="s">
        <v>75</v>
      </c>
      <c r="D59" s="35">
        <f t="shared" ca="1" si="9"/>
        <v>53</v>
      </c>
      <c r="E59" s="35">
        <f t="shared" ca="1" si="10"/>
        <v>54</v>
      </c>
      <c r="F59" s="35"/>
      <c r="G59" s="17">
        <f t="shared" ca="1" si="11"/>
        <v>6.3059945399315559E-2</v>
      </c>
      <c r="H59" s="17">
        <f t="shared" ca="1" si="11"/>
        <v>6.0327158822846977E-2</v>
      </c>
      <c r="I59" s="17">
        <f t="shared" ca="1" si="11"/>
        <v>6.1438831001702027E-2</v>
      </c>
      <c r="J59" s="17">
        <f t="shared" ca="1" si="11"/>
        <v>6.2753301085109167E-2</v>
      </c>
      <c r="K59" s="17">
        <f t="shared" ca="1" si="11"/>
        <v>6.6638509549955413E-2</v>
      </c>
      <c r="L59" s="17">
        <f t="shared" ca="1" si="11"/>
        <v>6.7491009409330519E-2</v>
      </c>
      <c r="M59" s="17">
        <f t="shared" ca="1" si="11"/>
        <v>7.1957560796260311E-2</v>
      </c>
      <c r="N59" s="17">
        <f t="shared" ca="1" si="11"/>
        <v>7.6577614002763708E-2</v>
      </c>
      <c r="O59" s="17">
        <f t="shared" ca="1" si="11"/>
        <v>8.40007814026177E-2</v>
      </c>
      <c r="P59" s="17">
        <f t="shared" ca="1" si="11"/>
        <v>8.1516059360412452E-2</v>
      </c>
      <c r="Q59" s="17">
        <f t="shared" ca="1" si="11"/>
        <v>8.5374073241968093E-2</v>
      </c>
      <c r="R59" s="57"/>
      <c r="S59" s="57"/>
      <c r="T59" s="57"/>
    </row>
    <row r="60" spans="1:20">
      <c r="A60" t="str">
        <f>IFERROR(INDEX('2017 Data (WP)'!$C$9:$C$72,MATCH($B60,'2017 Data (WP)'!$D$9:$D$72,0)),"")</f>
        <v>Electric Utility (East)</v>
      </c>
      <c r="B60" t="s">
        <v>36</v>
      </c>
      <c r="C60" t="s">
        <v>76</v>
      </c>
      <c r="D60" s="35">
        <f t="shared" ca="1" si="9"/>
        <v>55</v>
      </c>
      <c r="E60" s="35">
        <f t="shared" ca="1" si="10"/>
        <v>56</v>
      </c>
      <c r="F60" s="35"/>
      <c r="G60" s="17">
        <f t="shared" ca="1" si="11"/>
        <v>5.7409579911639162E-2</v>
      </c>
      <c r="H60" s="17">
        <f t="shared" ca="1" si="11"/>
        <v>5.7232869519558936E-2</v>
      </c>
      <c r="I60" s="17">
        <f t="shared" ca="1" si="11"/>
        <v>6.0090994935187568E-2</v>
      </c>
      <c r="J60" s="17">
        <f t="shared" ca="1" si="11"/>
        <v>6.1370094927141898E-2</v>
      </c>
      <c r="K60" s="17">
        <f t="shared" ca="1" si="11"/>
        <v>6.2923062255696452E-2</v>
      </c>
      <c r="L60" s="17">
        <f t="shared" ca="1" si="11"/>
        <v>6.4789767224393002E-2</v>
      </c>
      <c r="M60" s="17">
        <f t="shared" ca="1" si="11"/>
        <v>6.5408978242908297E-2</v>
      </c>
      <c r="N60" s="17">
        <f t="shared" ca="1" si="11"/>
        <v>6.8039520828055436E-2</v>
      </c>
      <c r="O60" s="17">
        <f t="shared" ca="1" si="11"/>
        <v>7.117162418288013E-2</v>
      </c>
      <c r="P60" s="17">
        <f t="shared" ca="1" si="11"/>
        <v>6.9367807031373172E-2</v>
      </c>
      <c r="Q60" s="17">
        <f t="shared" ca="1" si="11"/>
        <v>6.886657101865136E-2</v>
      </c>
      <c r="R60" s="57"/>
      <c r="S60" s="57"/>
      <c r="T60" s="57"/>
    </row>
    <row r="61" spans="1:20">
      <c r="A61" t="str">
        <f>IFERROR(INDEX('2017 Data (WP)'!$C$9:$C$72,MATCH($B61,'2017 Data (WP)'!$D$9:$D$72,0)),"")</f>
        <v>Electric Utility (West)</v>
      </c>
      <c r="B61" t="s">
        <v>37</v>
      </c>
      <c r="C61" t="s">
        <v>54</v>
      </c>
      <c r="D61" s="35">
        <f t="shared" ca="1" si="9"/>
        <v>56</v>
      </c>
      <c r="E61" s="35">
        <f t="shared" ca="1" si="10"/>
        <v>57</v>
      </c>
      <c r="F61" s="35"/>
      <c r="G61" s="17">
        <f t="shared" ca="1" si="11"/>
        <v>5.8332689484663525E-2</v>
      </c>
      <c r="H61" s="17">
        <f t="shared" ca="1" si="11"/>
        <v>5.8873002523128673E-2</v>
      </c>
      <c r="I61" s="17">
        <f t="shared" ca="1" si="11"/>
        <v>5.741751669240306E-2</v>
      </c>
      <c r="J61" s="17">
        <f t="shared" ca="1" si="11"/>
        <v>5.5962691538974013E-2</v>
      </c>
      <c r="K61" s="17">
        <f t="shared" ca="1" si="11"/>
        <v>5.6573085354642526E-2</v>
      </c>
      <c r="L61" s="17">
        <f t="shared" ca="1" si="11"/>
        <v>4.6825842011560127E-2</v>
      </c>
      <c r="M61" s="17">
        <f t="shared" ca="1" si="11"/>
        <v>4.1552353301547558E-2</v>
      </c>
      <c r="N61" s="17">
        <f t="shared" ca="1" si="11"/>
        <v>4.2695276150856651E-2</v>
      </c>
      <c r="O61" s="17">
        <f t="shared" ca="1" si="11"/>
        <v>4.1830783792861294E-2</v>
      </c>
      <c r="P61" s="17">
        <f t="shared" ca="1" si="11"/>
        <v>3.8908064010040787E-2</v>
      </c>
      <c r="Q61" s="17">
        <f t="shared" ca="1" si="11"/>
        <v>4.1876046901172533E-2</v>
      </c>
    </row>
    <row r="62" spans="1:20">
      <c r="A62" t="str">
        <f>IFERROR(INDEX('2017 Data (WP)'!$C$9:$C$72,MATCH($B62,'2017 Data (WP)'!$D$9:$D$72,0)),"")</f>
        <v/>
      </c>
      <c r="B62" t="s">
        <v>64</v>
      </c>
      <c r="C62" t="s">
        <v>63</v>
      </c>
      <c r="D62" s="35" t="e">
        <f t="shared" ca="1" si="9"/>
        <v>#N/A</v>
      </c>
      <c r="E62" s="35" t="e">
        <f t="shared" ca="1" si="10"/>
        <v>#N/A</v>
      </c>
      <c r="F62" s="35"/>
      <c r="G62" s="17" t="str">
        <f t="shared" ca="1" si="11"/>
        <v>N/A</v>
      </c>
      <c r="H62" s="17" t="str">
        <f t="shared" ca="1" si="11"/>
        <v>N/A</v>
      </c>
      <c r="I62" s="17" t="str">
        <f t="shared" ca="1" si="11"/>
        <v>N/A</v>
      </c>
      <c r="J62" s="17" t="str">
        <f t="shared" ca="1" si="11"/>
        <v>N/A</v>
      </c>
      <c r="K62" s="17" t="str">
        <f t="shared" ca="1" si="11"/>
        <v>N/A</v>
      </c>
      <c r="L62" s="17" t="str">
        <f t="shared" ca="1" si="11"/>
        <v>N/A</v>
      </c>
      <c r="M62" s="17" t="str">
        <f t="shared" ca="1" si="11"/>
        <v>N/A</v>
      </c>
      <c r="N62" s="17" t="str">
        <f t="shared" ca="1" si="11"/>
        <v>N/A</v>
      </c>
      <c r="O62" s="17" t="str">
        <f t="shared" ca="1" si="11"/>
        <v>N/A</v>
      </c>
      <c r="P62" s="17" t="str">
        <f t="shared" ca="1" si="11"/>
        <v>N/A</v>
      </c>
      <c r="Q62" s="17" t="str">
        <f t="shared" ca="1" si="11"/>
        <v>N/A</v>
      </c>
    </row>
    <row r="63" spans="1:20">
      <c r="A63" t="str">
        <f>IFERROR(INDEX('2017 Data (WP)'!$C$9:$C$72,MATCH($B63,'2017 Data (WP)'!$D$9:$D$72,0)),"")</f>
        <v>Water Utility</v>
      </c>
      <c r="B63" s="31" t="s">
        <v>196</v>
      </c>
      <c r="C63" s="31" t="s">
        <v>195</v>
      </c>
      <c r="D63" s="35">
        <f t="shared" ca="1" si="9"/>
        <v>57</v>
      </c>
      <c r="E63" s="35">
        <f t="shared" ca="1" si="10"/>
        <v>58</v>
      </c>
      <c r="F63" s="35"/>
      <c r="G63" s="17">
        <f t="shared" ca="1" si="11"/>
        <v>3.9297496603920054E-2</v>
      </c>
      <c r="H63" s="17">
        <f t="shared" ca="1" si="11"/>
        <v>4.142326075411578E-2</v>
      </c>
      <c r="I63" s="17">
        <f t="shared" ca="1" si="11"/>
        <v>4.2246380893370135E-2</v>
      </c>
      <c r="J63" s="17">
        <f t="shared" ca="1" si="11"/>
        <v>4.5842753077116299E-2</v>
      </c>
      <c r="K63" s="17">
        <f t="shared" ca="1" si="11"/>
        <v>4.8273048680989937E-2</v>
      </c>
      <c r="L63" s="17">
        <f t="shared" ca="1" si="11"/>
        <v>4.8594971476864562E-2</v>
      </c>
      <c r="M63" s="17">
        <f t="shared" ca="1" si="11"/>
        <v>4.9465337891903695E-2</v>
      </c>
      <c r="N63" s="17">
        <f t="shared" ca="1" si="11"/>
        <v>4.8309178743961352E-2</v>
      </c>
      <c r="O63" s="17">
        <f t="shared" ca="1" si="11"/>
        <v>4.6094475809333235E-2</v>
      </c>
      <c r="P63" s="17">
        <f t="shared" ca="1" si="11"/>
        <v>4.6884686918784869E-2</v>
      </c>
      <c r="Q63" s="17">
        <f t="shared" ca="1" si="11"/>
        <v>4.5268808589055361E-2</v>
      </c>
    </row>
    <row r="64" spans="1:20">
      <c r="A64" t="str">
        <f>IFERROR(INDEX('2017 Data (WP)'!$C$9:$C$72,MATCH($B64,'2017 Data (WP)'!$D$9:$D$72,0)),"")</f>
        <v>Natural Gas Utility</v>
      </c>
      <c r="B64" s="31" t="s">
        <v>198</v>
      </c>
      <c r="C64" s="31" t="s">
        <v>197</v>
      </c>
      <c r="D64" s="35">
        <f t="shared" ca="1" si="9"/>
        <v>58</v>
      </c>
      <c r="E64" s="35">
        <f t="shared" ca="1" si="10"/>
        <v>59</v>
      </c>
      <c r="F64" s="35"/>
      <c r="G64" s="17">
        <f t="shared" ca="1" si="11"/>
        <v>6.534738918685655E-2</v>
      </c>
      <c r="H64" s="17">
        <f t="shared" ca="1" si="11"/>
        <v>6.9767441860465115E-2</v>
      </c>
      <c r="I64" s="17">
        <f t="shared" ca="1" si="11"/>
        <v>7.0355441553682674E-2</v>
      </c>
      <c r="J64" s="17">
        <f t="shared" ca="1" si="11"/>
        <v>7.1208165202943277E-2</v>
      </c>
      <c r="K64" s="17">
        <f t="shared" ca="1" si="11"/>
        <v>7.0943331326855277E-2</v>
      </c>
      <c r="L64" s="17">
        <f t="shared" ca="1" si="11"/>
        <v>7.2611094975312221E-2</v>
      </c>
      <c r="M64" s="17">
        <f t="shared" ca="1" si="11"/>
        <v>7.1263885977782437E-2</v>
      </c>
      <c r="N64" s="17">
        <f t="shared" ca="1" si="11"/>
        <v>6.6871300153475116E-2</v>
      </c>
      <c r="O64" s="17">
        <f t="shared" ca="1" si="11"/>
        <v>6.4043387952919459E-2</v>
      </c>
      <c r="P64" s="17">
        <f t="shared" ca="1" si="11"/>
        <v>6.21614967996061E-2</v>
      </c>
      <c r="Q64" s="17">
        <f t="shared" ca="1" si="11"/>
        <v>6.0894890124437384E-2</v>
      </c>
    </row>
    <row r="65" spans="1:17">
      <c r="A65" t="str">
        <f>IFERROR(INDEX('2017 Data (WP)'!$C$9:$C$72,MATCH($B65,'2017 Data (WP)'!$D$9:$D$72,0)),"")</f>
        <v>Electric Utility (East)</v>
      </c>
      <c r="B65" t="s">
        <v>38</v>
      </c>
      <c r="C65" t="s">
        <v>77</v>
      </c>
      <c r="D65" s="35">
        <f t="shared" ca="1" si="9"/>
        <v>59</v>
      </c>
      <c r="E65" s="35">
        <f t="shared" ca="1" si="10"/>
        <v>60</v>
      </c>
      <c r="F65" s="35"/>
      <c r="G65" s="17">
        <f t="shared" ref="G65:Q74" ca="1" si="12">IFERROR(INDEX(Dividends,$D65,G$2)/INDEX(BookValue,$E65,G$2),"N/A")</f>
        <v>8.8927114169133528E-2</v>
      </c>
      <c r="H65" s="17">
        <f t="shared" ca="1" si="12"/>
        <v>9.5324537324006031E-2</v>
      </c>
      <c r="I65" s="17">
        <f t="shared" ca="1" si="12"/>
        <v>9.4785220240262119E-2</v>
      </c>
      <c r="J65" s="17">
        <f t="shared" ca="1" si="12"/>
        <v>9.394688943855882E-2</v>
      </c>
      <c r="K65" s="17">
        <f t="shared" ca="1" si="12"/>
        <v>9.2150818117144886E-2</v>
      </c>
      <c r="L65" s="17">
        <f t="shared" ca="1" si="12"/>
        <v>9.2184270105325317E-2</v>
      </c>
      <c r="M65" s="17">
        <f t="shared" ca="1" si="12"/>
        <v>9.3847595252966889E-2</v>
      </c>
      <c r="N65" s="17">
        <f t="shared" ca="1" si="12"/>
        <v>9.5471573380343761E-2</v>
      </c>
      <c r="O65" s="17">
        <f t="shared" ca="1" si="12"/>
        <v>9.7353939819693244E-2</v>
      </c>
      <c r="P65" s="17">
        <f t="shared" ca="1" si="12"/>
        <v>9.8274799753542821E-2</v>
      </c>
      <c r="Q65" s="17">
        <f t="shared" ca="1" si="12"/>
        <v>0.10074161580363589</v>
      </c>
    </row>
    <row r="66" spans="1:17">
      <c r="A66" t="str">
        <f>IFERROR(INDEX('2017 Data (WP)'!$C$9:$C$72,MATCH($B66,'2017 Data (WP)'!$D$9:$D$72,0)),"")</f>
        <v>Natural Gas Utility</v>
      </c>
      <c r="B66" s="31" t="s">
        <v>200</v>
      </c>
      <c r="C66" s="31" t="s">
        <v>199</v>
      </c>
      <c r="D66" s="35">
        <f t="shared" ca="1" si="9"/>
        <v>60</v>
      </c>
      <c r="E66" s="35">
        <f t="shared" ca="1" si="10"/>
        <v>61</v>
      </c>
      <c r="F66" s="35"/>
      <c r="G66" s="17">
        <f t="shared" ca="1" si="12"/>
        <v>5.1378660729576982E-2</v>
      </c>
      <c r="H66" s="17">
        <f t="shared" ca="1" si="12"/>
        <v>4.8201374631795059E-2</v>
      </c>
      <c r="I66" s="17">
        <f t="shared" ca="1" si="12"/>
        <v>4.5700691770745296E-2</v>
      </c>
      <c r="J66" s="17">
        <f t="shared" ca="1" si="12"/>
        <v>4.3324143363528952E-2</v>
      </c>
      <c r="K66" s="17">
        <f t="shared" ca="1" si="12"/>
        <v>4.1615235408217245E-2</v>
      </c>
      <c r="L66" s="17">
        <f t="shared" ca="1" si="12"/>
        <v>3.9764414600292605E-2</v>
      </c>
      <c r="M66" s="17">
        <f t="shared" ca="1" si="12"/>
        <v>3.9039625219597897E-2</v>
      </c>
      <c r="N66" s="17">
        <f t="shared" ca="1" si="12"/>
        <v>3.8869113375066489E-2</v>
      </c>
      <c r="O66" s="17">
        <f t="shared" ca="1" si="12"/>
        <v>3.8322333404300621E-2</v>
      </c>
      <c r="P66" s="17">
        <f t="shared" ca="1" si="12"/>
        <v>3.7423846823324627E-2</v>
      </c>
      <c r="Q66" s="17">
        <f t="shared" ca="1" si="12"/>
        <v>3.7996385709652004E-2</v>
      </c>
    </row>
    <row r="67" spans="1:17">
      <c r="A67" t="str">
        <f>IFERROR(INDEX('2017 Data (WP)'!$C$9:$C$72,MATCH($B67,'2017 Data (WP)'!$D$9:$D$72,0)),"")</f>
        <v>Natural Gas Utility</v>
      </c>
      <c r="B67" s="31" t="s">
        <v>244</v>
      </c>
      <c r="C67" s="31" t="s">
        <v>243</v>
      </c>
      <c r="D67" s="35">
        <f t="shared" ca="1" si="9"/>
        <v>61</v>
      </c>
      <c r="E67" s="35">
        <f t="shared" ca="1" si="10"/>
        <v>62</v>
      </c>
      <c r="F67" s="35"/>
      <c r="G67" s="17">
        <f t="shared" ca="1" si="12"/>
        <v>5.0602845119149052E-2</v>
      </c>
      <c r="H67" s="17">
        <f t="shared" ca="1" si="12"/>
        <v>5.0694291381970472E-2</v>
      </c>
      <c r="I67" s="17">
        <f t="shared" ca="1" si="12"/>
        <v>5.0386487260234758E-2</v>
      </c>
      <c r="J67" s="17">
        <f t="shared" ca="1" si="12"/>
        <v>5.3126660208131504E-2</v>
      </c>
      <c r="K67" s="17">
        <f t="shared" ca="1" si="12"/>
        <v>6.2232885956361998E-2</v>
      </c>
      <c r="L67" s="17">
        <f t="shared" ca="1" si="12"/>
        <v>6.2989045383411588E-2</v>
      </c>
      <c r="M67" s="17">
        <f t="shared" ca="1" si="12"/>
        <v>6.5348595213319469E-2</v>
      </c>
      <c r="N67" s="17">
        <f t="shared" ca="1" si="12"/>
        <v>6.560048021266561E-2</v>
      </c>
      <c r="O67" s="17">
        <f t="shared" ca="1" si="12"/>
        <v>6.7362900673629003E-2</v>
      </c>
      <c r="P67" s="17">
        <f t="shared" ca="1" si="12"/>
        <v>7.3276733373761879E-2</v>
      </c>
      <c r="Q67" s="17">
        <f t="shared" ca="1" si="12"/>
        <v>7.4274497320812774E-2</v>
      </c>
    </row>
    <row r="68" spans="1:17">
      <c r="A68" t="str">
        <f>IFERROR(INDEX('2017 Data (WP)'!$C$9:$C$72,MATCH($B68,'2017 Data (WP)'!$D$9:$D$72,0)),"")</f>
        <v/>
      </c>
      <c r="B68" t="s">
        <v>39</v>
      </c>
      <c r="C68" t="s">
        <v>78</v>
      </c>
      <c r="D68" s="35" t="e">
        <f t="shared" ca="1" si="9"/>
        <v>#N/A</v>
      </c>
      <c r="E68" s="35" t="e">
        <f t="shared" ca="1" si="10"/>
        <v>#N/A</v>
      </c>
      <c r="F68" s="35"/>
      <c r="G68" s="17" t="str">
        <f t="shared" ca="1" si="12"/>
        <v>N/A</v>
      </c>
      <c r="H68" s="17" t="str">
        <f t="shared" ca="1" si="12"/>
        <v>N/A</v>
      </c>
      <c r="I68" s="17" t="str">
        <f t="shared" ca="1" si="12"/>
        <v>N/A</v>
      </c>
      <c r="J68" s="17" t="str">
        <f t="shared" ca="1" si="12"/>
        <v>N/A</v>
      </c>
      <c r="K68" s="17" t="str">
        <f t="shared" ca="1" si="12"/>
        <v>N/A</v>
      </c>
      <c r="L68" s="17" t="str">
        <f t="shared" ca="1" si="12"/>
        <v>N/A</v>
      </c>
      <c r="M68" s="17" t="str">
        <f t="shared" ca="1" si="12"/>
        <v>N/A</v>
      </c>
      <c r="N68" s="17" t="str">
        <f t="shared" ca="1" si="12"/>
        <v>N/A</v>
      </c>
      <c r="O68" s="17" t="str">
        <f t="shared" ca="1" si="12"/>
        <v>N/A</v>
      </c>
      <c r="P68" s="17" t="str">
        <f t="shared" ca="1" si="12"/>
        <v>N/A</v>
      </c>
      <c r="Q68" s="17" t="str">
        <f t="shared" ca="1" si="12"/>
        <v>N/A</v>
      </c>
    </row>
    <row r="69" spans="1:17">
      <c r="A69" t="str">
        <f>IFERROR(INDEX('2017 Data (WP)'!$C$9:$C$72,MATCH($B69,'2017 Data (WP)'!$D$9:$D$72,0)),"")</f>
        <v>Natural Gas Utility</v>
      </c>
      <c r="B69" s="31" t="s">
        <v>204</v>
      </c>
      <c r="C69" s="31" t="s">
        <v>203</v>
      </c>
      <c r="D69" s="35">
        <f t="shared" ca="1" si="9"/>
        <v>63</v>
      </c>
      <c r="E69" s="35">
        <f t="shared" ca="1" si="10"/>
        <v>64</v>
      </c>
      <c r="F69" s="35"/>
      <c r="G69" s="17">
        <f t="shared" ca="1" si="12"/>
        <v>5.6483449741876711E-2</v>
      </c>
      <c r="H69" s="17">
        <f t="shared" ca="1" si="12"/>
        <v>5.7234726688102894E-2</v>
      </c>
      <c r="I69" s="17">
        <f t="shared" ca="1" si="12"/>
        <v>5.1383655969858388E-2</v>
      </c>
      <c r="J69" s="17">
        <f t="shared" ca="1" si="12"/>
        <v>5.0733580145344848E-2</v>
      </c>
      <c r="K69" s="17">
        <f t="shared" ca="1" si="12"/>
        <v>5.3524112347641761E-2</v>
      </c>
      <c r="L69" s="17">
        <f t="shared" ca="1" si="12"/>
        <v>5.7680888964288753E-2</v>
      </c>
      <c r="M69" s="17">
        <f t="shared" ca="1" si="12"/>
        <v>5.4058924227407872E-2</v>
      </c>
      <c r="N69" s="17">
        <f t="shared" ca="1" si="12"/>
        <v>5.3498363338788872E-2</v>
      </c>
      <c r="O69" s="17">
        <f t="shared" ca="1" si="12"/>
        <v>5.7159090909090902E-2</v>
      </c>
      <c r="P69" s="17">
        <f t="shared" ca="1" si="12"/>
        <v>5.8211303400701922E-2</v>
      </c>
      <c r="Q69" s="17">
        <f t="shared" ca="1" si="12"/>
        <v>6.5448791714614499E-2</v>
      </c>
    </row>
    <row r="70" spans="1:17">
      <c r="A70" t="str">
        <f>IFERROR(INDEX('2017 Data (WP)'!$C$9:$C$72,MATCH($B70,'2017 Data (WP)'!$D$9:$D$72,0)),"")</f>
        <v/>
      </c>
      <c r="B70" t="s">
        <v>40</v>
      </c>
      <c r="C70" t="s">
        <v>81</v>
      </c>
      <c r="D70" s="35" t="e">
        <f t="shared" ca="1" si="9"/>
        <v>#N/A</v>
      </c>
      <c r="E70" s="35" t="e">
        <f t="shared" ca="1" si="10"/>
        <v>#N/A</v>
      </c>
      <c r="F70" s="35"/>
      <c r="G70" s="17" t="str">
        <f t="shared" ca="1" si="12"/>
        <v>N/A</v>
      </c>
      <c r="H70" s="17" t="str">
        <f t="shared" ca="1" si="12"/>
        <v>N/A</v>
      </c>
      <c r="I70" s="17" t="str">
        <f t="shared" ca="1" si="12"/>
        <v>N/A</v>
      </c>
      <c r="J70" s="17" t="str">
        <f t="shared" ca="1" si="12"/>
        <v>N/A</v>
      </c>
      <c r="K70" s="17" t="str">
        <f t="shared" ca="1" si="12"/>
        <v>N/A</v>
      </c>
      <c r="L70" s="17" t="str">
        <f t="shared" ca="1" si="12"/>
        <v>N/A</v>
      </c>
      <c r="M70" s="17" t="str">
        <f t="shared" ca="1" si="12"/>
        <v>N/A</v>
      </c>
      <c r="N70" s="17" t="str">
        <f t="shared" ca="1" si="12"/>
        <v>N/A</v>
      </c>
      <c r="O70" s="17" t="str">
        <f t="shared" ca="1" si="12"/>
        <v>N/A</v>
      </c>
      <c r="P70" s="17" t="str">
        <f t="shared" ca="1" si="12"/>
        <v>N/A</v>
      </c>
      <c r="Q70" s="17" t="str">
        <f t="shared" ca="1" si="12"/>
        <v>N/A</v>
      </c>
    </row>
    <row r="71" spans="1:17">
      <c r="A71" t="str">
        <f>IFERROR(INDEX('2017 Data (WP)'!$C$9:$C$72,MATCH($B71,'2017 Data (WP)'!$D$9:$D$72,0)),"")</f>
        <v/>
      </c>
      <c r="B71" t="s">
        <v>41</v>
      </c>
      <c r="C71" t="s">
        <v>79</v>
      </c>
      <c r="D71" s="35" t="e">
        <f t="shared" ca="1" si="9"/>
        <v>#N/A</v>
      </c>
      <c r="E71" s="35" t="e">
        <f t="shared" ca="1" si="10"/>
        <v>#N/A</v>
      </c>
      <c r="F71" s="35"/>
      <c r="G71" s="17" t="str">
        <f t="shared" ca="1" si="12"/>
        <v>N/A</v>
      </c>
      <c r="H71" s="17" t="str">
        <f t="shared" ca="1" si="12"/>
        <v>N/A</v>
      </c>
      <c r="I71" s="17" t="str">
        <f t="shared" ca="1" si="12"/>
        <v>N/A</v>
      </c>
      <c r="J71" s="17" t="str">
        <f t="shared" ca="1" si="12"/>
        <v>N/A</v>
      </c>
      <c r="K71" s="17" t="str">
        <f t="shared" ca="1" si="12"/>
        <v>N/A</v>
      </c>
      <c r="L71" s="17" t="str">
        <f t="shared" ca="1" si="12"/>
        <v>N/A</v>
      </c>
      <c r="M71" s="17" t="str">
        <f t="shared" ca="1" si="12"/>
        <v>N/A</v>
      </c>
      <c r="N71" s="17" t="str">
        <f t="shared" ca="1" si="12"/>
        <v>N/A</v>
      </c>
      <c r="O71" s="17" t="str">
        <f t="shared" ca="1" si="12"/>
        <v>N/A</v>
      </c>
      <c r="P71" s="17" t="str">
        <f t="shared" ca="1" si="12"/>
        <v>N/A</v>
      </c>
      <c r="Q71" s="17" t="str">
        <f t="shared" ca="1" si="12"/>
        <v>N/A</v>
      </c>
    </row>
    <row r="72" spans="1:17">
      <c r="A72" t="str">
        <f>IFERROR(INDEX('2017 Data (WP)'!$C$9:$C$72,MATCH($B72,'2017 Data (WP)'!$D$9:$D$72,0)),"")</f>
        <v/>
      </c>
      <c r="B72" t="s">
        <v>83</v>
      </c>
      <c r="C72" t="s">
        <v>82</v>
      </c>
      <c r="D72" s="35">
        <f t="shared" ca="1" si="9"/>
        <v>64</v>
      </c>
      <c r="E72" s="35">
        <f t="shared" ca="1" si="10"/>
        <v>65</v>
      </c>
      <c r="F72" s="35"/>
      <c r="G72" s="17">
        <f t="shared" ca="1" si="12"/>
        <v>6.8187274909963985E-2</v>
      </c>
      <c r="H72" s="17">
        <f t="shared" ca="1" si="12"/>
        <v>6.9310361899103903E-2</v>
      </c>
      <c r="I72" s="17">
        <f t="shared" ca="1" si="12"/>
        <v>7.0573248407643313E-2</v>
      </c>
      <c r="J72" s="17">
        <f t="shared" ca="1" si="12"/>
        <v>7.2081483416035513E-2</v>
      </c>
      <c r="K72" s="17">
        <f t="shared" ca="1" si="12"/>
        <v>7.3031329381879756E-2</v>
      </c>
      <c r="L72" s="17">
        <f t="shared" ca="1" si="12"/>
        <v>7.8857142857142848E-2</v>
      </c>
      <c r="M72" s="17">
        <f t="shared" ca="1" si="12"/>
        <v>7.9515989628349174E-2</v>
      </c>
      <c r="N72" s="17">
        <f t="shared" ca="1" si="12"/>
        <v>7.7445423424434584E-2</v>
      </c>
      <c r="O72" s="17">
        <f t="shared" ca="1" si="12"/>
        <v>7.7077747989276135E-2</v>
      </c>
      <c r="P72" s="17">
        <f t="shared" ca="1" si="12"/>
        <v>7.8897718826825225E-2</v>
      </c>
      <c r="Q72" s="17">
        <f t="shared" ca="1" si="12"/>
        <v>7.9745738225946258E-2</v>
      </c>
    </row>
    <row r="73" spans="1:17">
      <c r="A73" t="str">
        <f>IFERROR(INDEX('2017 Data (WP)'!$C$9:$C$72,MATCH($B73,'2017 Data (WP)'!$D$9:$D$72,0)),"")</f>
        <v>Electric Util. (Central)</v>
      </c>
      <c r="B73" t="s">
        <v>42</v>
      </c>
      <c r="C73" t="s">
        <v>89</v>
      </c>
      <c r="D73" s="35">
        <f t="shared" ca="1" si="9"/>
        <v>65</v>
      </c>
      <c r="E73" s="35">
        <f t="shared" ca="1" si="10"/>
        <v>66</v>
      </c>
      <c r="F73" s="35"/>
      <c r="G73" s="17">
        <f t="shared" ca="1" si="12"/>
        <v>7.5956489122280577E-2</v>
      </c>
      <c r="H73" s="17">
        <f t="shared" ca="1" si="12"/>
        <v>7.5727773406766327E-2</v>
      </c>
      <c r="I73" s="17">
        <f t="shared" ca="1" si="12"/>
        <v>7.5064267352185091E-2</v>
      </c>
      <c r="J73" s="17">
        <f t="shared" ca="1" si="12"/>
        <v>7.5544717171181677E-2</v>
      </c>
      <c r="K73" s="17">
        <f t="shared" ca="1" si="12"/>
        <v>7.5675966821070778E-2</v>
      </c>
      <c r="L73" s="17">
        <f t="shared" ca="1" si="12"/>
        <v>7.7400245892477931E-2</v>
      </c>
      <c r="M73" s="17">
        <f t="shared" ca="1" si="12"/>
        <v>7.7787871905518974E-2</v>
      </c>
      <c r="N73" s="17">
        <f t="shared" ca="1" si="12"/>
        <v>7.8360807986997905E-2</v>
      </c>
      <c r="O73" s="17">
        <f t="shared" ca="1" si="12"/>
        <v>7.8532462082608959E-2</v>
      </c>
      <c r="P73" s="17">
        <f t="shared" ca="1" si="12"/>
        <v>7.8603701182150154E-2</v>
      </c>
      <c r="Q73" s="17">
        <f t="shared" ca="1" si="12"/>
        <v>7.9714841218405705E-2</v>
      </c>
    </row>
    <row r="74" spans="1:17">
      <c r="A74" t="str">
        <f>IFERROR(INDEX('2017 Data (WP)'!$C$9:$C$72,MATCH($B74,'2017 Data (WP)'!$D$9:$D$72,0)),"")</f>
        <v>Electric Util. (Central)</v>
      </c>
      <c r="B74" t="s">
        <v>44</v>
      </c>
      <c r="C74" t="s">
        <v>217</v>
      </c>
      <c r="D74" s="35">
        <f t="shared" ca="1" si="9"/>
        <v>66</v>
      </c>
      <c r="E74" s="35">
        <f t="shared" ca="1" si="10"/>
        <v>67</v>
      </c>
      <c r="F74" s="35"/>
      <c r="G74" s="17">
        <f t="shared" ca="1" si="12"/>
        <v>6.9981974339942743E-2</v>
      </c>
      <c r="H74" s="17">
        <f t="shared" ca="1" si="12"/>
        <v>6.3466588853224398E-2</v>
      </c>
      <c r="I74" s="17">
        <f t="shared" ref="G74:Q78" ca="1" si="13">IFERROR(INDEX(Dividends,$D74,I$2)/INDEX(BookValue,$E74,I$2),"N/A")</f>
        <v>7.9599959179508115E-2</v>
      </c>
      <c r="J74" s="17">
        <f t="shared" ca="1" si="13"/>
        <v>7.7136603854161101E-2</v>
      </c>
      <c r="K74" s="17">
        <f t="shared" ca="1" si="13"/>
        <v>6.6467264872050513E-2</v>
      </c>
      <c r="L74" s="17">
        <f t="shared" ca="1" si="13"/>
        <v>6.0482698458854317E-2</v>
      </c>
      <c r="M74" s="17">
        <f t="shared" ca="1" si="13"/>
        <v>4.9188391539596657E-2</v>
      </c>
      <c r="N74" s="17">
        <f t="shared" ca="1" si="13"/>
        <v>4.4247787610619468E-2</v>
      </c>
      <c r="O74" s="17">
        <f t="shared" ca="1" si="13"/>
        <v>3.7841625788367209E-2</v>
      </c>
      <c r="P74" s="17">
        <f t="shared" ca="1" si="13"/>
        <v>3.7733001282922042E-2</v>
      </c>
      <c r="Q74" s="17">
        <f t="shared" ca="1" si="13"/>
        <v>3.7249979755445785E-2</v>
      </c>
    </row>
    <row r="75" spans="1:17">
      <c r="A75" t="str">
        <f>IFERROR(INDEX('2017 Data (WP)'!$C$9:$C$72,MATCH($B75,'2017 Data (WP)'!$D$9:$D$72,0)),"")</f>
        <v>Electric Util. (Central)</v>
      </c>
      <c r="B75" t="s">
        <v>43</v>
      </c>
      <c r="C75" t="s">
        <v>87</v>
      </c>
      <c r="D75" s="35">
        <f t="shared" ca="1" si="9"/>
        <v>67</v>
      </c>
      <c r="E75" s="35">
        <f t="shared" ca="1" si="10"/>
        <v>68</v>
      </c>
      <c r="F75" s="35"/>
      <c r="G75" s="17">
        <f t="shared" ca="1" si="13"/>
        <v>5.662978279497783E-2</v>
      </c>
      <c r="H75" s="17">
        <f t="shared" ca="1" si="13"/>
        <v>5.5665081758088833E-2</v>
      </c>
      <c r="I75" s="17">
        <f t="shared" ca="1" si="13"/>
        <v>5.5955235811350916E-2</v>
      </c>
      <c r="J75" s="17">
        <f t="shared" ca="1" si="13"/>
        <v>5.6953808785962561E-2</v>
      </c>
      <c r="K75" s="17">
        <f t="shared" ca="1" si="13"/>
        <v>5.765702804228183E-2</v>
      </c>
      <c r="L75" s="17">
        <f t="shared" ca="1" si="13"/>
        <v>5.8099950070355413E-2</v>
      </c>
      <c r="M75" s="17">
        <f t="shared" ca="1" si="13"/>
        <v>5.8350195284927762E-2</v>
      </c>
      <c r="N75" s="17">
        <f t="shared" ca="1" si="13"/>
        <v>5.8292043136111922E-2</v>
      </c>
      <c r="O75" s="17">
        <f t="shared" ca="1" si="13"/>
        <v>5.7471264367816084E-2</v>
      </c>
      <c r="P75" s="17">
        <f t="shared" ca="1" si="13"/>
        <v>5.6429280526673294E-2</v>
      </c>
      <c r="Q75" s="17">
        <f t="shared" ca="1" si="13"/>
        <v>5.563440249787114E-2</v>
      </c>
    </row>
    <row r="76" spans="1:17">
      <c r="A76" t="str">
        <f>IFERROR(INDEX('2017 Data (WP)'!$C$9:$C$72,MATCH($B76,'2017 Data (WP)'!$D$9:$D$72,0)),"")</f>
        <v>Natural Gas Utility</v>
      </c>
      <c r="B76" s="31" t="s">
        <v>206</v>
      </c>
      <c r="C76" s="31" t="s">
        <v>205</v>
      </c>
      <c r="D76" s="35">
        <f t="shared" ca="1" si="9"/>
        <v>68</v>
      </c>
      <c r="E76" s="35">
        <f t="shared" ca="1" si="10"/>
        <v>69</v>
      </c>
      <c r="F76" s="35"/>
      <c r="G76" s="17">
        <f t="shared" ca="1" si="13"/>
        <v>7.2074090671446711E-2</v>
      </c>
      <c r="H76" s="17">
        <f t="shared" ca="1" si="13"/>
        <v>7.3279141472790618E-2</v>
      </c>
      <c r="I76" s="17">
        <f t="shared" ca="1" si="13"/>
        <v>7.1416708188008632E-2</v>
      </c>
      <c r="J76" s="17">
        <f t="shared" ca="1" si="13"/>
        <v>6.733187312403667E-2</v>
      </c>
      <c r="K76" s="17">
        <f t="shared" ca="1" si="13"/>
        <v>6.4526602004788769E-2</v>
      </c>
      <c r="L76" s="17">
        <f t="shared" ca="1" si="13"/>
        <v>6.5977099561571537E-2</v>
      </c>
      <c r="M76" s="17">
        <f t="shared" ca="1" si="13"/>
        <v>6.572605380772939E-2</v>
      </c>
      <c r="N76" s="17">
        <f t="shared" ca="1" si="13"/>
        <v>6.7150883924900651E-2</v>
      </c>
      <c r="O76" s="17">
        <f t="shared" ca="1" si="13"/>
        <v>6.7092347279138473E-2</v>
      </c>
      <c r="P76" s="17">
        <f t="shared" ca="1" si="13"/>
        <v>6.8821216093576693E-2</v>
      </c>
      <c r="Q76" s="17">
        <f t="shared" ca="1" si="13"/>
        <v>7.1330080610946117E-2</v>
      </c>
    </row>
    <row r="77" spans="1:17">
      <c r="A77" t="str">
        <f>IFERROR(INDEX('2017 Data (WP)'!$C$9:$C$72,MATCH($B77,'2017 Data (WP)'!$D$9:$D$72,0)),"")</f>
        <v>Electric Utility (West)</v>
      </c>
      <c r="B77" t="s">
        <v>45</v>
      </c>
      <c r="C77" t="s">
        <v>65</v>
      </c>
      <c r="D77" s="35">
        <f t="shared" ca="1" si="9"/>
        <v>69</v>
      </c>
      <c r="E77" s="35">
        <f t="shared" ca="1" si="10"/>
        <v>70</v>
      </c>
      <c r="F77" s="35"/>
      <c r="G77" s="17">
        <f t="shared" ca="1" si="13"/>
        <v>6.2592047128129602E-2</v>
      </c>
      <c r="H77" s="17">
        <f t="shared" ca="1" si="13"/>
        <v>6.1282137214535355E-2</v>
      </c>
      <c r="I77" s="17">
        <f t="shared" ca="1" si="13"/>
        <v>5.9414764568995394E-2</v>
      </c>
      <c r="J77" s="17">
        <f t="shared" ca="1" si="13"/>
        <v>5.7782404997397188E-2</v>
      </c>
      <c r="K77" s="17">
        <f t="shared" ca="1" si="13"/>
        <v>5.8836467612449143E-2</v>
      </c>
      <c r="L77" s="17">
        <f t="shared" ca="1" si="13"/>
        <v>5.9076570117579587E-2</v>
      </c>
      <c r="M77" s="17">
        <f t="shared" ca="1" si="13"/>
        <v>5.9669431350319227E-2</v>
      </c>
      <c r="N77" s="17">
        <f t="shared" ca="1" si="13"/>
        <v>6.0933475720836731E-2</v>
      </c>
      <c r="O77" s="17">
        <f t="shared" ca="1" si="13"/>
        <v>6.1253746904730871E-2</v>
      </c>
      <c r="P77" s="17">
        <f t="shared" ca="1" si="13"/>
        <v>6.1925825110581832E-2</v>
      </c>
      <c r="Q77" s="17">
        <f t="shared" ca="1" si="13"/>
        <v>6.1616020165242966E-2</v>
      </c>
    </row>
    <row r="78" spans="1:17">
      <c r="A78" t="str">
        <f>IFERROR(INDEX('2017 Data (WP)'!$C$9:$C$72,MATCH($B78,'2017 Data (WP)'!$D$9:$D$72,0)),"")</f>
        <v>Water Utility</v>
      </c>
      <c r="B78" s="31" t="s">
        <v>208</v>
      </c>
      <c r="C78" s="31" t="s">
        <v>207</v>
      </c>
      <c r="D78" s="35">
        <f t="shared" ca="1" si="9"/>
        <v>70</v>
      </c>
      <c r="E78" s="35">
        <f t="shared" ca="1" si="10"/>
        <v>71</v>
      </c>
      <c r="F78" s="35"/>
      <c r="G78" s="17" t="str">
        <f t="shared" ca="1" si="13"/>
        <v>N/A</v>
      </c>
      <c r="H78" s="17">
        <f t="shared" ca="1" si="13"/>
        <v>7.0480441677434516E-2</v>
      </c>
      <c r="I78" s="17">
        <f t="shared" ca="1" si="13"/>
        <v>7.018404907975459E-2</v>
      </c>
      <c r="J78" s="17">
        <f t="shared" ca="1" si="13"/>
        <v>6.9216300940438874E-2</v>
      </c>
      <c r="K78" s="17">
        <f t="shared" ca="1" si="13"/>
        <v>6.975540313187524E-2</v>
      </c>
      <c r="L78" s="17">
        <f t="shared" ca="1" si="13"/>
        <v>7.0766751712098841E-2</v>
      </c>
      <c r="M78" s="17">
        <f t="shared" ca="1" si="13"/>
        <v>7.1627260083449232E-2</v>
      </c>
      <c r="N78" s="17">
        <f t="shared" ca="1" si="13"/>
        <v>7.3110822135529552E-2</v>
      </c>
      <c r="O78" s="17">
        <f t="shared" ca="1" si="13"/>
        <v>7.9680625712889044E-2</v>
      </c>
      <c r="P78" s="17">
        <f t="shared" ca="1" si="13"/>
        <v>7.9537843268586733E-2</v>
      </c>
      <c r="Q78" s="17">
        <f t="shared" ca="1" si="13"/>
        <v>7.7806341045415603E-2</v>
      </c>
    </row>
    <row r="79" spans="1:17">
      <c r="B79" s="31"/>
      <c r="C79" s="31"/>
      <c r="D79" s="35"/>
      <c r="E79" s="35"/>
      <c r="F79" s="35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</sheetData>
  <pageMargins left="0.7" right="0.7" top="0.75" bottom="0.75" header="0.3" footer="0.3"/>
  <pageSetup fitToHeight="0" orientation="landscape" r:id="rId1"/>
  <headerFooter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/>
  <dimension ref="A1:T79"/>
  <sheetViews>
    <sheetView zoomScale="70" zoomScaleNormal="70" workbookViewId="0"/>
  </sheetViews>
  <sheetFormatPr defaultRowHeight="14.25"/>
  <cols>
    <col min="1" max="1" width="13.375" customWidth="1"/>
    <col min="2" max="2" width="7.5" bestFit="1" customWidth="1"/>
    <col min="3" max="3" width="22.25" customWidth="1"/>
    <col min="4" max="4" width="3.25" bestFit="1" customWidth="1"/>
    <col min="5" max="5" width="2.875" bestFit="1" customWidth="1"/>
    <col min="6" max="6" width="1.75" customWidth="1"/>
    <col min="7" max="11" width="5" bestFit="1" customWidth="1"/>
    <col min="12" max="12" width="4.875" bestFit="1" customWidth="1"/>
    <col min="13" max="13" width="5" bestFit="1" customWidth="1"/>
    <col min="14" max="17" width="5.25" bestFit="1" customWidth="1"/>
    <col min="18" max="20" width="9.25" style="31" customWidth="1"/>
  </cols>
  <sheetData>
    <row r="1" spans="1:20">
      <c r="A1" t="s">
        <v>323</v>
      </c>
    </row>
    <row r="2" spans="1:20">
      <c r="E2" s="35"/>
      <c r="F2" s="35"/>
      <c r="G2" s="35">
        <f t="shared" ref="G2:Q2" ca="1" si="0">MATCH(G3,OFFSET(Earnings,-2,0,1,),0)</f>
        <v>2</v>
      </c>
      <c r="H2" s="35">
        <f t="shared" ca="1" si="0"/>
        <v>3</v>
      </c>
      <c r="I2" s="35">
        <f t="shared" ca="1" si="0"/>
        <v>4</v>
      </c>
      <c r="J2" s="35">
        <f t="shared" ca="1" si="0"/>
        <v>5</v>
      </c>
      <c r="K2" s="35">
        <f t="shared" ca="1" si="0"/>
        <v>6</v>
      </c>
      <c r="L2" s="35">
        <f t="shared" ca="1" si="0"/>
        <v>7</v>
      </c>
      <c r="M2" s="35">
        <f t="shared" ca="1" si="0"/>
        <v>8</v>
      </c>
      <c r="N2" s="35">
        <f t="shared" ca="1" si="0"/>
        <v>9</v>
      </c>
      <c r="O2" s="35">
        <f t="shared" ca="1" si="0"/>
        <v>10</v>
      </c>
      <c r="P2" s="35">
        <f t="shared" ca="1" si="0"/>
        <v>11</v>
      </c>
      <c r="Q2" s="35">
        <f t="shared" ca="1" si="0"/>
        <v>12</v>
      </c>
      <c r="R2" s="55"/>
      <c r="S2" s="55"/>
      <c r="T2" s="55"/>
    </row>
    <row r="3" spans="1:20" ht="15.75" thickBot="1">
      <c r="D3" s="35" t="s">
        <v>320</v>
      </c>
      <c r="E3" s="35" t="s">
        <v>321</v>
      </c>
      <c r="F3" s="35"/>
      <c r="G3" s="49">
        <v>2016</v>
      </c>
      <c r="H3" s="49">
        <v>2015</v>
      </c>
      <c r="I3" s="49">
        <v>2014</v>
      </c>
      <c r="J3" s="49">
        <v>2013</v>
      </c>
      <c r="K3" s="49">
        <v>2012</v>
      </c>
      <c r="L3" s="49">
        <v>2011</v>
      </c>
      <c r="M3" s="49">
        <v>2010</v>
      </c>
      <c r="N3" s="49">
        <v>2009</v>
      </c>
      <c r="O3" s="49">
        <v>2008</v>
      </c>
      <c r="P3" s="49">
        <v>2007</v>
      </c>
      <c r="Q3" s="49">
        <v>2006</v>
      </c>
      <c r="R3" s="56"/>
      <c r="S3" s="56"/>
      <c r="T3" s="56"/>
    </row>
    <row r="4" spans="1:20">
      <c r="D4" s="35"/>
      <c r="E4" s="35"/>
      <c r="F4" s="35"/>
      <c r="G4" s="35"/>
      <c r="H4" s="35"/>
    </row>
    <row r="5" spans="1:20">
      <c r="A5" t="str">
        <f>IFERROR(INDEX('2017 Data (WP)'!$C$9:$C$72,MATCH($B5,'2017 Data (WP)'!$D$9:$D$72,0)),"")</f>
        <v>Electric Util. (Central)</v>
      </c>
      <c r="B5" t="s">
        <v>0</v>
      </c>
      <c r="C5" t="s">
        <v>91</v>
      </c>
      <c r="D5" s="35">
        <f t="shared" ref="D5:D36" ca="1" si="1">MATCH(B5,OFFSET(Dividends,0,0,,1),0)</f>
        <v>3</v>
      </c>
      <c r="E5" s="35">
        <f t="shared" ref="E5:E36" ca="1" si="2">MATCH(B5,OFFSET(Earnings,0,0,,1),0)</f>
        <v>3</v>
      </c>
      <c r="F5" s="35"/>
      <c r="G5" s="17">
        <f ca="1">IFERROR(INDEX(Dividends,$D5,G$2)/INDEX(Earnings,$E5,G$2),"N/A")</f>
        <v>0.66242038216560506</v>
      </c>
      <c r="H5" s="17">
        <f t="shared" ref="G5:Q14" ca="1" si="3">IFERROR(INDEX(Dividends,$D5,H$2)/INDEX(Earnings,$E5,H$2),"N/A")</f>
        <v>0.59763313609467461</v>
      </c>
      <c r="I5" s="17">
        <f t="shared" ca="1" si="3"/>
        <v>0.67586206896551726</v>
      </c>
      <c r="J5" s="17">
        <f t="shared" ca="1" si="3"/>
        <v>0.72243346007604559</v>
      </c>
      <c r="K5" s="17">
        <f t="shared" ca="1" si="3"/>
        <v>0.71317829457364346</v>
      </c>
      <c r="L5" s="17">
        <f t="shared" ca="1" si="3"/>
        <v>0.67169811320754724</v>
      </c>
      <c r="M5" s="17">
        <f t="shared" ca="1" si="3"/>
        <v>0.80365296803652975</v>
      </c>
      <c r="N5" s="17">
        <f t="shared" ca="1" si="3"/>
        <v>0.93121693121693128</v>
      </c>
      <c r="O5" s="17">
        <f t="shared" ca="1" si="3"/>
        <v>0.60992907801418439</v>
      </c>
      <c r="P5" s="17">
        <f t="shared" ca="1" si="3"/>
        <v>0.53246753246753242</v>
      </c>
      <c r="Q5" s="17">
        <f t="shared" ca="1" si="3"/>
        <v>0.52346570397111913</v>
      </c>
      <c r="R5" s="57"/>
      <c r="S5" s="58"/>
      <c r="T5" s="58"/>
    </row>
    <row r="6" spans="1:20">
      <c r="A6" t="str">
        <f>IFERROR(INDEX('2017 Data (WP)'!$C$9:$C$72,MATCH($B6,'2017 Data (WP)'!$D$9:$D$72,0)),"")</f>
        <v>Electric Util. (Central)</v>
      </c>
      <c r="B6" t="s">
        <v>1</v>
      </c>
      <c r="C6" t="s">
        <v>84</v>
      </c>
      <c r="D6" s="35">
        <f t="shared" ca="1" si="1"/>
        <v>4</v>
      </c>
      <c r="E6" s="35">
        <f t="shared" ca="1" si="2"/>
        <v>4</v>
      </c>
      <c r="F6" s="35"/>
      <c r="G6" s="17">
        <f t="shared" ca="1" si="3"/>
        <v>0.7151515151515152</v>
      </c>
      <c r="H6" s="17">
        <f t="shared" ca="1" si="3"/>
        <v>0.65088757396449715</v>
      </c>
      <c r="I6" s="17">
        <f t="shared" ca="1" si="3"/>
        <v>0.5862068965517242</v>
      </c>
      <c r="J6" s="17">
        <f t="shared" ca="1" si="3"/>
        <v>0.5714285714285714</v>
      </c>
      <c r="K6" s="17">
        <f t="shared" ca="1" si="3"/>
        <v>0.59016393442622961</v>
      </c>
      <c r="L6" s="17">
        <f t="shared" ca="1" si="3"/>
        <v>0.61818181818181817</v>
      </c>
      <c r="M6" s="17">
        <f t="shared" ca="1" si="3"/>
        <v>0.57454545454545458</v>
      </c>
      <c r="N6" s="17">
        <f t="shared" ca="1" si="3"/>
        <v>0.79365079365079372</v>
      </c>
      <c r="O6" s="17">
        <f t="shared" ca="1" si="3"/>
        <v>0.55118110236220463</v>
      </c>
      <c r="P6" s="17">
        <f t="shared" ca="1" si="3"/>
        <v>0.47211895910780671</v>
      </c>
      <c r="Q6" s="17">
        <f t="shared" ca="1" si="3"/>
        <v>0.55825242718446599</v>
      </c>
      <c r="R6" s="57"/>
      <c r="S6" s="57"/>
      <c r="T6" s="57"/>
    </row>
    <row r="7" spans="1:20">
      <c r="A7" t="str">
        <f>IFERROR(INDEX('2017 Data (WP)'!$C$9:$C$72,MATCH($B7,'2017 Data (WP)'!$D$9:$D$72,0)),"")</f>
        <v>Water Utility</v>
      </c>
      <c r="B7" s="31" t="s">
        <v>165</v>
      </c>
      <c r="C7" s="31" t="s">
        <v>164</v>
      </c>
      <c r="D7" s="35">
        <f t="shared" ca="1" si="1"/>
        <v>6</v>
      </c>
      <c r="E7" s="35">
        <f t="shared" ca="1" si="2"/>
        <v>6</v>
      </c>
      <c r="F7" s="35"/>
      <c r="G7" s="17">
        <f t="shared" ca="1" si="3"/>
        <v>0.56419753086419755</v>
      </c>
      <c r="H7" s="17">
        <f t="shared" ca="1" si="3"/>
        <v>0.54625000000000001</v>
      </c>
      <c r="I7" s="17">
        <f t="shared" ca="1" si="3"/>
        <v>0.52929936305732483</v>
      </c>
      <c r="J7" s="17">
        <f t="shared" ca="1" si="3"/>
        <v>0.47204968944099379</v>
      </c>
      <c r="K7" s="17">
        <f t="shared" ca="1" si="3"/>
        <v>0.45035460992907805</v>
      </c>
      <c r="L7" s="17">
        <f t="shared" ca="1" si="3"/>
        <v>0.49107142857142855</v>
      </c>
      <c r="M7" s="17">
        <f t="shared" ca="1" si="3"/>
        <v>0.46846846846846846</v>
      </c>
      <c r="N7" s="17">
        <f t="shared" ca="1" si="3"/>
        <v>0.62345679012345678</v>
      </c>
      <c r="O7" s="17">
        <f t="shared" ca="1" si="3"/>
        <v>0.64516129032258063</v>
      </c>
      <c r="P7" s="17">
        <f t="shared" ca="1" si="3"/>
        <v>0.59012345679012335</v>
      </c>
      <c r="Q7" s="17">
        <f t="shared" ca="1" si="3"/>
        <v>0.68421052631578949</v>
      </c>
      <c r="R7" s="57"/>
      <c r="S7" s="57"/>
      <c r="T7" s="57"/>
    </row>
    <row r="8" spans="1:20">
      <c r="A8" t="str">
        <f>IFERROR(INDEX('2017 Data (WP)'!$C$9:$C$72,MATCH($B8,'2017 Data (WP)'!$D$9:$D$72,0)),"")</f>
        <v>Water Utility</v>
      </c>
      <c r="B8" s="31" t="s">
        <v>167</v>
      </c>
      <c r="C8" s="31" t="s">
        <v>166</v>
      </c>
      <c r="D8" s="35">
        <f t="shared" ca="1" si="1"/>
        <v>7</v>
      </c>
      <c r="E8" s="35">
        <f t="shared" ca="1" si="2"/>
        <v>7</v>
      </c>
      <c r="F8" s="35"/>
      <c r="G8" s="17">
        <f t="shared" ca="1" si="3"/>
        <v>0.56106870229007633</v>
      </c>
      <c r="H8" s="17">
        <f t="shared" ca="1" si="3"/>
        <v>0.50378787878787878</v>
      </c>
      <c r="I8" s="17">
        <f t="shared" ca="1" si="3"/>
        <v>0.506276150627615</v>
      </c>
      <c r="J8" s="17">
        <f t="shared" ca="1" si="3"/>
        <v>0.40776699029126212</v>
      </c>
      <c r="K8" s="17">
        <f t="shared" ca="1" si="3"/>
        <v>0.57345971563981046</v>
      </c>
      <c r="L8" s="17">
        <f t="shared" ca="1" si="3"/>
        <v>0.52325581395348841</v>
      </c>
      <c r="M8" s="17">
        <f t="shared" ca="1" si="3"/>
        <v>0.56209150326797386</v>
      </c>
      <c r="N8" s="17">
        <f t="shared" ca="1" si="3"/>
        <v>0.65599999999999992</v>
      </c>
      <c r="O8" s="17">
        <f t="shared" ca="1" si="3"/>
        <v>0.36363636363636365</v>
      </c>
      <c r="P8" s="17">
        <f t="shared" ca="1" si="3"/>
        <v>0</v>
      </c>
      <c r="Q8" s="17">
        <f t="shared" ca="1" si="3"/>
        <v>0</v>
      </c>
      <c r="R8" s="57"/>
      <c r="S8" s="57"/>
      <c r="T8" s="57"/>
    </row>
    <row r="9" spans="1:20">
      <c r="A9" t="str">
        <f>IFERROR(INDEX('2017 Data (WP)'!$C$9:$C$72,MATCH($B9,'2017 Data (WP)'!$D$9:$D$72,0)),"")</f>
        <v>Electric Util. (Central)</v>
      </c>
      <c r="B9" t="s">
        <v>3</v>
      </c>
      <c r="C9" t="s">
        <v>80</v>
      </c>
      <c r="D9" s="35">
        <f t="shared" ca="1" si="1"/>
        <v>8</v>
      </c>
      <c r="E9" s="35">
        <f t="shared" ca="1" si="2"/>
        <v>8</v>
      </c>
      <c r="F9" s="35"/>
      <c r="G9" s="17">
        <f t="shared" ca="1" si="3"/>
        <v>0.6399253731343284</v>
      </c>
      <c r="H9" s="17">
        <f t="shared" ca="1" si="3"/>
        <v>0.69537815126050428</v>
      </c>
      <c r="I9" s="17">
        <f t="shared" ca="1" si="3"/>
        <v>0.67083333333333339</v>
      </c>
      <c r="J9" s="17">
        <f t="shared" ca="1" si="3"/>
        <v>0.76190476190476186</v>
      </c>
      <c r="K9" s="17">
        <f t="shared" ca="1" si="3"/>
        <v>0.66390041493775931</v>
      </c>
      <c r="L9" s="17">
        <f t="shared" ca="1" si="3"/>
        <v>0.62955465587044523</v>
      </c>
      <c r="M9" s="17">
        <f t="shared" ca="1" si="3"/>
        <v>0.55595667870036103</v>
      </c>
      <c r="N9" s="17">
        <f t="shared" ca="1" si="3"/>
        <v>0.5539568345323741</v>
      </c>
      <c r="O9" s="17">
        <f t="shared" ca="1" si="3"/>
        <v>0.88194444444444453</v>
      </c>
      <c r="P9" s="17">
        <f t="shared" ca="1" si="3"/>
        <v>0.8523489932885906</v>
      </c>
      <c r="Q9" s="17">
        <f t="shared" ca="1" si="3"/>
        <v>0.95488721804511278</v>
      </c>
      <c r="R9" s="57"/>
      <c r="S9" s="57"/>
      <c r="T9" s="57"/>
    </row>
    <row r="10" spans="1:20">
      <c r="A10" t="str">
        <f>IFERROR(INDEX('2017 Data (WP)'!$C$9:$C$72,MATCH($B10,'2017 Data (WP)'!$D$9:$D$72,0)),"")</f>
        <v>Electric Util. (Central)</v>
      </c>
      <c r="B10" t="s">
        <v>2</v>
      </c>
      <c r="C10" t="s">
        <v>103</v>
      </c>
      <c r="D10" s="35">
        <f t="shared" ca="1" si="1"/>
        <v>5</v>
      </c>
      <c r="E10" s="35">
        <f t="shared" ca="1" si="2"/>
        <v>5</v>
      </c>
      <c r="F10" s="35"/>
      <c r="G10" s="17">
        <f t="shared" ca="1" si="3"/>
        <v>0.53664302600472813</v>
      </c>
      <c r="H10" s="17">
        <f t="shared" ca="1" si="3"/>
        <v>0.59888579387186625</v>
      </c>
      <c r="I10" s="17">
        <f t="shared" ca="1" si="3"/>
        <v>0.60778443113772451</v>
      </c>
      <c r="J10" s="17">
        <f t="shared" ca="1" si="3"/>
        <v>0.6132075471698113</v>
      </c>
      <c r="K10" s="17">
        <f t="shared" ca="1" si="3"/>
        <v>0.63087248322147649</v>
      </c>
      <c r="L10" s="17">
        <f t="shared" ca="1" si="3"/>
        <v>0.59105431309904155</v>
      </c>
      <c r="M10" s="17">
        <f t="shared" ca="1" si="3"/>
        <v>0.65769230769230769</v>
      </c>
      <c r="N10" s="17">
        <f t="shared" ca="1" si="3"/>
        <v>0.55218855218855212</v>
      </c>
      <c r="O10" s="17">
        <f t="shared" ca="1" si="3"/>
        <v>0.54849498327759194</v>
      </c>
      <c r="P10" s="17">
        <f t="shared" ca="1" si="3"/>
        <v>0.5524475524475525</v>
      </c>
      <c r="Q10" s="17">
        <f t="shared" ca="1" si="3"/>
        <v>0.52447552447552448</v>
      </c>
      <c r="R10" s="57"/>
      <c r="S10" s="57"/>
      <c r="T10" s="57"/>
    </row>
    <row r="11" spans="1:20">
      <c r="A11" t="str">
        <f>IFERROR(INDEX('2017 Data (WP)'!$C$9:$C$72,MATCH($B11,'2017 Data (WP)'!$D$9:$D$72,0)),"")</f>
        <v>Water Utility</v>
      </c>
      <c r="B11" s="31" t="s">
        <v>171</v>
      </c>
      <c r="C11" s="31" t="s">
        <v>170</v>
      </c>
      <c r="D11" s="35">
        <f t="shared" ca="1" si="1"/>
        <v>10</v>
      </c>
      <c r="E11" s="35">
        <f t="shared" ca="1" si="2"/>
        <v>10</v>
      </c>
      <c r="F11" s="35"/>
      <c r="G11" s="17">
        <f t="shared" ca="1" si="3"/>
        <v>0.56060606060606055</v>
      </c>
      <c r="H11" s="17">
        <f t="shared" ca="1" si="3"/>
        <v>0.60526315789473684</v>
      </c>
      <c r="I11" s="17">
        <f t="shared" ca="1" si="3"/>
        <v>0.52500000000000002</v>
      </c>
      <c r="J11" s="17">
        <f t="shared" ca="1" si="3"/>
        <v>0.5</v>
      </c>
      <c r="K11" s="17">
        <f t="shared" ca="1" si="3"/>
        <v>0.6146788990825689</v>
      </c>
      <c r="L11" s="17">
        <f t="shared" ca="1" si="3"/>
        <v>0.60576923076923084</v>
      </c>
      <c r="M11" s="17">
        <f t="shared" ca="1" si="3"/>
        <v>0.65555555555555556</v>
      </c>
      <c r="N11" s="17">
        <f t="shared" ca="1" si="3"/>
        <v>0.7142857142857143</v>
      </c>
      <c r="O11" s="17">
        <f t="shared" ca="1" si="3"/>
        <v>0.69863013698630139</v>
      </c>
      <c r="P11" s="17">
        <f t="shared" ca="1" si="3"/>
        <v>0.67605633802816911</v>
      </c>
      <c r="Q11" s="17">
        <f t="shared" ca="1" si="3"/>
        <v>0.62857142857142845</v>
      </c>
      <c r="R11" s="57"/>
      <c r="S11" s="57"/>
      <c r="T11" s="57"/>
    </row>
    <row r="12" spans="1:20">
      <c r="A12" t="str">
        <f>IFERROR(INDEX('2017 Data (WP)'!$C$9:$C$72,MATCH($B12,'2017 Data (WP)'!$D$9:$D$72,0)),"")</f>
        <v>Natural Gas Utility</v>
      </c>
      <c r="B12" s="31" t="s">
        <v>175</v>
      </c>
      <c r="C12" s="31" t="s">
        <v>174</v>
      </c>
      <c r="D12" s="35">
        <f t="shared" ca="1" si="1"/>
        <v>12</v>
      </c>
      <c r="E12" s="35">
        <f t="shared" ca="1" si="2"/>
        <v>12</v>
      </c>
      <c r="F12" s="35"/>
      <c r="G12" s="17">
        <f t="shared" ca="1" si="3"/>
        <v>0.49704142011834318</v>
      </c>
      <c r="H12" s="17">
        <f t="shared" ca="1" si="3"/>
        <v>0.50485436893203883</v>
      </c>
      <c r="I12" s="17">
        <f t="shared" ca="1" si="3"/>
        <v>0.5</v>
      </c>
      <c r="J12" s="17">
        <f t="shared" ca="1" si="3"/>
        <v>0.55999999999999994</v>
      </c>
      <c r="K12" s="17">
        <f t="shared" ca="1" si="3"/>
        <v>0.65714285714285703</v>
      </c>
      <c r="L12" s="17">
        <f t="shared" ca="1" si="3"/>
        <v>0.60176991150442483</v>
      </c>
      <c r="M12" s="17">
        <f t="shared" ca="1" si="3"/>
        <v>0.62037037037037035</v>
      </c>
      <c r="N12" s="17">
        <f t="shared" ca="1" si="3"/>
        <v>0.67005076142131981</v>
      </c>
      <c r="O12" s="17">
        <f t="shared" ca="1" si="3"/>
        <v>0.65</v>
      </c>
      <c r="P12" s="17">
        <f t="shared" ca="1" si="3"/>
        <v>0.65979381443298968</v>
      </c>
      <c r="Q12" s="17">
        <f t="shared" ca="1" si="3"/>
        <v>0.63</v>
      </c>
      <c r="R12" s="57"/>
      <c r="S12" s="57"/>
      <c r="T12" s="57"/>
    </row>
    <row r="13" spans="1:20">
      <c r="A13" t="str">
        <f>IFERROR(INDEX('2017 Data (WP)'!$C$9:$C$72,MATCH($B13,'2017 Data (WP)'!$D$9:$D$72,0)),"")</f>
        <v>Electric Utility (East)</v>
      </c>
      <c r="B13" t="s">
        <v>261</v>
      </c>
      <c r="C13" t="s">
        <v>262</v>
      </c>
      <c r="D13" s="35">
        <f t="shared" ca="1" si="1"/>
        <v>13</v>
      </c>
      <c r="E13" s="35">
        <f t="shared" ca="1" si="2"/>
        <v>13</v>
      </c>
      <c r="F13" s="35"/>
      <c r="G13" s="17">
        <f t="shared" ca="1" si="3"/>
        <v>0.87272727272727268</v>
      </c>
      <c r="H13" s="17">
        <f t="shared" ca="1" si="3"/>
        <v>0</v>
      </c>
      <c r="I13" s="17" t="str">
        <f t="shared" ca="1" si="3"/>
        <v>N/A</v>
      </c>
      <c r="J13" s="17" t="str">
        <f t="shared" ca="1" si="3"/>
        <v>N/A</v>
      </c>
      <c r="K13" s="17" t="str">
        <f t="shared" ca="1" si="3"/>
        <v>N/A</v>
      </c>
      <c r="L13" s="17" t="str">
        <f t="shared" ca="1" si="3"/>
        <v>N/A</v>
      </c>
      <c r="M13" s="17" t="str">
        <f t="shared" ca="1" si="3"/>
        <v>N/A</v>
      </c>
      <c r="N13" s="17" t="str">
        <f t="shared" ca="1" si="3"/>
        <v>N/A</v>
      </c>
      <c r="O13" s="17" t="str">
        <f t="shared" ca="1" si="3"/>
        <v>N/A</v>
      </c>
      <c r="P13" s="17" t="str">
        <f t="shared" ca="1" si="3"/>
        <v>N/A</v>
      </c>
      <c r="Q13" s="17" t="str">
        <f t="shared" ca="1" si="3"/>
        <v>N/A</v>
      </c>
      <c r="R13" s="57"/>
      <c r="S13" s="57"/>
      <c r="T13" s="57"/>
    </row>
    <row r="14" spans="1:20">
      <c r="A14" t="str">
        <f>IFERROR(INDEX('2017 Data (WP)'!$C$9:$C$72,MATCH($B14,'2017 Data (WP)'!$D$9:$D$72,0)),"")</f>
        <v>Electric Utility (West)</v>
      </c>
      <c r="B14" t="s">
        <v>4</v>
      </c>
      <c r="C14" t="s">
        <v>86</v>
      </c>
      <c r="D14" s="35">
        <f t="shared" ca="1" si="1"/>
        <v>14</v>
      </c>
      <c r="E14" s="35">
        <f t="shared" ca="1" si="2"/>
        <v>14</v>
      </c>
      <c r="F14" s="35"/>
      <c r="G14" s="17">
        <f t="shared" ca="1" si="3"/>
        <v>0.63720930232558148</v>
      </c>
      <c r="H14" s="17">
        <f t="shared" ca="1" si="3"/>
        <v>0.69841269841269848</v>
      </c>
      <c r="I14" s="17">
        <f t="shared" ca="1" si="3"/>
        <v>0.69021739130434778</v>
      </c>
      <c r="J14" s="17">
        <f t="shared" ca="1" si="3"/>
        <v>0.65945945945945939</v>
      </c>
      <c r="K14" s="17">
        <f t="shared" ca="1" si="3"/>
        <v>0.87878787878787867</v>
      </c>
      <c r="L14" s="17">
        <f t="shared" ca="1" si="3"/>
        <v>0.63953488372093026</v>
      </c>
      <c r="M14" s="17">
        <f t="shared" ca="1" si="3"/>
        <v>0.60606060606060608</v>
      </c>
      <c r="N14" s="17">
        <f t="shared" ca="1" si="3"/>
        <v>0.51265822784810122</v>
      </c>
      <c r="O14" s="17">
        <f t="shared" ca="1" si="3"/>
        <v>0.50735294117647056</v>
      </c>
      <c r="P14" s="17">
        <f t="shared" ca="1" si="3"/>
        <v>0.82638888888888884</v>
      </c>
      <c r="Q14" s="17">
        <f t="shared" ca="1" si="3"/>
        <v>0.38775510204081631</v>
      </c>
      <c r="R14" s="57"/>
      <c r="S14" s="57"/>
      <c r="T14" s="57"/>
    </row>
    <row r="15" spans="1:20">
      <c r="A15" t="str">
        <f>IFERROR(INDEX('2017 Data (WP)'!$C$9:$C$72,MATCH($B15,'2017 Data (WP)'!$D$9:$D$72,0)),"")</f>
        <v>Electric Utility (West)</v>
      </c>
      <c r="B15" t="s">
        <v>5</v>
      </c>
      <c r="C15" t="s">
        <v>46</v>
      </c>
      <c r="D15" s="35">
        <f t="shared" ca="1" si="1"/>
        <v>15</v>
      </c>
      <c r="E15" s="35">
        <f t="shared" ca="1" si="2"/>
        <v>15</v>
      </c>
      <c r="F15" s="35"/>
      <c r="G15" s="17">
        <f t="shared" ref="G15:Q24" ca="1" si="4">IFERROR(INDEX(Dividends,$D15,G$2)/INDEX(Earnings,$E15,G$2),"N/A")</f>
        <v>0.63878326996197721</v>
      </c>
      <c r="H15" s="17">
        <f t="shared" ca="1" si="4"/>
        <v>0.57243816254416968</v>
      </c>
      <c r="I15" s="17">
        <f t="shared" ca="1" si="4"/>
        <v>0.53979238754325254</v>
      </c>
      <c r="J15" s="17">
        <f t="shared" ca="1" si="4"/>
        <v>0.58237547892720309</v>
      </c>
      <c r="K15" s="17">
        <f t="shared" ca="1" si="4"/>
        <v>0.75126903553299496</v>
      </c>
      <c r="L15" s="17">
        <f t="shared" ca="1" si="4"/>
        <v>1.4455445544554455</v>
      </c>
      <c r="M15" s="17">
        <f t="shared" ca="1" si="4"/>
        <v>0.86746987951807231</v>
      </c>
      <c r="N15" s="17">
        <f t="shared" ca="1" si="4"/>
        <v>0.61206896551724144</v>
      </c>
      <c r="O15" s="17">
        <f t="shared" ca="1" si="4"/>
        <v>7.7777777777777777</v>
      </c>
      <c r="P15" s="17">
        <f t="shared" ca="1" si="4"/>
        <v>0.51119402985074625</v>
      </c>
      <c r="Q15" s="17">
        <f t="shared" ca="1" si="4"/>
        <v>0.59728506787330315</v>
      </c>
      <c r="R15" s="57"/>
      <c r="S15" s="57"/>
      <c r="T15" s="57"/>
    </row>
    <row r="16" spans="1:20">
      <c r="A16" t="str">
        <f>IFERROR(INDEX('2017 Data (WP)'!$C$9:$C$72,MATCH($B16,'2017 Data (WP)'!$D$9:$D$72,0)),"")</f>
        <v>Water Utility</v>
      </c>
      <c r="B16" s="31" t="s">
        <v>177</v>
      </c>
      <c r="C16" s="31" t="s">
        <v>176</v>
      </c>
      <c r="D16" s="35">
        <f t="shared" ca="1" si="1"/>
        <v>16</v>
      </c>
      <c r="E16" s="35">
        <f t="shared" ca="1" si="2"/>
        <v>16</v>
      </c>
      <c r="F16" s="35"/>
      <c r="G16" s="17">
        <f t="shared" ca="1" si="4"/>
        <v>0.68316831683168311</v>
      </c>
      <c r="H16" s="17">
        <f t="shared" ca="1" si="4"/>
        <v>0.7127659574468086</v>
      </c>
      <c r="I16" s="17">
        <f t="shared" ca="1" si="4"/>
        <v>0.54621848739495804</v>
      </c>
      <c r="J16" s="17">
        <f t="shared" ca="1" si="4"/>
        <v>0.62745098039215685</v>
      </c>
      <c r="K16" s="17">
        <f t="shared" ca="1" si="4"/>
        <v>0.61764705882352944</v>
      </c>
      <c r="L16" s="17">
        <f t="shared" ca="1" si="4"/>
        <v>0.71511627906976749</v>
      </c>
      <c r="M16" s="17">
        <f t="shared" ca="1" si="4"/>
        <v>0.65745856353591159</v>
      </c>
      <c r="N16" s="17">
        <f t="shared" ca="1" si="4"/>
        <v>0.60512820512820509</v>
      </c>
      <c r="O16" s="17">
        <f t="shared" ca="1" si="4"/>
        <v>0.61578947368421055</v>
      </c>
      <c r="P16" s="17">
        <f t="shared" ca="1" si="4"/>
        <v>0.77333333333333332</v>
      </c>
      <c r="Q16" s="17">
        <f t="shared" ca="1" si="4"/>
        <v>0.85820895522388052</v>
      </c>
      <c r="R16" s="57"/>
      <c r="S16" s="57"/>
      <c r="T16" s="57"/>
    </row>
    <row r="17" spans="1:20">
      <c r="A17" t="str">
        <f>IFERROR(INDEX('2017 Data (WP)'!$C$9:$C$72,MATCH($B17,'2017 Data (WP)'!$D$9:$D$72,0)),"")</f>
        <v>Electric Util. (Central)</v>
      </c>
      <c r="B17" t="s">
        <v>6</v>
      </c>
      <c r="C17" t="s">
        <v>90</v>
      </c>
      <c r="D17" s="35">
        <f t="shared" ca="1" si="1"/>
        <v>17</v>
      </c>
      <c r="E17" s="35">
        <f t="shared" ca="1" si="2"/>
        <v>17</v>
      </c>
      <c r="F17" s="35"/>
      <c r="G17" s="17">
        <f t="shared" ca="1" si="4"/>
        <v>1.03</v>
      </c>
      <c r="H17" s="17">
        <f t="shared" ca="1" si="4"/>
        <v>0.91666666666666663</v>
      </c>
      <c r="I17" s="17">
        <f t="shared" ca="1" si="4"/>
        <v>0.66901408450704225</v>
      </c>
      <c r="J17" s="17">
        <f t="shared" ca="1" si="4"/>
        <v>0.66935483870967738</v>
      </c>
      <c r="K17" s="17">
        <f t="shared" ca="1" si="4"/>
        <v>0.6</v>
      </c>
      <c r="L17" s="17">
        <f t="shared" ca="1" si="4"/>
        <v>0.62204724409448819</v>
      </c>
      <c r="M17" s="17">
        <f t="shared" ca="1" si="4"/>
        <v>0.7289719626168224</v>
      </c>
      <c r="N17" s="17">
        <f t="shared" ca="1" si="4"/>
        <v>0.75247524752475248</v>
      </c>
      <c r="O17" s="17">
        <f t="shared" ca="1" si="4"/>
        <v>0.56153846153846154</v>
      </c>
      <c r="P17" s="17">
        <f t="shared" ca="1" si="4"/>
        <v>0.58119658119658124</v>
      </c>
      <c r="Q17" s="17">
        <f t="shared" ca="1" si="4"/>
        <v>0.45112781954887216</v>
      </c>
      <c r="R17" s="57"/>
      <c r="S17" s="57"/>
      <c r="T17" s="57"/>
    </row>
    <row r="18" spans="1:20">
      <c r="A18" t="str">
        <f>IFERROR(INDEX('2017 Data (WP)'!$C$9:$C$72,MATCH($B18,'2017 Data (WP)'!$D$9:$D$72,0)),"")</f>
        <v/>
      </c>
      <c r="B18" t="s">
        <v>7</v>
      </c>
      <c r="C18" t="s">
        <v>48</v>
      </c>
      <c r="D18" s="35" t="e">
        <f t="shared" ca="1" si="1"/>
        <v>#N/A</v>
      </c>
      <c r="E18" s="35" t="e">
        <f t="shared" ca="1" si="2"/>
        <v>#N/A</v>
      </c>
      <c r="F18" s="35"/>
      <c r="G18" s="17" t="str">
        <f t="shared" ca="1" si="4"/>
        <v>N/A</v>
      </c>
      <c r="H18" s="17" t="str">
        <f t="shared" ca="1" si="4"/>
        <v>N/A</v>
      </c>
      <c r="I18" s="17" t="str">
        <f t="shared" ca="1" si="4"/>
        <v>N/A</v>
      </c>
      <c r="J18" s="17" t="str">
        <f t="shared" ca="1" si="4"/>
        <v>N/A</v>
      </c>
      <c r="K18" s="17" t="str">
        <f t="shared" ca="1" si="4"/>
        <v>N/A</v>
      </c>
      <c r="L18" s="17" t="str">
        <f t="shared" ca="1" si="4"/>
        <v>N/A</v>
      </c>
      <c r="M18" s="17" t="str">
        <f t="shared" ca="1" si="4"/>
        <v>N/A</v>
      </c>
      <c r="N18" s="17" t="str">
        <f t="shared" ca="1" si="4"/>
        <v>N/A</v>
      </c>
      <c r="O18" s="17" t="str">
        <f t="shared" ca="1" si="4"/>
        <v>N/A</v>
      </c>
      <c r="P18" s="17" t="str">
        <f t="shared" ca="1" si="4"/>
        <v>N/A</v>
      </c>
      <c r="Q18" s="17" t="str">
        <f t="shared" ca="1" si="4"/>
        <v>N/A</v>
      </c>
      <c r="R18" s="57"/>
      <c r="S18" s="57"/>
      <c r="T18" s="57"/>
    </row>
    <row r="19" spans="1:20">
      <c r="A19" t="str">
        <f>IFERROR(INDEX('2017 Data (WP)'!$C$9:$C$72,MATCH($B19,'2017 Data (WP)'!$D$9:$D$72,0)),"")</f>
        <v>Natural Gas Utility</v>
      </c>
      <c r="B19" s="31" t="s">
        <v>178</v>
      </c>
      <c r="C19" s="31" t="s">
        <v>215</v>
      </c>
      <c r="D19" s="35">
        <f t="shared" ca="1" si="1"/>
        <v>18</v>
      </c>
      <c r="E19" s="35">
        <f t="shared" ca="1" si="2"/>
        <v>18</v>
      </c>
      <c r="F19" s="35"/>
      <c r="G19" s="17">
        <f t="shared" ca="1" si="4"/>
        <v>0.41608391608391609</v>
      </c>
      <c r="H19" s="17">
        <f t="shared" ca="1" si="4"/>
        <v>0.41791044776119407</v>
      </c>
      <c r="I19" s="17">
        <f t="shared" ca="1" si="4"/>
        <v>0.43198380566801614</v>
      </c>
      <c r="J19" s="17">
        <f t="shared" ca="1" si="4"/>
        <v>0.44823008849557522</v>
      </c>
      <c r="K19" s="17">
        <f t="shared" ca="1" si="4"/>
        <v>0.48168590065228295</v>
      </c>
      <c r="L19" s="17">
        <f t="shared" ca="1" si="4"/>
        <v>0.47569262937794043</v>
      </c>
      <c r="M19" s="17">
        <f t="shared" ca="1" si="4"/>
        <v>0.47802197802197799</v>
      </c>
      <c r="N19" s="17">
        <f t="shared" ca="1" si="4"/>
        <v>0.58129797627355195</v>
      </c>
      <c r="O19" s="17">
        <f t="shared" ca="1" si="4"/>
        <v>0.57974137931034486</v>
      </c>
      <c r="P19" s="17">
        <f t="shared" ca="1" si="4"/>
        <v>0.60556844547563815</v>
      </c>
      <c r="Q19" s="17">
        <f t="shared" ca="1" si="4"/>
        <v>0.67131647776809067</v>
      </c>
      <c r="R19" s="58"/>
      <c r="S19" s="58"/>
      <c r="T19" s="58"/>
    </row>
    <row r="20" spans="1:20">
      <c r="A20" t="str">
        <f>IFERROR(INDEX('2017 Data (WP)'!$C$9:$C$72,MATCH($B20,'2017 Data (WP)'!$D$9:$D$72,0)),"")</f>
        <v/>
      </c>
      <c r="B20" t="s">
        <v>8</v>
      </c>
      <c r="C20" t="s">
        <v>49</v>
      </c>
      <c r="D20" s="35" t="e">
        <f t="shared" ca="1" si="1"/>
        <v>#N/A</v>
      </c>
      <c r="E20" s="35" t="e">
        <f t="shared" ca="1" si="2"/>
        <v>#N/A</v>
      </c>
      <c r="F20" s="35"/>
      <c r="G20" s="17" t="str">
        <f t="shared" ca="1" si="4"/>
        <v>N/A</v>
      </c>
      <c r="H20" s="17" t="str">
        <f t="shared" ca="1" si="4"/>
        <v>N/A</v>
      </c>
      <c r="I20" s="17" t="str">
        <f t="shared" ca="1" si="4"/>
        <v>N/A</v>
      </c>
      <c r="J20" s="17" t="str">
        <f t="shared" ca="1" si="4"/>
        <v>N/A</v>
      </c>
      <c r="K20" s="17" t="str">
        <f t="shared" ca="1" si="4"/>
        <v>N/A</v>
      </c>
      <c r="L20" s="17" t="str">
        <f t="shared" ca="1" si="4"/>
        <v>N/A</v>
      </c>
      <c r="M20" s="17" t="str">
        <f t="shared" ca="1" si="4"/>
        <v>N/A</v>
      </c>
      <c r="N20" s="17" t="str">
        <f t="shared" ca="1" si="4"/>
        <v>N/A</v>
      </c>
      <c r="O20" s="17" t="str">
        <f t="shared" ca="1" si="4"/>
        <v>N/A</v>
      </c>
      <c r="P20" s="17" t="str">
        <f t="shared" ca="1" si="4"/>
        <v>N/A</v>
      </c>
      <c r="Q20" s="17" t="str">
        <f t="shared" ca="1" si="4"/>
        <v>N/A</v>
      </c>
      <c r="R20" s="57"/>
      <c r="S20" s="57"/>
      <c r="T20" s="57"/>
    </row>
    <row r="21" spans="1:20">
      <c r="A21" t="str">
        <f>IFERROR(INDEX('2017 Data (WP)'!$C$9:$C$72,MATCH($B21,'2017 Data (WP)'!$D$9:$D$72,0)),"")</f>
        <v>Electric Util. (Central)</v>
      </c>
      <c r="B21" t="s">
        <v>9</v>
      </c>
      <c r="C21" t="s">
        <v>47</v>
      </c>
      <c r="D21" s="35">
        <f t="shared" ca="1" si="1"/>
        <v>19</v>
      </c>
      <c r="E21" s="35">
        <f t="shared" ca="1" si="2"/>
        <v>19</v>
      </c>
      <c r="F21" s="35"/>
      <c r="G21" s="17">
        <f t="shared" ca="1" si="4"/>
        <v>0.6262626262626263</v>
      </c>
      <c r="H21" s="17">
        <f t="shared" ca="1" si="4"/>
        <v>0.61375661375661372</v>
      </c>
      <c r="I21" s="17">
        <f t="shared" ca="1" si="4"/>
        <v>0.62068965517241381</v>
      </c>
      <c r="J21" s="17">
        <f t="shared" ca="1" si="4"/>
        <v>0.6144578313253013</v>
      </c>
      <c r="K21" s="17">
        <f t="shared" ca="1" si="4"/>
        <v>0.62745098039215685</v>
      </c>
      <c r="L21" s="17">
        <f t="shared" ca="1" si="4"/>
        <v>0.57931034482758625</v>
      </c>
      <c r="M21" s="17">
        <f t="shared" ca="1" si="4"/>
        <v>0.49624060150375937</v>
      </c>
      <c r="N21" s="17">
        <f t="shared" ca="1" si="4"/>
        <v>0.5376344086021505</v>
      </c>
      <c r="O21" s="17">
        <f t="shared" ca="1" si="4"/>
        <v>0.29268292682926828</v>
      </c>
      <c r="P21" s="17">
        <f t="shared" ca="1" si="4"/>
        <v>0.3125</v>
      </c>
      <c r="Q21" s="17">
        <f t="shared" ca="1" si="4"/>
        <v>0</v>
      </c>
      <c r="R21" s="57"/>
      <c r="S21" s="57"/>
      <c r="T21" s="57"/>
    </row>
    <row r="22" spans="1:20">
      <c r="A22" t="str">
        <f>IFERROR(INDEX('2017 Data (WP)'!$C$9:$C$72,MATCH($B22,'2017 Data (WP)'!$D$9:$D$72,0)),"")</f>
        <v>Water Utility</v>
      </c>
      <c r="B22" s="31" t="s">
        <v>180</v>
      </c>
      <c r="C22" s="31" t="s">
        <v>179</v>
      </c>
      <c r="D22" s="35">
        <f t="shared" ca="1" si="1"/>
        <v>20</v>
      </c>
      <c r="E22" s="35">
        <f t="shared" ca="1" si="2"/>
        <v>20</v>
      </c>
      <c r="F22" s="35"/>
      <c r="G22" s="17">
        <f t="shared" ca="1" si="4"/>
        <v>0.53846153846153855</v>
      </c>
      <c r="H22" s="17">
        <f t="shared" ca="1" si="4"/>
        <v>0.51470588235294124</v>
      </c>
      <c r="I22" s="17">
        <f t="shared" ca="1" si="4"/>
        <v>0.52604166666666674</v>
      </c>
      <c r="J22" s="17">
        <f t="shared" ca="1" si="4"/>
        <v>0.59036144578313254</v>
      </c>
      <c r="K22" s="17">
        <f t="shared" ca="1" si="4"/>
        <v>0.62745098039215685</v>
      </c>
      <c r="L22" s="17">
        <f t="shared" ca="1" si="4"/>
        <v>0.83333333333333337</v>
      </c>
      <c r="M22" s="17">
        <f t="shared" ca="1" si="4"/>
        <v>0.81415929203539839</v>
      </c>
      <c r="N22" s="17">
        <f t="shared" ca="1" si="4"/>
        <v>0.75630252100840345</v>
      </c>
      <c r="O22" s="17">
        <f t="shared" ca="1" si="4"/>
        <v>0.79279279279279269</v>
      </c>
      <c r="P22" s="17">
        <f t="shared" ca="1" si="4"/>
        <v>0.82857142857142851</v>
      </c>
      <c r="Q22" s="17">
        <f t="shared" ca="1" si="4"/>
        <v>1.0555555555555554</v>
      </c>
      <c r="R22" s="57"/>
      <c r="S22" s="57"/>
      <c r="T22" s="57"/>
    </row>
    <row r="23" spans="1:20">
      <c r="A23" t="str">
        <f>IFERROR(INDEX('2017 Data (WP)'!$C$9:$C$72,MATCH($B23,'2017 Data (WP)'!$D$9:$D$72,0)),"")</f>
        <v>Electric Utility (East)</v>
      </c>
      <c r="B23" t="s">
        <v>10</v>
      </c>
      <c r="C23" t="s">
        <v>50</v>
      </c>
      <c r="D23" s="35">
        <f t="shared" ca="1" si="1"/>
        <v>21</v>
      </c>
      <c r="E23" s="35">
        <f t="shared" ca="1" si="2"/>
        <v>21</v>
      </c>
      <c r="F23" s="35"/>
      <c r="G23" s="17">
        <f t="shared" ca="1" si="4"/>
        <v>0.68020304568527923</v>
      </c>
      <c r="H23" s="17">
        <f t="shared" ca="1" si="4"/>
        <v>0.64197530864197538</v>
      </c>
      <c r="I23" s="17">
        <f t="shared" ca="1" si="4"/>
        <v>0.69613259668508287</v>
      </c>
      <c r="J23" s="17">
        <f t="shared" ca="1" si="4"/>
        <v>0.62595419847328237</v>
      </c>
      <c r="K23" s="17">
        <f t="shared" ca="1" si="4"/>
        <v>0.62694300518134716</v>
      </c>
      <c r="L23" s="17">
        <f t="shared" ca="1" si="4"/>
        <v>0.67226890756302526</v>
      </c>
      <c r="M23" s="17">
        <f t="shared" ca="1" si="4"/>
        <v>0.68587896253602298</v>
      </c>
      <c r="N23" s="17">
        <f t="shared" ca="1" si="4"/>
        <v>0.75159235668789803</v>
      </c>
      <c r="O23" s="17">
        <f t="shared" ca="1" si="4"/>
        <v>0.6964285714285714</v>
      </c>
      <c r="P23" s="17">
        <f t="shared" ca="1" si="4"/>
        <v>0.66666666666666663</v>
      </c>
      <c r="Q23" s="17">
        <f t="shared" ca="1" si="4"/>
        <v>0.77966101694915246</v>
      </c>
      <c r="R23" s="57"/>
      <c r="S23" s="57"/>
      <c r="T23" s="57"/>
    </row>
    <row r="24" spans="1:20">
      <c r="A24" t="str">
        <f>IFERROR(INDEX('2017 Data (WP)'!$C$9:$C$72,MATCH($B24,'2017 Data (WP)'!$D$9:$D$72,0)),"")</f>
        <v>Water Utility</v>
      </c>
      <c r="B24" s="31" t="s">
        <v>182</v>
      </c>
      <c r="C24" s="31" t="s">
        <v>181</v>
      </c>
      <c r="D24" s="35">
        <f t="shared" ca="1" si="1"/>
        <v>22</v>
      </c>
      <c r="E24" s="35">
        <f t="shared" ca="1" si="2"/>
        <v>22</v>
      </c>
      <c r="F24" s="35"/>
      <c r="G24" s="17">
        <f t="shared" ca="1" si="4"/>
        <v>1.1111111111111109</v>
      </c>
      <c r="H24" s="17">
        <f t="shared" ca="1" si="4"/>
        <v>0.58823529411764708</v>
      </c>
      <c r="I24" s="17">
        <f t="shared" ca="1" si="4"/>
        <v>0.7142857142857143</v>
      </c>
      <c r="J24" s="17">
        <f t="shared" ca="1" si="4"/>
        <v>0.51724137931034486</v>
      </c>
      <c r="K24" s="17">
        <f t="shared" ca="1" si="4"/>
        <v>0.46875</v>
      </c>
      <c r="L24" s="17">
        <f t="shared" ca="1" si="4"/>
        <v>0.7142857142857143</v>
      </c>
      <c r="M24" s="17">
        <f t="shared" ca="1" si="4"/>
        <v>0.69767441860465118</v>
      </c>
      <c r="N24" s="17">
        <f t="shared" ca="1" si="4"/>
        <v>0.3783783783783784</v>
      </c>
      <c r="O24" s="17">
        <f t="shared" ca="1" si="4"/>
        <v>0.65</v>
      </c>
      <c r="P24" s="17">
        <f t="shared" ca="1" si="4"/>
        <v>0.24683544303797469</v>
      </c>
      <c r="Q24" s="17">
        <f t="shared" ca="1" si="4"/>
        <v>0.40677966101694918</v>
      </c>
      <c r="R24" s="57"/>
      <c r="S24" s="57"/>
      <c r="T24" s="57"/>
    </row>
    <row r="25" spans="1:20">
      <c r="A25" t="str">
        <f>IFERROR(INDEX('2017 Data (WP)'!$C$9:$C$72,MATCH($B25,'2017 Data (WP)'!$D$9:$D$72,0)),"")</f>
        <v>Electric Utility (East)</v>
      </c>
      <c r="B25" t="s">
        <v>11</v>
      </c>
      <c r="C25" t="s">
        <v>52</v>
      </c>
      <c r="D25" s="35">
        <f t="shared" ca="1" si="1"/>
        <v>24</v>
      </c>
      <c r="E25" s="35">
        <f t="shared" ca="1" si="2"/>
        <v>24</v>
      </c>
      <c r="F25" s="35"/>
      <c r="G25" s="17">
        <f t="shared" ref="G25:Q34" ca="1" si="5">IFERROR(INDEX(Dividends,$D25,G$2)/INDEX(Earnings,$E25,G$2),"N/A")</f>
        <v>0.81395348837209303</v>
      </c>
      <c r="H25" s="17">
        <f t="shared" ca="1" si="5"/>
        <v>0.80937499999999996</v>
      </c>
      <c r="I25" s="17">
        <f t="shared" ca="1" si="5"/>
        <v>0.78688524590163933</v>
      </c>
      <c r="J25" s="17">
        <f t="shared" ca="1" si="5"/>
        <v>0.72815533980582525</v>
      </c>
      <c r="K25" s="17">
        <f t="shared" ca="1" si="5"/>
        <v>0.76727272727272722</v>
      </c>
      <c r="L25" s="17">
        <f t="shared" ca="1" si="5"/>
        <v>0.71376811594202905</v>
      </c>
      <c r="M25" s="17">
        <f t="shared" ca="1" si="5"/>
        <v>0.63321799307958482</v>
      </c>
      <c r="N25" s="17">
        <f t="shared" ca="1" si="5"/>
        <v>0.66287878787878785</v>
      </c>
      <c r="O25" s="17">
        <f t="shared" ca="1" si="5"/>
        <v>0.51973684210526316</v>
      </c>
      <c r="P25" s="17">
        <f t="shared" ca="1" si="5"/>
        <v>0.68544600938967137</v>
      </c>
      <c r="Q25" s="17">
        <f t="shared" ca="1" si="5"/>
        <v>0.57499999999999996</v>
      </c>
      <c r="R25" s="57"/>
      <c r="S25" s="57"/>
      <c r="T25" s="57"/>
    </row>
    <row r="26" spans="1:20">
      <c r="A26" t="str">
        <f>IFERROR(INDEX('2017 Data (WP)'!$C$9:$C$72,MATCH($B26,'2017 Data (WP)'!$D$9:$D$72,0)),"")</f>
        <v>Electric Util. (Central)</v>
      </c>
      <c r="B26" t="s">
        <v>12</v>
      </c>
      <c r="C26" t="s">
        <v>51</v>
      </c>
      <c r="D26" s="35">
        <f t="shared" ca="1" si="1"/>
        <v>25</v>
      </c>
      <c r="E26" s="35">
        <f t="shared" ca="1" si="2"/>
        <v>25</v>
      </c>
      <c r="F26" s="35"/>
      <c r="G26" s="17">
        <f t="shared" ca="1" si="5"/>
        <v>0.63354037267080743</v>
      </c>
      <c r="H26" s="17">
        <f t="shared" ca="1" si="5"/>
        <v>0.63963963963963955</v>
      </c>
      <c r="I26" s="17">
        <f t="shared" ca="1" si="5"/>
        <v>0.52745098039215688</v>
      </c>
      <c r="J26" s="17">
        <f t="shared" ca="1" si="5"/>
        <v>0.68882978723404253</v>
      </c>
      <c r="K26" s="17">
        <f t="shared" ca="1" si="5"/>
        <v>0.62371134020618557</v>
      </c>
      <c r="L26" s="17">
        <f t="shared" ca="1" si="5"/>
        <v>0.63215258855585832</v>
      </c>
      <c r="M26" s="17">
        <f t="shared" ca="1" si="5"/>
        <v>0.58288770053475936</v>
      </c>
      <c r="N26" s="17">
        <f t="shared" ca="1" si="5"/>
        <v>0.65432098765432101</v>
      </c>
      <c r="O26" s="17">
        <f t="shared" ca="1" si="5"/>
        <v>0.77655677655677657</v>
      </c>
      <c r="P26" s="17">
        <f t="shared" ca="1" si="5"/>
        <v>0.79699248120300747</v>
      </c>
      <c r="Q26" s="17">
        <f t="shared" ca="1" si="5"/>
        <v>0.84693877551020413</v>
      </c>
      <c r="R26" s="57"/>
      <c r="S26" s="57"/>
      <c r="T26" s="57"/>
    </row>
    <row r="27" spans="1:20">
      <c r="A27" t="str">
        <f>IFERROR(INDEX('2017 Data (WP)'!$C$9:$C$72,MATCH($B27,'2017 Data (WP)'!$D$9:$D$72,0)),"")</f>
        <v>Electric Utility (East)</v>
      </c>
      <c r="B27" t="s">
        <v>13</v>
      </c>
      <c r="C27" t="s">
        <v>93</v>
      </c>
      <c r="D27" s="35">
        <f t="shared" ca="1" si="1"/>
        <v>26</v>
      </c>
      <c r="E27" s="35">
        <f t="shared" ca="1" si="2"/>
        <v>26</v>
      </c>
      <c r="F27" s="35"/>
      <c r="G27" s="17">
        <f t="shared" ca="1" si="5"/>
        <v>0.90566037735849059</v>
      </c>
      <c r="H27" s="17">
        <f t="shared" ca="1" si="5"/>
        <v>0.79024390243902454</v>
      </c>
      <c r="I27" s="17">
        <f t="shared" ca="1" si="5"/>
        <v>0.76271186440677963</v>
      </c>
      <c r="J27" s="17">
        <f t="shared" ca="1" si="5"/>
        <v>0.77638190954773867</v>
      </c>
      <c r="K27" s="17">
        <f t="shared" ca="1" si="5"/>
        <v>0.81671159029649587</v>
      </c>
      <c r="L27" s="17">
        <f t="shared" ca="1" si="5"/>
        <v>0.71739130434782616</v>
      </c>
      <c r="M27" s="17">
        <f t="shared" ca="1" si="5"/>
        <v>0.72388059701492546</v>
      </c>
      <c r="N27" s="17">
        <f t="shared" ca="1" si="5"/>
        <v>0.83185840707964598</v>
      </c>
      <c r="O27" s="17">
        <f t="shared" ca="1" si="5"/>
        <v>0.89108910891089121</v>
      </c>
      <c r="P27" s="17">
        <f t="shared" ca="1" si="5"/>
        <v>0.71666666666666667</v>
      </c>
      <c r="Q27" s="17">
        <f t="shared" ca="1" si="5"/>
        <v>0</v>
      </c>
      <c r="R27" s="57"/>
      <c r="S27" s="57"/>
      <c r="T27" s="57"/>
    </row>
    <row r="28" spans="1:20">
      <c r="A28" t="str">
        <f>IFERROR(INDEX('2017 Data (WP)'!$C$9:$C$72,MATCH($B28,'2017 Data (WP)'!$D$9:$D$72,0)),"")</f>
        <v>Electric Utility (West)</v>
      </c>
      <c r="B28" t="s">
        <v>14</v>
      </c>
      <c r="C28" t="s">
        <v>53</v>
      </c>
      <c r="D28" s="35">
        <f t="shared" ca="1" si="1"/>
        <v>27</v>
      </c>
      <c r="E28" s="35">
        <f t="shared" ca="1" si="2"/>
        <v>27</v>
      </c>
      <c r="F28" s="35"/>
      <c r="G28" s="17">
        <f t="shared" ca="1" si="5"/>
        <v>0.50329949238578686</v>
      </c>
      <c r="H28" s="17">
        <f t="shared" ca="1" si="5"/>
        <v>0.4175903614457831</v>
      </c>
      <c r="I28" s="17">
        <f t="shared" ca="1" si="5"/>
        <v>0.34249422632794457</v>
      </c>
      <c r="J28" s="17">
        <f t="shared" ca="1" si="5"/>
        <v>0.36190476190476195</v>
      </c>
      <c r="K28" s="17">
        <f t="shared" ca="1" si="5"/>
        <v>0.28857142857142859</v>
      </c>
      <c r="L28" s="17">
        <f t="shared" ca="1" si="5"/>
        <v>0.39783281733746129</v>
      </c>
      <c r="M28" s="17">
        <f t="shared" ca="1" si="5"/>
        <v>0.37761194029850742</v>
      </c>
      <c r="N28" s="17">
        <f t="shared" ca="1" si="5"/>
        <v>0.38425925925925924</v>
      </c>
      <c r="O28" s="17">
        <f t="shared" ca="1" si="5"/>
        <v>0.3328804347826087</v>
      </c>
      <c r="P28" s="17">
        <f t="shared" ca="1" si="5"/>
        <v>0.35391566265060243</v>
      </c>
      <c r="Q28" s="17">
        <f t="shared" ca="1" si="5"/>
        <v>0.33536585365853661</v>
      </c>
      <c r="R28" s="57"/>
      <c r="S28" s="57"/>
      <c r="T28" s="57"/>
    </row>
    <row r="29" spans="1:20">
      <c r="A29" t="str">
        <f>IFERROR(INDEX('2017 Data (WP)'!$C$9:$C$72,MATCH($B29,'2017 Data (WP)'!$D$9:$D$72,0)),"")</f>
        <v>Electric Utility (West)</v>
      </c>
      <c r="B29" t="s">
        <v>15</v>
      </c>
      <c r="C29" t="s">
        <v>88</v>
      </c>
      <c r="D29" s="35">
        <f t="shared" ca="1" si="1"/>
        <v>28</v>
      </c>
      <c r="E29" s="35">
        <f t="shared" ca="1" si="2"/>
        <v>28</v>
      </c>
      <c r="F29" s="35"/>
      <c r="G29" s="17">
        <f t="shared" ca="1" si="5"/>
        <v>0.5125523012552301</v>
      </c>
      <c r="H29" s="17">
        <f t="shared" ca="1" si="5"/>
        <v>0.57389162561576357</v>
      </c>
      <c r="I29" s="17">
        <f t="shared" ca="1" si="5"/>
        <v>0.486784140969163</v>
      </c>
      <c r="J29" s="17">
        <f t="shared" ca="1" si="5"/>
        <v>0.47499999999999992</v>
      </c>
      <c r="K29" s="17">
        <f t="shared" ca="1" si="5"/>
        <v>0.42920353982300885</v>
      </c>
      <c r="L29" s="17">
        <f t="shared" ca="1" si="5"/>
        <v>0.26612903225806456</v>
      </c>
      <c r="M29" s="17">
        <f t="shared" ca="1" si="5"/>
        <v>0</v>
      </c>
      <c r="N29" s="17">
        <f t="shared" ca="1" si="5"/>
        <v>0</v>
      </c>
      <c r="O29" s="17">
        <f t="shared" ca="1" si="5"/>
        <v>0</v>
      </c>
      <c r="P29" s="17">
        <f t="shared" ca="1" si="5"/>
        <v>0</v>
      </c>
      <c r="Q29" s="17">
        <f t="shared" ca="1" si="5"/>
        <v>0</v>
      </c>
      <c r="R29" s="57"/>
      <c r="S29" s="57"/>
      <c r="T29" s="57"/>
    </row>
    <row r="30" spans="1:20">
      <c r="A30" t="str">
        <f>IFERROR(INDEX('2017 Data (WP)'!$C$9:$C$72,MATCH($B30,'2017 Data (WP)'!$D$9:$D$72,0)),"")</f>
        <v/>
      </c>
      <c r="B30" t="s">
        <v>16</v>
      </c>
      <c r="C30" t="s">
        <v>102</v>
      </c>
      <c r="D30" s="35" t="e">
        <f t="shared" ca="1" si="1"/>
        <v>#N/A</v>
      </c>
      <c r="E30" s="35" t="e">
        <f t="shared" ca="1" si="2"/>
        <v>#N/A</v>
      </c>
      <c r="F30" s="35"/>
      <c r="G30" s="17" t="str">
        <f t="shared" ca="1" si="5"/>
        <v>N/A</v>
      </c>
      <c r="H30" s="17" t="str">
        <f t="shared" ca="1" si="5"/>
        <v>N/A</v>
      </c>
      <c r="I30" s="17" t="str">
        <f t="shared" ca="1" si="5"/>
        <v>N/A</v>
      </c>
      <c r="J30" s="17" t="str">
        <f t="shared" ca="1" si="5"/>
        <v>N/A</v>
      </c>
      <c r="K30" s="17" t="str">
        <f t="shared" ca="1" si="5"/>
        <v>N/A</v>
      </c>
      <c r="L30" s="17" t="str">
        <f t="shared" ca="1" si="5"/>
        <v>N/A</v>
      </c>
      <c r="M30" s="17" t="str">
        <f t="shared" ca="1" si="5"/>
        <v>N/A</v>
      </c>
      <c r="N30" s="17" t="str">
        <f t="shared" ca="1" si="5"/>
        <v>N/A</v>
      </c>
      <c r="O30" s="17" t="str">
        <f t="shared" ca="1" si="5"/>
        <v>N/A</v>
      </c>
      <c r="P30" s="17" t="str">
        <f t="shared" ca="1" si="5"/>
        <v>N/A</v>
      </c>
      <c r="Q30" s="17" t="str">
        <f t="shared" ca="1" si="5"/>
        <v>N/A</v>
      </c>
      <c r="R30" s="57"/>
      <c r="S30" s="57"/>
      <c r="T30" s="57"/>
    </row>
    <row r="31" spans="1:20">
      <c r="A31" t="str">
        <f>IFERROR(INDEX('2017 Data (WP)'!$C$9:$C$72,MATCH($B31,'2017 Data (WP)'!$D$9:$D$72,0)),"")</f>
        <v>Electric Util. (Central)</v>
      </c>
      <c r="B31" t="s">
        <v>17</v>
      </c>
      <c r="C31" t="s">
        <v>55</v>
      </c>
      <c r="D31" s="35">
        <f t="shared" ca="1" si="1"/>
        <v>29</v>
      </c>
      <c r="E31" s="35">
        <f t="shared" ca="1" si="2"/>
        <v>29</v>
      </c>
      <c r="F31" s="35"/>
      <c r="G31" s="17">
        <f t="shared" ca="1" si="5"/>
        <v>0.49709302325581395</v>
      </c>
      <c r="H31" s="17">
        <f t="shared" ca="1" si="5"/>
        <v>0.57487091222030984</v>
      </c>
      <c r="I31" s="17">
        <f t="shared" ca="1" si="5"/>
        <v>0.57538994800693244</v>
      </c>
      <c r="J31" s="17">
        <f t="shared" ca="1" si="5"/>
        <v>0.66935483870967738</v>
      </c>
      <c r="K31" s="17">
        <f t="shared" ca="1" si="5"/>
        <v>0.55149501661129574</v>
      </c>
      <c r="L31" s="17">
        <f t="shared" ca="1" si="5"/>
        <v>0.43973509933774835</v>
      </c>
      <c r="M31" s="17">
        <f t="shared" ca="1" si="5"/>
        <v>0.48648648648648651</v>
      </c>
      <c r="N31" s="17">
        <f t="shared" ca="1" si="5"/>
        <v>0.47619047619047622</v>
      </c>
      <c r="O31" s="17">
        <f t="shared" ca="1" si="5"/>
        <v>0.48387096774193544</v>
      </c>
      <c r="P31" s="17">
        <f t="shared" ca="1" si="5"/>
        <v>0.46071428571428574</v>
      </c>
      <c r="Q31" s="17">
        <f t="shared" ca="1" si="5"/>
        <v>0.40298507462686567</v>
      </c>
      <c r="R31" s="57"/>
      <c r="S31" s="57"/>
      <c r="T31" s="57"/>
    </row>
    <row r="32" spans="1:20">
      <c r="A32" t="str">
        <f>IFERROR(INDEX('2017 Data (WP)'!$C$9:$C$72,MATCH($B32,'2017 Data (WP)'!$D$9:$D$72,0)),"")</f>
        <v>Electric Utility (East)</v>
      </c>
      <c r="B32" t="s">
        <v>211</v>
      </c>
      <c r="C32" t="s">
        <v>212</v>
      </c>
      <c r="D32" s="35">
        <f t="shared" ca="1" si="1"/>
        <v>30</v>
      </c>
      <c r="E32" s="35">
        <f t="shared" ca="1" si="2"/>
        <v>30</v>
      </c>
      <c r="F32" s="35"/>
      <c r="G32" s="17">
        <f t="shared" ca="1" si="5"/>
        <v>0.60135135135135132</v>
      </c>
      <c r="H32" s="17">
        <f t="shared" ca="1" si="5"/>
        <v>0.60507246376811596</v>
      </c>
      <c r="I32" s="17">
        <f t="shared" ca="1" si="5"/>
        <v>0.60852713178294571</v>
      </c>
      <c r="J32" s="17">
        <f t="shared" ca="1" si="5"/>
        <v>0.59036144578313243</v>
      </c>
      <c r="K32" s="17">
        <f t="shared" ca="1" si="5"/>
        <v>0.69841269841269848</v>
      </c>
      <c r="L32" s="17">
        <f t="shared" ca="1" si="5"/>
        <v>0.49549549549549549</v>
      </c>
      <c r="M32" s="17">
        <f t="shared" ca="1" si="5"/>
        <v>0.48809523809523803</v>
      </c>
      <c r="N32" s="17">
        <f t="shared" ca="1" si="5"/>
        <v>0.49738219895287961</v>
      </c>
      <c r="O32" s="17">
        <f t="shared" ca="1" si="5"/>
        <v>0.44354838709677413</v>
      </c>
      <c r="P32" s="17">
        <f t="shared" ca="1" si="5"/>
        <v>0.48742138364779874</v>
      </c>
      <c r="Q32" s="17">
        <f t="shared" ca="1" si="5"/>
        <v>0.88414634146341464</v>
      </c>
      <c r="R32" s="57"/>
      <c r="S32" s="57"/>
      <c r="T32" s="57"/>
    </row>
    <row r="33" spans="1:20">
      <c r="A33" t="str">
        <f>IFERROR(INDEX('2017 Data (WP)'!$C$9:$C$72,MATCH($B33,'2017 Data (WP)'!$D$9:$D$72,0)),"")</f>
        <v>Electric Utility (East)</v>
      </c>
      <c r="B33" t="s">
        <v>18</v>
      </c>
      <c r="C33" t="s">
        <v>69</v>
      </c>
      <c r="D33" s="35">
        <f t="shared" ca="1" si="1"/>
        <v>31</v>
      </c>
      <c r="E33" s="35">
        <f t="shared" ca="1" si="2"/>
        <v>31</v>
      </c>
      <c r="F33" s="35"/>
      <c r="G33" s="17">
        <f t="shared" ca="1" si="5"/>
        <v>0.7</v>
      </c>
      <c r="H33" s="17">
        <f t="shared" ca="1" si="5"/>
        <v>0.48818897637795272</v>
      </c>
      <c r="I33" s="17">
        <f t="shared" ca="1" si="5"/>
        <v>0.59047619047619049</v>
      </c>
      <c r="J33" s="17">
        <f t="shared" ca="1" si="5"/>
        <v>0.62987012987012991</v>
      </c>
      <c r="K33" s="17">
        <f t="shared" ca="1" si="5"/>
        <v>1.09375</v>
      </c>
      <c r="L33" s="17">
        <f t="shared" ca="1" si="5"/>
        <v>0.56000000000000005</v>
      </c>
      <c r="M33" s="17">
        <f t="shared" ca="1" si="5"/>
        <v>0.54263565891472865</v>
      </c>
      <c r="N33" s="17">
        <f t="shared" ca="1" si="5"/>
        <v>0.48951048951048953</v>
      </c>
      <c r="O33" s="17">
        <f t="shared" ca="1" si="5"/>
        <v>0.5</v>
      </c>
      <c r="P33" s="17">
        <f t="shared" ca="1" si="5"/>
        <v>0.45161290322580644</v>
      </c>
      <c r="Q33" s="17">
        <f t="shared" ca="1" si="5"/>
        <v>0.46857142857142853</v>
      </c>
      <c r="R33" s="57"/>
      <c r="S33" s="57"/>
      <c r="T33" s="57"/>
    </row>
    <row r="34" spans="1:20">
      <c r="A34" t="str">
        <f>IFERROR(INDEX('2017 Data (WP)'!$C$9:$C$72,MATCH($B34,'2017 Data (WP)'!$D$9:$D$72,0)),"")</f>
        <v>Electric Utility (East)</v>
      </c>
      <c r="B34" t="s">
        <v>19</v>
      </c>
      <c r="C34" t="s">
        <v>66</v>
      </c>
      <c r="D34" s="35">
        <f t="shared" ca="1" si="1"/>
        <v>32</v>
      </c>
      <c r="E34" s="35">
        <f t="shared" ca="1" si="2"/>
        <v>32</v>
      </c>
      <c r="F34" s="35"/>
      <c r="G34" s="17">
        <f t="shared" ca="1" si="5"/>
        <v>0.68571428571428561</v>
      </c>
      <c r="H34" s="17">
        <f t="shared" ca="1" si="5"/>
        <v>0.72</v>
      </c>
      <c r="I34" s="17">
        <f t="shared" ca="1" si="5"/>
        <v>1.6941176470588235</v>
      </c>
      <c r="J34" s="17">
        <f t="shared" ca="1" si="5"/>
        <v>0.55555555555555547</v>
      </c>
      <c r="K34" s="17">
        <f t="shared" ca="1" si="5"/>
        <v>1.0328638497652582</v>
      </c>
      <c r="L34" s="17">
        <f t="shared" ca="1" si="5"/>
        <v>1.1702127659574471</v>
      </c>
      <c r="M34" s="17">
        <f t="shared" ca="1" si="5"/>
        <v>0.67692307692307696</v>
      </c>
      <c r="N34" s="17">
        <f t="shared" ca="1" si="5"/>
        <v>0.66265060240963869</v>
      </c>
      <c r="O34" s="17">
        <f t="shared" ca="1" si="5"/>
        <v>0.50228310502283113</v>
      </c>
      <c r="P34" s="17">
        <f t="shared" ca="1" si="5"/>
        <v>0.48578199052132698</v>
      </c>
      <c r="Q34" s="17">
        <f t="shared" ca="1" si="5"/>
        <v>0.48429319371727753</v>
      </c>
      <c r="R34" s="57"/>
      <c r="S34" s="57"/>
      <c r="T34" s="57"/>
    </row>
    <row r="35" spans="1:20">
      <c r="A35" t="str">
        <f>IFERROR(INDEX('2017 Data (WP)'!$C$9:$C$72,MATCH($B35,'2017 Data (WP)'!$D$9:$D$72,0)),"")</f>
        <v>Electric Util. (Central)</v>
      </c>
      <c r="B35" t="s">
        <v>267</v>
      </c>
      <c r="C35" t="s">
        <v>266</v>
      </c>
      <c r="D35" s="35">
        <f t="shared" ca="1" si="1"/>
        <v>33</v>
      </c>
      <c r="E35" s="35">
        <f t="shared" ca="1" si="2"/>
        <v>33</v>
      </c>
      <c r="F35" s="35"/>
      <c r="G35" s="17">
        <f t="shared" ref="G35:Q44" ca="1" si="6">IFERROR(INDEX(Dividends,$D35,G$2)/INDEX(Earnings,$E35,G$2),"N/A")</f>
        <v>0.82010582010582023</v>
      </c>
      <c r="H35" s="17">
        <f t="shared" ca="1" si="6"/>
        <v>0.67772511848341233</v>
      </c>
      <c r="I35" s="17">
        <f t="shared" ca="1" si="6"/>
        <v>0.94202898550724645</v>
      </c>
      <c r="J35" s="17">
        <f t="shared" ca="1" si="6"/>
        <v>0.76687116564417179</v>
      </c>
      <c r="K35" s="17">
        <f t="shared" ca="1" si="6"/>
        <v>0.73333333333333339</v>
      </c>
      <c r="L35" s="17">
        <f t="shared" ca="1" si="6"/>
        <v>0.67241379310344829</v>
      </c>
      <c r="M35" s="17">
        <f t="shared" ca="1" si="6"/>
        <v>0.6913580246913581</v>
      </c>
      <c r="N35" s="17">
        <f t="shared" ca="1" si="6"/>
        <v>0.6887417218543046</v>
      </c>
      <c r="O35" s="17">
        <f t="shared" ca="1" si="6"/>
        <v>0.65789473684210531</v>
      </c>
      <c r="P35" s="17">
        <f t="shared" ca="1" si="6"/>
        <v>0.63714063714063718</v>
      </c>
      <c r="Q35" s="17">
        <f t="shared" ca="1" si="6"/>
        <v>0.49300956585724803</v>
      </c>
      <c r="R35" s="57"/>
      <c r="S35" s="57"/>
      <c r="T35" s="57"/>
    </row>
    <row r="36" spans="1:20">
      <c r="A36" t="str">
        <f>IFERROR(INDEX('2017 Data (WP)'!$C$9:$C$72,MATCH($B36,'2017 Data (WP)'!$D$9:$D$72,0)),"")</f>
        <v/>
      </c>
      <c r="B36" t="s">
        <v>57</v>
      </c>
      <c r="C36" t="s">
        <v>56</v>
      </c>
      <c r="D36" s="35" t="e">
        <f t="shared" ca="1" si="1"/>
        <v>#N/A</v>
      </c>
      <c r="E36" s="35" t="e">
        <f t="shared" ca="1" si="2"/>
        <v>#N/A</v>
      </c>
      <c r="F36" s="35"/>
      <c r="G36" s="17" t="str">
        <f t="shared" ca="1" si="6"/>
        <v>N/A</v>
      </c>
      <c r="H36" s="17" t="str">
        <f t="shared" ca="1" si="6"/>
        <v>N/A</v>
      </c>
      <c r="I36" s="17" t="str">
        <f t="shared" ca="1" si="6"/>
        <v>N/A</v>
      </c>
      <c r="J36" s="17" t="str">
        <f t="shared" ca="1" si="6"/>
        <v>N/A</v>
      </c>
      <c r="K36" s="17" t="str">
        <f t="shared" ca="1" si="6"/>
        <v>N/A</v>
      </c>
      <c r="L36" s="17" t="str">
        <f t="shared" ca="1" si="6"/>
        <v>N/A</v>
      </c>
      <c r="M36" s="17" t="str">
        <f t="shared" ca="1" si="6"/>
        <v>N/A</v>
      </c>
      <c r="N36" s="17" t="str">
        <f t="shared" ca="1" si="6"/>
        <v>N/A</v>
      </c>
      <c r="O36" s="17" t="str">
        <f t="shared" ca="1" si="6"/>
        <v>N/A</v>
      </c>
      <c r="P36" s="17" t="str">
        <f t="shared" ca="1" si="6"/>
        <v>N/A</v>
      </c>
      <c r="Q36" s="17" t="str">
        <f t="shared" ca="1" si="6"/>
        <v>N/A</v>
      </c>
      <c r="R36" s="57"/>
      <c r="S36" s="57"/>
      <c r="T36" s="57"/>
    </row>
    <row r="37" spans="1:20">
      <c r="A37" t="str">
        <f>IFERROR(INDEX('2017 Data (WP)'!$C$9:$C$72,MATCH($B37,'2017 Data (WP)'!$D$9:$D$72,0)),"")</f>
        <v>Electric Util. (Central)</v>
      </c>
      <c r="B37" t="s">
        <v>20</v>
      </c>
      <c r="C37" t="s">
        <v>104</v>
      </c>
      <c r="D37" s="35">
        <f t="shared" ref="D37:D46" ca="1" si="7">MATCH(B37,OFFSET(Dividends,0,0,,1),0)</f>
        <v>35</v>
      </c>
      <c r="E37" s="35">
        <f t="shared" ref="E37:E46" ca="1" si="8">MATCH(B37,OFFSET(Earnings,0,0,,1),0)</f>
        <v>35</v>
      </c>
      <c r="F37" s="35"/>
      <c r="G37" s="17">
        <f t="shared" ca="1" si="6"/>
        <v>0.65527950310559002</v>
      </c>
      <c r="H37" s="17">
        <f t="shared" ca="1" si="6"/>
        <v>0.72846715328467149</v>
      </c>
      <c r="I37" s="17">
        <f t="shared" ca="1" si="6"/>
        <v>0.59554140127388533</v>
      </c>
      <c r="J37" s="17">
        <f t="shared" ca="1" si="6"/>
        <v>0.5444444444444444</v>
      </c>
      <c r="K37" s="17">
        <f t="shared" ca="1" si="6"/>
        <v>0.6333333333333333</v>
      </c>
      <c r="L37" s="17">
        <f t="shared" ca="1" si="6"/>
        <v>0.66799999999999993</v>
      </c>
      <c r="M37" s="17">
        <f t="shared" ca="1" si="6"/>
        <v>0.54248366013071891</v>
      </c>
      <c r="N37" s="17">
        <f t="shared" ca="1" si="6"/>
        <v>0.80582524271844658</v>
      </c>
      <c r="O37" s="17">
        <f t="shared" ca="1" si="6"/>
        <v>1.4310344827586208</v>
      </c>
      <c r="P37" s="17">
        <f t="shared" ca="1" si="6"/>
        <v>0.89729729729729724</v>
      </c>
      <c r="Q37" s="17">
        <f t="shared" ca="1" si="6"/>
        <v>1.0246913580246912</v>
      </c>
      <c r="R37" s="57"/>
      <c r="S37" s="58"/>
      <c r="T37" s="58"/>
    </row>
    <row r="38" spans="1:20">
      <c r="A38" t="str">
        <f>IFERROR(INDEX('2017 Data (WP)'!$C$9:$C$72,MATCH($B38,'2017 Data (WP)'!$D$9:$D$72,0)),"")</f>
        <v>Electric Utility (West)</v>
      </c>
      <c r="B38" t="s">
        <v>21</v>
      </c>
      <c r="C38" t="s">
        <v>58</v>
      </c>
      <c r="D38" s="35">
        <f t="shared" ca="1" si="7"/>
        <v>36</v>
      </c>
      <c r="E38" s="35">
        <f t="shared" ca="1" si="8"/>
        <v>36</v>
      </c>
      <c r="F38" s="35"/>
      <c r="G38" s="17">
        <f t="shared" ca="1" si="6"/>
        <v>0.54148471615720528</v>
      </c>
      <c r="H38" s="17">
        <f t="shared" ca="1" si="6"/>
        <v>0.82666666666666666</v>
      </c>
      <c r="I38" s="17">
        <f t="shared" ca="1" si="6"/>
        <v>0.75609756097560976</v>
      </c>
      <c r="J38" s="17">
        <f t="shared" ca="1" si="6"/>
        <v>0.76543209876543206</v>
      </c>
      <c r="K38" s="17">
        <f t="shared" ca="1" si="6"/>
        <v>0.74251497005988032</v>
      </c>
      <c r="L38" s="17">
        <f t="shared" ca="1" si="6"/>
        <v>0.86111111111111116</v>
      </c>
      <c r="M38" s="17">
        <f t="shared" ca="1" si="6"/>
        <v>1.024793388429752</v>
      </c>
      <c r="N38" s="17">
        <f t="shared" ca="1" si="6"/>
        <v>1.3626373626373627</v>
      </c>
      <c r="O38" s="17">
        <f t="shared" ca="1" si="6"/>
        <v>1.1588785046728971</v>
      </c>
      <c r="P38" s="17">
        <f t="shared" ca="1" si="6"/>
        <v>1.117117117117117</v>
      </c>
      <c r="Q38" s="17">
        <f t="shared" ca="1" si="6"/>
        <v>0.93233082706766912</v>
      </c>
      <c r="R38" s="57"/>
      <c r="S38" s="57"/>
      <c r="T38" s="57"/>
    </row>
    <row r="39" spans="1:20">
      <c r="A39" t="str">
        <f>IFERROR(INDEX('2017 Data (WP)'!$C$9:$C$72,MATCH($B39,'2017 Data (WP)'!$D$9:$D$72,0)),"")</f>
        <v>Electric Utility (West)</v>
      </c>
      <c r="B39" t="s">
        <v>22</v>
      </c>
      <c r="C39" t="s">
        <v>59</v>
      </c>
      <c r="D39" s="35">
        <f t="shared" ca="1" si="7"/>
        <v>37</v>
      </c>
      <c r="E39" s="35">
        <f t="shared" ca="1" si="8"/>
        <v>37</v>
      </c>
      <c r="F39" s="35"/>
      <c r="G39" s="17">
        <f t="shared" ca="1" si="6"/>
        <v>0.52791878172588835</v>
      </c>
      <c r="H39" s="17">
        <f t="shared" ca="1" si="6"/>
        <v>0.49612403100775193</v>
      </c>
      <c r="I39" s="17">
        <f t="shared" ca="1" si="6"/>
        <v>0.45714285714285713</v>
      </c>
      <c r="J39" s="17">
        <f t="shared" ca="1" si="6"/>
        <v>0.43131868131868134</v>
      </c>
      <c r="K39" s="17">
        <f t="shared" ca="1" si="6"/>
        <v>0.40652818991097922</v>
      </c>
      <c r="L39" s="17">
        <f t="shared" ca="1" si="6"/>
        <v>0.35714285714285715</v>
      </c>
      <c r="M39" s="17">
        <f t="shared" ca="1" si="6"/>
        <v>0.40677966101694912</v>
      </c>
      <c r="N39" s="17">
        <f t="shared" ca="1" si="6"/>
        <v>0.45454545454545453</v>
      </c>
      <c r="O39" s="17">
        <f t="shared" ca="1" si="6"/>
        <v>0.55045871559633019</v>
      </c>
      <c r="P39" s="17">
        <f t="shared" ca="1" si="6"/>
        <v>0.64516129032258063</v>
      </c>
      <c r="Q39" s="17">
        <f t="shared" ca="1" si="6"/>
        <v>0.51063829787234039</v>
      </c>
      <c r="R39" s="57"/>
      <c r="S39" s="57"/>
      <c r="T39" s="57"/>
    </row>
    <row r="40" spans="1:20">
      <c r="A40" t="str">
        <f>IFERROR(INDEX('2017 Data (WP)'!$C$9:$C$72,MATCH($B40,'2017 Data (WP)'!$D$9:$D$72,0)),"")</f>
        <v/>
      </c>
      <c r="B40" t="s">
        <v>23</v>
      </c>
      <c r="C40" t="s">
        <v>85</v>
      </c>
      <c r="D40" s="35" t="e">
        <f t="shared" ca="1" si="7"/>
        <v>#N/A</v>
      </c>
      <c r="E40" s="35" t="e">
        <f t="shared" ca="1" si="8"/>
        <v>#N/A</v>
      </c>
      <c r="F40" s="35"/>
      <c r="G40" s="17" t="str">
        <f t="shared" ca="1" si="6"/>
        <v>N/A</v>
      </c>
      <c r="H40" s="17" t="str">
        <f t="shared" ca="1" si="6"/>
        <v>N/A</v>
      </c>
      <c r="I40" s="17" t="str">
        <f t="shared" ca="1" si="6"/>
        <v>N/A</v>
      </c>
      <c r="J40" s="17" t="str">
        <f t="shared" ca="1" si="6"/>
        <v>N/A</v>
      </c>
      <c r="K40" s="17" t="str">
        <f t="shared" ca="1" si="6"/>
        <v>N/A</v>
      </c>
      <c r="L40" s="17" t="str">
        <f t="shared" ca="1" si="6"/>
        <v>N/A</v>
      </c>
      <c r="M40" s="17" t="str">
        <f t="shared" ca="1" si="6"/>
        <v>N/A</v>
      </c>
      <c r="N40" s="17" t="str">
        <f t="shared" ca="1" si="6"/>
        <v>N/A</v>
      </c>
      <c r="O40" s="17" t="str">
        <f t="shared" ca="1" si="6"/>
        <v>N/A</v>
      </c>
      <c r="P40" s="17" t="str">
        <f t="shared" ca="1" si="6"/>
        <v>N/A</v>
      </c>
      <c r="Q40" s="17" t="str">
        <f t="shared" ca="1" si="6"/>
        <v>N/A</v>
      </c>
      <c r="R40" s="57"/>
      <c r="S40" s="57"/>
      <c r="T40" s="57"/>
    </row>
    <row r="41" spans="1:20">
      <c r="A41" t="str">
        <f>IFERROR(INDEX('2017 Data (WP)'!$C$9:$C$72,MATCH($B41,'2017 Data (WP)'!$D$9:$D$72,0)),"")</f>
        <v/>
      </c>
      <c r="B41" t="s">
        <v>161</v>
      </c>
      <c r="C41" t="s">
        <v>160</v>
      </c>
      <c r="D41" s="35" t="e">
        <f t="shared" ca="1" si="7"/>
        <v>#N/A</v>
      </c>
      <c r="E41" s="35" t="e">
        <f t="shared" ca="1" si="8"/>
        <v>#N/A</v>
      </c>
      <c r="F41" s="35"/>
      <c r="G41" s="17" t="str">
        <f t="shared" ca="1" si="6"/>
        <v>N/A</v>
      </c>
      <c r="H41" s="17" t="str">
        <f t="shared" ca="1" si="6"/>
        <v>N/A</v>
      </c>
      <c r="I41" s="17" t="str">
        <f t="shared" ca="1" si="6"/>
        <v>N/A</v>
      </c>
      <c r="J41" s="17" t="str">
        <f t="shared" ca="1" si="6"/>
        <v>N/A</v>
      </c>
      <c r="K41" s="17" t="str">
        <f t="shared" ca="1" si="6"/>
        <v>N/A</v>
      </c>
      <c r="L41" s="17" t="str">
        <f t="shared" ca="1" si="6"/>
        <v>N/A</v>
      </c>
      <c r="M41" s="17" t="str">
        <f t="shared" ca="1" si="6"/>
        <v>N/A</v>
      </c>
      <c r="N41" s="17" t="str">
        <f t="shared" ca="1" si="6"/>
        <v>N/A</v>
      </c>
      <c r="O41" s="17" t="str">
        <f t="shared" ca="1" si="6"/>
        <v>N/A</v>
      </c>
      <c r="P41" s="17" t="str">
        <f t="shared" ca="1" si="6"/>
        <v>N/A</v>
      </c>
      <c r="Q41" s="17" t="str">
        <f t="shared" ca="1" si="6"/>
        <v>N/A</v>
      </c>
      <c r="R41" s="57"/>
      <c r="S41" s="57"/>
      <c r="T41" s="57"/>
    </row>
    <row r="42" spans="1:20">
      <c r="A42" t="str">
        <f>IFERROR(INDEX('2017 Data (WP)'!$C$9:$C$72,MATCH($B42,'2017 Data (WP)'!$D$9:$D$72,0)),"")</f>
        <v/>
      </c>
      <c r="B42" t="s">
        <v>24</v>
      </c>
      <c r="C42" t="s">
        <v>60</v>
      </c>
      <c r="D42" s="35" t="e">
        <f t="shared" ca="1" si="7"/>
        <v>#N/A</v>
      </c>
      <c r="E42" s="35" t="e">
        <f t="shared" ca="1" si="8"/>
        <v>#N/A</v>
      </c>
      <c r="F42" s="35"/>
      <c r="G42" s="17" t="str">
        <f t="shared" ca="1" si="6"/>
        <v>N/A</v>
      </c>
      <c r="H42" s="17" t="str">
        <f t="shared" ca="1" si="6"/>
        <v>N/A</v>
      </c>
      <c r="I42" s="17" t="str">
        <f t="shared" ca="1" si="6"/>
        <v>N/A</v>
      </c>
      <c r="J42" s="17" t="str">
        <f t="shared" ca="1" si="6"/>
        <v>N/A</v>
      </c>
      <c r="K42" s="17" t="str">
        <f t="shared" ca="1" si="6"/>
        <v>N/A</v>
      </c>
      <c r="L42" s="17" t="str">
        <f t="shared" ca="1" si="6"/>
        <v>N/A</v>
      </c>
      <c r="M42" s="17" t="str">
        <f t="shared" ca="1" si="6"/>
        <v>N/A</v>
      </c>
      <c r="N42" s="17" t="str">
        <f t="shared" ca="1" si="6"/>
        <v>N/A</v>
      </c>
      <c r="O42" s="17" t="str">
        <f t="shared" ca="1" si="6"/>
        <v>N/A</v>
      </c>
      <c r="P42" s="17" t="str">
        <f t="shared" ca="1" si="6"/>
        <v>N/A</v>
      </c>
      <c r="Q42" s="17" t="str">
        <f t="shared" ca="1" si="6"/>
        <v>N/A</v>
      </c>
      <c r="R42" s="57"/>
      <c r="S42" s="57"/>
      <c r="T42" s="57"/>
    </row>
    <row r="43" spans="1:20">
      <c r="A43" t="str">
        <f>IFERROR(INDEX('2017 Data (WP)'!$C$9:$C$72,MATCH($B43,'2017 Data (WP)'!$D$9:$D$72,0)),"")</f>
        <v>Electric Util. (Central)</v>
      </c>
      <c r="B43" t="s">
        <v>25</v>
      </c>
      <c r="C43" t="s">
        <v>61</v>
      </c>
      <c r="D43" s="35">
        <f t="shared" ca="1" si="7"/>
        <v>38</v>
      </c>
      <c r="E43" s="35">
        <f t="shared" ca="1" si="8"/>
        <v>38</v>
      </c>
      <c r="F43" s="35"/>
      <c r="G43" s="17">
        <f t="shared" ca="1" si="6"/>
        <v>0.55504587155963292</v>
      </c>
      <c r="H43" s="17">
        <f t="shared" ca="1" si="6"/>
        <v>0.56310679611650483</v>
      </c>
      <c r="I43" s="17">
        <f t="shared" ca="1" si="6"/>
        <v>0.47844827586206906</v>
      </c>
      <c r="J43" s="17">
        <f t="shared" ca="1" si="6"/>
        <v>0.49537037037037035</v>
      </c>
      <c r="K43" s="17">
        <f t="shared" ca="1" si="6"/>
        <v>0.55913978494623651</v>
      </c>
      <c r="L43" s="17">
        <f t="shared" ca="1" si="6"/>
        <v>0.5744318181818181</v>
      </c>
      <c r="M43" s="17">
        <f t="shared" ca="1" si="6"/>
        <v>0.59568086382723451</v>
      </c>
      <c r="N43" s="17">
        <f t="shared" ca="1" si="6"/>
        <v>0.66055668703326542</v>
      </c>
      <c r="O43" s="17">
        <f t="shared" ca="1" si="6"/>
        <v>0.60239445494643984</v>
      </c>
      <c r="P43" s="17">
        <f t="shared" ca="1" si="6"/>
        <v>0.62128222075346995</v>
      </c>
      <c r="Q43" s="17">
        <f t="shared" ca="1" si="6"/>
        <v>0.67516387472687545</v>
      </c>
      <c r="R43" s="57"/>
      <c r="S43" s="57"/>
      <c r="T43" s="57"/>
    </row>
    <row r="44" spans="1:20">
      <c r="A44" t="str">
        <f>IFERROR(INDEX('2017 Data (WP)'!$C$9:$C$72,MATCH($B44,'2017 Data (WP)'!$D$9:$D$72,0)),"")</f>
        <v>Water Utility</v>
      </c>
      <c r="B44" s="31" t="s">
        <v>188</v>
      </c>
      <c r="C44" s="31" t="s">
        <v>187</v>
      </c>
      <c r="D44" s="35">
        <f t="shared" ca="1" si="7"/>
        <v>39</v>
      </c>
      <c r="E44" s="35">
        <f t="shared" ca="1" si="8"/>
        <v>39</v>
      </c>
      <c r="F44" s="35"/>
      <c r="G44" s="17">
        <f t="shared" ca="1" si="6"/>
        <v>0.58550724637681173</v>
      </c>
      <c r="H44" s="17">
        <f t="shared" ca="1" si="6"/>
        <v>0.63606557377049189</v>
      </c>
      <c r="I44" s="17">
        <f t="shared" ca="1" si="6"/>
        <v>0.67522123893805319</v>
      </c>
      <c r="J44" s="17">
        <f t="shared" ca="1" si="6"/>
        <v>0.73106796116504857</v>
      </c>
      <c r="K44" s="17">
        <f t="shared" ca="1" si="6"/>
        <v>0.82555555555555549</v>
      </c>
      <c r="L44" s="17">
        <f t="shared" ca="1" si="6"/>
        <v>0.87261904761904763</v>
      </c>
      <c r="M44" s="17">
        <f t="shared" ca="1" si="6"/>
        <v>0.75312500000000004</v>
      </c>
      <c r="N44" s="17">
        <f t="shared" ca="1" si="6"/>
        <v>0.99027777777777781</v>
      </c>
      <c r="O44" s="17">
        <f t="shared" ca="1" si="6"/>
        <v>0.78988764044943816</v>
      </c>
      <c r="P44" s="17">
        <f t="shared" ca="1" si="6"/>
        <v>0.79655172413793096</v>
      </c>
      <c r="Q44" s="17">
        <f t="shared" ca="1" si="6"/>
        <v>0.83292682926829276</v>
      </c>
      <c r="R44" s="58"/>
      <c r="S44" s="58"/>
      <c r="T44" s="58"/>
    </row>
    <row r="45" spans="1:20">
      <c r="A45" t="str">
        <f>IFERROR(INDEX('2017 Data (WP)'!$C$9:$C$72,MATCH($B45,'2017 Data (WP)'!$D$9:$D$72,0)),"")</f>
        <v>Natural Gas Utility</v>
      </c>
      <c r="B45" s="31" t="s">
        <v>190</v>
      </c>
      <c r="C45" s="31" t="s">
        <v>189</v>
      </c>
      <c r="D45" s="35">
        <f t="shared" ca="1" si="7"/>
        <v>40</v>
      </c>
      <c r="E45" s="35">
        <f t="shared" ca="1" si="8"/>
        <v>40</v>
      </c>
      <c r="F45" s="35"/>
      <c r="G45" s="17">
        <f t="shared" ref="G45:Q54" ca="1" si="9">IFERROR(INDEX(Dividends,$D45,G$2)/INDEX(Earnings,$E45,G$2),"N/A")</f>
        <v>0.60869565217391297</v>
      </c>
      <c r="H45" s="17">
        <f t="shared" ca="1" si="9"/>
        <v>0.52247191011235961</v>
      </c>
      <c r="I45" s="17">
        <f t="shared" ca="1" si="9"/>
        <v>0.41105769230769229</v>
      </c>
      <c r="J45" s="17">
        <f t="shared" ca="1" si="9"/>
        <v>0.59340659340659341</v>
      </c>
      <c r="K45" s="17">
        <f t="shared" ca="1" si="9"/>
        <v>0.56826568265682664</v>
      </c>
      <c r="L45" s="17">
        <f t="shared" ca="1" si="9"/>
        <v>0.55813953488372092</v>
      </c>
      <c r="M45" s="17">
        <f t="shared" ca="1" si="9"/>
        <v>0.55284552845528456</v>
      </c>
      <c r="N45" s="17">
        <f t="shared" ca="1" si="9"/>
        <v>0.51666666666666672</v>
      </c>
      <c r="O45" s="17">
        <f t="shared" ca="1" si="9"/>
        <v>0.41111111111111109</v>
      </c>
      <c r="P45" s="17">
        <f t="shared" ca="1" si="9"/>
        <v>0.65250965250965254</v>
      </c>
      <c r="Q45" s="17">
        <f t="shared" ca="1" si="9"/>
        <v>0.51446945337620575</v>
      </c>
      <c r="R45" s="57"/>
      <c r="S45" s="57"/>
      <c r="T45" s="57"/>
    </row>
    <row r="46" spans="1:20">
      <c r="A46" t="str">
        <f>IFERROR(INDEX('2017 Data (WP)'!$C$9:$C$72,MATCH($B46,'2017 Data (WP)'!$D$9:$D$72,0)),"")</f>
        <v>Electric Utility (East)</v>
      </c>
      <c r="B46" t="s">
        <v>141</v>
      </c>
      <c r="C46" t="s">
        <v>209</v>
      </c>
      <c r="D46" s="35">
        <f t="shared" ca="1" si="7"/>
        <v>41</v>
      </c>
      <c r="E46" s="35">
        <f t="shared" ca="1" si="8"/>
        <v>41</v>
      </c>
      <c r="F46" s="35"/>
      <c r="G46" s="17">
        <f t="shared" ca="1" si="9"/>
        <v>0.60207612456747406</v>
      </c>
      <c r="H46" s="17">
        <f t="shared" ca="1" si="9"/>
        <v>0.5082508250825083</v>
      </c>
      <c r="I46" s="17">
        <f t="shared" ca="1" si="9"/>
        <v>0.5178571428571429</v>
      </c>
      <c r="J46" s="17">
        <f t="shared" ca="1" si="9"/>
        <v>0.54658385093167705</v>
      </c>
      <c r="K46" s="17">
        <f t="shared" ca="1" si="9"/>
        <v>0.52631578947368418</v>
      </c>
      <c r="L46" s="17">
        <f t="shared" ca="1" si="9"/>
        <v>0.45643153526970953</v>
      </c>
      <c r="M46" s="17">
        <f t="shared" ca="1" si="9"/>
        <v>0.42194092827004215</v>
      </c>
      <c r="N46" s="17">
        <f t="shared" ca="1" si="9"/>
        <v>0.47607052896725438</v>
      </c>
      <c r="O46" s="17">
        <f t="shared" ca="1" si="9"/>
        <v>0.4373464373464373</v>
      </c>
      <c r="P46" s="17">
        <f t="shared" ca="1" si="9"/>
        <v>0.50152905198776754</v>
      </c>
      <c r="Q46" s="17">
        <f t="shared" ca="1" si="9"/>
        <v>0.46439628482972134</v>
      </c>
      <c r="R46" s="57"/>
      <c r="S46" s="57"/>
      <c r="T46" s="57"/>
    </row>
    <row r="47" spans="1:20">
      <c r="A47" t="str">
        <f>IFERROR(INDEX('2017 Data (WP)'!$C$9:$C$72,MATCH($B47,'2017 Data (WP)'!$D$9:$D$72,0)),"")</f>
        <v>Natural Gas Utility</v>
      </c>
      <c r="B47" t="s">
        <v>26</v>
      </c>
      <c r="C47" t="s">
        <v>62</v>
      </c>
      <c r="D47" s="35">
        <f t="shared" ref="D47:D78" ca="1" si="10">MATCH(B47,OFFSET(Dividends,0,0,,1),0)</f>
        <v>42</v>
      </c>
      <c r="E47" s="35">
        <f t="shared" ref="E47:E78" ca="1" si="11">MATCH(B47,OFFSET(Earnings,0,0,,1),0)</f>
        <v>42</v>
      </c>
      <c r="F47" s="35"/>
      <c r="G47" s="17">
        <f t="shared" ca="1" si="9"/>
        <v>0.64</v>
      </c>
      <c r="H47" s="17">
        <f t="shared" ca="1" si="9"/>
        <v>1.3174603174603174</v>
      </c>
      <c r="I47" s="17">
        <f t="shared" ca="1" si="9"/>
        <v>0.6107784431137725</v>
      </c>
      <c r="J47" s="17">
        <f t="shared" ca="1" si="9"/>
        <v>0.62420382165605093</v>
      </c>
      <c r="K47" s="17">
        <f t="shared" ca="1" si="9"/>
        <v>0.68613138686131381</v>
      </c>
      <c r="L47" s="17">
        <f t="shared" ca="1" si="9"/>
        <v>0.87619047619047619</v>
      </c>
      <c r="M47" s="17">
        <f t="shared" ca="1" si="9"/>
        <v>0.86792452830188682</v>
      </c>
      <c r="N47" s="17">
        <f t="shared" ca="1" si="9"/>
        <v>1.0952380952380953</v>
      </c>
      <c r="O47" s="17">
        <f t="shared" ca="1" si="9"/>
        <v>0.68656716417910446</v>
      </c>
      <c r="P47" s="17">
        <f t="shared" ca="1" si="9"/>
        <v>0.80701754385964919</v>
      </c>
      <c r="Q47" s="17">
        <f t="shared" ca="1" si="9"/>
        <v>0.80701754385964919</v>
      </c>
      <c r="R47" s="57"/>
      <c r="S47" s="57"/>
      <c r="T47" s="57"/>
    </row>
    <row r="48" spans="1:20">
      <c r="A48" t="str">
        <f>IFERROR(INDEX('2017 Data (WP)'!$C$9:$C$72,MATCH($B48,'2017 Data (WP)'!$D$9:$D$72,0)),"")</f>
        <v>Natural Gas Utility</v>
      </c>
      <c r="B48" s="31" t="s">
        <v>192</v>
      </c>
      <c r="C48" s="31" t="s">
        <v>191</v>
      </c>
      <c r="D48" s="35">
        <f t="shared" ca="1" si="10"/>
        <v>43</v>
      </c>
      <c r="E48" s="35">
        <f t="shared" ca="1" si="11"/>
        <v>43</v>
      </c>
      <c r="F48" s="35"/>
      <c r="G48" s="17">
        <f t="shared" ca="1" si="9"/>
        <v>0.88207547169811318</v>
      </c>
      <c r="H48" s="17">
        <f t="shared" ca="1" si="9"/>
        <v>0.94897959183673475</v>
      </c>
      <c r="I48" s="17">
        <f t="shared" ca="1" si="9"/>
        <v>0.85648148148148151</v>
      </c>
      <c r="J48" s="17">
        <f t="shared" ca="1" si="9"/>
        <v>0.8169642857142857</v>
      </c>
      <c r="K48" s="17">
        <f t="shared" ca="1" si="9"/>
        <v>0.80630630630630629</v>
      </c>
      <c r="L48" s="17">
        <f t="shared" ca="1" si="9"/>
        <v>0.73221757322175729</v>
      </c>
      <c r="M48" s="17">
        <f t="shared" ca="1" si="9"/>
        <v>0.61538461538461542</v>
      </c>
      <c r="N48" s="17">
        <f t="shared" ca="1" si="9"/>
        <v>0.56537102473498235</v>
      </c>
      <c r="O48" s="17">
        <f t="shared" ca="1" si="9"/>
        <v>0.59143968871595332</v>
      </c>
      <c r="P48" s="17">
        <f t="shared" ca="1" si="9"/>
        <v>0.52173913043478259</v>
      </c>
      <c r="Q48" s="17">
        <f t="shared" ca="1" si="9"/>
        <v>0.59148936170212763</v>
      </c>
      <c r="R48" s="57"/>
      <c r="S48" s="57"/>
      <c r="T48" s="57"/>
    </row>
    <row r="49" spans="1:20">
      <c r="A49" t="str">
        <f>IFERROR(INDEX('2017 Data (WP)'!$C$9:$C$72,MATCH($B49,'2017 Data (WP)'!$D$9:$D$72,0)),"")</f>
        <v>Electric Utility (West)</v>
      </c>
      <c r="B49" t="str">
        <f>"NWE"</f>
        <v>NWE</v>
      </c>
      <c r="C49" t="s">
        <v>94</v>
      </c>
      <c r="D49" s="35">
        <f t="shared" ca="1" si="10"/>
        <v>44</v>
      </c>
      <c r="E49" s="35">
        <f t="shared" ca="1" si="11"/>
        <v>44</v>
      </c>
      <c r="F49" s="35"/>
      <c r="G49" s="17">
        <f t="shared" ca="1" si="9"/>
        <v>0.58997050147492625</v>
      </c>
      <c r="H49" s="17">
        <f t="shared" ca="1" si="9"/>
        <v>0.66206896551724137</v>
      </c>
      <c r="I49" s="17">
        <f t="shared" ca="1" si="9"/>
        <v>0.53511705685618727</v>
      </c>
      <c r="J49" s="17">
        <f t="shared" ca="1" si="9"/>
        <v>0.61788617886178865</v>
      </c>
      <c r="K49" s="17">
        <f t="shared" ca="1" si="9"/>
        <v>0.65486725663716816</v>
      </c>
      <c r="L49" s="17">
        <f t="shared" ca="1" si="9"/>
        <v>0.56916996047430835</v>
      </c>
      <c r="M49" s="17">
        <f t="shared" ca="1" si="9"/>
        <v>0.63551401869158874</v>
      </c>
      <c r="N49" s="17">
        <f t="shared" ca="1" si="9"/>
        <v>0.6633663366336634</v>
      </c>
      <c r="O49" s="17">
        <f t="shared" ca="1" si="9"/>
        <v>0.74576271186440679</v>
      </c>
      <c r="P49" s="17">
        <f t="shared" ca="1" si="9"/>
        <v>0.88888888888888895</v>
      </c>
      <c r="Q49" s="17">
        <f t="shared" ca="1" si="9"/>
        <v>0.94656488549618312</v>
      </c>
      <c r="R49" s="57"/>
      <c r="S49" s="57"/>
      <c r="T49" s="57"/>
    </row>
    <row r="50" spans="1:20">
      <c r="A50" t="str">
        <f>IFERROR(INDEX('2017 Data (WP)'!$C$9:$C$72,MATCH($B50,'2017 Data (WP)'!$D$9:$D$72,0)),"")</f>
        <v>Electric Util. (Central)</v>
      </c>
      <c r="B50" t="s">
        <v>27</v>
      </c>
      <c r="C50" t="s">
        <v>67</v>
      </c>
      <c r="D50" s="35">
        <f t="shared" ca="1" si="10"/>
        <v>45</v>
      </c>
      <c r="E50" s="35">
        <f t="shared" ca="1" si="11"/>
        <v>45</v>
      </c>
      <c r="F50" s="35"/>
      <c r="G50" s="17">
        <f t="shared" ca="1" si="9"/>
        <v>0.68343195266272194</v>
      </c>
      <c r="H50" s="17">
        <f t="shared" ca="1" si="9"/>
        <v>0.62130177514792906</v>
      </c>
      <c r="I50" s="17">
        <f t="shared" ca="1" si="9"/>
        <v>0.47979797979797978</v>
      </c>
      <c r="J50" s="17">
        <f ca="1">IFERROR(INDEX(Dividends,$D50,J$2)/INDEX(Earnings,$E50,J$2),"N/A")</f>
        <v>0.43865979381443299</v>
      </c>
      <c r="K50" s="17">
        <f t="shared" ca="1" si="9"/>
        <v>0.44581005586592182</v>
      </c>
      <c r="L50" s="17">
        <f t="shared" ca="1" si="9"/>
        <v>0.44</v>
      </c>
      <c r="M50" s="17">
        <f t="shared" ca="1" si="9"/>
        <v>0.48963210702341131</v>
      </c>
      <c r="N50" s="17">
        <f t="shared" ca="1" si="9"/>
        <v>0.53684210526315779</v>
      </c>
      <c r="O50" s="17">
        <f t="shared" ca="1" si="9"/>
        <v>0.56144578313253002</v>
      </c>
      <c r="P50" s="17">
        <f t="shared" ca="1" si="9"/>
        <v>0.51818181818181819</v>
      </c>
      <c r="Q50" s="17">
        <f t="shared" ca="1" si="9"/>
        <v>0.54612244897959183</v>
      </c>
      <c r="R50" s="57"/>
      <c r="S50" s="57"/>
      <c r="T50" s="57"/>
    </row>
    <row r="51" spans="1:20">
      <c r="A51" t="str">
        <f>IFERROR(INDEX('2017 Data (WP)'!$C$9:$C$72,MATCH($B51,'2017 Data (WP)'!$D$9:$D$72,0)),"")</f>
        <v>Natural Gas Utility</v>
      </c>
      <c r="B51" t="s">
        <v>353</v>
      </c>
      <c r="C51" t="s">
        <v>356</v>
      </c>
      <c r="D51" s="35">
        <f t="shared" ca="1" si="10"/>
        <v>46</v>
      </c>
      <c r="E51" s="35">
        <f t="shared" ca="1" si="11"/>
        <v>46</v>
      </c>
      <c r="F51" s="35"/>
      <c r="G51" s="17">
        <f t="shared" ca="1" si="9"/>
        <v>0.52830188679245282</v>
      </c>
      <c r="H51" s="17">
        <f t="shared" ca="1" si="9"/>
        <v>0.5357142857142857</v>
      </c>
      <c r="I51" s="17">
        <f t="shared" ca="1" si="9"/>
        <v>0.40579710144927539</v>
      </c>
      <c r="J51" s="17" t="str">
        <f t="shared" ca="1" si="9"/>
        <v>N/A</v>
      </c>
      <c r="K51" s="17" t="str">
        <f t="shared" ca="1" si="9"/>
        <v>N/A</v>
      </c>
      <c r="L51" s="17" t="str">
        <f t="shared" ca="1" si="9"/>
        <v>N/A</v>
      </c>
      <c r="M51" s="17" t="str">
        <f t="shared" ca="1" si="9"/>
        <v>N/A</v>
      </c>
      <c r="N51" s="17" t="str">
        <f t="shared" ca="1" si="9"/>
        <v>N/A</v>
      </c>
      <c r="O51" s="17" t="str">
        <f t="shared" ca="1" si="9"/>
        <v>N/A</v>
      </c>
      <c r="P51" s="17" t="str">
        <f t="shared" ca="1" si="9"/>
        <v>N/A</v>
      </c>
      <c r="Q51" s="17" t="str">
        <f t="shared" ca="1" si="9"/>
        <v>N/A</v>
      </c>
      <c r="R51" s="57"/>
      <c r="S51" s="57"/>
      <c r="T51" s="57"/>
    </row>
    <row r="52" spans="1:20">
      <c r="A52" t="str">
        <f>IFERROR(INDEX('2017 Data (WP)'!$C$9:$C$72,MATCH($B52,'2017 Data (WP)'!$D$9:$D$72,0)),"")</f>
        <v>Electric Util. (Central)</v>
      </c>
      <c r="B52" t="s">
        <v>28</v>
      </c>
      <c r="C52" t="s">
        <v>68</v>
      </c>
      <c r="D52" s="35">
        <f t="shared" ca="1" si="10"/>
        <v>47</v>
      </c>
      <c r="E52" s="35">
        <f t="shared" ca="1" si="11"/>
        <v>47</v>
      </c>
      <c r="F52" s="35"/>
      <c r="G52" s="17">
        <f t="shared" ca="1" si="9"/>
        <v>0.78125</v>
      </c>
      <c r="H52" s="17">
        <f t="shared" ca="1" si="9"/>
        <v>0.78846153846153844</v>
      </c>
      <c r="I52" s="17">
        <f t="shared" ca="1" si="9"/>
        <v>0.78064516129032258</v>
      </c>
      <c r="J52" s="17">
        <f t="shared" ca="1" si="9"/>
        <v>0.86861313868613133</v>
      </c>
      <c r="K52" s="17">
        <f t="shared" ca="1" si="9"/>
        <v>1.1333333333333333</v>
      </c>
      <c r="L52" s="17">
        <f t="shared" ca="1" si="9"/>
        <v>2.6444444444444444</v>
      </c>
      <c r="M52" s="17">
        <f t="shared" ca="1" si="9"/>
        <v>3.1315789473684208</v>
      </c>
      <c r="N52" s="17">
        <f t="shared" ca="1" si="9"/>
        <v>1.676056338028169</v>
      </c>
      <c r="O52" s="17">
        <f t="shared" ca="1" si="9"/>
        <v>1.0917431192660549</v>
      </c>
      <c r="P52" s="17">
        <f t="shared" ca="1" si="9"/>
        <v>0.65730337078651679</v>
      </c>
      <c r="Q52" s="17">
        <f t="shared" ca="1" si="9"/>
        <v>0.68047337278106501</v>
      </c>
      <c r="R52" s="57"/>
      <c r="S52" s="57"/>
      <c r="T52" s="57"/>
    </row>
    <row r="53" spans="1:20">
      <c r="A53" t="str">
        <f>IFERROR(INDEX('2017 Data (WP)'!$C$9:$C$72,MATCH($B53,'2017 Data (WP)'!$D$9:$D$72,0)),"")</f>
        <v/>
      </c>
      <c r="B53" t="s">
        <v>29</v>
      </c>
      <c r="C53" t="s">
        <v>73</v>
      </c>
      <c r="D53" s="35" t="e">
        <f t="shared" ca="1" si="10"/>
        <v>#N/A</v>
      </c>
      <c r="E53" s="35" t="e">
        <f t="shared" ca="1" si="11"/>
        <v>#N/A</v>
      </c>
      <c r="F53" s="35"/>
      <c r="G53" s="17" t="str">
        <f t="shared" ca="1" si="9"/>
        <v>N/A</v>
      </c>
      <c r="H53" s="17" t="str">
        <f t="shared" ca="1" si="9"/>
        <v>N/A</v>
      </c>
      <c r="I53" s="17" t="str">
        <f t="shared" ca="1" si="9"/>
        <v>N/A</v>
      </c>
      <c r="J53" s="17" t="str">
        <f t="shared" ca="1" si="9"/>
        <v>N/A</v>
      </c>
      <c r="K53" s="17" t="str">
        <f t="shared" ca="1" si="9"/>
        <v>N/A</v>
      </c>
      <c r="L53" s="17" t="str">
        <f t="shared" ca="1" si="9"/>
        <v>N/A</v>
      </c>
      <c r="M53" s="17" t="str">
        <f t="shared" ca="1" si="9"/>
        <v>N/A</v>
      </c>
      <c r="N53" s="17" t="str">
        <f t="shared" ca="1" si="9"/>
        <v>N/A</v>
      </c>
      <c r="O53" s="17" t="str">
        <f t="shared" ca="1" si="9"/>
        <v>N/A</v>
      </c>
      <c r="P53" s="17" t="str">
        <f t="shared" ca="1" si="9"/>
        <v>N/A</v>
      </c>
      <c r="Q53" s="17" t="str">
        <f t="shared" ca="1" si="9"/>
        <v>N/A</v>
      </c>
      <c r="R53" s="57"/>
      <c r="S53" s="57"/>
      <c r="T53" s="57"/>
    </row>
    <row r="54" spans="1:20">
      <c r="A54" t="str">
        <f>IFERROR(INDEX('2017 Data (WP)'!$C$9:$C$72,MATCH($B54,'2017 Data (WP)'!$D$9:$D$72,0)),"")</f>
        <v>Electric Utility (West)</v>
      </c>
      <c r="B54" t="s">
        <v>30</v>
      </c>
      <c r="C54" t="s">
        <v>71</v>
      </c>
      <c r="D54" s="35">
        <f t="shared" ca="1" si="10"/>
        <v>48</v>
      </c>
      <c r="E54" s="35">
        <f t="shared" ca="1" si="11"/>
        <v>48</v>
      </c>
      <c r="F54" s="35"/>
      <c r="G54" s="17">
        <f t="shared" ca="1" si="9"/>
        <v>0.68021201413427557</v>
      </c>
      <c r="H54" s="17">
        <f t="shared" ca="1" si="9"/>
        <v>0.91</v>
      </c>
      <c r="I54" s="17">
        <f t="shared" ca="1" si="9"/>
        <v>0.59477124183006536</v>
      </c>
      <c r="J54" s="17">
        <f t="shared" ca="1" si="9"/>
        <v>0.99453551912568305</v>
      </c>
      <c r="K54" s="17">
        <f t="shared" ca="1" si="9"/>
        <v>0.87922705314009675</v>
      </c>
      <c r="L54" s="17">
        <f t="shared" ca="1" si="9"/>
        <v>0.65467625899280579</v>
      </c>
      <c r="M54" s="17">
        <f t="shared" ca="1" si="9"/>
        <v>0.64539007092198586</v>
      </c>
      <c r="N54" s="17">
        <f t="shared" ca="1" si="9"/>
        <v>0.5544554455445545</v>
      </c>
      <c r="O54" s="17">
        <f t="shared" ca="1" si="9"/>
        <v>0.48447204968944096</v>
      </c>
      <c r="P54" s="17">
        <f t="shared" ca="1" si="9"/>
        <v>0.51798561151079137</v>
      </c>
      <c r="Q54" s="17">
        <f t="shared" ca="1" si="9"/>
        <v>0.47826086956521746</v>
      </c>
      <c r="R54" s="57"/>
      <c r="S54" s="57"/>
      <c r="T54" s="57"/>
    </row>
    <row r="55" spans="1:20">
      <c r="A55" t="str">
        <f>IFERROR(INDEX('2017 Data (WP)'!$C$9:$C$72,MATCH($B55,'2017 Data (WP)'!$D$9:$D$72,0)),"")</f>
        <v>Electric Utility (West)</v>
      </c>
      <c r="B55" t="s">
        <v>31</v>
      </c>
      <c r="C55" t="s">
        <v>72</v>
      </c>
      <c r="D55" s="35">
        <f t="shared" ca="1" si="10"/>
        <v>49</v>
      </c>
      <c r="E55" s="35">
        <f t="shared" ca="1" si="11"/>
        <v>49</v>
      </c>
      <c r="F55" s="35"/>
      <c r="G55" s="17">
        <f t="shared" ref="G55:Q64" ca="1" si="12">IFERROR(INDEX(Dividends,$D55,G$2)/INDEX(Earnings,$E55,G$2),"N/A")</f>
        <v>0.64810126582278482</v>
      </c>
      <c r="H55" s="17">
        <f t="shared" ca="1" si="12"/>
        <v>0.62244897959183676</v>
      </c>
      <c r="I55" s="17">
        <f t="shared" ca="1" si="12"/>
        <v>0.6494413407821229</v>
      </c>
      <c r="J55" s="17">
        <f t="shared" ca="1" si="12"/>
        <v>0.60792349726775952</v>
      </c>
      <c r="K55" s="17">
        <f t="shared" ca="1" si="12"/>
        <v>0.76285714285714279</v>
      </c>
      <c r="L55" s="17">
        <f t="shared" ca="1" si="12"/>
        <v>0.7023411371237458</v>
      </c>
      <c r="M55" s="17">
        <f t="shared" ca="1" si="12"/>
        <v>0.68181818181818188</v>
      </c>
      <c r="N55" s="17">
        <f t="shared" ca="1" si="12"/>
        <v>0.92920353982300896</v>
      </c>
      <c r="O55" s="17">
        <f t="shared" ca="1" si="12"/>
        <v>0.99056603773584906</v>
      </c>
      <c r="P55" s="17">
        <f t="shared" ca="1" si="12"/>
        <v>0.70945945945945954</v>
      </c>
      <c r="Q55" s="17">
        <f t="shared" ca="1" si="12"/>
        <v>0.63880126182965302</v>
      </c>
      <c r="R55" s="57"/>
      <c r="S55" s="57"/>
      <c r="T55" s="57"/>
    </row>
    <row r="56" spans="1:20">
      <c r="A56" t="str">
        <f>IFERROR(INDEX('2017 Data (WP)'!$C$9:$C$72,MATCH($B56,'2017 Data (WP)'!$D$9:$D$72,0)),"")</f>
        <v>Electric Utility (West)</v>
      </c>
      <c r="B56" t="s">
        <v>32</v>
      </c>
      <c r="C56" t="s">
        <v>74</v>
      </c>
      <c r="D56" s="35">
        <f t="shared" ca="1" si="10"/>
        <v>50</v>
      </c>
      <c r="E56" s="35">
        <f t="shared" ca="1" si="11"/>
        <v>50</v>
      </c>
      <c r="F56" s="35"/>
      <c r="G56" s="17">
        <f t="shared" ca="1" si="12"/>
        <v>0.53333333333333333</v>
      </c>
      <c r="H56" s="17">
        <f t="shared" ca="1" si="12"/>
        <v>0.48780487804878053</v>
      </c>
      <c r="I56" s="17">
        <f t="shared" ca="1" si="12"/>
        <v>0.52068965517241383</v>
      </c>
      <c r="J56" s="17">
        <f t="shared" ca="1" si="12"/>
        <v>0.48226950354609938</v>
      </c>
      <c r="K56" s="17">
        <f t="shared" ca="1" si="12"/>
        <v>0.4427480916030534</v>
      </c>
      <c r="L56" s="17">
        <f t="shared" ca="1" si="12"/>
        <v>0.46296296296296291</v>
      </c>
      <c r="M56" s="17">
        <f t="shared" ca="1" si="12"/>
        <v>0.57471264367816088</v>
      </c>
      <c r="N56" s="17">
        <f t="shared" ca="1" si="12"/>
        <v>0.86206896551724144</v>
      </c>
      <c r="O56" s="17">
        <f t="shared" ca="1" si="12"/>
        <v>5.5</v>
      </c>
      <c r="P56" s="17">
        <f t="shared" ca="1" si="12"/>
        <v>1.1973684210526316</v>
      </c>
      <c r="Q56" s="17">
        <f t="shared" ca="1" si="12"/>
        <v>0.5</v>
      </c>
      <c r="R56" s="57"/>
      <c r="S56" s="57"/>
      <c r="T56" s="57"/>
    </row>
    <row r="57" spans="1:20">
      <c r="A57" t="str">
        <f>IFERROR(INDEX('2017 Data (WP)'!$C$9:$C$72,MATCH($B57,'2017 Data (WP)'!$D$9:$D$72,0)),"")</f>
        <v>Electric Utility (West)</v>
      </c>
      <c r="B57" t="s">
        <v>33</v>
      </c>
      <c r="C57" t="s">
        <v>92</v>
      </c>
      <c r="D57" s="35">
        <f t="shared" ca="1" si="10"/>
        <v>51</v>
      </c>
      <c r="E57" s="35">
        <f t="shared" ca="1" si="11"/>
        <v>51</v>
      </c>
      <c r="F57" s="35"/>
      <c r="G57" s="17">
        <f t="shared" ca="1" si="12"/>
        <v>0.58333333333333326</v>
      </c>
      <c r="H57" s="17">
        <f t="shared" ca="1" si="12"/>
        <v>0.57843137254901955</v>
      </c>
      <c r="I57" s="17">
        <f t="shared" ca="1" si="12"/>
        <v>0.51146788990825687</v>
      </c>
      <c r="J57" s="17">
        <f t="shared" ca="1" si="12"/>
        <v>0.61864406779661019</v>
      </c>
      <c r="K57" s="17">
        <f t="shared" ca="1" si="12"/>
        <v>0.57486631016042777</v>
      </c>
      <c r="L57" s="17">
        <f t="shared" ca="1" si="12"/>
        <v>0.54102564102564099</v>
      </c>
      <c r="M57" s="17">
        <f t="shared" ca="1" si="12"/>
        <v>0.62349397590361444</v>
      </c>
      <c r="N57" s="17">
        <f t="shared" ca="1" si="12"/>
        <v>0.77099236641221369</v>
      </c>
      <c r="O57" s="17">
        <f t="shared" ca="1" si="12"/>
        <v>0.69784172661870503</v>
      </c>
      <c r="P57" s="17">
        <f t="shared" ca="1" si="12"/>
        <v>0.39914163090128757</v>
      </c>
      <c r="Q57" s="17">
        <f t="shared" ca="1" si="12"/>
        <v>0.5921052631578948</v>
      </c>
      <c r="R57" s="57"/>
      <c r="S57" s="57"/>
      <c r="T57" s="57"/>
    </row>
    <row r="58" spans="1:20">
      <c r="A58" t="str">
        <f>IFERROR(INDEX('2017 Data (WP)'!$C$9:$C$72,MATCH($B58,'2017 Data (WP)'!$D$9:$D$72,0)),"")</f>
        <v>Electric Utility (East)</v>
      </c>
      <c r="B58" t="s">
        <v>34</v>
      </c>
      <c r="C58" t="s">
        <v>70</v>
      </c>
      <c r="D58" s="35">
        <f t="shared" ca="1" si="10"/>
        <v>52</v>
      </c>
      <c r="E58" s="35">
        <f t="shared" ca="1" si="11"/>
        <v>52</v>
      </c>
      <c r="F58" s="35"/>
      <c r="G58" s="17">
        <f t="shared" ca="1" si="12"/>
        <v>0.54480286738351258</v>
      </c>
      <c r="H58" s="17">
        <f t="shared" ca="1" si="12"/>
        <v>0.63291139240506322</v>
      </c>
      <c r="I58" s="17">
        <f t="shared" ca="1" si="12"/>
        <v>0.62605042016806722</v>
      </c>
      <c r="J58" s="17">
        <f t="shared" ca="1" si="12"/>
        <v>0.61764705882352944</v>
      </c>
      <c r="K58" s="17">
        <f t="shared" ca="1" si="12"/>
        <v>0.55172413793103448</v>
      </c>
      <c r="L58" s="17">
        <f t="shared" ca="1" si="12"/>
        <v>0.53639846743295017</v>
      </c>
      <c r="M58" s="17">
        <f t="shared" ca="1" si="12"/>
        <v>0.611353711790393</v>
      </c>
      <c r="N58" s="17">
        <f t="shared" ca="1" si="12"/>
        <v>1.1596638655462184</v>
      </c>
      <c r="O58" s="17">
        <f t="shared" ca="1" si="12"/>
        <v>0.54693877551020409</v>
      </c>
      <c r="P58" s="17">
        <f t="shared" ca="1" si="12"/>
        <v>0.46387832699619774</v>
      </c>
      <c r="Q58" s="17">
        <f t="shared" ca="1" si="12"/>
        <v>0.48034934497816595</v>
      </c>
      <c r="R58" s="57"/>
      <c r="S58" s="57"/>
      <c r="T58" s="57"/>
    </row>
    <row r="59" spans="1:20">
      <c r="A59" t="str">
        <f>IFERROR(INDEX('2017 Data (WP)'!$C$9:$C$72,MATCH($B59,'2017 Data (WP)'!$D$9:$D$72,0)),"")</f>
        <v>Electric Utility (East)</v>
      </c>
      <c r="B59" t="s">
        <v>35</v>
      </c>
      <c r="C59" t="s">
        <v>75</v>
      </c>
      <c r="D59" s="35">
        <f t="shared" ca="1" si="10"/>
        <v>53</v>
      </c>
      <c r="E59" s="35">
        <f t="shared" ca="1" si="11"/>
        <v>53</v>
      </c>
      <c r="F59" s="35"/>
      <c r="G59" s="17">
        <f t="shared" ca="1" si="12"/>
        <v>0.57950530035335679</v>
      </c>
      <c r="H59" s="17">
        <f t="shared" ca="1" si="12"/>
        <v>0.47272727272727277</v>
      </c>
      <c r="I59" s="17">
        <f t="shared" ca="1" si="12"/>
        <v>0.49498327759197319</v>
      </c>
      <c r="J59" s="17">
        <f t="shared" ca="1" si="12"/>
        <v>0.58775510204081627</v>
      </c>
      <c r="K59" s="17">
        <f t="shared" ca="1" si="12"/>
        <v>0.58196721311475408</v>
      </c>
      <c r="L59" s="17">
        <f t="shared" ca="1" si="12"/>
        <v>0.44051446945337625</v>
      </c>
      <c r="M59" s="17">
        <f t="shared" ca="1" si="12"/>
        <v>0.44625407166123782</v>
      </c>
      <c r="N59" s="17">
        <f t="shared" ca="1" si="12"/>
        <v>0.43181818181818182</v>
      </c>
      <c r="O59" s="17">
        <f t="shared" ca="1" si="12"/>
        <v>0.44482758620689655</v>
      </c>
      <c r="P59" s="17">
        <f t="shared" ca="1" si="12"/>
        <v>0.45173745173745172</v>
      </c>
      <c r="Q59" s="17">
        <f t="shared" ca="1" si="12"/>
        <v>0.61788617886178854</v>
      </c>
      <c r="R59" s="57"/>
      <c r="S59" s="57"/>
      <c r="T59" s="57"/>
    </row>
    <row r="60" spans="1:20">
      <c r="A60" t="str">
        <f>IFERROR(INDEX('2017 Data (WP)'!$C$9:$C$72,MATCH($B60,'2017 Data (WP)'!$D$9:$D$72,0)),"")</f>
        <v>Electric Utility (East)</v>
      </c>
      <c r="B60" t="s">
        <v>36</v>
      </c>
      <c r="C60" t="s">
        <v>76</v>
      </c>
      <c r="D60" s="35">
        <f t="shared" ca="1" si="10"/>
        <v>55</v>
      </c>
      <c r="E60" s="35">
        <f t="shared" ca="1" si="11"/>
        <v>55</v>
      </c>
      <c r="F60" s="35"/>
      <c r="G60" s="17">
        <f t="shared" ca="1" si="12"/>
        <v>0.55288461538461531</v>
      </c>
      <c r="H60" s="17">
        <f t="shared" ca="1" si="12"/>
        <v>0.57217847769028873</v>
      </c>
      <c r="I60" s="17">
        <f t="shared" ca="1" si="12"/>
        <v>0.55408970976253302</v>
      </c>
      <c r="J60" s="17">
        <f t="shared" ca="1" si="12"/>
        <v>0.59882005899705004</v>
      </c>
      <c r="K60" s="17">
        <f t="shared" ca="1" si="12"/>
        <v>0.62857142857142856</v>
      </c>
      <c r="L60" s="17">
        <f t="shared" ca="1" si="12"/>
        <v>0.65319865319865311</v>
      </c>
      <c r="M60" s="17">
        <f t="shared" ca="1" si="12"/>
        <v>0.63758389261744963</v>
      </c>
      <c r="N60" s="17">
        <f t="shared" ca="1" si="12"/>
        <v>0.65964912280701749</v>
      </c>
      <c r="O60" s="17">
        <f t="shared" ca="1" si="12"/>
        <v>0.62372881355932197</v>
      </c>
      <c r="P60" s="17">
        <f t="shared" ca="1" si="12"/>
        <v>0.64233576642335766</v>
      </c>
      <c r="Q60" s="17">
        <f t="shared" ca="1" si="12"/>
        <v>0.64864864864864868</v>
      </c>
      <c r="R60" s="57"/>
      <c r="S60" s="57"/>
      <c r="T60" s="57"/>
    </row>
    <row r="61" spans="1:20">
      <c r="A61" t="str">
        <f>IFERROR(INDEX('2017 Data (WP)'!$C$9:$C$72,MATCH($B61,'2017 Data (WP)'!$D$9:$D$72,0)),"")</f>
        <v>Electric Utility (West)</v>
      </c>
      <c r="B61" t="s">
        <v>37</v>
      </c>
      <c r="C61" t="s">
        <v>54</v>
      </c>
      <c r="D61" s="35">
        <f t="shared" ca="1" si="10"/>
        <v>56</v>
      </c>
      <c r="E61" s="35">
        <f t="shared" ca="1" si="11"/>
        <v>56</v>
      </c>
      <c r="F61" s="35"/>
      <c r="G61" s="17">
        <f t="shared" ca="1" si="12"/>
        <v>0.71226415094339623</v>
      </c>
      <c r="H61" s="17">
        <f t="shared" ca="1" si="12"/>
        <v>0.53537284894837467</v>
      </c>
      <c r="I61" s="17">
        <f t="shared" ca="1" si="12"/>
        <v>0.57019438444924408</v>
      </c>
      <c r="J61" s="17">
        <f t="shared" ca="1" si="12"/>
        <v>0.59715639810426546</v>
      </c>
      <c r="K61" s="17">
        <f t="shared" ca="1" si="12"/>
        <v>0.55172413793103448</v>
      </c>
      <c r="L61" s="17">
        <f t="shared" ca="1" si="12"/>
        <v>0.42953020134228187</v>
      </c>
      <c r="M61" s="17">
        <f t="shared" ca="1" si="12"/>
        <v>0.38805970149253738</v>
      </c>
      <c r="N61" s="17">
        <f t="shared" ca="1" si="12"/>
        <v>0.32635983263598328</v>
      </c>
      <c r="O61" s="17">
        <f t="shared" ca="1" si="12"/>
        <v>0.30925507900677207</v>
      </c>
      <c r="P61" s="17">
        <f t="shared" ca="1" si="12"/>
        <v>0.29107981220657281</v>
      </c>
      <c r="Q61" s="17">
        <f t="shared" ca="1" si="12"/>
        <v>0.28368794326241131</v>
      </c>
    </row>
    <row r="62" spans="1:20">
      <c r="A62" t="str">
        <f>IFERROR(INDEX('2017 Data (WP)'!$C$9:$C$72,MATCH($B62,'2017 Data (WP)'!$D$9:$D$72,0)),"")</f>
        <v/>
      </c>
      <c r="B62" t="s">
        <v>64</v>
      </c>
      <c r="C62" t="s">
        <v>63</v>
      </c>
      <c r="D62" s="35" t="e">
        <f t="shared" ca="1" si="10"/>
        <v>#N/A</v>
      </c>
      <c r="E62" s="35" t="e">
        <f t="shared" ca="1" si="11"/>
        <v>#N/A</v>
      </c>
      <c r="F62" s="35"/>
      <c r="G62" s="17" t="str">
        <f t="shared" ca="1" si="12"/>
        <v>N/A</v>
      </c>
      <c r="H62" s="17" t="str">
        <f t="shared" ca="1" si="12"/>
        <v>N/A</v>
      </c>
      <c r="I62" s="17" t="str">
        <f t="shared" ca="1" si="12"/>
        <v>N/A</v>
      </c>
      <c r="J62" s="17" t="str">
        <f t="shared" ca="1" si="12"/>
        <v>N/A</v>
      </c>
      <c r="K62" s="17" t="str">
        <f t="shared" ca="1" si="12"/>
        <v>N/A</v>
      </c>
      <c r="L62" s="17" t="str">
        <f t="shared" ca="1" si="12"/>
        <v>N/A</v>
      </c>
      <c r="M62" s="17" t="str">
        <f t="shared" ca="1" si="12"/>
        <v>N/A</v>
      </c>
      <c r="N62" s="17" t="str">
        <f t="shared" ca="1" si="12"/>
        <v>N/A</v>
      </c>
      <c r="O62" s="17" t="str">
        <f t="shared" ca="1" si="12"/>
        <v>N/A</v>
      </c>
      <c r="P62" s="17" t="str">
        <f t="shared" ca="1" si="12"/>
        <v>N/A</v>
      </c>
      <c r="Q62" s="17" t="str">
        <f t="shared" ca="1" si="12"/>
        <v>N/A</v>
      </c>
    </row>
    <row r="63" spans="1:20">
      <c r="A63" t="str">
        <f>IFERROR(INDEX('2017 Data (WP)'!$C$9:$C$72,MATCH($B63,'2017 Data (WP)'!$D$9:$D$72,0)),"")</f>
        <v>Water Utility</v>
      </c>
      <c r="B63" s="31" t="s">
        <v>196</v>
      </c>
      <c r="C63" s="31" t="s">
        <v>195</v>
      </c>
      <c r="D63" s="35">
        <f t="shared" ca="1" si="10"/>
        <v>57</v>
      </c>
      <c r="E63" s="35">
        <f t="shared" ca="1" si="11"/>
        <v>57</v>
      </c>
      <c r="F63" s="35"/>
      <c r="G63" s="17">
        <f t="shared" ca="1" si="12"/>
        <v>0.31517509727626464</v>
      </c>
      <c r="H63" s="17">
        <f t="shared" ca="1" si="12"/>
        <v>0.42162162162162159</v>
      </c>
      <c r="I63" s="17">
        <f t="shared" ca="1" si="12"/>
        <v>0.29527559055118108</v>
      </c>
      <c r="J63" s="17">
        <f t="shared" ca="1" si="12"/>
        <v>0.65178571428571419</v>
      </c>
      <c r="K63" s="17">
        <f t="shared" ca="1" si="12"/>
        <v>0.60169491525423724</v>
      </c>
      <c r="L63" s="17">
        <f t="shared" ca="1" si="12"/>
        <v>0.62162162162162149</v>
      </c>
      <c r="M63" s="17">
        <f t="shared" ca="1" si="12"/>
        <v>0.80952380952380965</v>
      </c>
      <c r="N63" s="17">
        <f t="shared" ca="1" si="12"/>
        <v>0.81481481481481477</v>
      </c>
      <c r="O63" s="17">
        <f t="shared" ca="1" si="12"/>
        <v>0.59501845018450183</v>
      </c>
      <c r="P63" s="17">
        <f t="shared" ca="1" si="12"/>
        <v>0.58173076923076916</v>
      </c>
      <c r="Q63" s="17">
        <f t="shared" ca="1" si="12"/>
        <v>0.47478991596638653</v>
      </c>
    </row>
    <row r="64" spans="1:20">
      <c r="A64" t="str">
        <f>IFERROR(INDEX('2017 Data (WP)'!$C$9:$C$72,MATCH($B64,'2017 Data (WP)'!$D$9:$D$72,0)),"")</f>
        <v>Natural Gas Utility</v>
      </c>
      <c r="B64" s="31" t="s">
        <v>198</v>
      </c>
      <c r="C64" s="31" t="s">
        <v>197</v>
      </c>
      <c r="D64" s="35">
        <f t="shared" ca="1" si="10"/>
        <v>58</v>
      </c>
      <c r="E64" s="35">
        <f t="shared" ca="1" si="11"/>
        <v>58</v>
      </c>
      <c r="F64" s="35"/>
      <c r="G64" s="17">
        <f t="shared" ca="1" si="12"/>
        <v>0.79104477611940294</v>
      </c>
      <c r="H64" s="17">
        <f t="shared" ca="1" si="12"/>
        <v>0.70833333333333337</v>
      </c>
      <c r="I64" s="17">
        <f t="shared" ca="1" si="12"/>
        <v>0.61341853035143767</v>
      </c>
      <c r="J64" s="17">
        <f t="shared" ca="1" si="12"/>
        <v>0.59405940594059414</v>
      </c>
      <c r="K64" s="17">
        <f t="shared" ca="1" si="12"/>
        <v>0.54455445544554459</v>
      </c>
      <c r="L64" s="17">
        <f t="shared" ca="1" si="12"/>
        <v>0.51903114186851207</v>
      </c>
      <c r="M64" s="17">
        <f t="shared" ca="1" si="12"/>
        <v>0.50370370370370365</v>
      </c>
      <c r="N64" s="17">
        <f t="shared" ca="1" si="12"/>
        <v>0.51260504201680679</v>
      </c>
      <c r="O64" s="17">
        <f t="shared" ca="1" si="12"/>
        <v>0.48898678414096919</v>
      </c>
      <c r="P64" s="17">
        <f t="shared" ca="1" si="12"/>
        <v>0.48325358851674644</v>
      </c>
      <c r="Q64" s="17">
        <f t="shared" ca="1" si="12"/>
        <v>0.37398373983739841</v>
      </c>
    </row>
    <row r="65" spans="1:17">
      <c r="A65" t="str">
        <f>IFERROR(INDEX('2017 Data (WP)'!$C$9:$C$72,MATCH($B65,'2017 Data (WP)'!$D$9:$D$72,0)),"")</f>
        <v>Electric Utility (East)</v>
      </c>
      <c r="B65" t="s">
        <v>38</v>
      </c>
      <c r="C65" t="s">
        <v>77</v>
      </c>
      <c r="D65" s="35">
        <f t="shared" ca="1" si="10"/>
        <v>59</v>
      </c>
      <c r="E65" s="35">
        <f t="shared" ca="1" si="11"/>
        <v>59</v>
      </c>
      <c r="F65" s="35"/>
      <c r="G65" s="17">
        <f t="shared" ref="G65:Q74" ca="1" si="13">IFERROR(INDEX(Dividends,$D65,G$2)/INDEX(Earnings,$E65,G$2),"N/A")</f>
        <v>0.78551236749116604</v>
      </c>
      <c r="H65" s="17">
        <f t="shared" ca="1" si="13"/>
        <v>0.75809859154929582</v>
      </c>
      <c r="I65" s="17">
        <f t="shared" ca="1" si="13"/>
        <v>0.75198555956678703</v>
      </c>
      <c r="J65" s="17">
        <f t="shared" ca="1" si="13"/>
        <v>0.74555555555555542</v>
      </c>
      <c r="K65" s="17">
        <f t="shared" ca="1" si="13"/>
        <v>0.72771535580524349</v>
      </c>
      <c r="L65" s="17">
        <f t="shared" ca="1" si="13"/>
        <v>0.73450980392156873</v>
      </c>
      <c r="M65" s="17">
        <f t="shared" ca="1" si="13"/>
        <v>0.76398305084745766</v>
      </c>
      <c r="N65" s="17">
        <f t="shared" ca="1" si="13"/>
        <v>0.74698275862068975</v>
      </c>
      <c r="O65" s="17">
        <f t="shared" ca="1" si="13"/>
        <v>0.73911111111111116</v>
      </c>
      <c r="P65" s="17">
        <f t="shared" ca="1" si="13"/>
        <v>0.69956140350877194</v>
      </c>
      <c r="Q65" s="17">
        <f t="shared" ca="1" si="13"/>
        <v>0.73095238095238091</v>
      </c>
    </row>
    <row r="66" spans="1:17">
      <c r="A66" t="str">
        <f>IFERROR(INDEX('2017 Data (WP)'!$C$9:$C$72,MATCH($B66,'2017 Data (WP)'!$D$9:$D$72,0)),"")</f>
        <v>Natural Gas Utility</v>
      </c>
      <c r="B66" s="31" t="s">
        <v>200</v>
      </c>
      <c r="C66" s="31" t="s">
        <v>199</v>
      </c>
      <c r="D66" s="35">
        <f t="shared" ca="1" si="10"/>
        <v>60</v>
      </c>
      <c r="E66" s="35">
        <f t="shared" ca="1" si="11"/>
        <v>60</v>
      </c>
      <c r="F66" s="35"/>
      <c r="G66" s="17">
        <f t="shared" ca="1" si="13"/>
        <v>0.56603773584905659</v>
      </c>
      <c r="H66" s="17">
        <f t="shared" ca="1" si="13"/>
        <v>0.5547945205479452</v>
      </c>
      <c r="I66" s="17">
        <f t="shared" ca="1" si="13"/>
        <v>0.4850498338870432</v>
      </c>
      <c r="J66" s="17">
        <f t="shared" ca="1" si="13"/>
        <v>0.42443729903536981</v>
      </c>
      <c r="K66" s="17">
        <f t="shared" ca="1" si="13"/>
        <v>0.41258741258741261</v>
      </c>
      <c r="L66" s="17">
        <f t="shared" ca="1" si="13"/>
        <v>0.43621399176954734</v>
      </c>
      <c r="M66" s="17">
        <f t="shared" ca="1" si="13"/>
        <v>0.44052863436123346</v>
      </c>
      <c r="N66" s="17">
        <f t="shared" ca="1" si="13"/>
        <v>0.48969072164948452</v>
      </c>
      <c r="O66" s="17">
        <f t="shared" ca="1" si="13"/>
        <v>0.64748201438848929</v>
      </c>
      <c r="P66" s="17">
        <f t="shared" ca="1" si="13"/>
        <v>0.44102564102564101</v>
      </c>
      <c r="Q66" s="17">
        <f t="shared" ca="1" si="13"/>
        <v>0.41414141414141414</v>
      </c>
    </row>
    <row r="67" spans="1:17">
      <c r="A67" t="str">
        <f>IFERROR(INDEX('2017 Data (WP)'!$C$9:$C$72,MATCH($B67,'2017 Data (WP)'!$D$9:$D$72,0)),"")</f>
        <v>Natural Gas Utility</v>
      </c>
      <c r="B67" s="31" t="s">
        <v>244</v>
      </c>
      <c r="C67" s="31" t="s">
        <v>243</v>
      </c>
      <c r="D67" s="35">
        <f t="shared" ca="1" si="10"/>
        <v>61</v>
      </c>
      <c r="E67" s="35">
        <f t="shared" ca="1" si="11"/>
        <v>61</v>
      </c>
      <c r="F67" s="35"/>
      <c r="G67" s="17">
        <f t="shared" ca="1" si="13"/>
        <v>0.60493827160493818</v>
      </c>
      <c r="H67" s="17">
        <f t="shared" ca="1" si="13"/>
        <v>0.58227848101265822</v>
      </c>
      <c r="I67" s="17">
        <f t="shared" ca="1" si="13"/>
        <v>0.74893617021276593</v>
      </c>
      <c r="J67" s="17">
        <f t="shared" ca="1" si="13"/>
        <v>0.84158415841584155</v>
      </c>
      <c r="K67" s="17">
        <f t="shared" ca="1" si="13"/>
        <v>0.59498207885304655</v>
      </c>
      <c r="L67" s="17">
        <f t="shared" ca="1" si="13"/>
        <v>0.56293706293706303</v>
      </c>
      <c r="M67" s="17">
        <f t="shared" ca="1" si="13"/>
        <v>0.64609053497942381</v>
      </c>
      <c r="N67" s="17">
        <f t="shared" ca="1" si="13"/>
        <v>0.52397260273972601</v>
      </c>
      <c r="O67" s="17">
        <f t="shared" ca="1" si="13"/>
        <v>0.56439393939393934</v>
      </c>
      <c r="P67" s="17">
        <f t="shared" ca="1" si="13"/>
        <v>0.62770562770562766</v>
      </c>
      <c r="Q67" s="17">
        <f t="shared" ca="1" si="13"/>
        <v>0.59071729957805896</v>
      </c>
    </row>
    <row r="68" spans="1:17">
      <c r="A68" t="str">
        <f>IFERROR(INDEX('2017 Data (WP)'!$C$9:$C$72,MATCH($B68,'2017 Data (WP)'!$D$9:$D$72,0)),"")</f>
        <v/>
      </c>
      <c r="B68" t="s">
        <v>39</v>
      </c>
      <c r="C68" t="s">
        <v>78</v>
      </c>
      <c r="D68" s="35" t="e">
        <f t="shared" ca="1" si="10"/>
        <v>#N/A</v>
      </c>
      <c r="E68" s="35" t="e">
        <f t="shared" ca="1" si="11"/>
        <v>#N/A</v>
      </c>
      <c r="F68" s="35"/>
      <c r="G68" s="17" t="str">
        <f t="shared" ca="1" si="13"/>
        <v>N/A</v>
      </c>
      <c r="H68" s="17" t="str">
        <f t="shared" ca="1" si="13"/>
        <v>N/A</v>
      </c>
      <c r="I68" s="17" t="str">
        <f t="shared" ca="1" si="13"/>
        <v>N/A</v>
      </c>
      <c r="J68" s="17" t="str">
        <f t="shared" ca="1" si="13"/>
        <v>N/A</v>
      </c>
      <c r="K68" s="17" t="str">
        <f t="shared" ca="1" si="13"/>
        <v>N/A</v>
      </c>
      <c r="L68" s="17" t="str">
        <f t="shared" ca="1" si="13"/>
        <v>N/A</v>
      </c>
      <c r="M68" s="17" t="str">
        <f t="shared" ca="1" si="13"/>
        <v>N/A</v>
      </c>
      <c r="N68" s="17" t="str">
        <f t="shared" ca="1" si="13"/>
        <v>N/A</v>
      </c>
      <c r="O68" s="17" t="str">
        <f t="shared" ca="1" si="13"/>
        <v>N/A</v>
      </c>
      <c r="P68" s="17" t="str">
        <f t="shared" ca="1" si="13"/>
        <v>N/A</v>
      </c>
      <c r="Q68" s="17" t="str">
        <f t="shared" ca="1" si="13"/>
        <v>N/A</v>
      </c>
    </row>
    <row r="69" spans="1:17">
      <c r="A69" t="str">
        <f>IFERROR(INDEX('2017 Data (WP)'!$C$9:$C$72,MATCH($B69,'2017 Data (WP)'!$D$9:$D$72,0)),"")</f>
        <v>Natural Gas Utility</v>
      </c>
      <c r="B69" s="31" t="s">
        <v>204</v>
      </c>
      <c r="C69" s="31" t="s">
        <v>203</v>
      </c>
      <c r="D69" s="35">
        <f t="shared" ca="1" si="10"/>
        <v>63</v>
      </c>
      <c r="E69" s="35">
        <f t="shared" ca="1" si="11"/>
        <v>63</v>
      </c>
      <c r="F69" s="35"/>
      <c r="G69" s="17">
        <f t="shared" ca="1" si="13"/>
        <v>0.45365853658536592</v>
      </c>
      <c r="H69" s="17">
        <f t="shared" ca="1" si="13"/>
        <v>0.44278606965174133</v>
      </c>
      <c r="I69" s="17">
        <f t="shared" ca="1" si="13"/>
        <v>0.41197916666666667</v>
      </c>
      <c r="J69" s="17">
        <f t="shared" ca="1" si="13"/>
        <v>0.46453232893910862</v>
      </c>
      <c r="K69" s="17">
        <f t="shared" ca="1" si="13"/>
        <v>0.60272804774083544</v>
      </c>
      <c r="L69" s="17">
        <f t="shared" ca="1" si="13"/>
        <v>0.49526584122359801</v>
      </c>
      <c r="M69" s="17">
        <f t="shared" ca="1" si="13"/>
        <v>0.3780718336483932</v>
      </c>
      <c r="N69" s="17">
        <f t="shared" ca="1" si="13"/>
        <v>0.3324856961220598</v>
      </c>
      <c r="O69" s="17">
        <f t="shared" ca="1" si="13"/>
        <v>0.37905048982667672</v>
      </c>
      <c r="P69" s="17">
        <f t="shared" ca="1" si="13"/>
        <v>0.40762711864406781</v>
      </c>
      <c r="Q69" s="17">
        <f t="shared" ca="1" si="13"/>
        <v>0.41363636363636364</v>
      </c>
    </row>
    <row r="70" spans="1:17">
      <c r="A70" t="str">
        <f>IFERROR(INDEX('2017 Data (WP)'!$C$9:$C$72,MATCH($B70,'2017 Data (WP)'!$D$9:$D$72,0)),"")</f>
        <v/>
      </c>
      <c r="B70" t="s">
        <v>40</v>
      </c>
      <c r="C70" t="s">
        <v>81</v>
      </c>
      <c r="D70" s="35" t="e">
        <f t="shared" ca="1" si="10"/>
        <v>#N/A</v>
      </c>
      <c r="E70" s="35" t="e">
        <f t="shared" ca="1" si="11"/>
        <v>#N/A</v>
      </c>
      <c r="F70" s="35"/>
      <c r="G70" s="17" t="str">
        <f t="shared" ca="1" si="13"/>
        <v>N/A</v>
      </c>
      <c r="H70" s="17" t="str">
        <f t="shared" ca="1" si="13"/>
        <v>N/A</v>
      </c>
      <c r="I70" s="17" t="str">
        <f t="shared" ca="1" si="13"/>
        <v>N/A</v>
      </c>
      <c r="J70" s="17" t="str">
        <f t="shared" ca="1" si="13"/>
        <v>N/A</v>
      </c>
      <c r="K70" s="17" t="str">
        <f t="shared" ca="1" si="13"/>
        <v>N/A</v>
      </c>
      <c r="L70" s="17" t="str">
        <f t="shared" ca="1" si="13"/>
        <v>N/A</v>
      </c>
      <c r="M70" s="17" t="str">
        <f t="shared" ca="1" si="13"/>
        <v>N/A</v>
      </c>
      <c r="N70" s="17" t="str">
        <f t="shared" ca="1" si="13"/>
        <v>N/A</v>
      </c>
      <c r="O70" s="17" t="str">
        <f t="shared" ca="1" si="13"/>
        <v>N/A</v>
      </c>
      <c r="P70" s="17" t="str">
        <f t="shared" ca="1" si="13"/>
        <v>N/A</v>
      </c>
      <c r="Q70" s="17" t="str">
        <f t="shared" ca="1" si="13"/>
        <v>N/A</v>
      </c>
    </row>
    <row r="71" spans="1:17">
      <c r="A71" t="str">
        <f>IFERROR(INDEX('2017 Data (WP)'!$C$9:$C$72,MATCH($B71,'2017 Data (WP)'!$D$9:$D$72,0)),"")</f>
        <v/>
      </c>
      <c r="B71" t="s">
        <v>41</v>
      </c>
      <c r="C71" t="s">
        <v>79</v>
      </c>
      <c r="D71" s="35" t="e">
        <f t="shared" ca="1" si="10"/>
        <v>#N/A</v>
      </c>
      <c r="E71" s="35" t="e">
        <f t="shared" ca="1" si="11"/>
        <v>#N/A</v>
      </c>
      <c r="F71" s="35"/>
      <c r="G71" s="17" t="str">
        <f t="shared" ca="1" si="13"/>
        <v>N/A</v>
      </c>
      <c r="H71" s="17" t="str">
        <f t="shared" ca="1" si="13"/>
        <v>N/A</v>
      </c>
      <c r="I71" s="17" t="str">
        <f t="shared" ca="1" si="13"/>
        <v>N/A</v>
      </c>
      <c r="J71" s="17" t="str">
        <f t="shared" ca="1" si="13"/>
        <v>N/A</v>
      </c>
      <c r="K71" s="17" t="str">
        <f t="shared" ca="1" si="13"/>
        <v>N/A</v>
      </c>
      <c r="L71" s="17" t="str">
        <f t="shared" ca="1" si="13"/>
        <v>N/A</v>
      </c>
      <c r="M71" s="17" t="str">
        <f t="shared" ca="1" si="13"/>
        <v>N/A</v>
      </c>
      <c r="N71" s="17" t="str">
        <f t="shared" ca="1" si="13"/>
        <v>N/A</v>
      </c>
      <c r="O71" s="17" t="str">
        <f t="shared" ca="1" si="13"/>
        <v>N/A</v>
      </c>
      <c r="P71" s="17" t="str">
        <f t="shared" ca="1" si="13"/>
        <v>N/A</v>
      </c>
      <c r="Q71" s="17" t="str">
        <f t="shared" ca="1" si="13"/>
        <v>N/A</v>
      </c>
    </row>
    <row r="72" spans="1:17">
      <c r="A72" t="str">
        <f>IFERROR(INDEX('2017 Data (WP)'!$C$9:$C$72,MATCH($B72,'2017 Data (WP)'!$D$9:$D$72,0)),"")</f>
        <v/>
      </c>
      <c r="B72" t="s">
        <v>83</v>
      </c>
      <c r="C72" t="s">
        <v>82</v>
      </c>
      <c r="D72" s="35">
        <f t="shared" ca="1" si="10"/>
        <v>64</v>
      </c>
      <c r="E72" s="35">
        <f t="shared" ca="1" si="11"/>
        <v>64</v>
      </c>
      <c r="F72" s="35"/>
      <c r="G72" s="17">
        <f t="shared" ca="1" si="13"/>
        <v>0.73195876288659789</v>
      </c>
      <c r="H72" s="17">
        <f t="shared" ca="1" si="13"/>
        <v>0.7407407407407407</v>
      </c>
      <c r="I72" s="17">
        <f t="shared" ca="1" si="13"/>
        <v>0.77374301675977653</v>
      </c>
      <c r="J72" s="17">
        <f t="shared" ca="1" si="13"/>
        <v>0.87898089171974514</v>
      </c>
      <c r="K72" s="17">
        <f t="shared" ca="1" si="13"/>
        <v>0.965034965034965</v>
      </c>
      <c r="L72" s="17">
        <f t="shared" ca="1" si="13"/>
        <v>0.91999999999999993</v>
      </c>
      <c r="M72" s="17">
        <f t="shared" ca="1" si="13"/>
        <v>1.5681818181818181</v>
      </c>
      <c r="N72" s="17">
        <f t="shared" ca="1" si="13"/>
        <v>1.3398058252427183</v>
      </c>
      <c r="O72" s="17">
        <f t="shared" ca="1" si="13"/>
        <v>0.83636363636363631</v>
      </c>
      <c r="P72" s="17">
        <f t="shared" ca="1" si="13"/>
        <v>0.9078947368421052</v>
      </c>
      <c r="Q72" s="17">
        <f t="shared" ca="1" si="13"/>
        <v>0.97872340425531912</v>
      </c>
    </row>
    <row r="73" spans="1:17">
      <c r="A73" t="str">
        <f>IFERROR(INDEX('2017 Data (WP)'!$C$9:$C$72,MATCH($B73,'2017 Data (WP)'!$D$9:$D$72,0)),"")</f>
        <v>Electric Util. (Central)</v>
      </c>
      <c r="B73" t="s">
        <v>42</v>
      </c>
      <c r="C73" t="s">
        <v>89</v>
      </c>
      <c r="D73" s="35">
        <f t="shared" ca="1" si="10"/>
        <v>65</v>
      </c>
      <c r="E73" s="35">
        <f t="shared" ca="1" si="11"/>
        <v>65</v>
      </c>
      <c r="F73" s="35"/>
      <c r="G73" s="17">
        <f t="shared" ca="1" si="13"/>
        <v>0.6352941176470589</v>
      </c>
      <c r="H73" s="17">
        <f t="shared" ca="1" si="13"/>
        <v>0.64435146443514646</v>
      </c>
      <c r="I73" s="17">
        <f t="shared" ca="1" si="13"/>
        <v>0.72277227722772275</v>
      </c>
      <c r="J73" s="17">
        <f t="shared" ca="1" si="13"/>
        <v>0.85843373493975905</v>
      </c>
      <c r="K73" s="17">
        <f t="shared" ca="1" si="13"/>
        <v>0.72422680412371132</v>
      </c>
      <c r="L73" s="17">
        <f t="shared" ca="1" si="13"/>
        <v>0.80057803468208089</v>
      </c>
      <c r="M73" s="17">
        <f t="shared" ca="1" si="13"/>
        <v>0.83536585365853666</v>
      </c>
      <c r="N73" s="17">
        <f t="shared" ca="1" si="13"/>
        <v>0.75418994413407825</v>
      </c>
      <c r="O73" s="17">
        <f t="shared" ca="1" si="13"/>
        <v>0.80368098159509216</v>
      </c>
      <c r="P73" s="17">
        <f t="shared" ca="1" si="13"/>
        <v>0.69398907103825136</v>
      </c>
      <c r="Q73" s="17">
        <f t="shared" ca="1" si="13"/>
        <v>0.85416666666666674</v>
      </c>
    </row>
    <row r="74" spans="1:17">
      <c r="A74" t="str">
        <f>IFERROR(INDEX('2017 Data (WP)'!$C$9:$C$72,MATCH($B74,'2017 Data (WP)'!$D$9:$D$72,0)),"")</f>
        <v>Electric Util. (Central)</v>
      </c>
      <c r="B74" t="s">
        <v>44</v>
      </c>
      <c r="C74" t="s">
        <v>217</v>
      </c>
      <c r="D74" s="35">
        <f t="shared" ca="1" si="10"/>
        <v>66</v>
      </c>
      <c r="E74" s="35">
        <f t="shared" ca="1" si="11"/>
        <v>66</v>
      </c>
      <c r="F74" s="35"/>
      <c r="G74" s="17">
        <f t="shared" ca="1" si="13"/>
        <v>0.66891891891891897</v>
      </c>
      <c r="H74" s="17">
        <f t="shared" ca="1" si="13"/>
        <v>0.74358974358974361</v>
      </c>
      <c r="I74" s="17">
        <f t="shared" ref="G74:Q78" ca="1" si="14">IFERROR(INDEX(Dividends,$D74,I$2)/INDEX(Earnings,$E74,I$2),"N/A")</f>
        <v>0.60231660231660233</v>
      </c>
      <c r="J74" s="17">
        <f t="shared" ca="1" si="14"/>
        <v>0.57569721115537853</v>
      </c>
      <c r="K74" s="17">
        <f t="shared" ca="1" si="14"/>
        <v>0.51063829787234039</v>
      </c>
      <c r="L74" s="17">
        <f t="shared" ca="1" si="14"/>
        <v>0.47706422018348621</v>
      </c>
      <c r="M74" s="17">
        <f t="shared" ca="1" si="14"/>
        <v>0.41666666666666669</v>
      </c>
      <c r="N74" s="17">
        <f t="shared" ca="1" si="14"/>
        <v>0.421875</v>
      </c>
      <c r="O74" s="17">
        <f t="shared" ca="1" si="14"/>
        <v>0.35643564356435647</v>
      </c>
      <c r="P74" s="17">
        <f t="shared" ca="1" si="14"/>
        <v>0.35211267605633806</v>
      </c>
      <c r="Q74" s="17">
        <f t="shared" ca="1" si="14"/>
        <v>0.34848484848484851</v>
      </c>
    </row>
    <row r="75" spans="1:17">
      <c r="A75" t="str">
        <f>IFERROR(INDEX('2017 Data (WP)'!$C$9:$C$72,MATCH($B75,'2017 Data (WP)'!$D$9:$D$72,0)),"")</f>
        <v>Electric Util. (Central)</v>
      </c>
      <c r="B75" t="s">
        <v>43</v>
      </c>
      <c r="C75" t="s">
        <v>87</v>
      </c>
      <c r="D75" s="35">
        <f t="shared" ca="1" si="10"/>
        <v>67</v>
      </c>
      <c r="E75" s="35">
        <f t="shared" ca="1" si="11"/>
        <v>67</v>
      </c>
      <c r="F75" s="35"/>
      <c r="G75" s="17">
        <f t="shared" ca="1" si="14"/>
        <v>0.625514403292181</v>
      </c>
      <c r="H75" s="17">
        <f t="shared" ca="1" si="14"/>
        <v>0.68899521531100483</v>
      </c>
      <c r="I75" s="17">
        <f t="shared" ca="1" si="14"/>
        <v>0.5957446808510638</v>
      </c>
      <c r="J75" s="17">
        <f t="shared" ca="1" si="14"/>
        <v>0.59911894273127753</v>
      </c>
      <c r="K75" s="17">
        <f t="shared" ca="1" si="14"/>
        <v>0.61395348837209307</v>
      </c>
      <c r="L75" s="17">
        <f t="shared" ca="1" si="14"/>
        <v>0.71508379888268159</v>
      </c>
      <c r="M75" s="17">
        <f t="shared" ca="1" si="14"/>
        <v>0.68888888888888888</v>
      </c>
      <c r="N75" s="17">
        <f t="shared" ca="1" si="14"/>
        <v>0.9375</v>
      </c>
      <c r="O75" s="17">
        <f t="shared" ca="1" si="14"/>
        <v>0.88549618320610679</v>
      </c>
      <c r="P75" s="17">
        <f t="shared" ca="1" si="14"/>
        <v>0.58695652173913049</v>
      </c>
      <c r="Q75" s="17">
        <f t="shared" ca="1" si="14"/>
        <v>0.52127659574468088</v>
      </c>
    </row>
    <row r="76" spans="1:17">
      <c r="A76" t="str">
        <f>IFERROR(INDEX('2017 Data (WP)'!$C$9:$C$72,MATCH($B76,'2017 Data (WP)'!$D$9:$D$72,0)),"")</f>
        <v>Natural Gas Utility</v>
      </c>
      <c r="B76" s="31" t="s">
        <v>206</v>
      </c>
      <c r="C76" s="31" t="s">
        <v>205</v>
      </c>
      <c r="D76" s="35">
        <f t="shared" ca="1" si="10"/>
        <v>68</v>
      </c>
      <c r="E76" s="35">
        <f t="shared" ca="1" si="11"/>
        <v>68</v>
      </c>
      <c r="F76" s="35"/>
      <c r="G76" s="17">
        <f t="shared" ca="1" si="14"/>
        <v>0.5902140672782874</v>
      </c>
      <c r="H76" s="17">
        <f t="shared" ca="1" si="14"/>
        <v>0.57911392405063289</v>
      </c>
      <c r="I76" s="17">
        <f t="shared" ca="1" si="14"/>
        <v>0.64179104477611937</v>
      </c>
      <c r="J76" s="17">
        <f t="shared" ca="1" si="14"/>
        <v>0.7186147186147186</v>
      </c>
      <c r="K76" s="17">
        <f t="shared" ca="1" si="14"/>
        <v>0.59328358208955223</v>
      </c>
      <c r="L76" s="17">
        <f t="shared" ca="1" si="14"/>
        <v>0.68888888888888888</v>
      </c>
      <c r="M76" s="17">
        <f t="shared" ca="1" si="14"/>
        <v>0.66079295154185025</v>
      </c>
      <c r="N76" s="17">
        <f t="shared" ca="1" si="14"/>
        <v>0.58102766798418981</v>
      </c>
      <c r="O76" s="17">
        <f t="shared" ca="1" si="14"/>
        <v>0.57704918032786878</v>
      </c>
      <c r="P76" s="17">
        <f t="shared" ca="1" si="14"/>
        <v>0.65311004784688997</v>
      </c>
      <c r="Q76" s="17">
        <f t="shared" ca="1" si="14"/>
        <v>0.69329896907216493</v>
      </c>
    </row>
    <row r="77" spans="1:17">
      <c r="A77" t="str">
        <f>IFERROR(INDEX('2017 Data (WP)'!$C$9:$C$72,MATCH($B77,'2017 Data (WP)'!$D$9:$D$72,0)),"")</f>
        <v>Electric Utility (West)</v>
      </c>
      <c r="B77" t="s">
        <v>45</v>
      </c>
      <c r="C77" t="s">
        <v>65</v>
      </c>
      <c r="D77" s="35">
        <f t="shared" ca="1" si="10"/>
        <v>69</v>
      </c>
      <c r="E77" s="35">
        <f t="shared" ca="1" si="11"/>
        <v>69</v>
      </c>
      <c r="F77" s="35"/>
      <c r="G77" s="17">
        <f t="shared" ca="1" si="14"/>
        <v>0.61538461538461542</v>
      </c>
      <c r="H77" s="17">
        <f t="shared" ca="1" si="14"/>
        <v>0.60952380952380947</v>
      </c>
      <c r="I77" s="17">
        <f t="shared" ca="1" si="14"/>
        <v>0.59113300492610843</v>
      </c>
      <c r="J77" s="17">
        <f t="shared" ca="1" si="14"/>
        <v>0.5811518324607331</v>
      </c>
      <c r="K77" s="17">
        <f t="shared" ca="1" si="14"/>
        <v>0.57837837837837835</v>
      </c>
      <c r="L77" s="17">
        <f t="shared" ca="1" si="14"/>
        <v>0.59883720930232565</v>
      </c>
      <c r="M77" s="17">
        <f t="shared" ca="1" si="14"/>
        <v>0.64102564102564097</v>
      </c>
      <c r="N77" s="17">
        <f t="shared" ca="1" si="14"/>
        <v>0.65100671140939592</v>
      </c>
      <c r="O77" s="17">
        <f t="shared" ca="1" si="14"/>
        <v>0.64383561643835618</v>
      </c>
      <c r="P77" s="17">
        <f t="shared" ca="1" si="14"/>
        <v>0.67407407407407405</v>
      </c>
      <c r="Q77" s="17">
        <f t="shared" ca="1" si="14"/>
        <v>0.65185185185185179</v>
      </c>
    </row>
    <row r="78" spans="1:17">
      <c r="A78" t="str">
        <f>IFERROR(INDEX('2017 Data (WP)'!$C$9:$C$72,MATCH($B78,'2017 Data (WP)'!$D$9:$D$72,0)),"")</f>
        <v>Water Utility</v>
      </c>
      <c r="B78" s="31" t="s">
        <v>208</v>
      </c>
      <c r="C78" s="31" t="s">
        <v>207</v>
      </c>
      <c r="D78" s="35">
        <f t="shared" ca="1" si="10"/>
        <v>70</v>
      </c>
      <c r="E78" s="35">
        <f t="shared" ca="1" si="11"/>
        <v>70</v>
      </c>
      <c r="F78" s="35"/>
      <c r="G78" s="17" t="str">
        <f t="shared" ca="1" si="14"/>
        <v>N/A</v>
      </c>
      <c r="H78" s="17">
        <f t="shared" ca="1" si="14"/>
        <v>0.61855670103092786</v>
      </c>
      <c r="I78" s="17">
        <f t="shared" ca="1" si="14"/>
        <v>0.64269662921348303</v>
      </c>
      <c r="J78" s="17">
        <f t="shared" ca="1" si="14"/>
        <v>0.7360000000000001</v>
      </c>
      <c r="K78" s="17">
        <f t="shared" ca="1" si="14"/>
        <v>0.74861111111111123</v>
      </c>
      <c r="L78" s="17">
        <f t="shared" ca="1" si="14"/>
        <v>0.74225352112676068</v>
      </c>
      <c r="M78" s="17">
        <f t="shared" ca="1" si="14"/>
        <v>0.72535211267605637</v>
      </c>
      <c r="N78" s="17">
        <f t="shared" ca="1" si="14"/>
        <v>0.79062500000000002</v>
      </c>
      <c r="O78" s="17">
        <f t="shared" ca="1" si="14"/>
        <v>0.85789473684210527</v>
      </c>
      <c r="P78" s="17">
        <f t="shared" ca="1" si="14"/>
        <v>0.83333333333333337</v>
      </c>
      <c r="Q78" s="17">
        <f t="shared" ca="1" si="14"/>
        <v>0.78275862068965529</v>
      </c>
    </row>
    <row r="79" spans="1:17">
      <c r="B79" s="31"/>
      <c r="C79" s="31"/>
      <c r="D79" s="35"/>
      <c r="E79" s="35"/>
      <c r="F79" s="35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</sheetData>
  <pageMargins left="0.7" right="0.7" top="0.75" bottom="0.75" header="0.3" footer="0.3"/>
  <pageSetup fitToHeight="0" orientation="landscape" r:id="rId1"/>
  <headerFooter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31"/>
  <dimension ref="A1:T79"/>
  <sheetViews>
    <sheetView zoomScale="70" zoomScaleNormal="70" workbookViewId="0"/>
  </sheetViews>
  <sheetFormatPr defaultRowHeight="14.25"/>
  <cols>
    <col min="1" max="1" width="13.25" customWidth="1"/>
    <col min="2" max="2" width="7.5" bestFit="1" customWidth="1"/>
    <col min="3" max="3" width="22.25" customWidth="1"/>
    <col min="4" max="4" width="3.25" bestFit="1" customWidth="1"/>
    <col min="5" max="5" width="2.875" bestFit="1" customWidth="1"/>
    <col min="6" max="6" width="2" customWidth="1"/>
    <col min="7" max="11" width="5" bestFit="1" customWidth="1"/>
    <col min="12" max="12" width="4.875" bestFit="1" customWidth="1"/>
    <col min="13" max="13" width="5" bestFit="1" customWidth="1"/>
    <col min="14" max="17" width="5.25" bestFit="1" customWidth="1"/>
    <col min="18" max="20" width="9.25" style="31" customWidth="1"/>
  </cols>
  <sheetData>
    <row r="1" spans="1:20">
      <c r="A1" t="s">
        <v>324</v>
      </c>
    </row>
    <row r="2" spans="1:20">
      <c r="E2" s="35"/>
      <c r="F2" s="35"/>
      <c r="G2" s="35">
        <f t="shared" ref="G2:Q2" ca="1" si="0">MATCH(G3,OFFSET(CapSpending,-2,0,1,),0)</f>
        <v>2</v>
      </c>
      <c r="H2" s="35">
        <f t="shared" ca="1" si="0"/>
        <v>3</v>
      </c>
      <c r="I2" s="35">
        <f t="shared" ca="1" si="0"/>
        <v>4</v>
      </c>
      <c r="J2" s="35">
        <f t="shared" ca="1" si="0"/>
        <v>5</v>
      </c>
      <c r="K2" s="35">
        <f t="shared" ca="1" si="0"/>
        <v>6</v>
      </c>
      <c r="L2" s="35">
        <f t="shared" ca="1" si="0"/>
        <v>7</v>
      </c>
      <c r="M2" s="35">
        <f t="shared" ca="1" si="0"/>
        <v>8</v>
      </c>
      <c r="N2" s="35">
        <f t="shared" ca="1" si="0"/>
        <v>9</v>
      </c>
      <c r="O2" s="35">
        <f t="shared" ca="1" si="0"/>
        <v>10</v>
      </c>
      <c r="P2" s="35">
        <f t="shared" ca="1" si="0"/>
        <v>11</v>
      </c>
      <c r="Q2" s="35">
        <f t="shared" ca="1" si="0"/>
        <v>12</v>
      </c>
      <c r="R2" s="55"/>
      <c r="S2" s="55"/>
      <c r="T2" s="55"/>
    </row>
    <row r="3" spans="1:20" ht="15.75" thickBot="1">
      <c r="D3" s="35" t="s">
        <v>214</v>
      </c>
      <c r="E3" s="35" t="s">
        <v>325</v>
      </c>
      <c r="F3" s="35"/>
      <c r="G3" s="49">
        <v>2016</v>
      </c>
      <c r="H3" s="49">
        <v>2015</v>
      </c>
      <c r="I3" s="49">
        <v>2014</v>
      </c>
      <c r="J3" s="49">
        <v>2013</v>
      </c>
      <c r="K3" s="49">
        <v>2012</v>
      </c>
      <c r="L3" s="49">
        <v>2011</v>
      </c>
      <c r="M3" s="49">
        <v>2010</v>
      </c>
      <c r="N3" s="49">
        <v>2009</v>
      </c>
      <c r="O3" s="49">
        <v>2008</v>
      </c>
      <c r="P3" s="49">
        <v>2007</v>
      </c>
      <c r="Q3" s="49">
        <v>2006</v>
      </c>
      <c r="R3" s="56"/>
      <c r="S3" s="56"/>
      <c r="T3" s="56"/>
    </row>
    <row r="4" spans="1:20">
      <c r="D4" s="35"/>
      <c r="E4" s="35"/>
      <c r="F4" s="35"/>
      <c r="G4" s="35"/>
      <c r="H4" s="35"/>
    </row>
    <row r="5" spans="1:20">
      <c r="A5" t="str">
        <f>IFERROR(INDEX('2017 Data (WP)'!$C$9:$C$72,MATCH($B5,'2017 Data (WP)'!$D$9:$D$72,0)),"")</f>
        <v>Electric Util. (Central)</v>
      </c>
      <c r="B5" t="s">
        <v>0</v>
      </c>
      <c r="C5" t="s">
        <v>91</v>
      </c>
      <c r="D5" s="35">
        <f t="shared" ref="D5:D36" ca="1" si="1">MATCH(B5,OFFSET(CashFlow,0,0,,1),0)</f>
        <v>3</v>
      </c>
      <c r="E5" s="35">
        <f t="shared" ref="E5:E36" ca="1" si="2">MATCH(B5,OFFSET(CapSpending,0,0,,1),0)</f>
        <v>3</v>
      </c>
      <c r="F5" s="35"/>
      <c r="G5" s="17">
        <f ca="1">IFERROR(INDEX(CashFlow,$D5,G$2)/INDEX(CapSpending,$E5,G$2),"N/A")</f>
        <v>1.321942110177404</v>
      </c>
      <c r="H5" s="17">
        <f t="shared" ref="G5:Q14" ca="1" si="3">IFERROR(INDEX(CashFlow,$D5,H$2)/INDEX(CapSpending,$E5,H$2),"N/A")</f>
        <v>1.162472179421332</v>
      </c>
      <c r="I5" s="17">
        <f t="shared" ca="1" si="3"/>
        <v>0.45476400352592355</v>
      </c>
      <c r="J5" s="17">
        <f t="shared" ca="1" si="3"/>
        <v>0.67359798361688716</v>
      </c>
      <c r="K5" s="17">
        <f t="shared" ca="1" si="3"/>
        <v>0.48626080201961358</v>
      </c>
      <c r="L5" s="17">
        <f t="shared" ca="1" si="3"/>
        <v>0.77002664994513248</v>
      </c>
      <c r="M5" s="17">
        <f t="shared" ca="1" si="3"/>
        <v>0.62591687041564792</v>
      </c>
      <c r="N5" s="17">
        <f t="shared" ca="1" si="3"/>
        <v>0.39467285587975243</v>
      </c>
      <c r="O5" s="17">
        <f t="shared" ca="1" si="3"/>
        <v>0.45831528800346466</v>
      </c>
      <c r="P5" s="17">
        <f t="shared" ca="1" si="3"/>
        <v>0.64747252747252737</v>
      </c>
      <c r="Q5" s="17">
        <f t="shared" ca="1" si="3"/>
        <v>1.2317979197622584</v>
      </c>
      <c r="R5" s="57"/>
      <c r="S5" s="58"/>
      <c r="T5" s="58"/>
    </row>
    <row r="6" spans="1:20">
      <c r="A6" t="str">
        <f>IFERROR(INDEX('2017 Data (WP)'!$C$9:$C$72,MATCH($B6,'2017 Data (WP)'!$D$9:$D$72,0)),"")</f>
        <v>Electric Util. (Central)</v>
      </c>
      <c r="B6" t="s">
        <v>1</v>
      </c>
      <c r="C6" t="s">
        <v>84</v>
      </c>
      <c r="D6" s="35">
        <f t="shared" ca="1" si="1"/>
        <v>4</v>
      </c>
      <c r="E6" s="35">
        <f t="shared" ca="1" si="2"/>
        <v>4</v>
      </c>
      <c r="F6" s="35"/>
      <c r="G6" s="17" t="str">
        <f t="shared" ca="1" si="3"/>
        <v>N/A</v>
      </c>
      <c r="H6" s="17">
        <f t="shared" ca="1" si="3"/>
        <v>0.81120527306967982</v>
      </c>
      <c r="I6" s="17">
        <f t="shared" ca="1" si="3"/>
        <v>0.91007669928590318</v>
      </c>
      <c r="J6" s="17">
        <f t="shared" ca="1" si="3"/>
        <v>1.0075369309617124</v>
      </c>
      <c r="K6" s="17">
        <f t="shared" ca="1" si="3"/>
        <v>0.56507571401188428</v>
      </c>
      <c r="L6" s="17">
        <f t="shared" ca="1" si="3"/>
        <v>0.90801186943620182</v>
      </c>
      <c r="M6" s="17">
        <f t="shared" ca="1" si="3"/>
        <v>0.66615502686108985</v>
      </c>
      <c r="N6" s="17">
        <f t="shared" ca="1" si="3"/>
        <v>0.3870077291129923</v>
      </c>
      <c r="O6" s="17">
        <f t="shared" ca="1" si="3"/>
        <v>0.57250565468710735</v>
      </c>
      <c r="P6" s="17">
        <f t="shared" ca="1" si="3"/>
        <v>1.0419381107491859</v>
      </c>
      <c r="Q6" s="17">
        <f t="shared" ca="1" si="3"/>
        <v>1.2653419053185271</v>
      </c>
      <c r="R6" s="57"/>
      <c r="S6" s="57"/>
      <c r="T6" s="57"/>
    </row>
    <row r="7" spans="1:20">
      <c r="A7" t="str">
        <f>IFERROR(INDEX('2017 Data (WP)'!$C$9:$C$72,MATCH($B7,'2017 Data (WP)'!$D$9:$D$72,0)),"")</f>
        <v>Water Utility</v>
      </c>
      <c r="B7" s="31" t="s">
        <v>165</v>
      </c>
      <c r="C7" s="31" t="s">
        <v>164</v>
      </c>
      <c r="D7" s="35">
        <f t="shared" ca="1" si="1"/>
        <v>6</v>
      </c>
      <c r="E7" s="35">
        <f t="shared" ca="1" si="2"/>
        <v>6</v>
      </c>
      <c r="F7" s="35"/>
      <c r="G7" s="17">
        <f t="shared" ca="1" si="3"/>
        <v>0.76119402985074625</v>
      </c>
      <c r="H7" s="17">
        <f t="shared" ca="1" si="3"/>
        <v>1.1743311036789299</v>
      </c>
      <c r="I7" s="17">
        <f t="shared" ca="1" si="3"/>
        <v>1.4086589229144668</v>
      </c>
      <c r="J7" s="17">
        <f t="shared" ca="1" si="3"/>
        <v>1.0552683896620279</v>
      </c>
      <c r="K7" s="17">
        <f t="shared" ca="1" si="3"/>
        <v>1.4027149321266967</v>
      </c>
      <c r="L7" s="17">
        <f t="shared" ca="1" si="3"/>
        <v>1.0009389671361504</v>
      </c>
      <c r="M7" s="17">
        <f t="shared" ca="1" si="3"/>
        <v>0.9971711456859973</v>
      </c>
      <c r="N7" s="17">
        <f t="shared" ca="1" si="3"/>
        <v>0.81435406698564594</v>
      </c>
      <c r="O7" s="17">
        <f t="shared" ca="1" si="3"/>
        <v>0.75741239892183287</v>
      </c>
      <c r="P7" s="17">
        <f t="shared" ca="1" si="3"/>
        <v>1.1423635107118175</v>
      </c>
      <c r="Q7" s="17">
        <f t="shared" ca="1" si="3"/>
        <v>0.74091141833077323</v>
      </c>
      <c r="R7" s="57"/>
      <c r="S7" s="57"/>
      <c r="T7" s="57"/>
    </row>
    <row r="8" spans="1:20">
      <c r="A8" t="str">
        <f>IFERROR(INDEX('2017 Data (WP)'!$C$9:$C$72,MATCH($B8,'2017 Data (WP)'!$D$9:$D$72,0)),"")</f>
        <v>Water Utility</v>
      </c>
      <c r="B8" s="31" t="s">
        <v>167</v>
      </c>
      <c r="C8" s="31" t="s">
        <v>166</v>
      </c>
      <c r="D8" s="35">
        <f t="shared" ca="1" si="1"/>
        <v>7</v>
      </c>
      <c r="E8" s="35">
        <f t="shared" ca="1" si="2"/>
        <v>7</v>
      </c>
      <c r="F8" s="35"/>
      <c r="G8" s="17">
        <f t="shared" ca="1" si="3"/>
        <v>0.71471267490830059</v>
      </c>
      <c r="H8" s="17">
        <f t="shared" ca="1" si="3"/>
        <v>0.78868910404180115</v>
      </c>
      <c r="I8" s="17">
        <f t="shared" ca="1" si="3"/>
        <v>0.89207957957957951</v>
      </c>
      <c r="J8" s="17">
        <f t="shared" ca="1" si="3"/>
        <v>0.79268957992362254</v>
      </c>
      <c r="K8" s="17">
        <f t="shared" ca="1" si="3"/>
        <v>0.81379836096817226</v>
      </c>
      <c r="L8" s="17">
        <f t="shared" ca="1" si="3"/>
        <v>0.70940170940170943</v>
      </c>
      <c r="M8" s="17">
        <f t="shared" ca="1" si="3"/>
        <v>0.81302857142857143</v>
      </c>
      <c r="N8" s="17">
        <f t="shared" ca="1" si="3"/>
        <v>0.64198354458527906</v>
      </c>
      <c r="O8" s="17">
        <f t="shared" ca="1" si="3"/>
        <v>0.45440126883425858</v>
      </c>
      <c r="P8" s="17">
        <f t="shared" ca="1" si="3"/>
        <v>-9.8713351613583647E-2</v>
      </c>
      <c r="Q8" s="17">
        <f t="shared" ca="1" si="3"/>
        <v>0.15005807200929153</v>
      </c>
      <c r="R8" s="57"/>
      <c r="S8" s="57"/>
      <c r="T8" s="57"/>
    </row>
    <row r="9" spans="1:20">
      <c r="A9" t="str">
        <f>IFERROR(INDEX('2017 Data (WP)'!$C$9:$C$72,MATCH($B9,'2017 Data (WP)'!$D$9:$D$72,0)),"")</f>
        <v>Electric Util. (Central)</v>
      </c>
      <c r="B9" t="s">
        <v>3</v>
      </c>
      <c r="C9" t="s">
        <v>80</v>
      </c>
      <c r="D9" s="35">
        <f t="shared" ca="1" si="1"/>
        <v>8</v>
      </c>
      <c r="E9" s="35">
        <f t="shared" ca="1" si="2"/>
        <v>8</v>
      </c>
      <c r="F9" s="35"/>
      <c r="G9" s="17">
        <f t="shared" ca="1" si="3"/>
        <v>0.74985767960833438</v>
      </c>
      <c r="H9" s="17">
        <f t="shared" ca="1" si="3"/>
        <v>0.74910659272951319</v>
      </c>
      <c r="I9" s="17">
        <f t="shared" ca="1" si="3"/>
        <v>0.75306708431218994</v>
      </c>
      <c r="J9" s="17">
        <f t="shared" ca="1" si="3"/>
        <v>0.89401942409269042</v>
      </c>
      <c r="K9" s="17">
        <f t="shared" ca="1" si="3"/>
        <v>1.0705432008749545</v>
      </c>
      <c r="L9" s="17">
        <f t="shared" ca="1" si="3"/>
        <v>1.305043323705843</v>
      </c>
      <c r="M9" s="17">
        <f t="shared" ca="1" si="3"/>
        <v>1.3568518121381083</v>
      </c>
      <c r="N9" s="17">
        <f t="shared" ca="1" si="3"/>
        <v>0.8059880239520959</v>
      </c>
      <c r="O9" s="17">
        <f t="shared" ca="1" si="3"/>
        <v>0.66068130515083112</v>
      </c>
      <c r="P9" s="17">
        <f t="shared" ca="1" si="3"/>
        <v>0.97239792984473838</v>
      </c>
      <c r="Q9" s="17">
        <f t="shared" ca="1" si="3"/>
        <v>1.2056112224448898</v>
      </c>
      <c r="R9" s="57"/>
      <c r="S9" s="57"/>
      <c r="T9" s="57"/>
    </row>
    <row r="10" spans="1:20">
      <c r="A10" t="str">
        <f>IFERROR(INDEX('2017 Data (WP)'!$C$9:$C$72,MATCH($B10,'2017 Data (WP)'!$D$9:$D$72,0)),"")</f>
        <v>Electric Util. (Central)</v>
      </c>
      <c r="B10" t="s">
        <v>2</v>
      </c>
      <c r="C10" t="s">
        <v>103</v>
      </c>
      <c r="D10" s="35">
        <f t="shared" ca="1" si="1"/>
        <v>5</v>
      </c>
      <c r="E10" s="35">
        <f t="shared" ca="1" si="2"/>
        <v>5</v>
      </c>
      <c r="F10" s="35"/>
      <c r="G10" s="17">
        <f t="shared" ca="1" si="3"/>
        <v>0.84817225838758137</v>
      </c>
      <c r="H10" s="17">
        <f t="shared" ca="1" si="3"/>
        <v>0.85172929120409901</v>
      </c>
      <c r="I10" s="17">
        <f t="shared" ca="1" si="3"/>
        <v>0.87229387379087986</v>
      </c>
      <c r="J10" s="17">
        <f t="shared" ca="1" si="3"/>
        <v>0.90613298902517747</v>
      </c>
      <c r="K10" s="17">
        <f t="shared" ca="1" si="3"/>
        <v>1.0730345790044968</v>
      </c>
      <c r="L10" s="17">
        <f t="shared" ca="1" si="3"/>
        <v>1.189198606271777</v>
      </c>
      <c r="M10" s="17">
        <f t="shared" ca="1" si="3"/>
        <v>1.2420055270430319</v>
      </c>
      <c r="N10" s="17">
        <f t="shared" ca="1" si="3"/>
        <v>1.0205037132709074</v>
      </c>
      <c r="O10" s="17">
        <f t="shared" ca="1" si="3"/>
        <v>0.69535143932458554</v>
      </c>
      <c r="P10" s="17">
        <f t="shared" ca="1" si="3"/>
        <v>0.7654543407273956</v>
      </c>
      <c r="Q10" s="17">
        <f t="shared" ca="1" si="3"/>
        <v>0.74971891162581517</v>
      </c>
      <c r="R10" s="57"/>
      <c r="S10" s="57"/>
      <c r="T10" s="57"/>
    </row>
    <row r="11" spans="1:20">
      <c r="A11" t="str">
        <f>IFERROR(INDEX('2017 Data (WP)'!$C$9:$C$72,MATCH($B11,'2017 Data (WP)'!$D$9:$D$72,0)),"")</f>
        <v>Water Utility</v>
      </c>
      <c r="B11" s="31" t="s">
        <v>171</v>
      </c>
      <c r="C11" s="31" t="s">
        <v>170</v>
      </c>
      <c r="D11" s="35">
        <f t="shared" ca="1" si="1"/>
        <v>10</v>
      </c>
      <c r="E11" s="35">
        <f t="shared" ca="1" si="2"/>
        <v>10</v>
      </c>
      <c r="F11" s="35"/>
      <c r="G11" s="17">
        <f t="shared" ca="1" si="3"/>
        <v>0.95877721167207042</v>
      </c>
      <c r="H11" s="17">
        <f t="shared" ca="1" si="3"/>
        <v>0.90609874152952574</v>
      </c>
      <c r="I11" s="17">
        <f t="shared" ca="1" si="3"/>
        <v>1.0255434782608694</v>
      </c>
      <c r="J11" s="17">
        <f t="shared" ca="1" si="3"/>
        <v>1.0519630484988454</v>
      </c>
      <c r="K11" s="17">
        <f t="shared" ca="1" si="3"/>
        <v>0.76108870967741937</v>
      </c>
      <c r="L11" s="17">
        <f t="shared" ca="1" si="3"/>
        <v>0.76050420168067223</v>
      </c>
      <c r="M11" s="17">
        <f t="shared" ca="1" si="3"/>
        <v>0.75026399155227042</v>
      </c>
      <c r="N11" s="17">
        <f t="shared" ca="1" si="3"/>
        <v>0.77316486161251508</v>
      </c>
      <c r="O11" s="17">
        <f t="shared" ca="1" si="3"/>
        <v>0.71898734177215184</v>
      </c>
      <c r="P11" s="17">
        <f t="shared" ca="1" si="3"/>
        <v>0.76890756302521013</v>
      </c>
      <c r="Q11" s="17">
        <f t="shared" ca="1" si="3"/>
        <v>0.61472915398660988</v>
      </c>
      <c r="R11" s="57"/>
      <c r="S11" s="57"/>
      <c r="T11" s="57"/>
    </row>
    <row r="12" spans="1:20">
      <c r="A12" t="str">
        <f>IFERROR(INDEX('2017 Data (WP)'!$C$9:$C$72,MATCH($B12,'2017 Data (WP)'!$D$9:$D$72,0)),"")</f>
        <v>Natural Gas Utility</v>
      </c>
      <c r="B12" s="31" t="s">
        <v>175</v>
      </c>
      <c r="C12" s="31" t="s">
        <v>174</v>
      </c>
      <c r="D12" s="35">
        <f t="shared" ca="1" si="1"/>
        <v>12</v>
      </c>
      <c r="E12" s="35">
        <f t="shared" ca="1" si="2"/>
        <v>12</v>
      </c>
      <c r="F12" s="35"/>
      <c r="G12" s="17">
        <f t="shared" ca="1" si="3"/>
        <v>0.5917957544463569</v>
      </c>
      <c r="H12" s="17">
        <f t="shared" ca="1" si="3"/>
        <v>0.60495368924966175</v>
      </c>
      <c r="I12" s="17">
        <f t="shared" ca="1" si="3"/>
        <v>0.6510817307692307</v>
      </c>
      <c r="J12" s="17">
        <f t="shared" ca="1" si="3"/>
        <v>0.55121741928563772</v>
      </c>
      <c r="K12" s="17">
        <f t="shared" ca="1" si="3"/>
        <v>0.58638098756310786</v>
      </c>
      <c r="L12" s="17">
        <f t="shared" ca="1" si="3"/>
        <v>0.68444702130743595</v>
      </c>
      <c r="M12" s="17">
        <f t="shared" ca="1" si="3"/>
        <v>0.77068793619142573</v>
      </c>
      <c r="N12" s="17">
        <f t="shared" ca="1" si="3"/>
        <v>0.77892824704813812</v>
      </c>
      <c r="O12" s="17">
        <f t="shared" ca="1" si="3"/>
        <v>0.80634615384615371</v>
      </c>
      <c r="P12" s="17">
        <f t="shared" ca="1" si="3"/>
        <v>0.94127020259503758</v>
      </c>
      <c r="Q12" s="17">
        <f t="shared" ca="1" si="3"/>
        <v>0.81798962137228526</v>
      </c>
      <c r="R12" s="57"/>
      <c r="S12" s="57"/>
      <c r="T12" s="57"/>
    </row>
    <row r="13" spans="1:20">
      <c r="A13" t="str">
        <f>IFERROR(INDEX('2017 Data (WP)'!$C$9:$C$72,MATCH($B13,'2017 Data (WP)'!$D$9:$D$72,0)),"")</f>
        <v>Electric Utility (East)</v>
      </c>
      <c r="B13" t="s">
        <v>261</v>
      </c>
      <c r="C13" t="s">
        <v>262</v>
      </c>
      <c r="D13" s="35">
        <f t="shared" ca="1" si="1"/>
        <v>13</v>
      </c>
      <c r="E13" s="35">
        <f t="shared" ca="1" si="2"/>
        <v>13</v>
      </c>
      <c r="F13" s="35"/>
      <c r="G13" s="17">
        <f t="shared" ca="1" si="3"/>
        <v>0.85771180304127448</v>
      </c>
      <c r="H13" s="17">
        <f t="shared" ca="1" si="3"/>
        <v>0.88923779617470744</v>
      </c>
      <c r="I13" s="17" t="str">
        <f t="shared" ca="1" si="3"/>
        <v>N/A</v>
      </c>
      <c r="J13" s="17" t="str">
        <f t="shared" ca="1" si="3"/>
        <v>N/A</v>
      </c>
      <c r="K13" s="17" t="str">
        <f t="shared" ca="1" si="3"/>
        <v>N/A</v>
      </c>
      <c r="L13" s="17" t="str">
        <f t="shared" ca="1" si="3"/>
        <v>N/A</v>
      </c>
      <c r="M13" s="17" t="str">
        <f t="shared" ca="1" si="3"/>
        <v>N/A</v>
      </c>
      <c r="N13" s="17" t="str">
        <f t="shared" ca="1" si="3"/>
        <v>N/A</v>
      </c>
      <c r="O13" s="17" t="str">
        <f t="shared" ca="1" si="3"/>
        <v>N/A</v>
      </c>
      <c r="P13" s="17" t="str">
        <f t="shared" ca="1" si="3"/>
        <v>N/A</v>
      </c>
      <c r="Q13" s="17" t="str">
        <f t="shared" ca="1" si="3"/>
        <v>N/A</v>
      </c>
      <c r="R13" s="57"/>
      <c r="S13" s="57"/>
      <c r="T13" s="57"/>
    </row>
    <row r="14" spans="1:20">
      <c r="A14" t="str">
        <f>IFERROR(INDEX('2017 Data (WP)'!$C$9:$C$72,MATCH($B14,'2017 Data (WP)'!$D$9:$D$72,0)),"")</f>
        <v>Electric Utility (West)</v>
      </c>
      <c r="B14" t="s">
        <v>4</v>
      </c>
      <c r="C14" t="s">
        <v>86</v>
      </c>
      <c r="D14" s="35">
        <f t="shared" ca="1" si="1"/>
        <v>14</v>
      </c>
      <c r="E14" s="35">
        <f t="shared" ca="1" si="2"/>
        <v>14</v>
      </c>
      <c r="F14" s="35"/>
      <c r="G14" s="17">
        <f t="shared" ca="1" si="3"/>
        <v>0.83504179151553382</v>
      </c>
      <c r="H14" s="17">
        <f t="shared" ca="1" si="3"/>
        <v>0.76183844011142066</v>
      </c>
      <c r="I14" s="17">
        <f t="shared" ca="1" si="3"/>
        <v>0.79576178297405908</v>
      </c>
      <c r="J14" s="17">
        <f t="shared" ca="1" si="3"/>
        <v>0.86422200198216059</v>
      </c>
      <c r="K14" s="17">
        <f t="shared" ca="1" si="3"/>
        <v>0.80212397052449069</v>
      </c>
      <c r="L14" s="17">
        <f t="shared" ca="1" si="3"/>
        <v>0.89938154138915327</v>
      </c>
      <c r="M14" s="17">
        <f t="shared" ca="1" si="3"/>
        <v>0.99450851180669964</v>
      </c>
      <c r="N14" s="17">
        <f t="shared" ca="1" si="3"/>
        <v>1.1526697770865733</v>
      </c>
      <c r="O14" s="17">
        <f t="shared" ca="1" si="3"/>
        <v>0.97333007095669211</v>
      </c>
      <c r="P14" s="17">
        <f t="shared" ca="1" si="3"/>
        <v>0.72531551596139565</v>
      </c>
      <c r="Q14" s="17">
        <f t="shared" ca="1" si="3"/>
        <v>1.3584605597964376</v>
      </c>
      <c r="R14" s="57"/>
      <c r="S14" s="57"/>
      <c r="T14" s="57"/>
    </row>
    <row r="15" spans="1:20">
      <c r="A15" t="str">
        <f>IFERROR(INDEX('2017 Data (WP)'!$C$9:$C$72,MATCH($B15,'2017 Data (WP)'!$D$9:$D$72,0)),"")</f>
        <v>Electric Utility (West)</v>
      </c>
      <c r="B15" t="s">
        <v>5</v>
      </c>
      <c r="C15" t="s">
        <v>46</v>
      </c>
      <c r="D15" s="35">
        <f t="shared" ca="1" si="1"/>
        <v>15</v>
      </c>
      <c r="E15" s="35">
        <f t="shared" ca="1" si="2"/>
        <v>15</v>
      </c>
      <c r="F15" s="35"/>
      <c r="G15" s="17">
        <f t="shared" ref="G15:Q24" ca="1" si="4">IFERROR(INDEX(CashFlow,$D15,G$2)/INDEX(CapSpending,$E15,G$2),"N/A")</f>
        <v>0.70665617270069714</v>
      </c>
      <c r="H15" s="17">
        <f t="shared" ca="1" si="4"/>
        <v>0.63673148252219847</v>
      </c>
      <c r="I15" s="17">
        <f t="shared" ca="1" si="4"/>
        <v>0.70011210762331844</v>
      </c>
      <c r="J15" s="17">
        <f t="shared" ca="1" si="4"/>
        <v>0.74372804816859006</v>
      </c>
      <c r="K15" s="17">
        <f t="shared" ca="1" si="4"/>
        <v>0.70777412003038742</v>
      </c>
      <c r="L15" s="17">
        <f t="shared" ca="1" si="4"/>
        <v>0.39928236818498958</v>
      </c>
      <c r="M15" s="17">
        <f t="shared" ca="1" si="4"/>
        <v>0.4050843233363795</v>
      </c>
      <c r="N15" s="17">
        <f t="shared" ca="1" si="4"/>
        <v>0.60813391753735535</v>
      </c>
      <c r="O15" s="17">
        <f t="shared" ca="1" si="4"/>
        <v>0.34688124045577351</v>
      </c>
      <c r="P15" s="17">
        <f t="shared" ca="1" si="4"/>
        <v>0.76456977584960228</v>
      </c>
      <c r="Q15" s="17">
        <f t="shared" ca="1" si="4"/>
        <v>0.54500216356555609</v>
      </c>
      <c r="R15" s="57"/>
      <c r="S15" s="57"/>
      <c r="T15" s="57"/>
    </row>
    <row r="16" spans="1:20">
      <c r="A16" t="str">
        <f>IFERROR(INDEX('2017 Data (WP)'!$C$9:$C$72,MATCH($B16,'2017 Data (WP)'!$D$9:$D$72,0)),"")</f>
        <v>Water Utility</v>
      </c>
      <c r="B16" s="31" t="s">
        <v>177</v>
      </c>
      <c r="C16" s="31" t="s">
        <v>176</v>
      </c>
      <c r="D16" s="35">
        <f t="shared" ca="1" si="1"/>
        <v>16</v>
      </c>
      <c r="E16" s="35">
        <f t="shared" ca="1" si="2"/>
        <v>16</v>
      </c>
      <c r="F16" s="35"/>
      <c r="G16" s="17">
        <f t="shared" ca="1" si="4"/>
        <v>0.49046721139744404</v>
      </c>
      <c r="H16" s="17">
        <f t="shared" ca="1" si="4"/>
        <v>0.60097455332972394</v>
      </c>
      <c r="I16" s="17">
        <f t="shared" ca="1" si="4"/>
        <v>0.89351684172401302</v>
      </c>
      <c r="J16" s="17">
        <f t="shared" ca="1" si="4"/>
        <v>0.858307453416149</v>
      </c>
      <c r="K16" s="17">
        <f t="shared" ca="1" si="4"/>
        <v>0.76224926011180538</v>
      </c>
      <c r="L16" s="17">
        <f t="shared" ca="1" si="4"/>
        <v>0.72996823155665369</v>
      </c>
      <c r="M16" s="17">
        <f t="shared" ca="1" si="4"/>
        <v>0.64963012777404161</v>
      </c>
      <c r="N16" s="17">
        <f t="shared" ca="1" si="4"/>
        <v>0.7262485918137439</v>
      </c>
      <c r="O16" s="17">
        <f t="shared" ca="1" si="4"/>
        <v>0.77187888842803809</v>
      </c>
      <c r="P16" s="17">
        <f t="shared" ca="1" si="4"/>
        <v>0.84937466014138119</v>
      </c>
      <c r="Q16" s="17">
        <f t="shared" ca="1" si="4"/>
        <v>0.63440860215053774</v>
      </c>
      <c r="R16" s="57"/>
      <c r="S16" s="57"/>
      <c r="T16" s="57"/>
    </row>
    <row r="17" spans="1:20">
      <c r="A17" t="str">
        <f>IFERROR(INDEX('2017 Data (WP)'!$C$9:$C$72,MATCH($B17,'2017 Data (WP)'!$D$9:$D$72,0)),"")</f>
        <v>Electric Util. (Central)</v>
      </c>
      <c r="B17" t="s">
        <v>6</v>
      </c>
      <c r="C17" t="s">
        <v>90</v>
      </c>
      <c r="D17" s="35">
        <f t="shared" ca="1" si="1"/>
        <v>17</v>
      </c>
      <c r="E17" s="35">
        <f t="shared" ca="1" si="2"/>
        <v>17</v>
      </c>
      <c r="F17" s="35"/>
      <c r="G17" s="17">
        <f t="shared" ca="1" si="4"/>
        <v>1.1203167834297898</v>
      </c>
      <c r="H17" s="17">
        <f t="shared" ca="1" si="4"/>
        <v>0.92290988056460366</v>
      </c>
      <c r="I17" s="17">
        <f t="shared" ca="1" si="4"/>
        <v>1.2041901188242652</v>
      </c>
      <c r="J17" s="17">
        <f t="shared" ca="1" si="4"/>
        <v>1.1817878585723816</v>
      </c>
      <c r="K17" s="17">
        <f t="shared" ca="1" si="4"/>
        <v>1.3724867724867724</v>
      </c>
      <c r="L17" s="17">
        <f t="shared" ca="1" si="4"/>
        <v>1.1223021582733814</v>
      </c>
      <c r="M17" s="17">
        <f t="shared" ca="1" si="4"/>
        <v>0.88347875035181533</v>
      </c>
      <c r="N17" s="17">
        <f t="shared" ca="1" si="4"/>
        <v>0.99324552516041875</v>
      </c>
      <c r="O17" s="17">
        <f t="shared" ca="1" si="4"/>
        <v>1.1598235493722431</v>
      </c>
      <c r="P17" s="17">
        <f t="shared" ca="1" si="4"/>
        <v>0.98290845886442635</v>
      </c>
      <c r="Q17" s="17">
        <f t="shared" ca="1" si="4"/>
        <v>1.0794145126128933</v>
      </c>
      <c r="R17" s="57"/>
      <c r="S17" s="57"/>
      <c r="T17" s="57"/>
    </row>
    <row r="18" spans="1:20">
      <c r="A18" t="str">
        <f>IFERROR(INDEX('2017 Data (WP)'!$C$9:$C$72,MATCH($B18,'2017 Data (WP)'!$D$9:$D$72,0)),"")</f>
        <v/>
      </c>
      <c r="B18" t="s">
        <v>7</v>
      </c>
      <c r="C18" t="s">
        <v>48</v>
      </c>
      <c r="D18" s="35" t="e">
        <f t="shared" ca="1" si="1"/>
        <v>#N/A</v>
      </c>
      <c r="E18" s="35" t="e">
        <f t="shared" ca="1" si="2"/>
        <v>#N/A</v>
      </c>
      <c r="F18" s="35"/>
      <c r="G18" s="17" t="str">
        <f t="shared" ca="1" si="4"/>
        <v>N/A</v>
      </c>
      <c r="H18" s="17" t="str">
        <f t="shared" ca="1" si="4"/>
        <v>N/A</v>
      </c>
      <c r="I18" s="17" t="str">
        <f t="shared" ca="1" si="4"/>
        <v>N/A</v>
      </c>
      <c r="J18" s="17" t="str">
        <f t="shared" ca="1" si="4"/>
        <v>N/A</v>
      </c>
      <c r="K18" s="17" t="str">
        <f t="shared" ca="1" si="4"/>
        <v>N/A</v>
      </c>
      <c r="L18" s="17" t="str">
        <f t="shared" ca="1" si="4"/>
        <v>N/A</v>
      </c>
      <c r="M18" s="17" t="str">
        <f t="shared" ca="1" si="4"/>
        <v>N/A</v>
      </c>
      <c r="N18" s="17" t="str">
        <f t="shared" ca="1" si="4"/>
        <v>N/A</v>
      </c>
      <c r="O18" s="17" t="str">
        <f t="shared" ca="1" si="4"/>
        <v>N/A</v>
      </c>
      <c r="P18" s="17" t="str">
        <f t="shared" ca="1" si="4"/>
        <v>N/A</v>
      </c>
      <c r="Q18" s="17" t="str">
        <f t="shared" ca="1" si="4"/>
        <v>N/A</v>
      </c>
      <c r="R18" s="57"/>
      <c r="S18" s="57"/>
      <c r="T18" s="57"/>
    </row>
    <row r="19" spans="1:20">
      <c r="A19" t="str">
        <f>IFERROR(INDEX('2017 Data (WP)'!$C$9:$C$72,MATCH($B19,'2017 Data (WP)'!$D$9:$D$72,0)),"")</f>
        <v>Natural Gas Utility</v>
      </c>
      <c r="B19" s="31" t="s">
        <v>178</v>
      </c>
      <c r="C19" s="31" t="s">
        <v>215</v>
      </c>
      <c r="D19" s="35">
        <f t="shared" ca="1" si="1"/>
        <v>18</v>
      </c>
      <c r="E19" s="35">
        <f t="shared" ca="1" si="2"/>
        <v>18</v>
      </c>
      <c r="F19" s="35"/>
      <c r="G19" s="17">
        <f t="shared" ca="1" si="4"/>
        <v>0.4955369997120645</v>
      </c>
      <c r="H19" s="17">
        <f t="shared" ca="1" si="4"/>
        <v>0.53347412882787748</v>
      </c>
      <c r="I19" s="17">
        <f t="shared" ca="1" si="4"/>
        <v>0.71006006006006006</v>
      </c>
      <c r="J19" s="17">
        <f t="shared" ca="1" si="4"/>
        <v>0.64736528728788334</v>
      </c>
      <c r="K19" s="17">
        <f t="shared" ca="1" si="4"/>
        <v>0.79048380647740912</v>
      </c>
      <c r="L19" s="17">
        <f t="shared" ca="1" si="4"/>
        <v>1.1244661378889567</v>
      </c>
      <c r="M19" s="17">
        <f t="shared" ca="1" si="4"/>
        <v>1.0997168921044354</v>
      </c>
      <c r="N19" s="17">
        <f t="shared" ca="1" si="4"/>
        <v>1.1377118644067798</v>
      </c>
      <c r="O19" s="17">
        <f t="shared" ca="1" si="4"/>
        <v>0.83250083250083251</v>
      </c>
      <c r="P19" s="17">
        <f t="shared" ca="1" si="4"/>
        <v>0.81897952551186226</v>
      </c>
      <c r="Q19" s="17">
        <f t="shared" ca="1" si="4"/>
        <v>0.44731977818853974</v>
      </c>
      <c r="R19" s="58"/>
      <c r="S19" s="58"/>
      <c r="T19" s="58"/>
    </row>
    <row r="20" spans="1:20">
      <c r="A20" t="str">
        <f>IFERROR(INDEX('2017 Data (WP)'!$C$9:$C$72,MATCH($B20,'2017 Data (WP)'!$D$9:$D$72,0)),"")</f>
        <v/>
      </c>
      <c r="B20" t="s">
        <v>8</v>
      </c>
      <c r="C20" t="s">
        <v>49</v>
      </c>
      <c r="D20" s="35" t="e">
        <f t="shared" ca="1" si="1"/>
        <v>#N/A</v>
      </c>
      <c r="E20" s="35" t="e">
        <f t="shared" ca="1" si="2"/>
        <v>#N/A</v>
      </c>
      <c r="F20" s="35"/>
      <c r="G20" s="17" t="str">
        <f t="shared" ca="1" si="4"/>
        <v>N/A</v>
      </c>
      <c r="H20" s="17" t="str">
        <f t="shared" ca="1" si="4"/>
        <v>N/A</v>
      </c>
      <c r="I20" s="17" t="str">
        <f t="shared" ca="1" si="4"/>
        <v>N/A</v>
      </c>
      <c r="J20" s="17" t="str">
        <f t="shared" ca="1" si="4"/>
        <v>N/A</v>
      </c>
      <c r="K20" s="17" t="str">
        <f t="shared" ca="1" si="4"/>
        <v>N/A</v>
      </c>
      <c r="L20" s="17" t="str">
        <f t="shared" ca="1" si="4"/>
        <v>N/A</v>
      </c>
      <c r="M20" s="17" t="str">
        <f t="shared" ca="1" si="4"/>
        <v>N/A</v>
      </c>
      <c r="N20" s="17" t="str">
        <f t="shared" ca="1" si="4"/>
        <v>N/A</v>
      </c>
      <c r="O20" s="17" t="str">
        <f t="shared" ca="1" si="4"/>
        <v>N/A</v>
      </c>
      <c r="P20" s="17" t="str">
        <f t="shared" ca="1" si="4"/>
        <v>N/A</v>
      </c>
      <c r="Q20" s="17" t="str">
        <f t="shared" ca="1" si="4"/>
        <v>N/A</v>
      </c>
      <c r="R20" s="57"/>
      <c r="S20" s="57"/>
      <c r="T20" s="57"/>
    </row>
    <row r="21" spans="1:20">
      <c r="A21" t="str">
        <f>IFERROR(INDEX('2017 Data (WP)'!$C$9:$C$72,MATCH($B21,'2017 Data (WP)'!$D$9:$D$72,0)),"")</f>
        <v>Electric Util. (Central)</v>
      </c>
      <c r="B21" t="s">
        <v>9</v>
      </c>
      <c r="C21" t="s">
        <v>47</v>
      </c>
      <c r="D21" s="35">
        <f t="shared" ca="1" si="1"/>
        <v>19</v>
      </c>
      <c r="E21" s="35">
        <f t="shared" ca="1" si="2"/>
        <v>19</v>
      </c>
      <c r="F21" s="35"/>
      <c r="G21" s="17">
        <f t="shared" ca="1" si="4"/>
        <v>0.81462925851703405</v>
      </c>
      <c r="H21" s="17">
        <f t="shared" ca="1" si="4"/>
        <v>0.81392876129718239</v>
      </c>
      <c r="I21" s="17">
        <f t="shared" ca="1" si="4"/>
        <v>0.73682373472949392</v>
      </c>
      <c r="J21" s="17">
        <f t="shared" ca="1" si="4"/>
        <v>0.81522394055031133</v>
      </c>
      <c r="K21" s="17">
        <f t="shared" ca="1" si="4"/>
        <v>0.8224278949634094</v>
      </c>
      <c r="L21" s="17">
        <f t="shared" ca="1" si="4"/>
        <v>1.052146355517142</v>
      </c>
      <c r="M21" s="17">
        <f t="shared" ca="1" si="4"/>
        <v>1.1255700820918211</v>
      </c>
      <c r="N21" s="17">
        <f t="shared" ca="1" si="4"/>
        <v>0.96600724435775986</v>
      </c>
      <c r="O21" s="17">
        <f t="shared" ca="1" si="4"/>
        <v>1.1086335048599198</v>
      </c>
      <c r="P21" s="17">
        <f t="shared" ca="1" si="4"/>
        <v>0.54937611408199638</v>
      </c>
      <c r="Q21" s="17">
        <f t="shared" ca="1" si="4"/>
        <v>1.0718323910874625</v>
      </c>
      <c r="R21" s="57"/>
      <c r="S21" s="57"/>
      <c r="T21" s="57"/>
    </row>
    <row r="22" spans="1:20">
      <c r="A22" t="str">
        <f>IFERROR(INDEX('2017 Data (WP)'!$C$9:$C$72,MATCH($B22,'2017 Data (WP)'!$D$9:$D$72,0)),"")</f>
        <v>Water Utility</v>
      </c>
      <c r="B22" s="31" t="s">
        <v>180</v>
      </c>
      <c r="C22" s="31" t="s">
        <v>179</v>
      </c>
      <c r="D22" s="35">
        <f t="shared" ca="1" si="1"/>
        <v>20</v>
      </c>
      <c r="E22" s="35">
        <f t="shared" ca="1" si="2"/>
        <v>20</v>
      </c>
      <c r="F22" s="35"/>
      <c r="G22" s="17">
        <f t="shared" ca="1" si="4"/>
        <v>0.55861022094788326</v>
      </c>
      <c r="H22" s="17">
        <f t="shared" ca="1" si="4"/>
        <v>0.74108599394080632</v>
      </c>
      <c r="I22" s="17">
        <f t="shared" ca="1" si="4"/>
        <v>0.72399512789281351</v>
      </c>
      <c r="J22" s="17">
        <f t="shared" ca="1" si="4"/>
        <v>0.87139542591978791</v>
      </c>
      <c r="K22" s="17">
        <f t="shared" ca="1" si="4"/>
        <v>0.94867193108399128</v>
      </c>
      <c r="L22" s="17">
        <f t="shared" ca="1" si="4"/>
        <v>0.80620451934124848</v>
      </c>
      <c r="M22" s="17">
        <f t="shared" ca="1" si="4"/>
        <v>0.66699378475629711</v>
      </c>
      <c r="N22" s="17">
        <f t="shared" ca="1" si="4"/>
        <v>0.58950899664531875</v>
      </c>
      <c r="O22" s="17">
        <f t="shared" ca="1" si="4"/>
        <v>0.79885057471264365</v>
      </c>
      <c r="P22" s="17">
        <f t="shared" ca="1" si="4"/>
        <v>0.84852546916890081</v>
      </c>
      <c r="Q22" s="17">
        <f t="shared" ca="1" si="4"/>
        <v>0.77488514548238896</v>
      </c>
      <c r="R22" s="57"/>
      <c r="S22" s="57"/>
      <c r="T22" s="57"/>
    </row>
    <row r="23" spans="1:20">
      <c r="A23" t="str">
        <f>IFERROR(INDEX('2017 Data (WP)'!$C$9:$C$72,MATCH($B23,'2017 Data (WP)'!$D$9:$D$72,0)),"")</f>
        <v>Electric Utility (East)</v>
      </c>
      <c r="B23" t="s">
        <v>10</v>
      </c>
      <c r="C23" t="s">
        <v>50</v>
      </c>
      <c r="D23" s="35">
        <f t="shared" ca="1" si="1"/>
        <v>21</v>
      </c>
      <c r="E23" s="35">
        <f t="shared" ca="1" si="2"/>
        <v>21</v>
      </c>
      <c r="F23" s="35"/>
      <c r="G23" s="17">
        <f t="shared" ca="1" si="4"/>
        <v>0.65348914304657713</v>
      </c>
      <c r="H23" s="17">
        <f t="shared" ca="1" si="4"/>
        <v>0.76062553967187951</v>
      </c>
      <c r="I23" s="17">
        <f t="shared" ca="1" si="4"/>
        <v>0.88352100738588202</v>
      </c>
      <c r="J23" s="17">
        <f t="shared" ca="1" si="4"/>
        <v>0.85933533348719127</v>
      </c>
      <c r="K23" s="17">
        <f t="shared" ca="1" si="4"/>
        <v>1.0114649681528662</v>
      </c>
      <c r="L23" s="17">
        <f t="shared" ca="1" si="4"/>
        <v>0.98377010125074449</v>
      </c>
      <c r="M23" s="17">
        <f t="shared" ca="1" si="4"/>
        <v>0.89752802529462483</v>
      </c>
      <c r="N23" s="17">
        <f t="shared" ca="1" si="4"/>
        <v>0.75144212280476863</v>
      </c>
      <c r="O23" s="17">
        <f t="shared" ca="1" si="4"/>
        <v>0.70463638503177228</v>
      </c>
      <c r="P23" s="17">
        <f t="shared" ca="1" si="4"/>
        <v>0.81433408577878108</v>
      </c>
      <c r="Q23" s="17">
        <f t="shared" ca="1" si="4"/>
        <v>0.73585168664622247</v>
      </c>
      <c r="R23" s="57"/>
      <c r="S23" s="57"/>
      <c r="T23" s="57"/>
    </row>
    <row r="24" spans="1:20">
      <c r="A24" t="str">
        <f>IFERROR(INDEX('2017 Data (WP)'!$C$9:$C$72,MATCH($B24,'2017 Data (WP)'!$D$9:$D$72,0)),"")</f>
        <v>Water Utility</v>
      </c>
      <c r="B24" s="31" t="s">
        <v>182</v>
      </c>
      <c r="C24" s="31" t="s">
        <v>181</v>
      </c>
      <c r="D24" s="35">
        <f t="shared" ca="1" si="1"/>
        <v>22</v>
      </c>
      <c r="E24" s="35">
        <f t="shared" ca="1" si="2"/>
        <v>22</v>
      </c>
      <c r="F24" s="35"/>
      <c r="G24" s="17">
        <f t="shared" ca="1" si="4"/>
        <v>4.0944206008583688</v>
      </c>
      <c r="H24" s="17">
        <f t="shared" ca="1" si="4"/>
        <v>4.2227488151658772</v>
      </c>
      <c r="I24" s="17">
        <f t="shared" ca="1" si="4"/>
        <v>2.4922118380062308</v>
      </c>
      <c r="J24" s="17">
        <f t="shared" ca="1" si="4"/>
        <v>3.2551020408163267</v>
      </c>
      <c r="K24" s="17">
        <f t="shared" ca="1" si="4"/>
        <v>3.7284345047923324</v>
      </c>
      <c r="L24" s="17">
        <f t="shared" ca="1" si="4"/>
        <v>0.86743215031315235</v>
      </c>
      <c r="M24" s="17">
        <f t="shared" ca="1" si="4"/>
        <v>9.931034482758621</v>
      </c>
      <c r="N24" s="17">
        <f t="shared" ca="1" si="4"/>
        <v>6.7045454545454541</v>
      </c>
      <c r="O24" s="17">
        <f t="shared" ca="1" si="4"/>
        <v>2.0765864332603936</v>
      </c>
      <c r="P24" s="17">
        <f t="shared" ca="1" si="4"/>
        <v>2.2300556586270868</v>
      </c>
      <c r="Q24" s="17">
        <f t="shared" ca="1" si="4"/>
        <v>0.47489082969432311</v>
      </c>
      <c r="R24" s="57"/>
      <c r="S24" s="57"/>
      <c r="T24" s="57"/>
    </row>
    <row r="25" spans="1:20">
      <c r="A25" t="str">
        <f>IFERROR(INDEX('2017 Data (WP)'!$C$9:$C$72,MATCH($B25,'2017 Data (WP)'!$D$9:$D$72,0)),"")</f>
        <v>Electric Utility (East)</v>
      </c>
      <c r="B25" t="s">
        <v>11</v>
      </c>
      <c r="C25" t="s">
        <v>52</v>
      </c>
      <c r="D25" s="35">
        <f t="shared" ca="1" si="1"/>
        <v>24</v>
      </c>
      <c r="E25" s="35">
        <f t="shared" ca="1" si="2"/>
        <v>24</v>
      </c>
      <c r="F25" s="35"/>
      <c r="G25" s="17">
        <f t="shared" ref="G25:Q34" ca="1" si="5">IFERROR(INDEX(CashFlow,$D25,G$2)/INDEX(CapSpending,$E25,G$2),"N/A")</f>
        <v>0.65273909006499542</v>
      </c>
      <c r="H25" s="17">
        <f t="shared" ca="1" si="5"/>
        <v>0.6400684565194138</v>
      </c>
      <c r="I25" s="17">
        <f t="shared" ca="1" si="5"/>
        <v>0.62527376259307932</v>
      </c>
      <c r="J25" s="17">
        <f t="shared" ca="1" si="5"/>
        <v>0.77458203457069985</v>
      </c>
      <c r="K25" s="17">
        <f t="shared" ca="1" si="5"/>
        <v>0.72883947185545517</v>
      </c>
      <c r="L25" s="17">
        <f t="shared" ca="1" si="5"/>
        <v>0.78705148205928233</v>
      </c>
      <c r="M25" s="17">
        <f t="shared" ca="1" si="5"/>
        <v>0.86642905634758993</v>
      </c>
      <c r="N25" s="17">
        <f t="shared" ca="1" si="5"/>
        <v>0.75238244024371193</v>
      </c>
      <c r="O25" s="17">
        <f t="shared" ca="1" si="5"/>
        <v>0.83147358057105347</v>
      </c>
      <c r="P25" s="17">
        <f t="shared" ca="1" si="5"/>
        <v>0.73787394713912291</v>
      </c>
      <c r="Q25" s="17">
        <f t="shared" ca="1" si="5"/>
        <v>0.84582256675279943</v>
      </c>
      <c r="R25" s="57"/>
      <c r="S25" s="57"/>
      <c r="T25" s="57"/>
    </row>
    <row r="26" spans="1:20">
      <c r="A26" t="str">
        <f>IFERROR(INDEX('2017 Data (WP)'!$C$9:$C$72,MATCH($B26,'2017 Data (WP)'!$D$9:$D$72,0)),"")</f>
        <v>Electric Util. (Central)</v>
      </c>
      <c r="B26" t="s">
        <v>12</v>
      </c>
      <c r="C26" t="s">
        <v>51</v>
      </c>
      <c r="D26" s="35">
        <f t="shared" ca="1" si="1"/>
        <v>25</v>
      </c>
      <c r="E26" s="35">
        <f t="shared" ca="1" si="2"/>
        <v>25</v>
      </c>
      <c r="F26" s="35"/>
      <c r="G26" s="17">
        <f t="shared" ca="1" si="5"/>
        <v>0.93006931648679469</v>
      </c>
      <c r="H26" s="17">
        <f t="shared" ca="1" si="5"/>
        <v>0.83864948911594839</v>
      </c>
      <c r="I26" s="17">
        <f t="shared" ca="1" si="5"/>
        <v>1.023926751317267</v>
      </c>
      <c r="J26" s="17">
        <f t="shared" ca="1" si="5"/>
        <v>0.9557296582971494</v>
      </c>
      <c r="K26" s="17">
        <f t="shared" ca="1" si="5"/>
        <v>0.92528409090909092</v>
      </c>
      <c r="L26" s="17">
        <f t="shared" ca="1" si="5"/>
        <v>1.0910127737226278</v>
      </c>
      <c r="M26" s="17">
        <f t="shared" ca="1" si="5"/>
        <v>1.5076306459071989</v>
      </c>
      <c r="N26" s="17">
        <f t="shared" ca="1" si="5"/>
        <v>1.4993608181527642</v>
      </c>
      <c r="O26" s="17">
        <f t="shared" ca="1" si="5"/>
        <v>0.98040845404891941</v>
      </c>
      <c r="P26" s="17">
        <f t="shared" ca="1" si="5"/>
        <v>1.0662226690123147</v>
      </c>
      <c r="Q26" s="17">
        <f t="shared" ca="1" si="5"/>
        <v>1.0342171717171718</v>
      </c>
      <c r="R26" s="57"/>
      <c r="S26" s="57"/>
      <c r="T26" s="57"/>
    </row>
    <row r="27" spans="1:20">
      <c r="A27" t="str">
        <f>IFERROR(INDEX('2017 Data (WP)'!$C$9:$C$72,MATCH($B27,'2017 Data (WP)'!$D$9:$D$72,0)),"")</f>
        <v>Electric Utility (East)</v>
      </c>
      <c r="B27" t="s">
        <v>13</v>
      </c>
      <c r="C27" t="s">
        <v>93</v>
      </c>
      <c r="D27" s="35">
        <f t="shared" ca="1" si="1"/>
        <v>26</v>
      </c>
      <c r="E27" s="35">
        <f t="shared" ca="1" si="2"/>
        <v>26</v>
      </c>
      <c r="F27" s="35"/>
      <c r="G27" s="17">
        <f t="shared" ca="1" si="5"/>
        <v>0.81509701426419767</v>
      </c>
      <c r="H27" s="17">
        <f t="shared" ca="1" si="5"/>
        <v>0.95586739882041905</v>
      </c>
      <c r="I27" s="17">
        <f t="shared" ca="1" si="5"/>
        <v>1.196323046618516</v>
      </c>
      <c r="J27" s="17">
        <f t="shared" ca="1" si="5"/>
        <v>1.0933946595119459</v>
      </c>
      <c r="K27" s="17">
        <f t="shared" ca="1" si="5"/>
        <v>0.86997696442283079</v>
      </c>
      <c r="L27" s="17">
        <f t="shared" ca="1" si="5"/>
        <v>0.8858950806286997</v>
      </c>
      <c r="M27" s="17">
        <f t="shared" ca="1" si="5"/>
        <v>0.78262473485197825</v>
      </c>
      <c r="N27" s="17">
        <f t="shared" ca="1" si="5"/>
        <v>0.76977759723773742</v>
      </c>
      <c r="O27" s="17">
        <f t="shared" ca="1" si="5"/>
        <v>0.70981150314161423</v>
      </c>
      <c r="P27" s="17">
        <f t="shared" ca="1" si="5"/>
        <v>1.0912639655404495</v>
      </c>
      <c r="Q27" s="17">
        <f t="shared" ca="1" si="5"/>
        <v>0.97459727385377937</v>
      </c>
      <c r="R27" s="57"/>
      <c r="S27" s="57"/>
      <c r="T27" s="57"/>
    </row>
    <row r="28" spans="1:20">
      <c r="A28" t="str">
        <f>IFERROR(INDEX('2017 Data (WP)'!$C$9:$C$72,MATCH($B28,'2017 Data (WP)'!$D$9:$D$72,0)),"")</f>
        <v>Electric Utility (West)</v>
      </c>
      <c r="B28" t="s">
        <v>14</v>
      </c>
      <c r="C28" t="s">
        <v>53</v>
      </c>
      <c r="D28" s="35">
        <f t="shared" ca="1" si="1"/>
        <v>27</v>
      </c>
      <c r="E28" s="35">
        <f t="shared" ca="1" si="2"/>
        <v>27</v>
      </c>
      <c r="F28" s="35"/>
      <c r="G28" s="17">
        <f t="shared" ca="1" si="5"/>
        <v>0.90969374400139602</v>
      </c>
      <c r="H28" s="17">
        <f t="shared" ca="1" si="5"/>
        <v>0.79811844540407151</v>
      </c>
      <c r="I28" s="17">
        <f t="shared" ca="1" si="5"/>
        <v>0.83001084327300023</v>
      </c>
      <c r="J28" s="17">
        <f t="shared" ca="1" si="5"/>
        <v>0.79639688575049805</v>
      </c>
      <c r="K28" s="17">
        <f t="shared" ca="1" si="5"/>
        <v>0.75608606879220985</v>
      </c>
      <c r="L28" s="17">
        <f t="shared" ca="1" si="5"/>
        <v>0.61191299044521241</v>
      </c>
      <c r="M28" s="17">
        <f t="shared" ca="1" si="5"/>
        <v>0.60334193918531265</v>
      </c>
      <c r="N28" s="17">
        <f t="shared" ca="1" si="5"/>
        <v>0.79072768787848702</v>
      </c>
      <c r="O28" s="17">
        <f t="shared" ca="1" si="5"/>
        <v>0.9326257498846332</v>
      </c>
      <c r="P28" s="17">
        <f t="shared" ca="1" si="5"/>
        <v>0.87572054415494582</v>
      </c>
      <c r="Q28" s="17">
        <f t="shared" ca="1" si="5"/>
        <v>0.93178314491264136</v>
      </c>
      <c r="R28" s="57"/>
      <c r="S28" s="57"/>
      <c r="T28" s="57"/>
    </row>
    <row r="29" spans="1:20">
      <c r="A29" t="str">
        <f>IFERROR(INDEX('2017 Data (WP)'!$C$9:$C$72,MATCH($B29,'2017 Data (WP)'!$D$9:$D$72,0)),"")</f>
        <v>Electric Utility (West)</v>
      </c>
      <c r="B29" t="s">
        <v>15</v>
      </c>
      <c r="C29" t="s">
        <v>88</v>
      </c>
      <c r="D29" s="35">
        <f t="shared" ca="1" si="1"/>
        <v>28</v>
      </c>
      <c r="E29" s="35">
        <f t="shared" ca="1" si="2"/>
        <v>28</v>
      </c>
      <c r="F29" s="35"/>
      <c r="G29" s="17">
        <f t="shared" ca="1" si="5"/>
        <v>0.8503130335799659</v>
      </c>
      <c r="H29" s="17">
        <f t="shared" ca="1" si="5"/>
        <v>0.67220014028524666</v>
      </c>
      <c r="I29" s="17">
        <f t="shared" ca="1" si="5"/>
        <v>0.6908598988354312</v>
      </c>
      <c r="J29" s="17">
        <f t="shared" ca="1" si="5"/>
        <v>0.78566457898399444</v>
      </c>
      <c r="K29" s="17">
        <f t="shared" ca="1" si="5"/>
        <v>0.84505150022391395</v>
      </c>
      <c r="L29" s="17">
        <f t="shared" ca="1" si="5"/>
        <v>1.0254237288135593</v>
      </c>
      <c r="M29" s="17">
        <f t="shared" ca="1" si="5"/>
        <v>0.97835580026580582</v>
      </c>
      <c r="N29" s="17">
        <f t="shared" ca="1" si="5"/>
        <v>0.68398923646148679</v>
      </c>
      <c r="O29" s="17">
        <f t="shared" ca="1" si="5"/>
        <v>0.77665732959850597</v>
      </c>
      <c r="P29" s="17">
        <f t="shared" ca="1" si="5"/>
        <v>0.83531445861249198</v>
      </c>
      <c r="Q29" s="17">
        <f t="shared" ca="1" si="5"/>
        <v>1.2583241858763263</v>
      </c>
      <c r="R29" s="57"/>
      <c r="S29" s="57"/>
      <c r="T29" s="57"/>
    </row>
    <row r="30" spans="1:20">
      <c r="A30" t="str">
        <f>IFERROR(INDEX('2017 Data (WP)'!$C$9:$C$72,MATCH($B30,'2017 Data (WP)'!$D$9:$D$72,0)),"")</f>
        <v/>
      </c>
      <c r="B30" t="s">
        <v>16</v>
      </c>
      <c r="C30" t="s">
        <v>102</v>
      </c>
      <c r="D30" s="35">
        <f t="shared" ca="1" si="1"/>
        <v>29</v>
      </c>
      <c r="E30" s="35" t="e">
        <f t="shared" ca="1" si="2"/>
        <v>#N/A</v>
      </c>
      <c r="F30" s="35"/>
      <c r="G30" s="17" t="str">
        <f t="shared" ca="1" si="5"/>
        <v>N/A</v>
      </c>
      <c r="H30" s="17" t="str">
        <f t="shared" ca="1" si="5"/>
        <v>N/A</v>
      </c>
      <c r="I30" s="17" t="str">
        <f t="shared" ca="1" si="5"/>
        <v>N/A</v>
      </c>
      <c r="J30" s="17" t="str">
        <f t="shared" ca="1" si="5"/>
        <v>N/A</v>
      </c>
      <c r="K30" s="17" t="str">
        <f t="shared" ca="1" si="5"/>
        <v>N/A</v>
      </c>
      <c r="L30" s="17" t="str">
        <f t="shared" ca="1" si="5"/>
        <v>N/A</v>
      </c>
      <c r="M30" s="17" t="str">
        <f t="shared" ca="1" si="5"/>
        <v>N/A</v>
      </c>
      <c r="N30" s="17" t="str">
        <f t="shared" ca="1" si="5"/>
        <v>N/A</v>
      </c>
      <c r="O30" s="17" t="str">
        <f t="shared" ca="1" si="5"/>
        <v>N/A</v>
      </c>
      <c r="P30" s="17" t="str">
        <f t="shared" ca="1" si="5"/>
        <v>N/A</v>
      </c>
      <c r="Q30" s="17" t="str">
        <f t="shared" ca="1" si="5"/>
        <v>N/A</v>
      </c>
      <c r="R30" s="57"/>
      <c r="S30" s="57"/>
      <c r="T30" s="57"/>
    </row>
    <row r="31" spans="1:20">
      <c r="A31" t="str">
        <f>IFERROR(INDEX('2017 Data (WP)'!$C$9:$C$72,MATCH($B31,'2017 Data (WP)'!$D$9:$D$72,0)),"")</f>
        <v>Electric Util. (Central)</v>
      </c>
      <c r="B31" t="s">
        <v>17</v>
      </c>
      <c r="C31" t="s">
        <v>55</v>
      </c>
      <c r="D31" s="35">
        <f t="shared" ca="1" si="1"/>
        <v>30</v>
      </c>
      <c r="E31" s="35">
        <f t="shared" ca="1" si="2"/>
        <v>29</v>
      </c>
      <c r="F31" s="35"/>
      <c r="G31" s="17">
        <f t="shared" ca="1" si="5"/>
        <v>1.0836902419261489</v>
      </c>
      <c r="H31" s="17">
        <f t="shared" ca="1" si="5"/>
        <v>1.0548075777433574</v>
      </c>
      <c r="I31" s="17">
        <f t="shared" ca="1" si="5"/>
        <v>1.1925516124679529</v>
      </c>
      <c r="J31" s="17">
        <f t="shared" ca="1" si="5"/>
        <v>1.0329348931841302</v>
      </c>
      <c r="K31" s="17">
        <f t="shared" ca="1" si="5"/>
        <v>0.87893289328932889</v>
      </c>
      <c r="L31" s="17">
        <f t="shared" ca="1" si="5"/>
        <v>1.1530417625780993</v>
      </c>
      <c r="M31" s="17">
        <f t="shared" ca="1" si="5"/>
        <v>1.2408074440942518</v>
      </c>
      <c r="N31" s="17">
        <f t="shared" ca="1" si="5"/>
        <v>1.0229407236335644</v>
      </c>
      <c r="O31" s="17">
        <f t="shared" ca="1" si="5"/>
        <v>0.92587271943686256</v>
      </c>
      <c r="P31" s="17">
        <f t="shared" ca="1" si="5"/>
        <v>1.1403576982892689</v>
      </c>
      <c r="Q31" s="17">
        <f t="shared" ca="1" si="5"/>
        <v>1.1333333333333333</v>
      </c>
      <c r="R31" s="57"/>
      <c r="S31" s="57"/>
      <c r="T31" s="57"/>
    </row>
    <row r="32" spans="1:20">
      <c r="A32" t="str">
        <f>IFERROR(INDEX('2017 Data (WP)'!$C$9:$C$72,MATCH($B32,'2017 Data (WP)'!$D$9:$D$72,0)),"")</f>
        <v>Electric Utility (East)</v>
      </c>
      <c r="B32" t="s">
        <v>211</v>
      </c>
      <c r="C32" t="s">
        <v>212</v>
      </c>
      <c r="D32" s="35">
        <f t="shared" ca="1" si="1"/>
        <v>31</v>
      </c>
      <c r="E32" s="35">
        <f t="shared" ca="1" si="2"/>
        <v>30</v>
      </c>
      <c r="F32" s="35"/>
      <c r="G32" s="17">
        <f t="shared" ca="1" si="5"/>
        <v>0.87495992305226034</v>
      </c>
      <c r="H32" s="17">
        <f t="shared" ca="1" si="5"/>
        <v>0.90857247976453281</v>
      </c>
      <c r="I32" s="17">
        <f t="shared" ca="1" si="5"/>
        <v>0.90096857086380699</v>
      </c>
      <c r="J32" s="17">
        <f t="shared" ca="1" si="5"/>
        <v>1.1296256221597056</v>
      </c>
      <c r="K32" s="17">
        <f t="shared" ca="1" si="5"/>
        <v>0.86049488054607515</v>
      </c>
      <c r="L32" s="17">
        <f t="shared" ca="1" si="5"/>
        <v>0.80223757815070751</v>
      </c>
      <c r="M32" s="17">
        <f t="shared" ca="1" si="5"/>
        <v>1.0493621741541874</v>
      </c>
      <c r="N32" s="17">
        <f t="shared" ca="1" si="5"/>
        <v>0.9590021272481144</v>
      </c>
      <c r="O32" s="17">
        <f t="shared" ca="1" si="5"/>
        <v>0.76501986097318775</v>
      </c>
      <c r="P32" s="17">
        <f t="shared" ca="1" si="5"/>
        <v>0.67544843049327352</v>
      </c>
      <c r="Q32" s="17">
        <f t="shared" ca="1" si="5"/>
        <v>0.67219387755102034</v>
      </c>
      <c r="R32" s="57"/>
      <c r="S32" s="57"/>
      <c r="T32" s="57"/>
    </row>
    <row r="33" spans="1:20">
      <c r="A33" t="str">
        <f>IFERROR(INDEX('2017 Data (WP)'!$C$9:$C$72,MATCH($B33,'2017 Data (WP)'!$D$9:$D$72,0)),"")</f>
        <v>Electric Utility (East)</v>
      </c>
      <c r="B33" t="s">
        <v>18</v>
      </c>
      <c r="C33" t="s">
        <v>69</v>
      </c>
      <c r="D33" s="35">
        <f t="shared" ca="1" si="1"/>
        <v>32</v>
      </c>
      <c r="E33" s="35">
        <f t="shared" ca="1" si="2"/>
        <v>31</v>
      </c>
      <c r="F33" s="35"/>
      <c r="G33" s="17">
        <f t="shared" ca="1" si="5"/>
        <v>0.75680639585133969</v>
      </c>
      <c r="H33" s="17">
        <f t="shared" ca="1" si="5"/>
        <v>0.82058397683397688</v>
      </c>
      <c r="I33" s="17">
        <f t="shared" ca="1" si="5"/>
        <v>0.93477645727221292</v>
      </c>
      <c r="J33" s="17">
        <f t="shared" ca="1" si="5"/>
        <v>1.0686477037978706</v>
      </c>
      <c r="K33" s="17">
        <f t="shared" ca="1" si="5"/>
        <v>0.9754873006497341</v>
      </c>
      <c r="L33" s="17">
        <f t="shared" ca="1" si="5"/>
        <v>1.1872640735269981</v>
      </c>
      <c r="M33" s="17">
        <f t="shared" ca="1" si="5"/>
        <v>1.6555223880597016</v>
      </c>
      <c r="N33" s="17">
        <f t="shared" ca="1" si="5"/>
        <v>1.6623664583753275</v>
      </c>
      <c r="O33" s="17">
        <f t="shared" ca="1" si="5"/>
        <v>1.6121199324324325</v>
      </c>
      <c r="P33" s="17">
        <f t="shared" ca="1" si="5"/>
        <v>1.8358872960949084</v>
      </c>
      <c r="Q33" s="17">
        <f t="shared" ca="1" si="5"/>
        <v>1.8601108033240998</v>
      </c>
      <c r="R33" s="57"/>
      <c r="S33" s="57"/>
      <c r="T33" s="57"/>
    </row>
    <row r="34" spans="1:20">
      <c r="A34" t="str">
        <f>IFERROR(INDEX('2017 Data (WP)'!$C$9:$C$72,MATCH($B34,'2017 Data (WP)'!$D$9:$D$72,0)),"")</f>
        <v>Electric Utility (East)</v>
      </c>
      <c r="B34" t="s">
        <v>19</v>
      </c>
      <c r="C34" t="s">
        <v>66</v>
      </c>
      <c r="D34" s="35">
        <f t="shared" ca="1" si="1"/>
        <v>33</v>
      </c>
      <c r="E34" s="35">
        <f t="shared" ca="1" si="2"/>
        <v>32</v>
      </c>
      <c r="F34" s="35"/>
      <c r="G34" s="17">
        <f t="shared" ca="1" si="5"/>
        <v>0.94188058840496103</v>
      </c>
      <c r="H34" s="17">
        <f t="shared" ca="1" si="5"/>
        <v>0.92594760720035119</v>
      </c>
      <c r="I34" s="17">
        <f t="shared" ca="1" si="5"/>
        <v>0.54050843430743645</v>
      </c>
      <c r="J34" s="17">
        <f t="shared" ca="1" si="5"/>
        <v>0.91346571966951728</v>
      </c>
      <c r="K34" s="17">
        <f t="shared" ca="1" si="5"/>
        <v>0.8542401580358403</v>
      </c>
      <c r="L34" s="17">
        <f t="shared" ca="1" si="5"/>
        <v>1.054892601431981</v>
      </c>
      <c r="M34" s="17">
        <f t="shared" ca="1" si="5"/>
        <v>1.3203416149068323</v>
      </c>
      <c r="N34" s="17">
        <f t="shared" ca="1" si="5"/>
        <v>1.2173792721737926</v>
      </c>
      <c r="O34" s="17">
        <f t="shared" ca="1" si="5"/>
        <v>0.95429596791218074</v>
      </c>
      <c r="P34" s="17">
        <f t="shared" ca="1" si="5"/>
        <v>1.5572148590629085</v>
      </c>
      <c r="Q34" s="17">
        <f t="shared" ca="1" si="5"/>
        <v>1.7526699029126214</v>
      </c>
      <c r="R34" s="57"/>
      <c r="S34" s="57"/>
      <c r="T34" s="57"/>
    </row>
    <row r="35" spans="1:20">
      <c r="A35" t="str">
        <f>IFERROR(INDEX('2017 Data (WP)'!$C$9:$C$72,MATCH($B35,'2017 Data (WP)'!$D$9:$D$72,0)),"")</f>
        <v>Electric Util. (Central)</v>
      </c>
      <c r="B35" t="s">
        <v>267</v>
      </c>
      <c r="C35" t="s">
        <v>266</v>
      </c>
      <c r="D35" s="35">
        <f t="shared" ca="1" si="1"/>
        <v>34</v>
      </c>
      <c r="E35" s="35">
        <f t="shared" ca="1" si="2"/>
        <v>33</v>
      </c>
      <c r="F35" s="35"/>
      <c r="G35" s="17">
        <f t="shared" ref="G35:Q44" ca="1" si="6">IFERROR(INDEX(CashFlow,$D35,G$2)/INDEX(CapSpending,$E35,G$2),"N/A")</f>
        <v>0.76076368595363331</v>
      </c>
      <c r="H35" s="17">
        <f t="shared" ca="1" si="6"/>
        <v>0.65453175997991464</v>
      </c>
      <c r="I35" s="17">
        <f t="shared" ca="1" si="6"/>
        <v>0.60383333333333333</v>
      </c>
      <c r="J35" s="17">
        <f t="shared" ca="1" si="6"/>
        <v>0.77089201877934277</v>
      </c>
      <c r="K35" s="17">
        <f t="shared" ca="1" si="6"/>
        <v>0.72235915492957747</v>
      </c>
      <c r="L35" s="17">
        <f t="shared" ca="1" si="6"/>
        <v>0.66040609137055839</v>
      </c>
      <c r="M35" s="17">
        <f t="shared" ca="1" si="6"/>
        <v>0.67668534555951765</v>
      </c>
      <c r="N35" s="17">
        <f t="shared" ca="1" si="6"/>
        <v>0.63104281767955794</v>
      </c>
      <c r="O35" s="17">
        <f t="shared" ca="1" si="6"/>
        <v>0.6559985027138312</v>
      </c>
      <c r="P35" s="17">
        <f t="shared" ca="1" si="6"/>
        <v>0.57389114855704049</v>
      </c>
      <c r="Q35" s="17">
        <f t="shared" ca="1" si="6"/>
        <v>0.63397876327295444</v>
      </c>
      <c r="R35" s="57"/>
      <c r="S35" s="57"/>
      <c r="T35" s="57"/>
    </row>
    <row r="36" spans="1:20">
      <c r="A36" t="str">
        <f>IFERROR(INDEX('2017 Data (WP)'!$C$9:$C$72,MATCH($B36,'2017 Data (WP)'!$D$9:$D$72,0)),"")</f>
        <v/>
      </c>
      <c r="B36" t="s">
        <v>57</v>
      </c>
      <c r="C36" t="s">
        <v>56</v>
      </c>
      <c r="D36" s="35" t="e">
        <f t="shared" ca="1" si="1"/>
        <v>#N/A</v>
      </c>
      <c r="E36" s="35" t="e">
        <f t="shared" ca="1" si="2"/>
        <v>#N/A</v>
      </c>
      <c r="F36" s="35"/>
      <c r="G36" s="17" t="str">
        <f t="shared" ca="1" si="6"/>
        <v>N/A</v>
      </c>
      <c r="H36" s="17" t="str">
        <f t="shared" ca="1" si="6"/>
        <v>N/A</v>
      </c>
      <c r="I36" s="17" t="str">
        <f t="shared" ca="1" si="6"/>
        <v>N/A</v>
      </c>
      <c r="J36" s="17" t="str">
        <f t="shared" ca="1" si="6"/>
        <v>N/A</v>
      </c>
      <c r="K36" s="17" t="str">
        <f t="shared" ca="1" si="6"/>
        <v>N/A</v>
      </c>
      <c r="L36" s="17" t="str">
        <f t="shared" ca="1" si="6"/>
        <v>N/A</v>
      </c>
      <c r="M36" s="17" t="str">
        <f t="shared" ca="1" si="6"/>
        <v>N/A</v>
      </c>
      <c r="N36" s="17" t="str">
        <f t="shared" ca="1" si="6"/>
        <v>N/A</v>
      </c>
      <c r="O36" s="17" t="str">
        <f t="shared" ca="1" si="6"/>
        <v>N/A</v>
      </c>
      <c r="P36" s="17" t="str">
        <f t="shared" ca="1" si="6"/>
        <v>N/A</v>
      </c>
      <c r="Q36" s="17" t="str">
        <f t="shared" ca="1" si="6"/>
        <v>N/A</v>
      </c>
      <c r="R36" s="57"/>
      <c r="S36" s="57"/>
      <c r="T36" s="57"/>
    </row>
    <row r="37" spans="1:20">
      <c r="A37" t="str">
        <f>IFERROR(INDEX('2017 Data (WP)'!$C$9:$C$72,MATCH($B37,'2017 Data (WP)'!$D$9:$D$72,0)),"")</f>
        <v>Electric Util. (Central)</v>
      </c>
      <c r="B37" t="s">
        <v>20</v>
      </c>
      <c r="C37" t="s">
        <v>104</v>
      </c>
      <c r="D37" s="35">
        <f t="shared" ref="D37:D46" ca="1" si="7">MATCH(B37,OFFSET(CashFlow,0,0,,1),0)</f>
        <v>36</v>
      </c>
      <c r="E37" s="35">
        <f t="shared" ref="E37:E46" ca="1" si="8">MATCH(B37,OFFSET(CapSpending,0,0,,1),0)</f>
        <v>35</v>
      </c>
      <c r="F37" s="35"/>
      <c r="G37" s="17">
        <f t="shared" ca="1" si="6"/>
        <v>1.1726668996854246</v>
      </c>
      <c r="H37" s="17">
        <f t="shared" ca="1" si="6"/>
        <v>0.9002939181550984</v>
      </c>
      <c r="I37" s="17">
        <f t="shared" ca="1" si="6"/>
        <v>0.78561630413482275</v>
      </c>
      <c r="J37" s="17">
        <f t="shared" ca="1" si="6"/>
        <v>0.90598870056497183</v>
      </c>
      <c r="K37" s="17">
        <f t="shared" ca="1" si="6"/>
        <v>0.85931653778997241</v>
      </c>
      <c r="L37" s="17">
        <f t="shared" ca="1" si="6"/>
        <v>1.0335689045936396</v>
      </c>
      <c r="M37" s="17">
        <f t="shared" ca="1" si="6"/>
        <v>0.86481947942905124</v>
      </c>
      <c r="N37" s="17">
        <f t="shared" ca="1" si="6"/>
        <v>0.50315919247958085</v>
      </c>
      <c r="O37" s="17">
        <f t="shared" ca="1" si="6"/>
        <v>0.34909706546275399</v>
      </c>
      <c r="P37" s="17">
        <f t="shared" ca="1" si="6"/>
        <v>0.68931880994960171</v>
      </c>
      <c r="Q37" s="17">
        <f t="shared" ca="1" si="6"/>
        <v>0.63843863711544813</v>
      </c>
      <c r="R37" s="57"/>
      <c r="S37" s="58"/>
      <c r="T37" s="58"/>
    </row>
    <row r="38" spans="1:20">
      <c r="A38" t="str">
        <f>IFERROR(INDEX('2017 Data (WP)'!$C$9:$C$72,MATCH($B38,'2017 Data (WP)'!$D$9:$D$72,0)),"")</f>
        <v>Electric Utility (West)</v>
      </c>
      <c r="B38" t="s">
        <v>21</v>
      </c>
      <c r="C38" t="s">
        <v>58</v>
      </c>
      <c r="D38" s="35">
        <f t="shared" ca="1" si="7"/>
        <v>37</v>
      </c>
      <c r="E38" s="35">
        <f t="shared" ca="1" si="8"/>
        <v>36</v>
      </c>
      <c r="F38" s="35"/>
      <c r="G38" s="17">
        <f t="shared" ca="1" si="6"/>
        <v>1.3723684210526315</v>
      </c>
      <c r="H38" s="17">
        <f t="shared" ca="1" si="6"/>
        <v>0.97725258493353029</v>
      </c>
      <c r="I38" s="17">
        <f t="shared" ca="1" si="6"/>
        <v>1.0289855072463769</v>
      </c>
      <c r="J38" s="17">
        <f t="shared" ca="1" si="6"/>
        <v>0.92188841201716731</v>
      </c>
      <c r="K38" s="17">
        <f t="shared" ca="1" si="6"/>
        <v>0.9873646209386282</v>
      </c>
      <c r="L38" s="17">
        <f t="shared" ca="1" si="6"/>
        <v>1.3002450980392157</v>
      </c>
      <c r="M38" s="17">
        <f t="shared" ca="1" si="6"/>
        <v>1.4976599063962557</v>
      </c>
      <c r="N38" s="17">
        <f t="shared" ca="1" si="6"/>
        <v>0.78658166363084403</v>
      </c>
      <c r="O38" s="17">
        <f t="shared" ca="1" si="6"/>
        <v>0.87355584082156612</v>
      </c>
      <c r="P38" s="17">
        <f t="shared" ca="1" si="6"/>
        <v>1.1521406727828745</v>
      </c>
      <c r="Q38" s="17">
        <f t="shared" ca="1" si="6"/>
        <v>1.234907120743034</v>
      </c>
      <c r="R38" s="57"/>
      <c r="S38" s="57"/>
      <c r="T38" s="57"/>
    </row>
    <row r="39" spans="1:20">
      <c r="A39" t="str">
        <f>IFERROR(INDEX('2017 Data (WP)'!$C$9:$C$72,MATCH($B39,'2017 Data (WP)'!$D$9:$D$72,0)),"")</f>
        <v>Electric Utility (West)</v>
      </c>
      <c r="B39" t="s">
        <v>22</v>
      </c>
      <c r="C39" t="s">
        <v>59</v>
      </c>
      <c r="D39" s="35">
        <f t="shared" ca="1" si="7"/>
        <v>38</v>
      </c>
      <c r="E39" s="35">
        <f t="shared" ca="1" si="8"/>
        <v>37</v>
      </c>
      <c r="F39" s="35"/>
      <c r="G39" s="17">
        <f t="shared" ca="1" si="6"/>
        <v>1.1637813985064493</v>
      </c>
      <c r="H39" s="17">
        <f t="shared" ca="1" si="6"/>
        <v>1.1470638589282658</v>
      </c>
      <c r="I39" s="17">
        <f t="shared" ca="1" si="6"/>
        <v>1.2061628760088041</v>
      </c>
      <c r="J39" s="17">
        <f t="shared" ca="1" si="6"/>
        <v>1.3439368061485908</v>
      </c>
      <c r="K39" s="17">
        <f t="shared" ca="1" si="6"/>
        <v>1.2410041841004185</v>
      </c>
      <c r="L39" s="17">
        <f t="shared" ca="1" si="6"/>
        <v>0.86305826678497499</v>
      </c>
      <c r="M39" s="17">
        <f t="shared" ca="1" si="6"/>
        <v>0.78147823546596551</v>
      </c>
      <c r="N39" s="17">
        <f t="shared" ca="1" si="6"/>
        <v>0.96444866920152106</v>
      </c>
      <c r="O39" s="17">
        <f t="shared" ca="1" si="6"/>
        <v>0.82315546137545748</v>
      </c>
      <c r="P39" s="17">
        <f t="shared" ca="1" si="6"/>
        <v>0.64406514249921709</v>
      </c>
      <c r="Q39" s="17">
        <f t="shared" ca="1" si="6"/>
        <v>0.88832880961613014</v>
      </c>
      <c r="R39" s="57"/>
      <c r="S39" s="57"/>
      <c r="T39" s="57"/>
    </row>
    <row r="40" spans="1:20">
      <c r="A40" t="str">
        <f>IFERROR(INDEX('2017 Data (WP)'!$C$9:$C$72,MATCH($B40,'2017 Data (WP)'!$D$9:$D$72,0)),"")</f>
        <v/>
      </c>
      <c r="B40" t="s">
        <v>23</v>
      </c>
      <c r="C40" t="s">
        <v>85</v>
      </c>
      <c r="D40" s="35" t="e">
        <f t="shared" ca="1" si="7"/>
        <v>#N/A</v>
      </c>
      <c r="E40" s="35" t="e">
        <f t="shared" ca="1" si="8"/>
        <v>#N/A</v>
      </c>
      <c r="F40" s="35"/>
      <c r="G40" s="17" t="str">
        <f t="shared" ca="1" si="6"/>
        <v>N/A</v>
      </c>
      <c r="H40" s="17" t="str">
        <f t="shared" ca="1" si="6"/>
        <v>N/A</v>
      </c>
      <c r="I40" s="17" t="str">
        <f t="shared" ca="1" si="6"/>
        <v>N/A</v>
      </c>
      <c r="J40" s="17" t="str">
        <f t="shared" ca="1" si="6"/>
        <v>N/A</v>
      </c>
      <c r="K40" s="17" t="str">
        <f t="shared" ca="1" si="6"/>
        <v>N/A</v>
      </c>
      <c r="L40" s="17" t="str">
        <f t="shared" ca="1" si="6"/>
        <v>N/A</v>
      </c>
      <c r="M40" s="17" t="str">
        <f t="shared" ca="1" si="6"/>
        <v>N/A</v>
      </c>
      <c r="N40" s="17" t="str">
        <f t="shared" ca="1" si="6"/>
        <v>N/A</v>
      </c>
      <c r="O40" s="17" t="str">
        <f t="shared" ca="1" si="6"/>
        <v>N/A</v>
      </c>
      <c r="P40" s="17" t="str">
        <f t="shared" ca="1" si="6"/>
        <v>N/A</v>
      </c>
      <c r="Q40" s="17" t="str">
        <f t="shared" ca="1" si="6"/>
        <v>N/A</v>
      </c>
      <c r="R40" s="57"/>
      <c r="S40" s="57"/>
      <c r="T40" s="57"/>
    </row>
    <row r="41" spans="1:20">
      <c r="A41" t="str">
        <f>IFERROR(INDEX('2017 Data (WP)'!$C$9:$C$72,MATCH($B41,'2017 Data (WP)'!$D$9:$D$72,0)),"")</f>
        <v/>
      </c>
      <c r="B41" t="s">
        <v>161</v>
      </c>
      <c r="C41" t="s">
        <v>160</v>
      </c>
      <c r="D41" s="35" t="e">
        <f t="shared" ca="1" si="7"/>
        <v>#N/A</v>
      </c>
      <c r="E41" s="35" t="e">
        <f t="shared" ca="1" si="8"/>
        <v>#N/A</v>
      </c>
      <c r="F41" s="35"/>
      <c r="G41" s="17" t="str">
        <f t="shared" ca="1" si="6"/>
        <v>N/A</v>
      </c>
      <c r="H41" s="17" t="str">
        <f t="shared" ca="1" si="6"/>
        <v>N/A</v>
      </c>
      <c r="I41" s="17" t="str">
        <f t="shared" ca="1" si="6"/>
        <v>N/A</v>
      </c>
      <c r="J41" s="17" t="str">
        <f t="shared" ca="1" si="6"/>
        <v>N/A</v>
      </c>
      <c r="K41" s="17" t="str">
        <f t="shared" ca="1" si="6"/>
        <v>N/A</v>
      </c>
      <c r="L41" s="17" t="str">
        <f t="shared" ca="1" si="6"/>
        <v>N/A</v>
      </c>
      <c r="M41" s="17" t="str">
        <f t="shared" ca="1" si="6"/>
        <v>N/A</v>
      </c>
      <c r="N41" s="17" t="str">
        <f t="shared" ca="1" si="6"/>
        <v>N/A</v>
      </c>
      <c r="O41" s="17" t="str">
        <f t="shared" ca="1" si="6"/>
        <v>N/A</v>
      </c>
      <c r="P41" s="17" t="str">
        <f t="shared" ca="1" si="6"/>
        <v>N/A</v>
      </c>
      <c r="Q41" s="17" t="str">
        <f t="shared" ca="1" si="6"/>
        <v>N/A</v>
      </c>
      <c r="R41" s="57"/>
      <c r="S41" s="57"/>
      <c r="T41" s="57"/>
    </row>
    <row r="42" spans="1:20">
      <c r="A42" t="str">
        <f>IFERROR(INDEX('2017 Data (WP)'!$C$9:$C$72,MATCH($B42,'2017 Data (WP)'!$D$9:$D$72,0)),"")</f>
        <v/>
      </c>
      <c r="B42" t="s">
        <v>24</v>
      </c>
      <c r="C42" t="s">
        <v>60</v>
      </c>
      <c r="D42" s="35" t="e">
        <f t="shared" ca="1" si="7"/>
        <v>#N/A</v>
      </c>
      <c r="E42" s="35" t="e">
        <f t="shared" ca="1" si="8"/>
        <v>#N/A</v>
      </c>
      <c r="F42" s="35"/>
      <c r="G42" s="17" t="str">
        <f t="shared" ca="1" si="6"/>
        <v>N/A</v>
      </c>
      <c r="H42" s="17" t="str">
        <f t="shared" ca="1" si="6"/>
        <v>N/A</v>
      </c>
      <c r="I42" s="17" t="str">
        <f t="shared" ca="1" si="6"/>
        <v>N/A</v>
      </c>
      <c r="J42" s="17" t="str">
        <f t="shared" ca="1" si="6"/>
        <v>N/A</v>
      </c>
      <c r="K42" s="17" t="str">
        <f t="shared" ca="1" si="6"/>
        <v>N/A</v>
      </c>
      <c r="L42" s="17" t="str">
        <f t="shared" ca="1" si="6"/>
        <v>N/A</v>
      </c>
      <c r="M42" s="17" t="str">
        <f t="shared" ca="1" si="6"/>
        <v>N/A</v>
      </c>
      <c r="N42" s="17" t="str">
        <f t="shared" ca="1" si="6"/>
        <v>N/A</v>
      </c>
      <c r="O42" s="17" t="str">
        <f t="shared" ca="1" si="6"/>
        <v>N/A</v>
      </c>
      <c r="P42" s="17" t="str">
        <f t="shared" ca="1" si="6"/>
        <v>N/A</v>
      </c>
      <c r="Q42" s="17" t="str">
        <f t="shared" ca="1" si="6"/>
        <v>N/A</v>
      </c>
      <c r="R42" s="57"/>
      <c r="S42" s="57"/>
      <c r="T42" s="57"/>
    </row>
    <row r="43" spans="1:20">
      <c r="A43" t="str">
        <f>IFERROR(INDEX('2017 Data (WP)'!$C$9:$C$72,MATCH($B43,'2017 Data (WP)'!$D$9:$D$72,0)),"")</f>
        <v>Electric Util. (Central)</v>
      </c>
      <c r="B43" t="s">
        <v>25</v>
      </c>
      <c r="C43" t="s">
        <v>61</v>
      </c>
      <c r="D43" s="35">
        <f t="shared" ca="1" si="7"/>
        <v>39</v>
      </c>
      <c r="E43" s="35">
        <f t="shared" ca="1" si="8"/>
        <v>38</v>
      </c>
      <c r="F43" s="35"/>
      <c r="G43" s="17">
        <f t="shared" ca="1" si="6"/>
        <v>1.4368006630750105</v>
      </c>
      <c r="H43" s="17">
        <f t="shared" ca="1" si="6"/>
        <v>1.6044273339749762</v>
      </c>
      <c r="I43" s="17">
        <f t="shared" ca="1" si="6"/>
        <v>1.3060231949120837</v>
      </c>
      <c r="J43" s="17">
        <f t="shared" ca="1" si="6"/>
        <v>0.95544554455445541</v>
      </c>
      <c r="K43" s="17">
        <f t="shared" ca="1" si="6"/>
        <v>1.0479041916167664</v>
      </c>
      <c r="L43" s="17">
        <f t="shared" ca="1" si="6"/>
        <v>1.5627659574468087</v>
      </c>
      <c r="M43" s="17">
        <f t="shared" ca="1" si="6"/>
        <v>1.5711845102505695</v>
      </c>
      <c r="N43" s="17">
        <f t="shared" ca="1" si="6"/>
        <v>1.1282922684791843</v>
      </c>
      <c r="O43" s="17">
        <f t="shared" ca="1" si="6"/>
        <v>0.87008769080870396</v>
      </c>
      <c r="P43" s="17">
        <f t="shared" ca="1" si="6"/>
        <v>0.59473175447075877</v>
      </c>
      <c r="Q43" s="17">
        <f t="shared" ca="1" si="6"/>
        <v>0.79673691366417398</v>
      </c>
      <c r="R43" s="57"/>
      <c r="S43" s="57"/>
      <c r="T43" s="57"/>
    </row>
    <row r="44" spans="1:20">
      <c r="A44" t="str">
        <f>IFERROR(INDEX('2017 Data (WP)'!$C$9:$C$72,MATCH($B44,'2017 Data (WP)'!$D$9:$D$72,0)),"")</f>
        <v>Water Utility</v>
      </c>
      <c r="B44" s="31" t="s">
        <v>188</v>
      </c>
      <c r="C44" s="31" t="s">
        <v>187</v>
      </c>
      <c r="D44" s="35">
        <f t="shared" ca="1" si="7"/>
        <v>40</v>
      </c>
      <c r="E44" s="35">
        <f t="shared" ca="1" si="8"/>
        <v>39</v>
      </c>
      <c r="F44" s="35"/>
      <c r="G44" s="17">
        <f t="shared" ca="1" si="6"/>
        <v>0.74716202270381837</v>
      </c>
      <c r="H44" s="17">
        <f t="shared" ca="1" si="6"/>
        <v>1.2392947103274559</v>
      </c>
      <c r="I44" s="17">
        <f t="shared" ca="1" si="6"/>
        <v>1.3162027123483226</v>
      </c>
      <c r="J44" s="17">
        <f t="shared" ca="1" si="6"/>
        <v>1.3656597774244832</v>
      </c>
      <c r="K44" s="17">
        <f t="shared" ca="1" si="6"/>
        <v>1.1400293255131964</v>
      </c>
      <c r="L44" s="17">
        <f t="shared" ca="1" si="6"/>
        <v>0.97599999999999998</v>
      </c>
      <c r="M44" s="17">
        <f t="shared" ca="1" si="6"/>
        <v>0.81335436382755</v>
      </c>
      <c r="N44" s="17">
        <f t="shared" ca="1" si="6"/>
        <v>0.94291470785762244</v>
      </c>
      <c r="O44" s="17">
        <f t="shared" ca="1" si="6"/>
        <v>0.72182932578972181</v>
      </c>
      <c r="P44" s="17">
        <f t="shared" ca="1" si="6"/>
        <v>0.90157004830917886</v>
      </c>
      <c r="Q44" s="17">
        <f t="shared" ca="1" si="6"/>
        <v>0.57805724197745012</v>
      </c>
      <c r="R44" s="58"/>
      <c r="S44" s="58"/>
      <c r="T44" s="58"/>
    </row>
    <row r="45" spans="1:20">
      <c r="A45" t="str">
        <f>IFERROR(INDEX('2017 Data (WP)'!$C$9:$C$72,MATCH($B45,'2017 Data (WP)'!$D$9:$D$72,0)),"")</f>
        <v>Natural Gas Utility</v>
      </c>
      <c r="B45" s="31" t="s">
        <v>190</v>
      </c>
      <c r="C45" s="31" t="s">
        <v>189</v>
      </c>
      <c r="D45" s="35">
        <f t="shared" ca="1" si="7"/>
        <v>41</v>
      </c>
      <c r="E45" s="35">
        <f t="shared" ca="1" si="8"/>
        <v>40</v>
      </c>
      <c r="F45" s="35"/>
      <c r="G45" s="17">
        <f t="shared" ref="G45:Q54" ca="1" si="9">IFERROR(INDEX(CashFlow,$D45,G$2)/INDEX(CapSpending,$E45,G$2),"N/A")</f>
        <v>0.59213699951760734</v>
      </c>
      <c r="H45" s="17">
        <f t="shared" ca="1" si="9"/>
        <v>0.67207878626563744</v>
      </c>
      <c r="I45" s="17">
        <f t="shared" ca="1" si="9"/>
        <v>1.7905449770190414</v>
      </c>
      <c r="J45" s="17">
        <f t="shared" ca="1" si="9"/>
        <v>1.4577677224736048</v>
      </c>
      <c r="K45" s="17">
        <f t="shared" ca="1" si="9"/>
        <v>1.4769108280254777</v>
      </c>
      <c r="L45" s="17">
        <f t="shared" ca="1" si="9"/>
        <v>1.5057573073516386</v>
      </c>
      <c r="M45" s="17">
        <f t="shared" ca="1" si="9"/>
        <v>1.547528517110266</v>
      </c>
      <c r="N45" s="17">
        <f t="shared" ca="1" si="9"/>
        <v>1.7486157253599113</v>
      </c>
      <c r="O45" s="17">
        <f t="shared" ca="1" si="9"/>
        <v>2.1058139534883722</v>
      </c>
      <c r="P45" s="17">
        <f t="shared" ca="1" si="9"/>
        <v>1.6712328767123288</v>
      </c>
      <c r="Q45" s="17">
        <f t="shared" ca="1" si="9"/>
        <v>2.1359374999999998</v>
      </c>
      <c r="R45" s="57"/>
      <c r="S45" s="57"/>
      <c r="T45" s="57"/>
    </row>
    <row r="46" spans="1:20">
      <c r="A46" t="str">
        <f>IFERROR(INDEX('2017 Data (WP)'!$C$9:$C$72,MATCH($B46,'2017 Data (WP)'!$D$9:$D$72,0)),"")</f>
        <v>Electric Utility (East)</v>
      </c>
      <c r="B46" t="s">
        <v>141</v>
      </c>
      <c r="C46" t="s">
        <v>209</v>
      </c>
      <c r="D46" s="35">
        <f t="shared" ca="1" si="7"/>
        <v>42</v>
      </c>
      <c r="E46" s="35">
        <f t="shared" ca="1" si="8"/>
        <v>41</v>
      </c>
      <c r="F46" s="35"/>
      <c r="G46" s="17">
        <f t="shared" ca="1" si="9"/>
        <v>0.64850000000000008</v>
      </c>
      <c r="H46" s="17">
        <f t="shared" ca="1" si="9"/>
        <v>0.71091299323097246</v>
      </c>
      <c r="I46" s="17">
        <f t="shared" ca="1" si="9"/>
        <v>0.76401515151515154</v>
      </c>
      <c r="J46" s="17">
        <f t="shared" ca="1" si="9"/>
        <v>0.68589284551786989</v>
      </c>
      <c r="K46" s="17">
        <f t="shared" ca="1" si="9"/>
        <v>0.38926234650891817</v>
      </c>
      <c r="L46" s="17">
        <f t="shared" ca="1" si="9"/>
        <v>0.58312935417058942</v>
      </c>
      <c r="M46" s="17">
        <f t="shared" ca="1" si="9"/>
        <v>0.69260672377798582</v>
      </c>
      <c r="N46" s="17">
        <f t="shared" ca="1" si="9"/>
        <v>0.60261707988980717</v>
      </c>
      <c r="O46" s="17">
        <f t="shared" ca="1" si="9"/>
        <v>0.6267864115579852</v>
      </c>
      <c r="P46" s="17">
        <f t="shared" ca="1" si="9"/>
        <v>0.55612369125882644</v>
      </c>
      <c r="Q46" s="17">
        <f t="shared" ca="1" si="9"/>
        <v>0.73392605442914449</v>
      </c>
      <c r="R46" s="57"/>
      <c r="S46" s="57"/>
      <c r="T46" s="57"/>
    </row>
    <row r="47" spans="1:20">
      <c r="A47" t="str">
        <f>IFERROR(INDEX('2017 Data (WP)'!$C$9:$C$72,MATCH($B47,'2017 Data (WP)'!$D$9:$D$72,0)),"")</f>
        <v>Natural Gas Utility</v>
      </c>
      <c r="B47" t="s">
        <v>26</v>
      </c>
      <c r="C47" t="s">
        <v>62</v>
      </c>
      <c r="D47" s="35">
        <f t="shared" ref="D47:D78" ca="1" si="10">MATCH(B47,OFFSET(CashFlow,0,0,,1),0)</f>
        <v>43</v>
      </c>
      <c r="E47" s="35">
        <f t="shared" ref="E47:E78" ca="1" si="11">MATCH(B47,OFFSET(CapSpending,0,0,,1),0)</f>
        <v>42</v>
      </c>
      <c r="F47" s="35"/>
      <c r="G47" s="17">
        <f t="shared" ca="1" si="9"/>
        <v>0.5925601750547046</v>
      </c>
      <c r="H47" s="17">
        <f t="shared" ca="1" si="9"/>
        <v>0.53142589118198869</v>
      </c>
      <c r="I47" s="17">
        <f t="shared" ca="1" si="9"/>
        <v>0.56005608350210323</v>
      </c>
      <c r="J47" s="17">
        <f t="shared" ca="1" si="9"/>
        <v>0.56816285666611044</v>
      </c>
      <c r="K47" s="17">
        <f t="shared" ca="1" si="9"/>
        <v>0.64886128364389228</v>
      </c>
      <c r="L47" s="17">
        <f t="shared" ca="1" si="9"/>
        <v>0.74824473420260784</v>
      </c>
      <c r="M47" s="17">
        <f t="shared" ca="1" si="9"/>
        <v>1.108408617095205</v>
      </c>
      <c r="N47" s="17">
        <f t="shared" ca="1" si="9"/>
        <v>1.0551994301994303</v>
      </c>
      <c r="O47" s="17">
        <f t="shared" ca="1" si="9"/>
        <v>0.93834841628959276</v>
      </c>
      <c r="P47" s="17">
        <f t="shared" ca="1" si="9"/>
        <v>1.1144347826086958</v>
      </c>
      <c r="Q47" s="17">
        <f t="shared" ca="1" si="9"/>
        <v>1.3658222413052812</v>
      </c>
      <c r="R47" s="57"/>
      <c r="S47" s="57"/>
      <c r="T47" s="57"/>
    </row>
    <row r="48" spans="1:20">
      <c r="A48" t="str">
        <f>IFERROR(INDEX('2017 Data (WP)'!$C$9:$C$72,MATCH($B48,'2017 Data (WP)'!$D$9:$D$72,0)),"")</f>
        <v>Natural Gas Utility</v>
      </c>
      <c r="B48" s="31" t="s">
        <v>192</v>
      </c>
      <c r="C48" s="31" t="s">
        <v>191</v>
      </c>
      <c r="D48" s="35">
        <f t="shared" ca="1" si="10"/>
        <v>44</v>
      </c>
      <c r="E48" s="35">
        <f t="shared" ca="1" si="11"/>
        <v>43</v>
      </c>
      <c r="F48" s="35"/>
      <c r="G48" s="17">
        <f t="shared" ca="1" si="9"/>
        <v>1.1006696428571427</v>
      </c>
      <c r="H48" s="17">
        <f t="shared" ca="1" si="9"/>
        <v>1.1233409610983982</v>
      </c>
      <c r="I48" s="17">
        <f t="shared" ca="1" si="9"/>
        <v>1.1481144934120855</v>
      </c>
      <c r="J48" s="17">
        <f t="shared" ca="1" si="9"/>
        <v>0.98206977197427392</v>
      </c>
      <c r="K48" s="17">
        <f t="shared" ca="1" si="9"/>
        <v>1.0063200815494393</v>
      </c>
      <c r="L48" s="17">
        <f t="shared" ca="1" si="9"/>
        <v>1.3321799307958477</v>
      </c>
      <c r="M48" s="17">
        <f t="shared" ca="1" si="9"/>
        <v>0.55448615121377387</v>
      </c>
      <c r="N48" s="17">
        <f t="shared" ca="1" si="9"/>
        <v>1.0208128804241114</v>
      </c>
      <c r="O48" s="17">
        <f t="shared" ca="1" si="9"/>
        <v>1.3524464831804281</v>
      </c>
      <c r="P48" s="17">
        <f t="shared" ca="1" si="9"/>
        <v>1.2081751172660262</v>
      </c>
      <c r="Q48" s="17">
        <f t="shared" ca="1" si="9"/>
        <v>1.3355780022446688</v>
      </c>
      <c r="R48" s="57"/>
      <c r="S48" s="57"/>
      <c r="T48" s="57"/>
    </row>
    <row r="49" spans="1:20">
      <c r="A49" t="str">
        <f>IFERROR(INDEX('2017 Data (WP)'!$C$9:$C$72,MATCH($B49,'2017 Data (WP)'!$D$9:$D$72,0)),"")</f>
        <v>Electric Utility (West)</v>
      </c>
      <c r="B49" t="str">
        <f>"NWE"</f>
        <v>NWE</v>
      </c>
      <c r="C49" t="s">
        <v>94</v>
      </c>
      <c r="D49" s="35">
        <f t="shared" ca="1" si="10"/>
        <v>45</v>
      </c>
      <c r="E49" s="35">
        <f t="shared" ca="1" si="11"/>
        <v>44</v>
      </c>
      <c r="F49" s="35"/>
      <c r="G49" s="17">
        <f t="shared" ca="1" si="9"/>
        <v>1.130938391807957</v>
      </c>
      <c r="H49" s="17">
        <f t="shared" ca="1" si="9"/>
        <v>1.0059432840889795</v>
      </c>
      <c r="I49" s="17">
        <f t="shared" ca="1" si="9"/>
        <v>0.93492972410203024</v>
      </c>
      <c r="J49" s="17">
        <f t="shared" ca="1" si="9"/>
        <v>0.91661062542030924</v>
      </c>
      <c r="K49" s="17">
        <f t="shared" ca="1" si="9"/>
        <v>0.87979626485568774</v>
      </c>
      <c r="L49" s="17">
        <f t="shared" ca="1" si="9"/>
        <v>1.0420991926182239</v>
      </c>
      <c r="M49" s="17">
        <f t="shared" ca="1" si="9"/>
        <v>0.75583055687767731</v>
      </c>
      <c r="N49" s="17">
        <f t="shared" ca="1" si="9"/>
        <v>0.87811370983076631</v>
      </c>
      <c r="O49" s="17">
        <f t="shared" ca="1" si="9"/>
        <v>1.2699740409576001</v>
      </c>
      <c r="P49" s="17">
        <f t="shared" ca="1" si="9"/>
        <v>1.2330226364846872</v>
      </c>
      <c r="Q49" s="17">
        <f t="shared" ca="1" si="9"/>
        <v>1.2883588465646136</v>
      </c>
      <c r="R49" s="57"/>
      <c r="S49" s="57"/>
      <c r="T49" s="57"/>
    </row>
    <row r="50" spans="1:20">
      <c r="A50" t="str">
        <f>IFERROR(INDEX('2017 Data (WP)'!$C$9:$C$72,MATCH($B50,'2017 Data (WP)'!$D$9:$D$72,0)),"")</f>
        <v>Electric Util. (Central)</v>
      </c>
      <c r="B50" t="s">
        <v>27</v>
      </c>
      <c r="C50" t="s">
        <v>67</v>
      </c>
      <c r="D50" s="35">
        <f t="shared" ca="1" si="10"/>
        <v>46</v>
      </c>
      <c r="E50" s="35">
        <f t="shared" ca="1" si="11"/>
        <v>45</v>
      </c>
      <c r="F50" s="35"/>
      <c r="G50" s="17">
        <f t="shared" ca="1" si="9"/>
        <v>1.0012102874432678</v>
      </c>
      <c r="H50" s="17">
        <f t="shared" ca="1" si="9"/>
        <v>1.178271965001823</v>
      </c>
      <c r="I50" s="17">
        <f t="shared" ca="1" si="9"/>
        <v>1.1894921190893171</v>
      </c>
      <c r="J50" s="17">
        <f t="shared" ca="1" si="9"/>
        <v>0.69278557114228456</v>
      </c>
      <c r="K50" s="17">
        <f t="shared" ca="1" si="9"/>
        <v>0.63085070037581137</v>
      </c>
      <c r="L50" s="17">
        <f t="shared" ca="1" si="9"/>
        <v>0.51166023166023167</v>
      </c>
      <c r="M50" s="17">
        <f t="shared" ca="1" si="9"/>
        <v>0.69012147604859042</v>
      </c>
      <c r="N50" s="17">
        <f t="shared" ca="1" si="9"/>
        <v>0.61441647597254001</v>
      </c>
      <c r="O50" s="17">
        <f t="shared" ca="1" si="9"/>
        <v>0.59860383944153572</v>
      </c>
      <c r="P50" s="17">
        <f t="shared" ca="1" si="9"/>
        <v>0.78801843317972364</v>
      </c>
      <c r="Q50" s="17">
        <f t="shared" ca="1" si="9"/>
        <v>0.83733133433283358</v>
      </c>
      <c r="R50" s="57"/>
      <c r="S50" s="57"/>
      <c r="T50" s="57"/>
    </row>
    <row r="51" spans="1:20">
      <c r="A51" t="str">
        <f>IFERROR(INDEX('2017 Data (WP)'!$C$9:$C$72,MATCH($B51,'2017 Data (WP)'!$D$9:$D$72,0)),"")</f>
        <v>Natural Gas Utility</v>
      </c>
      <c r="B51" t="s">
        <v>353</v>
      </c>
      <c r="C51" t="s">
        <v>356</v>
      </c>
      <c r="D51" s="35">
        <f t="shared" ca="1" si="10"/>
        <v>47</v>
      </c>
      <c r="E51" s="35">
        <f t="shared" ca="1" si="11"/>
        <v>46</v>
      </c>
      <c r="F51" s="35"/>
      <c r="G51" s="17">
        <f t="shared" ca="1" si="9"/>
        <v>0.91864005412719896</v>
      </c>
      <c r="H51" s="17">
        <f t="shared" ca="1" si="9"/>
        <v>0.85635653409090917</v>
      </c>
      <c r="I51" s="17">
        <f t="shared" ca="1" si="9"/>
        <v>0.79277699859747552</v>
      </c>
      <c r="J51" s="17" t="str">
        <f t="shared" ca="1" si="9"/>
        <v>N/A</v>
      </c>
      <c r="K51" s="17" t="str">
        <f t="shared" ca="1" si="9"/>
        <v>N/A</v>
      </c>
      <c r="L51" s="17" t="str">
        <f t="shared" ca="1" si="9"/>
        <v>N/A</v>
      </c>
      <c r="M51" s="17" t="str">
        <f t="shared" ca="1" si="9"/>
        <v>N/A</v>
      </c>
      <c r="N51" s="17" t="str">
        <f t="shared" ca="1" si="9"/>
        <v>N/A</v>
      </c>
      <c r="O51" s="17" t="str">
        <f t="shared" ca="1" si="9"/>
        <v>N/A</v>
      </c>
      <c r="P51" s="17" t="str">
        <f t="shared" ca="1" si="9"/>
        <v>N/A</v>
      </c>
      <c r="Q51" s="17" t="str">
        <f t="shared" ca="1" si="9"/>
        <v>N/A</v>
      </c>
      <c r="R51" s="57"/>
      <c r="S51" s="57"/>
      <c r="T51" s="57"/>
    </row>
    <row r="52" spans="1:20">
      <c r="A52" t="str">
        <f>IFERROR(INDEX('2017 Data (WP)'!$C$9:$C$72,MATCH($B52,'2017 Data (WP)'!$D$9:$D$72,0)),"")</f>
        <v>Electric Util. (Central)</v>
      </c>
      <c r="B52" t="s">
        <v>28</v>
      </c>
      <c r="C52" t="s">
        <v>68</v>
      </c>
      <c r="D52" s="35">
        <f t="shared" ca="1" si="10"/>
        <v>48</v>
      </c>
      <c r="E52" s="35">
        <f t="shared" ca="1" si="11"/>
        <v>47</v>
      </c>
      <c r="F52" s="35"/>
      <c r="G52" s="17">
        <f t="shared" ca="1" si="9"/>
        <v>0.84016593460224509</v>
      </c>
      <c r="H52" s="17">
        <f t="shared" ca="1" si="9"/>
        <v>0.74296524000945852</v>
      </c>
      <c r="I52" s="17">
        <f t="shared" ca="1" si="9"/>
        <v>0.70284414106939708</v>
      </c>
      <c r="J52" s="17">
        <f t="shared" ca="1" si="9"/>
        <v>0.66607851786501993</v>
      </c>
      <c r="K52" s="17">
        <f t="shared" ca="1" si="9"/>
        <v>0.84629803186504216</v>
      </c>
      <c r="L52" s="17">
        <f t="shared" ca="1" si="9"/>
        <v>1.1582557569818717</v>
      </c>
      <c r="M52" s="17">
        <f t="shared" ca="1" si="9"/>
        <v>1.0921329406815314</v>
      </c>
      <c r="N52" s="17">
        <f t="shared" ca="1" si="9"/>
        <v>0.55843105539830173</v>
      </c>
      <c r="O52" s="17">
        <f t="shared" ca="1" si="9"/>
        <v>0.37410167686984291</v>
      </c>
      <c r="P52" s="17">
        <f t="shared" ca="1" si="9"/>
        <v>0.65468951538603282</v>
      </c>
      <c r="Q52" s="17">
        <f t="shared" ca="1" si="9"/>
        <v>1.4400510204081634</v>
      </c>
      <c r="R52" s="60"/>
      <c r="S52" s="60"/>
      <c r="T52" s="57"/>
    </row>
    <row r="53" spans="1:20">
      <c r="A53" t="str">
        <f>IFERROR(INDEX('2017 Data (WP)'!$C$9:$C$72,MATCH($B53,'2017 Data (WP)'!$D$9:$D$72,0)),"")</f>
        <v/>
      </c>
      <c r="B53" t="s">
        <v>29</v>
      </c>
      <c r="C53" t="s">
        <v>73</v>
      </c>
      <c r="D53" s="35" t="e">
        <f t="shared" ca="1" si="10"/>
        <v>#N/A</v>
      </c>
      <c r="E53" s="35" t="e">
        <f t="shared" ca="1" si="11"/>
        <v>#N/A</v>
      </c>
      <c r="F53" s="35"/>
      <c r="G53" s="17" t="str">
        <f t="shared" ca="1" si="9"/>
        <v>N/A</v>
      </c>
      <c r="H53" s="17" t="str">
        <f t="shared" ca="1" si="9"/>
        <v>N/A</v>
      </c>
      <c r="I53" s="17" t="str">
        <f t="shared" ca="1" si="9"/>
        <v>N/A</v>
      </c>
      <c r="J53" s="17" t="str">
        <f t="shared" ca="1" si="9"/>
        <v>N/A</v>
      </c>
      <c r="K53" s="17" t="str">
        <f t="shared" ca="1" si="9"/>
        <v>N/A</v>
      </c>
      <c r="L53" s="17" t="str">
        <f t="shared" ca="1" si="9"/>
        <v>N/A</v>
      </c>
      <c r="M53" s="17" t="str">
        <f t="shared" ca="1" si="9"/>
        <v>N/A</v>
      </c>
      <c r="N53" s="17" t="str">
        <f t="shared" ca="1" si="9"/>
        <v>N/A</v>
      </c>
      <c r="O53" s="17" t="str">
        <f t="shared" ca="1" si="9"/>
        <v>N/A</v>
      </c>
      <c r="P53" s="17" t="str">
        <f t="shared" ca="1" si="9"/>
        <v>N/A</v>
      </c>
      <c r="Q53" s="17" t="str">
        <f t="shared" ca="1" si="9"/>
        <v>N/A</v>
      </c>
      <c r="R53" s="57"/>
      <c r="S53" s="57"/>
      <c r="T53" s="57"/>
    </row>
    <row r="54" spans="1:20">
      <c r="A54" t="str">
        <f>IFERROR(INDEX('2017 Data (WP)'!$C$9:$C$72,MATCH($B54,'2017 Data (WP)'!$D$9:$D$72,0)),"")</f>
        <v>Electric Utility (West)</v>
      </c>
      <c r="B54" t="s">
        <v>30</v>
      </c>
      <c r="C54" t="s">
        <v>71</v>
      </c>
      <c r="D54" s="35">
        <f t="shared" ca="1" si="10"/>
        <v>49</v>
      </c>
      <c r="E54" s="35">
        <f t="shared" ca="1" si="11"/>
        <v>48</v>
      </c>
      <c r="F54" s="35"/>
      <c r="G54" s="17">
        <f t="shared" ca="1" si="9"/>
        <v>0.73079996448548346</v>
      </c>
      <c r="H54" s="17">
        <f t="shared" ca="1" si="9"/>
        <v>0.69317101008179571</v>
      </c>
      <c r="I54" s="17">
        <f t="shared" ca="1" si="9"/>
        <v>0.80059084194977859</v>
      </c>
      <c r="J54" s="17">
        <f t="shared" ca="1" si="9"/>
        <v>0.55525346430450806</v>
      </c>
      <c r="K54" s="17">
        <f t="shared" ca="1" si="9"/>
        <v>0.6814456035767511</v>
      </c>
      <c r="L54" s="17">
        <f t="shared" ca="1" si="9"/>
        <v>0.82542113323124056</v>
      </c>
      <c r="M54" s="17">
        <f t="shared" ca="1" si="9"/>
        <v>0.8547817047817049</v>
      </c>
      <c r="N54" s="17">
        <f t="shared" ca="1" si="9"/>
        <v>0.78342696629213493</v>
      </c>
      <c r="O54" s="17">
        <f t="shared" ca="1" si="9"/>
        <v>0.83986863057324845</v>
      </c>
      <c r="P54" s="17">
        <f t="shared" ca="1" si="9"/>
        <v>1.0245273377618804</v>
      </c>
      <c r="Q54" s="17">
        <f t="shared" ca="1" si="9"/>
        <v>1.1240579710144927</v>
      </c>
      <c r="R54" s="57"/>
      <c r="S54" s="57"/>
      <c r="T54" s="57"/>
    </row>
    <row r="55" spans="1:20">
      <c r="A55" t="str">
        <f>IFERROR(INDEX('2017 Data (WP)'!$C$9:$C$72,MATCH($B55,'2017 Data (WP)'!$D$9:$D$72,0)),"")</f>
        <v>Electric Utility (West)</v>
      </c>
      <c r="B55" t="s">
        <v>31</v>
      </c>
      <c r="C55" t="s">
        <v>72</v>
      </c>
      <c r="D55" s="35">
        <f t="shared" ca="1" si="10"/>
        <v>50</v>
      </c>
      <c r="E55" s="35">
        <f t="shared" ca="1" si="11"/>
        <v>49</v>
      </c>
      <c r="F55" s="35"/>
      <c r="G55" s="17">
        <f t="shared" ref="G55:Q64" ca="1" si="12">IFERROR(INDEX(CashFlow,$D55,G$2)/INDEX(CapSpending,$E55,G$2),"N/A")</f>
        <v>0.80687580575848727</v>
      </c>
      <c r="H55" s="17">
        <f t="shared" ca="1" si="12"/>
        <v>0.92360052829421913</v>
      </c>
      <c r="I55" s="17">
        <f t="shared" ca="1" si="12"/>
        <v>0.96537726838586446</v>
      </c>
      <c r="J55" s="17">
        <f t="shared" ca="1" si="12"/>
        <v>0.871246928090608</v>
      </c>
      <c r="K55" s="17">
        <f t="shared" ca="1" si="12"/>
        <v>0.96032516379519528</v>
      </c>
      <c r="L55" s="17">
        <f t="shared" ca="1" si="12"/>
        <v>0.91056517003509618</v>
      </c>
      <c r="M55" s="17">
        <f t="shared" ca="1" si="12"/>
        <v>0.97356076759061838</v>
      </c>
      <c r="N55" s="17">
        <f t="shared" ca="1" si="12"/>
        <v>1.0567765567765566</v>
      </c>
      <c r="O55" s="17">
        <f t="shared" ca="1" si="12"/>
        <v>0.85983086680761101</v>
      </c>
      <c r="P55" s="17">
        <f t="shared" ca="1" si="12"/>
        <v>0.99167644861807691</v>
      </c>
      <c r="Q55" s="17">
        <f t="shared" ca="1" si="12"/>
        <v>1.2773020682387037</v>
      </c>
      <c r="R55" s="57"/>
      <c r="S55" s="57"/>
      <c r="T55" s="57"/>
    </row>
    <row r="56" spans="1:20">
      <c r="A56" t="str">
        <f>IFERROR(INDEX('2017 Data (WP)'!$C$9:$C$72,MATCH($B56,'2017 Data (WP)'!$D$9:$D$72,0)),"")</f>
        <v>Electric Utility (West)</v>
      </c>
      <c r="B56" t="s">
        <v>32</v>
      </c>
      <c r="C56" t="s">
        <v>74</v>
      </c>
      <c r="D56" s="35">
        <f t="shared" ca="1" si="10"/>
        <v>51</v>
      </c>
      <c r="E56" s="35">
        <f t="shared" ca="1" si="11"/>
        <v>50</v>
      </c>
      <c r="F56" s="35"/>
      <c r="G56" s="17">
        <f t="shared" ca="1" si="12"/>
        <v>0.76446428571428571</v>
      </c>
      <c r="H56" s="17">
        <f t="shared" ca="1" si="12"/>
        <v>0.56723228290317984</v>
      </c>
      <c r="I56" s="17">
        <f t="shared" ca="1" si="12"/>
        <v>0.62597267854054983</v>
      </c>
      <c r="J56" s="17">
        <f t="shared" ca="1" si="12"/>
        <v>0.80407415884641797</v>
      </c>
      <c r="K56" s="17">
        <f t="shared" ca="1" si="12"/>
        <v>0.87158329035585347</v>
      </c>
      <c r="L56" s="17">
        <f t="shared" ca="1" si="12"/>
        <v>0.7743664717348927</v>
      </c>
      <c r="M56" s="17">
        <f t="shared" ca="1" si="12"/>
        <v>0.82112068965517226</v>
      </c>
      <c r="N56" s="17">
        <f t="shared" ca="1" si="12"/>
        <v>0.69756244357508279</v>
      </c>
      <c r="O56" s="17">
        <f t="shared" ca="1" si="12"/>
        <v>0.44054189663823379</v>
      </c>
      <c r="P56" s="17">
        <f t="shared" ca="1" si="12"/>
        <v>0.42772911051212942</v>
      </c>
      <c r="Q56" s="17">
        <f t="shared" ca="1" si="12"/>
        <v>0.88550185873605947</v>
      </c>
      <c r="R56" s="57"/>
      <c r="S56" s="57"/>
      <c r="T56" s="57"/>
    </row>
    <row r="57" spans="1:20">
      <c r="A57" t="str">
        <f>IFERROR(INDEX('2017 Data (WP)'!$C$9:$C$72,MATCH($B57,'2017 Data (WP)'!$D$9:$D$72,0)),"")</f>
        <v>Electric Utility (West)</v>
      </c>
      <c r="B57" t="s">
        <v>33</v>
      </c>
      <c r="C57" t="s">
        <v>92</v>
      </c>
      <c r="D57" s="35">
        <f t="shared" ca="1" si="10"/>
        <v>52</v>
      </c>
      <c r="E57" s="35">
        <f t="shared" ca="1" si="11"/>
        <v>51</v>
      </c>
      <c r="F57" s="35"/>
      <c r="G57" s="17">
        <f t="shared" ca="1" si="12"/>
        <v>0.88014011574779172</v>
      </c>
      <c r="H57" s="17">
        <f t="shared" ca="1" si="12"/>
        <v>0.7976243504083147</v>
      </c>
      <c r="I57" s="17">
        <f t="shared" ca="1" si="12"/>
        <v>0.47269478753981203</v>
      </c>
      <c r="J57" s="17">
        <f t="shared" ca="1" si="12"/>
        <v>0.58683490060707055</v>
      </c>
      <c r="K57" s="17">
        <f t="shared" ca="1" si="12"/>
        <v>1.283790523690773</v>
      </c>
      <c r="L57" s="17">
        <f t="shared" ca="1" si="12"/>
        <v>1.2466716905300177</v>
      </c>
      <c r="M57" s="17">
        <f t="shared" ca="1" si="12"/>
        <v>0.80669456066945622</v>
      </c>
      <c r="N57" s="17">
        <f t="shared" ca="1" si="12"/>
        <v>0.43970175059433758</v>
      </c>
      <c r="O57" s="17">
        <f t="shared" ca="1" si="12"/>
        <v>0.77013559875837279</v>
      </c>
      <c r="P57" s="17">
        <f t="shared" ca="1" si="12"/>
        <v>0.71650405386835236</v>
      </c>
      <c r="Q57" s="17">
        <f t="shared" ca="1" si="12"/>
        <v>0.78167115902964956</v>
      </c>
      <c r="R57" s="57"/>
      <c r="S57" s="57"/>
      <c r="T57" s="57"/>
    </row>
    <row r="58" spans="1:20">
      <c r="A58" t="str">
        <f>IFERROR(INDEX('2017 Data (WP)'!$C$9:$C$72,MATCH($B58,'2017 Data (WP)'!$D$9:$D$72,0)),"")</f>
        <v>Electric Utility (East)</v>
      </c>
      <c r="B58" t="s">
        <v>34</v>
      </c>
      <c r="C58" t="s">
        <v>70</v>
      </c>
      <c r="D58" s="35">
        <f t="shared" ca="1" si="10"/>
        <v>53</v>
      </c>
      <c r="E58" s="35">
        <f t="shared" ca="1" si="11"/>
        <v>52</v>
      </c>
      <c r="F58" s="35"/>
      <c r="G58" s="17">
        <f t="shared" ca="1" si="12"/>
        <v>0.99488372093023247</v>
      </c>
      <c r="H58" s="17">
        <f t="shared" ca="1" si="12"/>
        <v>0.72038909021552544</v>
      </c>
      <c r="I58" s="17">
        <f t="shared" ca="1" si="12"/>
        <v>0.74523848282598082</v>
      </c>
      <c r="J58" s="17">
        <f t="shared" ca="1" si="12"/>
        <v>0.69425321759952108</v>
      </c>
      <c r="K58" s="17">
        <f t="shared" ca="1" si="12"/>
        <v>0.90742128935532218</v>
      </c>
      <c r="L58" s="17">
        <f t="shared" ca="1" si="12"/>
        <v>1.0674418604651164</v>
      </c>
      <c r="M58" s="17">
        <f t="shared" ca="1" si="12"/>
        <v>1.1077481840193706</v>
      </c>
      <c r="N58" s="17">
        <f t="shared" ca="1" si="12"/>
        <v>1.0668103448275861</v>
      </c>
      <c r="O58" s="17">
        <f t="shared" ca="1" si="12"/>
        <v>1.245377707342842</v>
      </c>
      <c r="P58" s="17">
        <f t="shared" ca="1" si="12"/>
        <v>1.1300398759415151</v>
      </c>
      <c r="Q58" s="17">
        <f t="shared" ca="1" si="12"/>
        <v>1.1765193370165747</v>
      </c>
      <c r="R58" s="57"/>
      <c r="S58" s="57"/>
      <c r="T58" s="57"/>
    </row>
    <row r="59" spans="1:20">
      <c r="A59" t="str">
        <f>IFERROR(INDEX('2017 Data (WP)'!$C$9:$C$72,MATCH($B59,'2017 Data (WP)'!$D$9:$D$72,0)),"")</f>
        <v>Electric Utility (East)</v>
      </c>
      <c r="B59" t="s">
        <v>35</v>
      </c>
      <c r="C59" t="s">
        <v>75</v>
      </c>
      <c r="D59" s="35">
        <f t="shared" ca="1" si="10"/>
        <v>54</v>
      </c>
      <c r="E59" s="35">
        <f t="shared" ca="1" si="11"/>
        <v>53</v>
      </c>
      <c r="F59" s="35"/>
      <c r="G59" s="17">
        <f t="shared" ca="1" si="12"/>
        <v>0.69465753424657528</v>
      </c>
      <c r="H59" s="17">
        <f t="shared" ca="1" si="12"/>
        <v>0.80405493786788762</v>
      </c>
      <c r="I59" s="17">
        <f t="shared" ca="1" si="12"/>
        <v>1.0443049327354259</v>
      </c>
      <c r="J59" s="17">
        <f t="shared" ca="1" si="12"/>
        <v>0.92945834083138379</v>
      </c>
      <c r="K59" s="17">
        <f t="shared" ca="1" si="12"/>
        <v>0.95813679245283012</v>
      </c>
      <c r="L59" s="17">
        <f t="shared" ca="1" si="12"/>
        <v>1.3019188729657518</v>
      </c>
      <c r="M59" s="17">
        <f t="shared" ca="1" si="12"/>
        <v>1.2347153900210821</v>
      </c>
      <c r="N59" s="17">
        <f t="shared" ca="1" si="12"/>
        <v>1.4055273547659335</v>
      </c>
      <c r="O59" s="17">
        <f t="shared" ca="1" si="12"/>
        <v>1.3365714285714285</v>
      </c>
      <c r="P59" s="17">
        <f t="shared" ca="1" si="12"/>
        <v>1.6439079592606562</v>
      </c>
      <c r="Q59" s="17">
        <f t="shared" ca="1" si="12"/>
        <v>1.944748631159781</v>
      </c>
      <c r="R59" s="57"/>
      <c r="S59" s="57"/>
      <c r="T59" s="57"/>
    </row>
    <row r="60" spans="1:20">
      <c r="A60" t="str">
        <f>IFERROR(INDEX('2017 Data (WP)'!$C$9:$C$72,MATCH($B60,'2017 Data (WP)'!$D$9:$D$72,0)),"")</f>
        <v>Electric Utility (East)</v>
      </c>
      <c r="B60" t="s">
        <v>36</v>
      </c>
      <c r="C60" t="s">
        <v>76</v>
      </c>
      <c r="D60" s="35">
        <f t="shared" ca="1" si="10"/>
        <v>56</v>
      </c>
      <c r="E60" s="35">
        <f t="shared" ca="1" si="11"/>
        <v>55</v>
      </c>
      <c r="F60" s="35"/>
      <c r="G60" s="17">
        <f t="shared" ca="1" si="12"/>
        <v>0.6592760180995475</v>
      </c>
      <c r="H60" s="17">
        <f t="shared" ca="1" si="12"/>
        <v>0.83083405626471674</v>
      </c>
      <c r="I60" s="17">
        <f t="shared" ca="1" si="12"/>
        <v>0.90303188708834292</v>
      </c>
      <c r="J60" s="17">
        <f t="shared" ca="1" si="12"/>
        <v>0.83273839877613465</v>
      </c>
      <c r="K60" s="17">
        <f t="shared" ca="1" si="12"/>
        <v>0.77261583721500371</v>
      </c>
      <c r="L60" s="17">
        <f t="shared" ca="1" si="12"/>
        <v>0.88348516015280631</v>
      </c>
      <c r="M60" s="17">
        <f t="shared" ca="1" si="12"/>
        <v>0.85947046843177199</v>
      </c>
      <c r="N60" s="17">
        <f t="shared" ca="1" si="12"/>
        <v>0.76045883940620773</v>
      </c>
      <c r="O60" s="17">
        <f t="shared" ca="1" si="12"/>
        <v>0.76325732899022802</v>
      </c>
      <c r="P60" s="17">
        <f t="shared" ca="1" si="12"/>
        <v>0.92275506919858374</v>
      </c>
      <c r="Q60" s="17">
        <f t="shared" ca="1" si="12"/>
        <v>1.2581359309276068</v>
      </c>
      <c r="R60" s="57"/>
      <c r="S60" s="57"/>
      <c r="T60" s="57"/>
    </row>
    <row r="61" spans="1:20">
      <c r="A61" t="str">
        <f>IFERROR(INDEX('2017 Data (WP)'!$C$9:$C$72,MATCH($B61,'2017 Data (WP)'!$D$9:$D$72,0)),"")</f>
        <v>Electric Utility (West)</v>
      </c>
      <c r="B61" t="s">
        <v>37</v>
      </c>
      <c r="C61" t="s">
        <v>54</v>
      </c>
      <c r="D61" s="35">
        <f t="shared" ca="1" si="10"/>
        <v>57</v>
      </c>
      <c r="E61" s="35">
        <f t="shared" ca="1" si="11"/>
        <v>56</v>
      </c>
      <c r="F61" s="35"/>
      <c r="G61" s="17">
        <f t="shared" ca="1" si="12"/>
        <v>0.56381336815861327</v>
      </c>
      <c r="H61" s="17">
        <f t="shared" ca="1" si="12"/>
        <v>0.8120525529069309</v>
      </c>
      <c r="I61" s="17">
        <f t="shared" ca="1" si="12"/>
        <v>0.74191512856917496</v>
      </c>
      <c r="J61" s="17">
        <f t="shared" ca="1" si="12"/>
        <v>0.84288565725691467</v>
      </c>
      <c r="K61" s="17">
        <f t="shared" ca="1" si="12"/>
        <v>0.73171531649721222</v>
      </c>
      <c r="L61" s="17">
        <f t="shared" ca="1" si="12"/>
        <v>0.72361427486712226</v>
      </c>
      <c r="M61" s="17">
        <f t="shared" ca="1" si="12"/>
        <v>0.90438432835820892</v>
      </c>
      <c r="N61" s="17">
        <f t="shared" ca="1" si="12"/>
        <v>1.0241103661681279</v>
      </c>
      <c r="O61" s="17">
        <f t="shared" ca="1" si="12"/>
        <v>0.87343565525383693</v>
      </c>
      <c r="P61" s="17">
        <f t="shared" ca="1" si="12"/>
        <v>0.90050655929341472</v>
      </c>
      <c r="Q61" s="17">
        <f t="shared" ca="1" si="12"/>
        <v>0.92552899148117618</v>
      </c>
    </row>
    <row r="62" spans="1:20">
      <c r="A62" t="str">
        <f>IFERROR(INDEX('2017 Data (WP)'!$C$9:$C$72,MATCH($B62,'2017 Data (WP)'!$D$9:$D$72,0)),"")</f>
        <v/>
      </c>
      <c r="B62" t="s">
        <v>64</v>
      </c>
      <c r="C62" t="s">
        <v>63</v>
      </c>
      <c r="D62" s="35" t="e">
        <f t="shared" ca="1" si="10"/>
        <v>#N/A</v>
      </c>
      <c r="E62" s="35" t="e">
        <f t="shared" ca="1" si="11"/>
        <v>#N/A</v>
      </c>
      <c r="F62" s="35"/>
      <c r="G62" s="17" t="str">
        <f t="shared" ca="1" si="12"/>
        <v>N/A</v>
      </c>
      <c r="H62" s="17" t="str">
        <f t="shared" ca="1" si="12"/>
        <v>N/A</v>
      </c>
      <c r="I62" s="17" t="str">
        <f t="shared" ca="1" si="12"/>
        <v>N/A</v>
      </c>
      <c r="J62" s="17" t="str">
        <f t="shared" ca="1" si="12"/>
        <v>N/A</v>
      </c>
      <c r="K62" s="17" t="str">
        <f t="shared" ca="1" si="12"/>
        <v>N/A</v>
      </c>
      <c r="L62" s="17" t="str">
        <f t="shared" ca="1" si="12"/>
        <v>N/A</v>
      </c>
      <c r="M62" s="17" t="str">
        <f t="shared" ca="1" si="12"/>
        <v>N/A</v>
      </c>
      <c r="N62" s="17" t="str">
        <f t="shared" ca="1" si="12"/>
        <v>N/A</v>
      </c>
      <c r="O62" s="17" t="str">
        <f t="shared" ca="1" si="12"/>
        <v>N/A</v>
      </c>
      <c r="P62" s="17" t="str">
        <f t="shared" ca="1" si="12"/>
        <v>N/A</v>
      </c>
      <c r="Q62" s="17" t="str">
        <f t="shared" ca="1" si="12"/>
        <v>N/A</v>
      </c>
    </row>
    <row r="63" spans="1:20">
      <c r="A63" t="str">
        <f>IFERROR(INDEX('2017 Data (WP)'!$C$9:$C$72,MATCH($B63,'2017 Data (WP)'!$D$9:$D$72,0)),"")</f>
        <v>Water Utility</v>
      </c>
      <c r="B63" s="31" t="s">
        <v>196</v>
      </c>
      <c r="C63" s="31" t="s">
        <v>195</v>
      </c>
      <c r="D63" s="35">
        <f t="shared" ca="1" si="10"/>
        <v>58</v>
      </c>
      <c r="E63" s="35">
        <f t="shared" ca="1" si="11"/>
        <v>57</v>
      </c>
      <c r="F63" s="35"/>
      <c r="G63" s="17">
        <f t="shared" ca="1" si="12"/>
        <v>0.68541426927502869</v>
      </c>
      <c r="H63" s="17">
        <f t="shared" ca="1" si="12"/>
        <v>0.73620920022905145</v>
      </c>
      <c r="I63" s="17">
        <f t="shared" ca="1" si="12"/>
        <v>0.88087649402390444</v>
      </c>
      <c r="J63" s="17">
        <f t="shared" ca="1" si="12"/>
        <v>0.62005559119093434</v>
      </c>
      <c r="K63" s="17">
        <f t="shared" ca="1" si="12"/>
        <v>0.52364149611856037</v>
      </c>
      <c r="L63" s="17">
        <f t="shared" ca="1" si="12"/>
        <v>0.74673420421221015</v>
      </c>
      <c r="M63" s="17">
        <f t="shared" ca="1" si="12"/>
        <v>0.42103399433427768</v>
      </c>
      <c r="N63" s="17">
        <f t="shared" ca="1" si="12"/>
        <v>0.69589905362776028</v>
      </c>
      <c r="O63" s="17">
        <f t="shared" ca="1" si="12"/>
        <v>0.6422356973372001</v>
      </c>
      <c r="P63" s="17">
        <f t="shared" ca="1" si="12"/>
        <v>0.3472411186696901</v>
      </c>
      <c r="Q63" s="17">
        <f t="shared" ca="1" si="12"/>
        <v>0.61524547803617569</v>
      </c>
    </row>
    <row r="64" spans="1:20">
      <c r="A64" t="str">
        <f>IFERROR(INDEX('2017 Data (WP)'!$C$9:$C$72,MATCH($B64,'2017 Data (WP)'!$D$9:$D$72,0)),"")</f>
        <v>Natural Gas Utility</v>
      </c>
      <c r="B64" s="31" t="s">
        <v>198</v>
      </c>
      <c r="C64" s="31" t="s">
        <v>197</v>
      </c>
      <c r="D64" s="35">
        <f t="shared" ca="1" si="10"/>
        <v>59</v>
      </c>
      <c r="E64" s="35">
        <f t="shared" ca="1" si="11"/>
        <v>58</v>
      </c>
      <c r="F64" s="35"/>
      <c r="G64" s="17">
        <f t="shared" ca="1" si="12"/>
        <v>0.83593749999999989</v>
      </c>
      <c r="H64" s="17">
        <f t="shared" ca="1" si="12"/>
        <v>0.49609856262833674</v>
      </c>
      <c r="I64" s="17">
        <f t="shared" ca="1" si="12"/>
        <v>0.53281468182724911</v>
      </c>
      <c r="J64" s="17">
        <f t="shared" ca="1" si="12"/>
        <v>0.51167596610870014</v>
      </c>
      <c r="K64" s="17">
        <f t="shared" ca="1" si="12"/>
        <v>0.5845386533665835</v>
      </c>
      <c r="L64" s="17">
        <f t="shared" ca="1" si="12"/>
        <v>0.69774718397997493</v>
      </c>
      <c r="M64" s="17">
        <f t="shared" ca="1" si="12"/>
        <v>0.753042233357194</v>
      </c>
      <c r="N64" s="17">
        <f t="shared" ca="1" si="12"/>
        <v>1.0136314067611778</v>
      </c>
      <c r="O64" s="17">
        <f t="shared" ca="1" si="12"/>
        <v>1.6679462571976966</v>
      </c>
      <c r="P64" s="17">
        <f t="shared" ca="1" si="12"/>
        <v>1.7046908315565032</v>
      </c>
      <c r="Q64" s="17">
        <f t="shared" ca="1" si="12"/>
        <v>1.395700636942675</v>
      </c>
    </row>
    <row r="65" spans="1:17">
      <c r="A65" t="str">
        <f>IFERROR(INDEX('2017 Data (WP)'!$C$9:$C$72,MATCH($B65,'2017 Data (WP)'!$D$9:$D$72,0)),"")</f>
        <v>Electric Utility (East)</v>
      </c>
      <c r="B65" t="s">
        <v>38</v>
      </c>
      <c r="C65" t="s">
        <v>77</v>
      </c>
      <c r="D65" s="35">
        <f t="shared" ca="1" si="10"/>
        <v>60</v>
      </c>
      <c r="E65" s="35">
        <f t="shared" ca="1" si="11"/>
        <v>59</v>
      </c>
      <c r="F65" s="35"/>
      <c r="G65" s="17">
        <f t="shared" ref="G65:Q74" ca="1" si="13">IFERROR(INDEX(CashFlow,$D65,G$2)/INDEX(CapSpending,$E65,G$2),"N/A")</f>
        <v>0.55242718446601946</v>
      </c>
      <c r="H65" s="17">
        <f t="shared" ca="1" si="13"/>
        <v>0.8791579623975575</v>
      </c>
      <c r="I65" s="17">
        <f t="shared" ca="1" si="13"/>
        <v>0.80179222357229651</v>
      </c>
      <c r="J65" s="17">
        <f t="shared" ca="1" si="13"/>
        <v>0.85514777525170504</v>
      </c>
      <c r="K65" s="17">
        <f t="shared" ca="1" si="13"/>
        <v>0.9346806207145435</v>
      </c>
      <c r="L65" s="17">
        <f t="shared" ca="1" si="13"/>
        <v>0.93957934990439762</v>
      </c>
      <c r="M65" s="17">
        <f t="shared" ca="1" si="13"/>
        <v>0.93147574819401446</v>
      </c>
      <c r="N65" s="17">
        <f t="shared" ca="1" si="13"/>
        <v>0.77781677781677783</v>
      </c>
      <c r="O65" s="17">
        <f t="shared" ca="1" si="13"/>
        <v>0.86992348440258971</v>
      </c>
      <c r="P65" s="17">
        <f t="shared" ca="1" si="13"/>
        <v>0.90830822212656048</v>
      </c>
      <c r="Q65" s="17">
        <f t="shared" ca="1" si="13"/>
        <v>1.0002492522432702</v>
      </c>
    </row>
    <row r="66" spans="1:17">
      <c r="A66" t="str">
        <f>IFERROR(INDEX('2017 Data (WP)'!$C$9:$C$72,MATCH($B66,'2017 Data (WP)'!$D$9:$D$72,0)),"")</f>
        <v>Natural Gas Utility</v>
      </c>
      <c r="B66" s="31" t="s">
        <v>200</v>
      </c>
      <c r="C66" s="31" t="s">
        <v>199</v>
      </c>
      <c r="D66" s="35">
        <f t="shared" ca="1" si="10"/>
        <v>61</v>
      </c>
      <c r="E66" s="35">
        <f t="shared" ca="1" si="11"/>
        <v>60</v>
      </c>
      <c r="F66" s="35"/>
      <c r="G66" s="17">
        <f t="shared" ca="1" si="13"/>
        <v>0.82586666666666675</v>
      </c>
      <c r="H66" s="17">
        <f t="shared" ca="1" si="13"/>
        <v>0.83699029126213587</v>
      </c>
      <c r="I66" s="17">
        <f t="shared" ca="1" si="13"/>
        <v>0.99308404641894255</v>
      </c>
      <c r="J66" s="17">
        <f t="shared" ca="1" si="13"/>
        <v>1.0491219139730212</v>
      </c>
      <c r="K66" s="17">
        <f t="shared" ca="1" si="13"/>
        <v>0.9015743440233237</v>
      </c>
      <c r="L66" s="17">
        <f t="shared" ca="1" si="13"/>
        <v>0.82098914354644159</v>
      </c>
      <c r="M66" s="17">
        <f t="shared" ca="1" si="13"/>
        <v>1.3662507929794883</v>
      </c>
      <c r="N66" s="17">
        <f t="shared" ca="1" si="13"/>
        <v>1.2793017456359101</v>
      </c>
      <c r="O66" s="17">
        <f t="shared" ca="1" si="13"/>
        <v>0.84824845451869302</v>
      </c>
      <c r="P66" s="17">
        <f t="shared" ca="1" si="13"/>
        <v>0.77973125706392055</v>
      </c>
      <c r="Q66" s="17">
        <f t="shared" ca="1" si="13"/>
        <v>0.72226926333615582</v>
      </c>
    </row>
    <row r="67" spans="1:17">
      <c r="A67" t="str">
        <f>IFERROR(INDEX('2017 Data (WP)'!$C$9:$C$72,MATCH($B67,'2017 Data (WP)'!$D$9:$D$72,0)),"")</f>
        <v>Natural Gas Utility</v>
      </c>
      <c r="B67" s="31" t="s">
        <v>244</v>
      </c>
      <c r="C67" s="31" t="s">
        <v>243</v>
      </c>
      <c r="D67" s="35">
        <f t="shared" ca="1" si="10"/>
        <v>62</v>
      </c>
      <c r="E67" s="35">
        <f t="shared" ca="1" si="11"/>
        <v>61</v>
      </c>
      <c r="F67" s="35"/>
      <c r="G67" s="17">
        <f t="shared" ca="1" si="13"/>
        <v>0.95844357976653705</v>
      </c>
      <c r="H67" s="17">
        <f t="shared" ca="1" si="13"/>
        <v>0.92070616397366845</v>
      </c>
      <c r="I67" s="17">
        <f t="shared" ca="1" si="13"/>
        <v>0.97651515151515156</v>
      </c>
      <c r="J67" s="17">
        <f t="shared" ca="1" si="13"/>
        <v>0.78025</v>
      </c>
      <c r="K67" s="17">
        <f t="shared" ca="1" si="13"/>
        <v>0.94985495234148365</v>
      </c>
      <c r="L67" s="17">
        <f t="shared" ca="1" si="13"/>
        <v>1.5316749585406302</v>
      </c>
      <c r="M67" s="17">
        <f t="shared" ca="1" si="13"/>
        <v>1.6069612827532265</v>
      </c>
      <c r="N67" s="17">
        <f t="shared" ca="1" si="13"/>
        <v>1.9284807448159123</v>
      </c>
      <c r="O67" s="17">
        <f t="shared" ca="1" si="13"/>
        <v>1.63986013986014</v>
      </c>
      <c r="P67" s="17">
        <f t="shared" ca="1" si="13"/>
        <v>1.424264705882353</v>
      </c>
      <c r="Q67" s="17">
        <f t="shared" ca="1" si="13"/>
        <v>1.2829235432805659</v>
      </c>
    </row>
    <row r="68" spans="1:17">
      <c r="A68" t="str">
        <f>IFERROR(INDEX('2017 Data (WP)'!$C$9:$C$72,MATCH($B68,'2017 Data (WP)'!$D$9:$D$72,0)),"")</f>
        <v/>
      </c>
      <c r="B68" t="s">
        <v>39</v>
      </c>
      <c r="C68" t="s">
        <v>78</v>
      </c>
      <c r="D68" s="35" t="e">
        <f t="shared" ca="1" si="10"/>
        <v>#N/A</v>
      </c>
      <c r="E68" s="35" t="e">
        <f t="shared" ca="1" si="11"/>
        <v>#N/A</v>
      </c>
      <c r="F68" s="35"/>
      <c r="G68" s="17" t="str">
        <f t="shared" ca="1" si="13"/>
        <v>N/A</v>
      </c>
      <c r="H68" s="17" t="str">
        <f t="shared" ca="1" si="13"/>
        <v>N/A</v>
      </c>
      <c r="I68" s="17" t="str">
        <f t="shared" ca="1" si="13"/>
        <v>N/A</v>
      </c>
      <c r="J68" s="17" t="str">
        <f t="shared" ca="1" si="13"/>
        <v>N/A</v>
      </c>
      <c r="K68" s="17" t="str">
        <f t="shared" ca="1" si="13"/>
        <v>N/A</v>
      </c>
      <c r="L68" s="17" t="str">
        <f t="shared" ca="1" si="13"/>
        <v>N/A</v>
      </c>
      <c r="M68" s="17" t="str">
        <f t="shared" ca="1" si="13"/>
        <v>N/A</v>
      </c>
      <c r="N68" s="17" t="str">
        <f t="shared" ca="1" si="13"/>
        <v>N/A</v>
      </c>
      <c r="O68" s="17" t="str">
        <f t="shared" ca="1" si="13"/>
        <v>N/A</v>
      </c>
      <c r="P68" s="17" t="str">
        <f t="shared" ca="1" si="13"/>
        <v>N/A</v>
      </c>
      <c r="Q68" s="17" t="str">
        <f t="shared" ca="1" si="13"/>
        <v>N/A</v>
      </c>
    </row>
    <row r="69" spans="1:17">
      <c r="A69" t="str">
        <f>IFERROR(INDEX('2017 Data (WP)'!$C$9:$C$72,MATCH($B69,'2017 Data (WP)'!$D$9:$D$72,0)),"")</f>
        <v>Natural Gas Utility</v>
      </c>
      <c r="B69" s="31" t="s">
        <v>204</v>
      </c>
      <c r="C69" s="31" t="s">
        <v>203</v>
      </c>
      <c r="D69" s="35">
        <f t="shared" ca="1" si="10"/>
        <v>64</v>
      </c>
      <c r="E69" s="35">
        <f t="shared" ca="1" si="11"/>
        <v>63</v>
      </c>
      <c r="F69" s="35"/>
      <c r="G69" s="17">
        <f t="shared" ca="1" si="13"/>
        <v>1.3495085995085996</v>
      </c>
      <c r="H69" s="17">
        <f t="shared" ca="1" si="13"/>
        <v>1.4837685250529287</v>
      </c>
      <c r="I69" s="17">
        <f t="shared" ca="1" si="13"/>
        <v>1.5323251417769377</v>
      </c>
      <c r="J69" s="17">
        <f t="shared" ca="1" si="13"/>
        <v>1.319268635724332</v>
      </c>
      <c r="K69" s="17">
        <f t="shared" ca="1" si="13"/>
        <v>1.518426294820717</v>
      </c>
      <c r="L69" s="17">
        <f t="shared" ca="1" si="13"/>
        <v>1.2776744186046511</v>
      </c>
      <c r="M69" s="17">
        <f t="shared" ca="1" si="13"/>
        <v>1.3563653573118788</v>
      </c>
      <c r="N69" s="17">
        <f t="shared" ca="1" si="13"/>
        <v>1.5229357798165137</v>
      </c>
      <c r="O69" s="17">
        <f t="shared" ca="1" si="13"/>
        <v>1.7224149895905623</v>
      </c>
      <c r="P69" s="17">
        <f t="shared" ca="1" si="13"/>
        <v>1.6179211469534052</v>
      </c>
      <c r="Q69" s="17">
        <f t="shared" ca="1" si="13"/>
        <v>1.6947194719471945</v>
      </c>
    </row>
    <row r="70" spans="1:17">
      <c r="A70" t="str">
        <f>IFERROR(INDEX('2017 Data (WP)'!$C$9:$C$72,MATCH($B70,'2017 Data (WP)'!$D$9:$D$72,0)),"")</f>
        <v/>
      </c>
      <c r="B70" t="s">
        <v>40</v>
      </c>
      <c r="C70" t="s">
        <v>81</v>
      </c>
      <c r="D70" s="35" t="e">
        <f t="shared" ca="1" si="10"/>
        <v>#N/A</v>
      </c>
      <c r="E70" s="35" t="e">
        <f t="shared" ca="1" si="11"/>
        <v>#N/A</v>
      </c>
      <c r="F70" s="35"/>
      <c r="G70" s="17" t="str">
        <f t="shared" ca="1" si="13"/>
        <v>N/A</v>
      </c>
      <c r="H70" s="17" t="str">
        <f t="shared" ca="1" si="13"/>
        <v>N/A</v>
      </c>
      <c r="I70" s="17" t="str">
        <f t="shared" ca="1" si="13"/>
        <v>N/A</v>
      </c>
      <c r="J70" s="17" t="str">
        <f t="shared" ca="1" si="13"/>
        <v>N/A</v>
      </c>
      <c r="K70" s="17" t="str">
        <f t="shared" ca="1" si="13"/>
        <v>N/A</v>
      </c>
      <c r="L70" s="17" t="str">
        <f t="shared" ca="1" si="13"/>
        <v>N/A</v>
      </c>
      <c r="M70" s="17" t="str">
        <f t="shared" ca="1" si="13"/>
        <v>N/A</v>
      </c>
      <c r="N70" s="17" t="str">
        <f t="shared" ca="1" si="13"/>
        <v>N/A</v>
      </c>
      <c r="O70" s="17" t="str">
        <f t="shared" ca="1" si="13"/>
        <v>N/A</v>
      </c>
      <c r="P70" s="17" t="str">
        <f t="shared" ca="1" si="13"/>
        <v>N/A</v>
      </c>
      <c r="Q70" s="17" t="str">
        <f t="shared" ca="1" si="13"/>
        <v>N/A</v>
      </c>
    </row>
    <row r="71" spans="1:17">
      <c r="A71" t="str">
        <f>IFERROR(INDEX('2017 Data (WP)'!$C$9:$C$72,MATCH($B71,'2017 Data (WP)'!$D$9:$D$72,0)),"")</f>
        <v/>
      </c>
      <c r="B71" t="s">
        <v>41</v>
      </c>
      <c r="C71" t="s">
        <v>79</v>
      </c>
      <c r="D71" s="35" t="e">
        <f t="shared" ca="1" si="10"/>
        <v>#N/A</v>
      </c>
      <c r="E71" s="35" t="e">
        <f t="shared" ca="1" si="11"/>
        <v>#N/A</v>
      </c>
      <c r="F71" s="35"/>
      <c r="G71" s="17" t="str">
        <f t="shared" ca="1" si="13"/>
        <v>N/A</v>
      </c>
      <c r="H71" s="17" t="str">
        <f t="shared" ca="1" si="13"/>
        <v>N/A</v>
      </c>
      <c r="I71" s="17" t="str">
        <f t="shared" ca="1" si="13"/>
        <v>N/A</v>
      </c>
      <c r="J71" s="17" t="str">
        <f t="shared" ca="1" si="13"/>
        <v>N/A</v>
      </c>
      <c r="K71" s="17" t="str">
        <f t="shared" ca="1" si="13"/>
        <v>N/A</v>
      </c>
      <c r="L71" s="17" t="str">
        <f t="shared" ca="1" si="13"/>
        <v>N/A</v>
      </c>
      <c r="M71" s="17" t="str">
        <f t="shared" ca="1" si="13"/>
        <v>N/A</v>
      </c>
      <c r="N71" s="17" t="str">
        <f t="shared" ca="1" si="13"/>
        <v>N/A</v>
      </c>
      <c r="O71" s="17" t="str">
        <f t="shared" ca="1" si="13"/>
        <v>N/A</v>
      </c>
      <c r="P71" s="17" t="str">
        <f t="shared" ca="1" si="13"/>
        <v>N/A</v>
      </c>
      <c r="Q71" s="17" t="str">
        <f t="shared" ca="1" si="13"/>
        <v>N/A</v>
      </c>
    </row>
    <row r="72" spans="1:17">
      <c r="A72" t="str">
        <f>IFERROR(INDEX('2017 Data (WP)'!$C$9:$C$72,MATCH($B72,'2017 Data (WP)'!$D$9:$D$72,0)),"")</f>
        <v/>
      </c>
      <c r="B72" t="s">
        <v>83</v>
      </c>
      <c r="C72" t="s">
        <v>82</v>
      </c>
      <c r="D72" s="35">
        <f t="shared" ca="1" si="10"/>
        <v>65</v>
      </c>
      <c r="E72" s="35">
        <f t="shared" ca="1" si="11"/>
        <v>64</v>
      </c>
      <c r="F72" s="35"/>
      <c r="G72" s="17">
        <f t="shared" ca="1" si="13"/>
        <v>0.75125448028673847</v>
      </c>
      <c r="H72" s="17">
        <f t="shared" ca="1" si="13"/>
        <v>0.69297064368435224</v>
      </c>
      <c r="I72" s="17">
        <f t="shared" ca="1" si="13"/>
        <v>0.72137060414788101</v>
      </c>
      <c r="J72" s="17">
        <f t="shared" ca="1" si="13"/>
        <v>0.66254253015774822</v>
      </c>
      <c r="K72" s="17">
        <f t="shared" ca="1" si="13"/>
        <v>0.7765037215851941</v>
      </c>
      <c r="L72" s="17">
        <f t="shared" ca="1" si="13"/>
        <v>0.79800498753117211</v>
      </c>
      <c r="M72" s="17">
        <f t="shared" ca="1" si="13"/>
        <v>0.7734357848518113</v>
      </c>
      <c r="N72" s="17">
        <f t="shared" ca="1" si="13"/>
        <v>0.63540705187373092</v>
      </c>
      <c r="O72" s="17">
        <f t="shared" ca="1" si="13"/>
        <v>1.0140418502202642</v>
      </c>
      <c r="P72" s="17">
        <f t="shared" ca="1" si="13"/>
        <v>0.81225715294948786</v>
      </c>
      <c r="Q72" s="17">
        <f t="shared" ca="1" si="13"/>
        <v>0.71649311387302661</v>
      </c>
    </row>
    <row r="73" spans="1:17">
      <c r="A73" t="str">
        <f>IFERROR(INDEX('2017 Data (WP)'!$C$9:$C$72,MATCH($B73,'2017 Data (WP)'!$D$9:$D$72,0)),"")</f>
        <v>Electric Util. (Central)</v>
      </c>
      <c r="B73" t="s">
        <v>42</v>
      </c>
      <c r="C73" t="s">
        <v>89</v>
      </c>
      <c r="D73" s="35">
        <f t="shared" ca="1" si="10"/>
        <v>66</v>
      </c>
      <c r="E73" s="35">
        <f t="shared" ca="1" si="11"/>
        <v>65</v>
      </c>
      <c r="F73" s="35"/>
      <c r="G73" s="17">
        <f t="shared" ca="1" si="13"/>
        <v>0.87014377485469563</v>
      </c>
      <c r="H73" s="17">
        <f t="shared" ca="1" si="13"/>
        <v>0.95104166666666667</v>
      </c>
      <c r="I73" s="17">
        <f t="shared" ca="1" si="13"/>
        <v>0.98231066887783325</v>
      </c>
      <c r="J73" s="17">
        <f t="shared" ca="1" si="13"/>
        <v>1.053414327607876</v>
      </c>
      <c r="K73" s="17">
        <f t="shared" ca="1" si="13"/>
        <v>1.1307865168539326</v>
      </c>
      <c r="L73" s="17">
        <f t="shared" ca="1" si="13"/>
        <v>1.2011215906194239</v>
      </c>
      <c r="M73" s="17">
        <f t="shared" ca="1" si="13"/>
        <v>1.3088712054229297</v>
      </c>
      <c r="N73" s="17">
        <f t="shared" ca="1" si="13"/>
        <v>0.82616857518302977</v>
      </c>
      <c r="O73" s="17">
        <f t="shared" ca="1" si="13"/>
        <v>0.82159138002486531</v>
      </c>
      <c r="P73" s="17">
        <f t="shared" ca="1" si="13"/>
        <v>0.9801415202008672</v>
      </c>
      <c r="Q73" s="17">
        <f t="shared" ca="1" si="13"/>
        <v>0.99891833423472143</v>
      </c>
    </row>
    <row r="74" spans="1:17">
      <c r="A74" t="str">
        <f>IFERROR(INDEX('2017 Data (WP)'!$C$9:$C$72,MATCH($B74,'2017 Data (WP)'!$D$9:$D$72,0)),"")</f>
        <v>Electric Util. (Central)</v>
      </c>
      <c r="B74" t="s">
        <v>44</v>
      </c>
      <c r="C74" t="s">
        <v>217</v>
      </c>
      <c r="D74" s="35">
        <f t="shared" ca="1" si="10"/>
        <v>67</v>
      </c>
      <c r="E74" s="35">
        <f t="shared" ca="1" si="11"/>
        <v>66</v>
      </c>
      <c r="F74" s="35"/>
      <c r="G74" s="17">
        <f t="shared" ca="1" si="13"/>
        <v>1.1950786965196187</v>
      </c>
      <c r="H74" s="17">
        <f t="shared" ca="1" si="13"/>
        <v>0.96509598603839442</v>
      </c>
      <c r="I74" s="17">
        <f t="shared" ref="G74:Q78" ca="1" si="14">IFERROR(INDEX(CashFlow,$D74,I$2)/INDEX(CapSpending,$E74,I$2),"N/A")</f>
        <v>1.3688725490196079</v>
      </c>
      <c r="J74" s="17">
        <f t="shared" ca="1" si="14"/>
        <v>1.4220907297830374</v>
      </c>
      <c r="K74" s="17">
        <f t="shared" ca="1" si="14"/>
        <v>1.2983479105928084</v>
      </c>
      <c r="L74" s="17">
        <f t="shared" ca="1" si="14"/>
        <v>1.0219140083217753</v>
      </c>
      <c r="M74" s="17">
        <f t="shared" ca="1" si="14"/>
        <v>0.96719390743995315</v>
      </c>
      <c r="N74" s="17">
        <f t="shared" ca="1" si="14"/>
        <v>0.88876179582499293</v>
      </c>
      <c r="O74" s="17">
        <f t="shared" ca="1" si="14"/>
        <v>0.6076495990129549</v>
      </c>
      <c r="P74" s="17">
        <f t="shared" ca="1" si="14"/>
        <v>0.56474820143884896</v>
      </c>
      <c r="Q74" s="17">
        <f t="shared" ca="1" si="14"/>
        <v>0.69429803545759461</v>
      </c>
    </row>
    <row r="75" spans="1:17">
      <c r="A75" t="str">
        <f>IFERROR(INDEX('2017 Data (WP)'!$C$9:$C$72,MATCH($B75,'2017 Data (WP)'!$D$9:$D$72,0)),"")</f>
        <v>Electric Util. (Central)</v>
      </c>
      <c r="B75" t="s">
        <v>43</v>
      </c>
      <c r="C75" t="s">
        <v>87</v>
      </c>
      <c r="D75" s="35">
        <f t="shared" ca="1" si="10"/>
        <v>68</v>
      </c>
      <c r="E75" s="35">
        <f t="shared" ca="1" si="11"/>
        <v>67</v>
      </c>
      <c r="F75" s="35"/>
      <c r="G75" s="17">
        <f t="shared" ca="1" si="14"/>
        <v>0.63031567962431512</v>
      </c>
      <c r="H75" s="17">
        <f t="shared" ca="1" si="14"/>
        <v>0.86051675413807027</v>
      </c>
      <c r="I75" s="17">
        <f t="shared" ca="1" si="14"/>
        <v>0.70386398763523961</v>
      </c>
      <c r="J75" s="17">
        <f t="shared" ca="1" si="14"/>
        <v>0.72443275238408411</v>
      </c>
      <c r="K75" s="17">
        <f t="shared" ca="1" si="14"/>
        <v>0.67135050741608115</v>
      </c>
      <c r="L75" s="17">
        <f t="shared" ca="1" si="14"/>
        <v>0.71454316092989723</v>
      </c>
      <c r="M75" s="17">
        <f t="shared" ca="1" si="14"/>
        <v>0.87917791156321368</v>
      </c>
      <c r="N75" s="17">
        <f t="shared" ca="1" si="14"/>
        <v>0.68346965950161698</v>
      </c>
      <c r="O75" s="17">
        <f t="shared" ca="1" si="14"/>
        <v>0.36230209176008316</v>
      </c>
      <c r="P75" s="17">
        <f t="shared" ca="1" si="14"/>
        <v>0.48156182212581344</v>
      </c>
      <c r="Q75" s="17">
        <f t="shared" ca="1" si="14"/>
        <v>0.99898631525595538</v>
      </c>
    </row>
    <row r="76" spans="1:17">
      <c r="A76" t="str">
        <f>IFERROR(INDEX('2017 Data (WP)'!$C$9:$C$72,MATCH($B76,'2017 Data (WP)'!$D$9:$D$72,0)),"")</f>
        <v>Natural Gas Utility</v>
      </c>
      <c r="B76" s="31" t="s">
        <v>206</v>
      </c>
      <c r="C76" s="31" t="s">
        <v>205</v>
      </c>
      <c r="D76" s="35">
        <f t="shared" ca="1" si="10"/>
        <v>69</v>
      </c>
      <c r="E76" s="35">
        <f t="shared" ca="1" si="11"/>
        <v>68</v>
      </c>
      <c r="F76" s="35"/>
      <c r="G76" s="17">
        <f t="shared" ca="1" si="14"/>
        <v>0.55874092009685239</v>
      </c>
      <c r="H76" s="17">
        <f t="shared" ca="1" si="14"/>
        <v>0.60057902637786831</v>
      </c>
      <c r="I76" s="17">
        <f t="shared" ca="1" si="14"/>
        <v>0.62934312311524843</v>
      </c>
      <c r="J76" s="17">
        <f t="shared" ca="1" si="14"/>
        <v>0.70953326713008935</v>
      </c>
      <c r="K76" s="17">
        <f t="shared" ca="1" si="14"/>
        <v>0.93003693065244164</v>
      </c>
      <c r="L76" s="17">
        <f t="shared" ca="1" si="14"/>
        <v>1.0193040386080772</v>
      </c>
      <c r="M76" s="17">
        <f t="shared" ca="1" si="14"/>
        <v>1.5971250971250972</v>
      </c>
      <c r="N76" s="17">
        <f t="shared" ca="1" si="14"/>
        <v>1.6039711191335739</v>
      </c>
      <c r="O76" s="17">
        <f t="shared" ca="1" si="14"/>
        <v>1.6046597633136095</v>
      </c>
      <c r="P76" s="17">
        <f t="shared" ca="1" si="14"/>
        <v>1.1683198076345056</v>
      </c>
      <c r="Q76" s="17">
        <f t="shared" ca="1" si="14"/>
        <v>1.1753365973072216</v>
      </c>
    </row>
    <row r="77" spans="1:17">
      <c r="A77" t="str">
        <f>IFERROR(INDEX('2017 Data (WP)'!$C$9:$C$72,MATCH($B77,'2017 Data (WP)'!$D$9:$D$72,0)),"")</f>
        <v>Electric Utility (West)</v>
      </c>
      <c r="B77" t="s">
        <v>45</v>
      </c>
      <c r="C77" t="s">
        <v>65</v>
      </c>
      <c r="D77" s="35">
        <f t="shared" ca="1" si="10"/>
        <v>70</v>
      </c>
      <c r="E77" s="35">
        <f t="shared" ca="1" si="11"/>
        <v>69</v>
      </c>
      <c r="F77" s="35"/>
      <c r="G77" s="17">
        <f t="shared" ca="1" si="14"/>
        <v>0.78575880336553439</v>
      </c>
      <c r="H77" s="17">
        <f t="shared" ca="1" si="14"/>
        <v>0.62794543199669295</v>
      </c>
      <c r="I77" s="17">
        <f t="shared" ca="1" si="14"/>
        <v>0.67725620357199312</v>
      </c>
      <c r="J77" s="17">
        <f t="shared" ca="1" si="14"/>
        <v>0.60149603989439726</v>
      </c>
      <c r="K77" s="17">
        <f t="shared" ca="1" si="14"/>
        <v>0.75963546610973987</v>
      </c>
      <c r="L77" s="17">
        <f t="shared" ca="1" si="14"/>
        <v>0.83480370533745041</v>
      </c>
      <c r="M77" s="17">
        <f t="shared" ca="1" si="14"/>
        <v>0.76397650641722858</v>
      </c>
      <c r="N77" s="17">
        <f t="shared" ca="1" si="14"/>
        <v>0.89016897081413204</v>
      </c>
      <c r="O77" s="17">
        <f t="shared" ca="1" si="14"/>
        <v>0.75198625724715473</v>
      </c>
      <c r="P77" s="17">
        <f t="shared" ca="1" si="14"/>
        <v>0.70633946830265859</v>
      </c>
      <c r="Q77" s="17">
        <f t="shared" ca="1" si="14"/>
        <v>0.90265265265265271</v>
      </c>
    </row>
    <row r="78" spans="1:17">
      <c r="A78" t="str">
        <f>IFERROR(INDEX('2017 Data (WP)'!$C$9:$C$72,MATCH($B78,'2017 Data (WP)'!$D$9:$D$72,0)),"")</f>
        <v>Water Utility</v>
      </c>
      <c r="B78" s="31" t="s">
        <v>208</v>
      </c>
      <c r="C78" s="31" t="s">
        <v>207</v>
      </c>
      <c r="D78" s="35">
        <f t="shared" ca="1" si="10"/>
        <v>71</v>
      </c>
      <c r="E78" s="35">
        <f t="shared" ca="1" si="11"/>
        <v>70</v>
      </c>
      <c r="F78" s="35"/>
      <c r="G78" s="17" t="str">
        <f t="shared" ca="1" si="14"/>
        <v>N/A</v>
      </c>
      <c r="H78" s="17">
        <f t="shared" ca="1" si="14"/>
        <v>1.3131768953068592</v>
      </c>
      <c r="I78" s="17">
        <f t="shared" ca="1" si="14"/>
        <v>1.2313974591651542</v>
      </c>
      <c r="J78" s="17">
        <f t="shared" ca="1" si="14"/>
        <v>1.5625823451910408</v>
      </c>
      <c r="K78" s="17">
        <f t="shared" ca="1" si="14"/>
        <v>1.1851851851851853</v>
      </c>
      <c r="L78" s="17">
        <f t="shared" ca="1" si="14"/>
        <v>1.4783783783783786</v>
      </c>
      <c r="M78" s="17">
        <f t="shared" ca="1" si="14"/>
        <v>1.2815884476534296</v>
      </c>
      <c r="N78" s="17">
        <f t="shared" ca="1" si="14"/>
        <v>0.80697278911564629</v>
      </c>
      <c r="O78" s="17">
        <f t="shared" ca="1" si="14"/>
        <v>0.40681086056143578</v>
      </c>
      <c r="P78" s="17">
        <f t="shared" ca="1" si="14"/>
        <v>0.50620934358367831</v>
      </c>
      <c r="Q78" s="17">
        <f t="shared" ca="1" si="14"/>
        <v>0.41657638136511377</v>
      </c>
    </row>
    <row r="79" spans="1:17">
      <c r="B79" s="31"/>
      <c r="C79" s="31"/>
      <c r="D79" s="35"/>
      <c r="E79" s="35"/>
      <c r="F79" s="35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</sheetData>
  <pageMargins left="0.7" right="0.7" top="0.75" bottom="0.75" header="0.3" footer="0.3"/>
  <pageSetup fitToHeight="0" orientation="landscape" r:id="rId1"/>
  <headerFooter>
    <oddFooter>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workbookViewId="0">
      <selection sqref="A1:J100"/>
    </sheetView>
  </sheetViews>
  <sheetFormatPr defaultRowHeight="14.25"/>
  <cols>
    <col min="1" max="1" width="24.625" customWidth="1"/>
    <col min="3" max="10" width="9.375" customWidth="1"/>
  </cols>
  <sheetData>
    <row r="1" spans="1:10">
      <c r="A1" s="126">
        <v>42999</v>
      </c>
      <c r="B1" t="s">
        <v>396</v>
      </c>
    </row>
    <row r="2" spans="1:10">
      <c r="B2" s="121">
        <f>COLUMN()</f>
        <v>2</v>
      </c>
      <c r="C2" s="121">
        <f>COLUMN()</f>
        <v>3</v>
      </c>
      <c r="D2" s="121">
        <f>COLUMN()</f>
        <v>4</v>
      </c>
      <c r="E2" s="121">
        <f>COLUMN()</f>
        <v>5</v>
      </c>
      <c r="F2" s="121">
        <f>COLUMN()</f>
        <v>6</v>
      </c>
      <c r="G2" s="121">
        <f>COLUMN()</f>
        <v>7</v>
      </c>
      <c r="H2" s="121">
        <f>COLUMN()</f>
        <v>8</v>
      </c>
      <c r="I2" s="121">
        <f>COLUMN()</f>
        <v>9</v>
      </c>
      <c r="J2" s="121">
        <f>COLUMN()</f>
        <v>10</v>
      </c>
    </row>
    <row r="3" spans="1:10" ht="42.75">
      <c r="A3" t="s">
        <v>117</v>
      </c>
      <c r="B3" t="s">
        <v>118</v>
      </c>
      <c r="C3" s="120" t="s">
        <v>383</v>
      </c>
      <c r="D3" s="120" t="s">
        <v>384</v>
      </c>
      <c r="E3" s="120" t="s">
        <v>385</v>
      </c>
      <c r="F3" s="120" t="s">
        <v>386</v>
      </c>
      <c r="G3" s="120" t="s">
        <v>387</v>
      </c>
      <c r="H3" s="120" t="s">
        <v>388</v>
      </c>
      <c r="I3" s="120" t="s">
        <v>389</v>
      </c>
      <c r="J3" s="120" t="s">
        <v>390</v>
      </c>
    </row>
    <row r="4" spans="1:10">
      <c r="A4" t="s">
        <v>162</v>
      </c>
      <c r="B4" t="s">
        <v>163</v>
      </c>
    </row>
    <row r="5" spans="1:10">
      <c r="A5" t="s">
        <v>119</v>
      </c>
      <c r="B5" t="s">
        <v>0</v>
      </c>
      <c r="C5">
        <v>4.5999999999999996</v>
      </c>
      <c r="D5">
        <v>7.5</v>
      </c>
      <c r="F5">
        <v>3.5</v>
      </c>
      <c r="G5">
        <v>7.3</v>
      </c>
      <c r="H5">
        <v>7.75</v>
      </c>
      <c r="J5">
        <v>9</v>
      </c>
    </row>
    <row r="6" spans="1:10">
      <c r="A6" t="s">
        <v>120</v>
      </c>
      <c r="B6" t="s">
        <v>1</v>
      </c>
      <c r="C6">
        <v>6.1</v>
      </c>
      <c r="D6">
        <v>6.25</v>
      </c>
      <c r="F6">
        <v>5.3</v>
      </c>
      <c r="G6">
        <v>4</v>
      </c>
      <c r="H6">
        <v>4.1500000000000004</v>
      </c>
      <c r="J6">
        <v>5</v>
      </c>
    </row>
    <row r="7" spans="1:10">
      <c r="A7" t="s">
        <v>121</v>
      </c>
      <c r="B7" t="s">
        <v>2</v>
      </c>
      <c r="C7">
        <v>11.9</v>
      </c>
      <c r="D7">
        <v>12.65</v>
      </c>
      <c r="F7">
        <v>12.5</v>
      </c>
      <c r="G7">
        <v>7.95</v>
      </c>
      <c r="H7">
        <v>8.3000000000000007</v>
      </c>
      <c r="J7">
        <v>9.5</v>
      </c>
    </row>
    <row r="8" spans="1:10">
      <c r="A8" t="s">
        <v>164</v>
      </c>
      <c r="B8" t="s">
        <v>165</v>
      </c>
      <c r="C8">
        <v>3.15</v>
      </c>
      <c r="D8">
        <v>3.15</v>
      </c>
      <c r="F8">
        <v>3.6</v>
      </c>
      <c r="G8">
        <v>2.85</v>
      </c>
      <c r="H8">
        <v>3.05</v>
      </c>
      <c r="J8">
        <v>3.85</v>
      </c>
    </row>
    <row r="9" spans="1:10">
      <c r="A9" t="s">
        <v>166</v>
      </c>
      <c r="B9" t="s">
        <v>167</v>
      </c>
      <c r="C9">
        <v>6.75</v>
      </c>
      <c r="D9">
        <v>6.7</v>
      </c>
      <c r="F9">
        <v>6.4</v>
      </c>
      <c r="G9">
        <v>5.85</v>
      </c>
      <c r="H9">
        <v>6.2</v>
      </c>
      <c r="J9">
        <v>7.45</v>
      </c>
    </row>
    <row r="10" spans="1:10">
      <c r="A10" t="s">
        <v>122</v>
      </c>
      <c r="B10" t="s">
        <v>3</v>
      </c>
      <c r="C10">
        <v>9.15</v>
      </c>
      <c r="D10">
        <v>9.0500000000000007</v>
      </c>
      <c r="F10">
        <v>8.75</v>
      </c>
      <c r="G10">
        <v>6.95</v>
      </c>
      <c r="H10">
        <v>7.4</v>
      </c>
      <c r="J10">
        <v>9</v>
      </c>
    </row>
    <row r="11" spans="1:10">
      <c r="A11" t="s">
        <v>168</v>
      </c>
      <c r="B11" t="s">
        <v>169</v>
      </c>
      <c r="C11">
        <v>1.1000000000000001</v>
      </c>
      <c r="D11">
        <v>1.1499999999999999</v>
      </c>
      <c r="F11">
        <v>1.45</v>
      </c>
      <c r="G11">
        <v>2.9</v>
      </c>
      <c r="H11">
        <v>4.1500000000000004</v>
      </c>
      <c r="J11">
        <v>4.7</v>
      </c>
    </row>
    <row r="12" spans="1:10">
      <c r="A12" t="s">
        <v>170</v>
      </c>
      <c r="B12" t="s">
        <v>171</v>
      </c>
      <c r="C12">
        <v>2.0499999999999998</v>
      </c>
      <c r="D12">
        <v>2.25</v>
      </c>
      <c r="F12">
        <v>2.25</v>
      </c>
      <c r="G12">
        <v>2.15</v>
      </c>
      <c r="H12">
        <v>2.25</v>
      </c>
      <c r="J12">
        <v>2.75</v>
      </c>
    </row>
    <row r="13" spans="1:10">
      <c r="A13" t="s">
        <v>172</v>
      </c>
      <c r="B13" t="s">
        <v>173</v>
      </c>
    </row>
    <row r="14" spans="1:10">
      <c r="A14" t="s">
        <v>174</v>
      </c>
      <c r="B14" t="s">
        <v>175</v>
      </c>
      <c r="C14">
        <v>11</v>
      </c>
      <c r="D14">
        <v>11.35</v>
      </c>
      <c r="F14">
        <v>12.75</v>
      </c>
      <c r="G14">
        <v>6.5</v>
      </c>
      <c r="H14">
        <v>6.75</v>
      </c>
      <c r="J14">
        <v>7.55</v>
      </c>
    </row>
    <row r="15" spans="1:10">
      <c r="A15" t="s">
        <v>264</v>
      </c>
      <c r="B15" t="s">
        <v>261</v>
      </c>
      <c r="C15">
        <v>6.8</v>
      </c>
      <c r="D15">
        <v>6.45</v>
      </c>
      <c r="F15">
        <v>5.75</v>
      </c>
      <c r="G15">
        <v>4.95</v>
      </c>
      <c r="H15">
        <v>5.2</v>
      </c>
      <c r="J15">
        <v>6</v>
      </c>
    </row>
    <row r="16" spans="1:10">
      <c r="A16" t="s">
        <v>123</v>
      </c>
      <c r="B16" t="s">
        <v>4</v>
      </c>
      <c r="C16">
        <v>6.25</v>
      </c>
      <c r="D16">
        <v>6.1</v>
      </c>
      <c r="F16">
        <v>6.25</v>
      </c>
      <c r="G16">
        <v>5.25</v>
      </c>
      <c r="H16">
        <v>5.4</v>
      </c>
      <c r="J16">
        <v>6</v>
      </c>
    </row>
    <row r="17" spans="1:10">
      <c r="A17" t="s">
        <v>124</v>
      </c>
      <c r="B17" t="s">
        <v>5</v>
      </c>
      <c r="C17">
        <v>5.85</v>
      </c>
      <c r="D17">
        <v>5.0999999999999996</v>
      </c>
      <c r="F17">
        <v>6.25</v>
      </c>
      <c r="G17">
        <v>7.35</v>
      </c>
      <c r="H17">
        <v>7.2</v>
      </c>
      <c r="J17">
        <v>8.5</v>
      </c>
    </row>
    <row r="18" spans="1:10">
      <c r="A18" t="s">
        <v>176</v>
      </c>
      <c r="B18" t="s">
        <v>177</v>
      </c>
      <c r="C18">
        <v>3.85</v>
      </c>
      <c r="D18">
        <v>3.65</v>
      </c>
      <c r="F18">
        <v>3.65</v>
      </c>
      <c r="G18">
        <v>2.65</v>
      </c>
      <c r="H18">
        <v>2.8</v>
      </c>
      <c r="J18">
        <v>3.15</v>
      </c>
    </row>
    <row r="19" spans="1:10">
      <c r="A19" t="s">
        <v>125</v>
      </c>
      <c r="B19" t="s">
        <v>6</v>
      </c>
      <c r="C19">
        <v>3.5</v>
      </c>
      <c r="D19">
        <v>3.3</v>
      </c>
      <c r="F19">
        <v>3</v>
      </c>
      <c r="G19">
        <v>3.9</v>
      </c>
      <c r="H19">
        <v>4.05</v>
      </c>
      <c r="J19">
        <v>4.5</v>
      </c>
    </row>
    <row r="20" spans="1:10">
      <c r="A20" t="s">
        <v>215</v>
      </c>
      <c r="B20" t="s">
        <v>178</v>
      </c>
      <c r="C20">
        <v>10.3</v>
      </c>
      <c r="D20">
        <v>10.5</v>
      </c>
      <c r="F20">
        <v>11.8</v>
      </c>
      <c r="G20">
        <v>4.7</v>
      </c>
      <c r="H20">
        <v>5.3</v>
      </c>
      <c r="J20">
        <v>7.5</v>
      </c>
    </row>
    <row r="21" spans="1:10">
      <c r="A21" t="s">
        <v>126</v>
      </c>
      <c r="B21" t="s">
        <v>9</v>
      </c>
      <c r="C21">
        <v>6.55</v>
      </c>
      <c r="D21">
        <v>6.65</v>
      </c>
      <c r="F21">
        <v>6.25</v>
      </c>
      <c r="G21">
        <v>5.3</v>
      </c>
      <c r="H21">
        <v>5.65</v>
      </c>
      <c r="J21">
        <v>7</v>
      </c>
    </row>
    <row r="22" spans="1:10">
      <c r="A22" t="s">
        <v>179</v>
      </c>
      <c r="B22" t="s">
        <v>180</v>
      </c>
      <c r="C22">
        <v>4.5</v>
      </c>
      <c r="D22">
        <v>4.3499999999999996</v>
      </c>
      <c r="F22">
        <v>3.35</v>
      </c>
      <c r="G22">
        <v>3.4</v>
      </c>
      <c r="H22">
        <v>3.5</v>
      </c>
      <c r="J22">
        <v>3.85</v>
      </c>
    </row>
    <row r="23" spans="1:10">
      <c r="A23" t="s">
        <v>127</v>
      </c>
      <c r="B23" t="s">
        <v>10</v>
      </c>
      <c r="C23">
        <v>11.9</v>
      </c>
      <c r="D23">
        <v>12.45</v>
      </c>
      <c r="F23">
        <v>11.5</v>
      </c>
      <c r="G23">
        <v>8.4</v>
      </c>
      <c r="H23">
        <v>8.8000000000000007</v>
      </c>
      <c r="J23">
        <v>10</v>
      </c>
    </row>
    <row r="24" spans="1:10">
      <c r="A24" t="s">
        <v>181</v>
      </c>
      <c r="B24" t="s">
        <v>182</v>
      </c>
      <c r="C24">
        <v>0.25</v>
      </c>
      <c r="D24">
        <v>0.3</v>
      </c>
      <c r="F24">
        <v>0.4</v>
      </c>
      <c r="G24">
        <v>1.1499999999999999</v>
      </c>
      <c r="H24">
        <v>1.25</v>
      </c>
      <c r="J24">
        <v>1.85</v>
      </c>
    </row>
    <row r="25" spans="1:10">
      <c r="A25" t="s">
        <v>183</v>
      </c>
      <c r="B25" t="s">
        <v>184</v>
      </c>
      <c r="C25">
        <v>1.2230000000000001</v>
      </c>
      <c r="G25">
        <v>1.7050000000000001</v>
      </c>
    </row>
    <row r="26" spans="1:10">
      <c r="A26" t="s">
        <v>354</v>
      </c>
      <c r="B26" t="s">
        <v>11</v>
      </c>
      <c r="C26">
        <v>8.9499999999999993</v>
      </c>
      <c r="D26">
        <v>7.8</v>
      </c>
      <c r="F26">
        <v>8.75</v>
      </c>
      <c r="G26">
        <v>6.75</v>
      </c>
      <c r="H26">
        <v>7.45</v>
      </c>
      <c r="J26">
        <v>9</v>
      </c>
    </row>
    <row r="27" spans="1:10">
      <c r="A27" t="s">
        <v>129</v>
      </c>
      <c r="B27" t="s">
        <v>12</v>
      </c>
      <c r="C27">
        <v>16.149999999999999</v>
      </c>
      <c r="D27">
        <v>14.5</v>
      </c>
      <c r="F27">
        <v>14</v>
      </c>
      <c r="G27">
        <v>12.05</v>
      </c>
      <c r="H27">
        <v>12.55</v>
      </c>
      <c r="J27">
        <v>14.75</v>
      </c>
    </row>
    <row r="28" spans="1:10">
      <c r="A28" t="s">
        <v>130</v>
      </c>
      <c r="B28" t="s">
        <v>13</v>
      </c>
      <c r="C28">
        <v>13.45</v>
      </c>
      <c r="D28">
        <v>15.35</v>
      </c>
      <c r="F28">
        <v>12.5</v>
      </c>
      <c r="G28">
        <v>10.45</v>
      </c>
      <c r="H28">
        <v>10.95</v>
      </c>
      <c r="J28">
        <v>12.5</v>
      </c>
    </row>
    <row r="29" spans="1:10">
      <c r="A29" t="s">
        <v>131</v>
      </c>
      <c r="B29" t="s">
        <v>14</v>
      </c>
      <c r="C29">
        <v>13.1</v>
      </c>
      <c r="D29">
        <v>15.4</v>
      </c>
      <c r="F29">
        <v>16</v>
      </c>
      <c r="G29">
        <v>11.05</v>
      </c>
      <c r="H29">
        <v>11.4</v>
      </c>
      <c r="J29">
        <v>13.75</v>
      </c>
    </row>
    <row r="30" spans="1:10">
      <c r="A30" t="s">
        <v>132</v>
      </c>
      <c r="B30" t="s">
        <v>15</v>
      </c>
      <c r="C30">
        <v>6.35</v>
      </c>
      <c r="D30">
        <v>5.65</v>
      </c>
      <c r="F30">
        <v>7</v>
      </c>
      <c r="G30">
        <v>6.2</v>
      </c>
      <c r="H30">
        <v>6.45</v>
      </c>
      <c r="J30">
        <v>7.25</v>
      </c>
    </row>
    <row r="31" spans="1:10">
      <c r="A31" t="s">
        <v>134</v>
      </c>
      <c r="B31" t="s">
        <v>17</v>
      </c>
      <c r="C31">
        <v>20.85</v>
      </c>
      <c r="D31">
        <v>20.399999999999999</v>
      </c>
      <c r="F31">
        <v>19.5</v>
      </c>
      <c r="G31">
        <v>18.7</v>
      </c>
      <c r="H31">
        <v>17.350000000000001</v>
      </c>
      <c r="J31">
        <v>18.75</v>
      </c>
    </row>
    <row r="32" spans="1:10">
      <c r="A32" t="s">
        <v>210</v>
      </c>
      <c r="B32" t="s">
        <v>211</v>
      </c>
      <c r="C32">
        <v>8.5500000000000007</v>
      </c>
      <c r="D32">
        <v>8.75</v>
      </c>
      <c r="F32">
        <v>5.25</v>
      </c>
      <c r="G32">
        <v>5.8</v>
      </c>
      <c r="H32">
        <v>6.25</v>
      </c>
      <c r="J32">
        <v>7.5</v>
      </c>
    </row>
    <row r="33" spans="1:10">
      <c r="A33" t="s">
        <v>135</v>
      </c>
      <c r="B33" t="s">
        <v>18</v>
      </c>
      <c r="C33">
        <v>8.6</v>
      </c>
      <c r="D33">
        <v>8.3000000000000007</v>
      </c>
      <c r="F33">
        <v>8.25</v>
      </c>
      <c r="G33">
        <v>8</v>
      </c>
      <c r="H33">
        <v>8.3000000000000007</v>
      </c>
      <c r="J33">
        <v>9.25</v>
      </c>
    </row>
    <row r="34" spans="1:10">
      <c r="A34" t="s">
        <v>136</v>
      </c>
      <c r="B34" t="s">
        <v>19</v>
      </c>
      <c r="C34">
        <v>6.6</v>
      </c>
      <c r="D34">
        <v>6</v>
      </c>
      <c r="F34">
        <v>5.25</v>
      </c>
      <c r="G34">
        <v>6.35</v>
      </c>
      <c r="H34">
        <v>6.45</v>
      </c>
      <c r="J34">
        <v>6.75</v>
      </c>
    </row>
    <row r="35" spans="1:10">
      <c r="A35" t="s">
        <v>266</v>
      </c>
      <c r="B35" t="s">
        <v>267</v>
      </c>
      <c r="C35">
        <v>7.35</v>
      </c>
      <c r="D35">
        <v>6.65</v>
      </c>
      <c r="F35">
        <v>5</v>
      </c>
      <c r="G35">
        <v>5.45</v>
      </c>
      <c r="H35">
        <v>5.7</v>
      </c>
      <c r="J35">
        <v>6.5</v>
      </c>
    </row>
    <row r="36" spans="1:10">
      <c r="A36" t="s">
        <v>137</v>
      </c>
      <c r="B36" t="s">
        <v>20</v>
      </c>
      <c r="C36">
        <v>2.75</v>
      </c>
      <c r="D36">
        <v>2.6</v>
      </c>
      <c r="F36">
        <v>2.5</v>
      </c>
      <c r="G36">
        <v>2.9</v>
      </c>
      <c r="H36">
        <v>3.65</v>
      </c>
      <c r="J36">
        <v>6.25</v>
      </c>
    </row>
    <row r="37" spans="1:10">
      <c r="A37" t="s">
        <v>138</v>
      </c>
      <c r="B37" t="s">
        <v>21</v>
      </c>
      <c r="C37">
        <v>3.55</v>
      </c>
      <c r="D37">
        <v>4.1500000000000004</v>
      </c>
      <c r="F37">
        <v>4</v>
      </c>
      <c r="G37">
        <v>3.65</v>
      </c>
      <c r="H37">
        <v>3.8</v>
      </c>
      <c r="J37">
        <v>4.25</v>
      </c>
    </row>
    <row r="38" spans="1:10">
      <c r="A38" t="s">
        <v>216</v>
      </c>
      <c r="B38" t="s">
        <v>22</v>
      </c>
      <c r="C38">
        <v>6.5</v>
      </c>
      <c r="D38">
        <v>6.55</v>
      </c>
      <c r="F38">
        <v>6.75</v>
      </c>
      <c r="G38">
        <v>7.35</v>
      </c>
      <c r="H38">
        <v>7.7</v>
      </c>
      <c r="J38">
        <v>8.75</v>
      </c>
    </row>
    <row r="39" spans="1:10">
      <c r="A39" t="s">
        <v>139</v>
      </c>
      <c r="B39" t="s">
        <v>25</v>
      </c>
      <c r="C39">
        <v>2.4500000000000002</v>
      </c>
      <c r="D39">
        <v>2.7</v>
      </c>
      <c r="F39">
        <v>3.45</v>
      </c>
      <c r="G39">
        <v>3.75</v>
      </c>
      <c r="H39">
        <v>4.1500000000000004</v>
      </c>
      <c r="J39">
        <v>5.4</v>
      </c>
    </row>
    <row r="40" spans="1:10">
      <c r="A40" t="s">
        <v>187</v>
      </c>
      <c r="B40" t="s">
        <v>188</v>
      </c>
      <c r="C40">
        <v>1.8</v>
      </c>
      <c r="D40">
        <v>1.9</v>
      </c>
      <c r="F40">
        <v>2.0499999999999998</v>
      </c>
      <c r="G40">
        <v>2.35</v>
      </c>
      <c r="H40">
        <v>2.5</v>
      </c>
      <c r="J40">
        <v>3.1</v>
      </c>
    </row>
    <row r="41" spans="1:10">
      <c r="A41" t="s">
        <v>189</v>
      </c>
      <c r="B41" t="s">
        <v>190</v>
      </c>
      <c r="C41">
        <v>2.15</v>
      </c>
      <c r="D41">
        <v>2.2000000000000002</v>
      </c>
      <c r="F41">
        <v>2.4</v>
      </c>
      <c r="G41">
        <v>2.5499999999999998</v>
      </c>
      <c r="H41">
        <v>2.7</v>
      </c>
      <c r="J41">
        <v>3.05</v>
      </c>
    </row>
    <row r="42" spans="1:10">
      <c r="A42" t="s">
        <v>140</v>
      </c>
      <c r="B42" t="s">
        <v>141</v>
      </c>
      <c r="C42">
        <v>15.4</v>
      </c>
      <c r="D42">
        <v>15</v>
      </c>
      <c r="F42">
        <v>16.75</v>
      </c>
      <c r="G42">
        <v>14.3</v>
      </c>
      <c r="H42">
        <v>14.5</v>
      </c>
      <c r="J42">
        <v>17.25</v>
      </c>
    </row>
    <row r="43" spans="1:10">
      <c r="A43" t="s">
        <v>142</v>
      </c>
      <c r="B43" t="s">
        <v>26</v>
      </c>
      <c r="C43">
        <v>4.9000000000000004</v>
      </c>
      <c r="D43">
        <v>5.2</v>
      </c>
      <c r="F43">
        <v>5.45</v>
      </c>
      <c r="G43">
        <v>2.65</v>
      </c>
      <c r="H43">
        <v>3.1</v>
      </c>
      <c r="J43">
        <v>3.4</v>
      </c>
    </row>
    <row r="44" spans="1:10">
      <c r="A44" t="s">
        <v>191</v>
      </c>
      <c r="B44" t="s">
        <v>192</v>
      </c>
      <c r="C44">
        <v>6.2</v>
      </c>
      <c r="D44">
        <v>6.45</v>
      </c>
      <c r="F44">
        <v>6.35</v>
      </c>
      <c r="G44">
        <v>5.4</v>
      </c>
      <c r="H44">
        <v>5.15</v>
      </c>
      <c r="J44">
        <v>6.1</v>
      </c>
    </row>
    <row r="45" spans="1:10">
      <c r="A45" t="s">
        <v>143</v>
      </c>
      <c r="B45" t="s">
        <v>144</v>
      </c>
      <c r="C45">
        <v>6.15</v>
      </c>
      <c r="D45">
        <v>6.6</v>
      </c>
      <c r="F45">
        <v>6.75</v>
      </c>
      <c r="G45">
        <v>6.95</v>
      </c>
      <c r="H45">
        <v>7.2</v>
      </c>
      <c r="J45">
        <v>8.25</v>
      </c>
    </row>
    <row r="46" spans="1:10">
      <c r="A46" t="s">
        <v>145</v>
      </c>
      <c r="B46" t="s">
        <v>27</v>
      </c>
      <c r="C46">
        <v>4.8499999999999996</v>
      </c>
      <c r="D46">
        <v>2.9</v>
      </c>
      <c r="F46">
        <v>1.75</v>
      </c>
      <c r="G46">
        <v>3.35</v>
      </c>
      <c r="H46">
        <v>3.5</v>
      </c>
      <c r="J46">
        <v>4.25</v>
      </c>
    </row>
    <row r="47" spans="1:10">
      <c r="A47" t="s">
        <v>356</v>
      </c>
      <c r="B47" t="s">
        <v>353</v>
      </c>
      <c r="C47">
        <v>6.65</v>
      </c>
      <c r="D47">
        <v>6.9</v>
      </c>
      <c r="F47">
        <v>6.85</v>
      </c>
      <c r="G47">
        <v>5.9</v>
      </c>
      <c r="H47">
        <v>6.4</v>
      </c>
      <c r="J47">
        <v>7.7</v>
      </c>
    </row>
    <row r="48" spans="1:10">
      <c r="A48" t="s">
        <v>146</v>
      </c>
      <c r="B48" t="s">
        <v>28</v>
      </c>
      <c r="C48">
        <v>3.75</v>
      </c>
      <c r="D48">
        <v>4.6500000000000004</v>
      </c>
      <c r="F48">
        <v>2.1</v>
      </c>
      <c r="G48">
        <v>3.65</v>
      </c>
      <c r="H48">
        <v>3.9</v>
      </c>
      <c r="J48">
        <v>4.9000000000000004</v>
      </c>
    </row>
    <row r="49" spans="1:10">
      <c r="A49" t="s">
        <v>147</v>
      </c>
      <c r="B49" t="s">
        <v>30</v>
      </c>
      <c r="C49">
        <v>11.65</v>
      </c>
      <c r="D49">
        <v>11.55</v>
      </c>
      <c r="F49">
        <v>11.5</v>
      </c>
      <c r="G49">
        <v>9.25</v>
      </c>
      <c r="H49">
        <v>9.6999999999999993</v>
      </c>
      <c r="J49">
        <v>10.75</v>
      </c>
    </row>
    <row r="50" spans="1:10">
      <c r="A50" t="s">
        <v>148</v>
      </c>
      <c r="B50" t="s">
        <v>31</v>
      </c>
      <c r="C50">
        <v>12.55</v>
      </c>
      <c r="D50">
        <v>10.5</v>
      </c>
      <c r="F50">
        <v>10</v>
      </c>
      <c r="G50">
        <v>9.9</v>
      </c>
      <c r="H50">
        <v>10.35</v>
      </c>
      <c r="J50">
        <v>12</v>
      </c>
    </row>
    <row r="51" spans="1:10">
      <c r="A51" t="s">
        <v>149</v>
      </c>
      <c r="B51" t="s">
        <v>32</v>
      </c>
      <c r="C51">
        <v>5.65</v>
      </c>
      <c r="D51">
        <v>5.5</v>
      </c>
      <c r="F51">
        <v>5.5</v>
      </c>
      <c r="G51">
        <v>4.5</v>
      </c>
      <c r="H51">
        <v>4.6500000000000004</v>
      </c>
      <c r="J51">
        <v>4.7</v>
      </c>
    </row>
    <row r="52" spans="1:10">
      <c r="A52" t="s">
        <v>150</v>
      </c>
      <c r="B52" t="s">
        <v>33</v>
      </c>
      <c r="C52">
        <v>6.75</v>
      </c>
      <c r="D52">
        <v>5.0999999999999996</v>
      </c>
      <c r="F52">
        <v>3.25</v>
      </c>
      <c r="G52">
        <v>6.1</v>
      </c>
      <c r="H52">
        <v>6.5</v>
      </c>
      <c r="J52">
        <v>7.75</v>
      </c>
    </row>
    <row r="53" spans="1:10">
      <c r="A53" t="s">
        <v>151</v>
      </c>
      <c r="B53" t="s">
        <v>34</v>
      </c>
      <c r="C53">
        <v>4.95</v>
      </c>
      <c r="D53">
        <v>4.8499999999999996</v>
      </c>
      <c r="F53">
        <v>3.75</v>
      </c>
      <c r="G53">
        <v>3.6</v>
      </c>
      <c r="H53">
        <v>3.85</v>
      </c>
      <c r="J53">
        <v>4.5</v>
      </c>
    </row>
    <row r="54" spans="1:10">
      <c r="A54" t="s">
        <v>152</v>
      </c>
      <c r="B54" t="s">
        <v>35</v>
      </c>
      <c r="C54">
        <v>9.1</v>
      </c>
      <c r="D54">
        <v>6.4</v>
      </c>
      <c r="F54">
        <v>5.25</v>
      </c>
      <c r="G54">
        <v>5.65</v>
      </c>
      <c r="H54">
        <v>5.8</v>
      </c>
      <c r="J54">
        <v>7</v>
      </c>
    </row>
    <row r="55" spans="1:10">
      <c r="A55" t="s">
        <v>193</v>
      </c>
      <c r="B55" t="s">
        <v>194</v>
      </c>
    </row>
    <row r="56" spans="1:10">
      <c r="A56" t="s">
        <v>153</v>
      </c>
      <c r="B56" t="s">
        <v>36</v>
      </c>
      <c r="C56">
        <v>11.7</v>
      </c>
      <c r="D56">
        <v>6.45</v>
      </c>
      <c r="F56">
        <v>7.25</v>
      </c>
      <c r="G56">
        <v>7.45</v>
      </c>
      <c r="H56">
        <v>7.95</v>
      </c>
      <c r="J56">
        <v>9.75</v>
      </c>
    </row>
    <row r="57" spans="1:10">
      <c r="A57" t="s">
        <v>154</v>
      </c>
      <c r="B57" t="s">
        <v>37</v>
      </c>
      <c r="C57">
        <v>13.5</v>
      </c>
      <c r="D57">
        <v>10.45</v>
      </c>
      <c r="F57">
        <v>11.5</v>
      </c>
      <c r="G57">
        <v>10.85</v>
      </c>
      <c r="H57">
        <v>11.65</v>
      </c>
      <c r="J57">
        <v>15.5</v>
      </c>
    </row>
    <row r="58" spans="1:10">
      <c r="A58" t="s">
        <v>391</v>
      </c>
      <c r="B58" t="s">
        <v>196</v>
      </c>
      <c r="C58">
        <v>6</v>
      </c>
      <c r="D58">
        <v>5.5</v>
      </c>
      <c r="F58">
        <v>5</v>
      </c>
      <c r="G58">
        <v>4.4000000000000004</v>
      </c>
      <c r="H58">
        <v>4.4000000000000004</v>
      </c>
      <c r="J58">
        <v>4.9000000000000004</v>
      </c>
    </row>
    <row r="59" spans="1:10">
      <c r="A59" t="s">
        <v>197</v>
      </c>
      <c r="B59" t="s">
        <v>198</v>
      </c>
      <c r="C59">
        <v>3.4</v>
      </c>
      <c r="D59">
        <v>3.8</v>
      </c>
      <c r="F59">
        <v>5.3</v>
      </c>
      <c r="G59">
        <v>2.4</v>
      </c>
      <c r="H59">
        <v>2.7</v>
      </c>
      <c r="J59">
        <v>3.35</v>
      </c>
    </row>
    <row r="60" spans="1:10">
      <c r="A60" t="s">
        <v>155</v>
      </c>
      <c r="B60" t="s">
        <v>38</v>
      </c>
      <c r="C60">
        <v>8.6999999999999993</v>
      </c>
      <c r="D60">
        <v>7.95</v>
      </c>
      <c r="F60">
        <v>7</v>
      </c>
      <c r="G60">
        <v>6.25</v>
      </c>
      <c r="H60">
        <v>6.4</v>
      </c>
      <c r="J60">
        <v>7</v>
      </c>
    </row>
    <row r="61" spans="1:10">
      <c r="A61" t="s">
        <v>199</v>
      </c>
      <c r="B61" t="s">
        <v>200</v>
      </c>
      <c r="C61">
        <v>10.95</v>
      </c>
      <c r="D61">
        <v>11.75</v>
      </c>
      <c r="F61">
        <v>13.95</v>
      </c>
      <c r="G61">
        <v>9.25</v>
      </c>
      <c r="H61">
        <v>10.4</v>
      </c>
      <c r="J61">
        <v>13.45</v>
      </c>
    </row>
    <row r="62" spans="1:10">
      <c r="A62" t="s">
        <v>243</v>
      </c>
      <c r="B62" t="s">
        <v>244</v>
      </c>
      <c r="C62">
        <v>6.75</v>
      </c>
      <c r="D62">
        <v>6.9</v>
      </c>
      <c r="F62">
        <v>7.1</v>
      </c>
      <c r="G62">
        <v>6.2</v>
      </c>
      <c r="H62">
        <v>6.9</v>
      </c>
      <c r="J62">
        <v>8.15</v>
      </c>
    </row>
    <row r="63" spans="1:10">
      <c r="A63" t="s">
        <v>201</v>
      </c>
      <c r="B63" t="s">
        <v>202</v>
      </c>
    </row>
    <row r="64" spans="1:10">
      <c r="A64" t="s">
        <v>203</v>
      </c>
      <c r="B64" t="s">
        <v>204</v>
      </c>
      <c r="C64">
        <v>3.25</v>
      </c>
      <c r="D64">
        <v>3.25</v>
      </c>
      <c r="F64">
        <v>3.25</v>
      </c>
      <c r="G64">
        <v>4.7</v>
      </c>
      <c r="H64">
        <v>5</v>
      </c>
      <c r="J64">
        <v>5.4</v>
      </c>
    </row>
    <row r="65" spans="1:10">
      <c r="A65" t="s">
        <v>159</v>
      </c>
      <c r="B65" t="s">
        <v>83</v>
      </c>
    </row>
    <row r="66" spans="1:10">
      <c r="A66" t="s">
        <v>156</v>
      </c>
      <c r="B66" t="s">
        <v>42</v>
      </c>
      <c r="C66">
        <v>7</v>
      </c>
      <c r="D66">
        <v>7.45</v>
      </c>
      <c r="F66">
        <v>9</v>
      </c>
      <c r="G66">
        <v>5.85</v>
      </c>
      <c r="H66">
        <v>6.2</v>
      </c>
      <c r="J66">
        <v>7.75</v>
      </c>
    </row>
    <row r="67" spans="1:10">
      <c r="A67" t="s">
        <v>217</v>
      </c>
      <c r="B67" t="s">
        <v>44</v>
      </c>
      <c r="C67">
        <v>7</v>
      </c>
      <c r="D67">
        <v>6.3</v>
      </c>
      <c r="F67">
        <v>5.75</v>
      </c>
      <c r="G67">
        <v>5.6</v>
      </c>
      <c r="H67">
        <v>5.85</v>
      </c>
      <c r="J67">
        <v>6.75</v>
      </c>
    </row>
    <row r="68" spans="1:10">
      <c r="A68" t="s">
        <v>157</v>
      </c>
      <c r="B68" t="s">
        <v>43</v>
      </c>
      <c r="C68">
        <v>5.65</v>
      </c>
      <c r="D68">
        <v>6.5</v>
      </c>
      <c r="F68">
        <v>7.45</v>
      </c>
      <c r="G68">
        <v>4.9000000000000004</v>
      </c>
      <c r="H68">
        <v>5.0999999999999996</v>
      </c>
      <c r="J68">
        <v>5.8</v>
      </c>
    </row>
    <row r="69" spans="1:10">
      <c r="A69" t="s">
        <v>205</v>
      </c>
      <c r="B69" t="s">
        <v>206</v>
      </c>
      <c r="C69">
        <v>10.6</v>
      </c>
      <c r="D69">
        <v>10.85</v>
      </c>
      <c r="F69">
        <v>11.8</v>
      </c>
      <c r="G69">
        <v>5.7</v>
      </c>
      <c r="H69">
        <v>6.2</v>
      </c>
      <c r="J69">
        <v>6.6</v>
      </c>
    </row>
    <row r="70" spans="1:10">
      <c r="A70" t="s">
        <v>158</v>
      </c>
      <c r="B70" t="s">
        <v>45</v>
      </c>
      <c r="C70">
        <v>7.2</v>
      </c>
      <c r="D70">
        <v>8.3000000000000007</v>
      </c>
      <c r="F70">
        <v>5.75</v>
      </c>
      <c r="G70">
        <v>5.5</v>
      </c>
      <c r="H70">
        <v>5.75</v>
      </c>
      <c r="J70">
        <v>6.75</v>
      </c>
    </row>
    <row r="71" spans="1:10">
      <c r="A71" t="s">
        <v>207</v>
      </c>
      <c r="B71" t="s">
        <v>208</v>
      </c>
      <c r="C71">
        <v>1.5</v>
      </c>
      <c r="D71">
        <v>1.25</v>
      </c>
      <c r="F71">
        <v>0.85</v>
      </c>
      <c r="G71">
        <v>1.65</v>
      </c>
      <c r="H71">
        <v>1.7</v>
      </c>
      <c r="J71">
        <v>2.0499999999999998</v>
      </c>
    </row>
  </sheetData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2:V94"/>
  <sheetViews>
    <sheetView zoomScale="70" zoomScaleNormal="70" workbookViewId="0"/>
  </sheetViews>
  <sheetFormatPr defaultRowHeight="14.25"/>
  <cols>
    <col min="1" max="2" width="8" customWidth="1"/>
    <col min="3" max="3" width="5.875" bestFit="1" customWidth="1"/>
    <col min="4" max="4" width="1.75" customWidth="1"/>
    <col min="5" max="5" width="34.625" customWidth="1"/>
    <col min="6" max="19" width="9" customWidth="1"/>
    <col min="20" max="22" width="8.75" customWidth="1"/>
  </cols>
  <sheetData>
    <row r="2" spans="1:22" ht="27.75">
      <c r="C2" s="140" t="str">
        <f>ElectricU</f>
        <v>Avista Corporation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95"/>
      <c r="T2" s="95"/>
      <c r="U2" s="95"/>
      <c r="V2" s="95"/>
    </row>
    <row r="3" spans="1:22"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</row>
    <row r="4" spans="1:22"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</row>
    <row r="5" spans="1:22" ht="20.25">
      <c r="C5" s="141" t="s">
        <v>273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96"/>
      <c r="T5" s="96"/>
      <c r="U5" s="96"/>
      <c r="V5" s="96"/>
    </row>
    <row r="6" spans="1:22" ht="18">
      <c r="C6" s="142" t="s">
        <v>275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97"/>
      <c r="T6" s="97"/>
      <c r="U6" s="97"/>
      <c r="V6" s="97"/>
    </row>
    <row r="7" spans="1:22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7.25">
      <c r="C9" s="6"/>
      <c r="D9" s="7"/>
      <c r="E9" s="7"/>
      <c r="F9" s="143" t="s">
        <v>403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98"/>
      <c r="T9" s="98"/>
      <c r="U9" s="98"/>
      <c r="V9" s="98"/>
    </row>
    <row r="10" spans="1:22" ht="15">
      <c r="A10" s="42" t="s">
        <v>99</v>
      </c>
      <c r="B10" s="42" t="s">
        <v>241</v>
      </c>
      <c r="C10" s="6"/>
      <c r="D10" s="7"/>
      <c r="E10" s="7"/>
      <c r="F10" s="8" t="s">
        <v>258</v>
      </c>
      <c r="G10" s="117">
        <v>2017</v>
      </c>
      <c r="H10" s="8"/>
      <c r="I10" s="8"/>
      <c r="J10" s="8"/>
      <c r="K10" s="8"/>
      <c r="L10" s="8"/>
      <c r="M10" s="7"/>
      <c r="N10" s="7"/>
      <c r="O10" s="7"/>
      <c r="P10" s="7"/>
      <c r="Q10" s="7"/>
      <c r="R10" s="7"/>
      <c r="S10" s="7"/>
      <c r="T10" s="7"/>
      <c r="U10" s="7"/>
    </row>
    <row r="11" spans="1:22" ht="17.25">
      <c r="A11" s="42" t="s">
        <v>100</v>
      </c>
      <c r="B11" s="42" t="s">
        <v>242</v>
      </c>
      <c r="C11" s="9" t="s">
        <v>96</v>
      </c>
      <c r="D11" s="138" t="s">
        <v>97</v>
      </c>
      <c r="E11" s="138"/>
      <c r="F11" s="10" t="s">
        <v>98</v>
      </c>
      <c r="G11" s="41" t="s">
        <v>330</v>
      </c>
      <c r="H11" s="41">
        <v>2016</v>
      </c>
      <c r="I11" s="41">
        <v>2015</v>
      </c>
      <c r="J11" s="41">
        <v>2014</v>
      </c>
      <c r="K11" s="41">
        <v>2013</v>
      </c>
      <c r="L11" s="41">
        <v>2012</v>
      </c>
      <c r="M11" s="41">
        <v>2011</v>
      </c>
      <c r="N11" s="41">
        <v>2010</v>
      </c>
      <c r="O11" s="41">
        <v>2009</v>
      </c>
      <c r="P11" s="41">
        <v>2008</v>
      </c>
      <c r="Q11" s="41">
        <v>2007</v>
      </c>
      <c r="R11" s="41">
        <v>2006</v>
      </c>
      <c r="S11" s="41"/>
      <c r="T11" s="41"/>
      <c r="U11" s="41"/>
      <c r="V11" s="41"/>
    </row>
    <row r="12" spans="1:22" ht="15">
      <c r="A12" s="42"/>
      <c r="B12" s="42"/>
      <c r="C12" s="9"/>
      <c r="D12" s="94"/>
      <c r="E12" s="94"/>
      <c r="F12" s="12">
        <v>-1</v>
      </c>
      <c r="G12" s="12">
        <f t="shared" ref="G12:R12" si="0">+F12-1</f>
        <v>-2</v>
      </c>
      <c r="H12" s="12">
        <f t="shared" si="0"/>
        <v>-3</v>
      </c>
      <c r="I12" s="12">
        <f t="shared" si="0"/>
        <v>-4</v>
      </c>
      <c r="J12" s="12">
        <f t="shared" si="0"/>
        <v>-5</v>
      </c>
      <c r="K12" s="12">
        <f t="shared" si="0"/>
        <v>-6</v>
      </c>
      <c r="L12" s="12">
        <f t="shared" si="0"/>
        <v>-7</v>
      </c>
      <c r="M12" s="12">
        <f t="shared" si="0"/>
        <v>-8</v>
      </c>
      <c r="N12" s="12">
        <f t="shared" si="0"/>
        <v>-9</v>
      </c>
      <c r="O12" s="12">
        <f t="shared" si="0"/>
        <v>-10</v>
      </c>
      <c r="P12" s="12">
        <f t="shared" si="0"/>
        <v>-11</v>
      </c>
      <c r="Q12" s="12">
        <f t="shared" si="0"/>
        <v>-12</v>
      </c>
      <c r="R12" s="12">
        <f t="shared" si="0"/>
        <v>-13</v>
      </c>
      <c r="S12" s="12"/>
      <c r="T12" s="12"/>
      <c r="U12" s="12"/>
      <c r="V12" s="12"/>
    </row>
    <row r="13" spans="1:22" ht="15">
      <c r="A13" s="43"/>
      <c r="B13" s="44"/>
      <c r="C13" s="9"/>
      <c r="D13" s="14" t="s">
        <v>101</v>
      </c>
      <c r="E13" s="11"/>
      <c r="F13" s="36"/>
      <c r="G13" s="36"/>
      <c r="H13" s="16">
        <f ca="1">MATCH(H11,OFFSET(DIV_BV_WP,-1,0,1,),0)</f>
        <v>6</v>
      </c>
      <c r="I13" s="16">
        <f t="shared" ref="I13:R13" ca="1" si="1">MATCH(I11,OFFSET(DIV_MP_WP,-1,0,1,),0)</f>
        <v>7</v>
      </c>
      <c r="J13" s="16">
        <f t="shared" ca="1" si="1"/>
        <v>8</v>
      </c>
      <c r="K13" s="16">
        <f t="shared" ca="1" si="1"/>
        <v>9</v>
      </c>
      <c r="L13" s="16">
        <f t="shared" ca="1" si="1"/>
        <v>10</v>
      </c>
      <c r="M13" s="16">
        <f t="shared" ca="1" si="1"/>
        <v>11</v>
      </c>
      <c r="N13" s="16">
        <f t="shared" ca="1" si="1"/>
        <v>12</v>
      </c>
      <c r="O13" s="16">
        <f t="shared" ca="1" si="1"/>
        <v>13</v>
      </c>
      <c r="P13" s="16">
        <f t="shared" ca="1" si="1"/>
        <v>14</v>
      </c>
      <c r="Q13" s="16">
        <f t="shared" ca="1" si="1"/>
        <v>15</v>
      </c>
      <c r="R13" s="16">
        <f t="shared" ca="1" si="1"/>
        <v>16</v>
      </c>
      <c r="S13" s="16"/>
      <c r="T13" s="16"/>
      <c r="U13" s="16"/>
      <c r="V13" s="16"/>
    </row>
    <row r="14" spans="1:22">
      <c r="A14" s="45" t="s">
        <v>0</v>
      </c>
      <c r="B14" s="118">
        <f t="shared" ref="B14:B58" ca="1" si="2">IFERROR(MATCH(A14,OFFSET(DIV_MP_WP,0,0,,1),0),"")</f>
        <v>2</v>
      </c>
      <c r="C14" s="1">
        <f>IF(ISERROR(D14),"",IF(D14="","",MAX($C$13:C13)+1))</f>
        <v>1</v>
      </c>
      <c r="D14" t="str">
        <f t="shared" ref="D14:D58" si="3">VLOOKUP(A14,LUCurYr,2,FALSE)</f>
        <v xml:space="preserve">ALLETE                        </v>
      </c>
      <c r="E14" s="15"/>
      <c r="F14" s="80">
        <f t="shared" ref="F14:F58" ca="1" si="4">IFERROR(AVERAGE(G14:R14),"N/A")</f>
        <v>4.1190742490038755E-2</v>
      </c>
      <c r="G14" s="80">
        <f t="shared" ref="G14:G58" si="5">IFERROR(IF(VLOOKUP(A14,LUCurYr,18,FALSE)=0,"",VLOOKUP(A14,LUCurYr,18,FALSE)),"N/A")</f>
        <v>3.0637079455977097E-2</v>
      </c>
      <c r="H14" s="80">
        <f ca="1">IFERROR(IF(VLOOKUP($A14,LASTYR,'2016'!$Q$3,FALSE)=0,"N/A",VLOOKUP($A14,LASTYR,'2016'!$Q$3,FALSE)),"N/A")</f>
        <v>3.5553124572678792E-2</v>
      </c>
      <c r="I14" s="80">
        <f t="shared" ref="I14:R23" ca="1" si="6">IFERROR(IF(INDEX(DIV_MP_WP,$B14,I$13)=0,"N/A",INDEX(DIV_MP_WP,$B14,I$13)),"N/A")</f>
        <v>3.9693456474749457E-2</v>
      </c>
      <c r="J14" s="80">
        <f t="shared" ca="1" si="6"/>
        <v>3.9228244335921862E-2</v>
      </c>
      <c r="K14" s="80">
        <f t="shared" ca="1" si="6"/>
        <v>3.8852422141790889E-2</v>
      </c>
      <c r="L14" s="80">
        <f t="shared" ca="1" si="6"/>
        <v>4.4906526089715432E-2</v>
      </c>
      <c r="M14" s="80">
        <f t="shared" ca="1" si="6"/>
        <v>4.5811349890618976E-2</v>
      </c>
      <c r="N14" s="80">
        <f t="shared" ca="1" si="6"/>
        <v>5.0304398776688485E-2</v>
      </c>
      <c r="O14" s="80">
        <f t="shared" ca="1" si="6"/>
        <v>5.7909976309555147E-2</v>
      </c>
      <c r="P14" s="80">
        <f t="shared" ca="1" si="6"/>
        <v>4.3730295942235327E-2</v>
      </c>
      <c r="Q14" s="80">
        <f t="shared" ca="1" si="6"/>
        <v>3.6023371260378682E-2</v>
      </c>
      <c r="R14" s="80">
        <f t="shared" ca="1" si="6"/>
        <v>3.1638664630154918E-2</v>
      </c>
      <c r="S14" s="63"/>
      <c r="T14" s="63"/>
      <c r="U14" s="63"/>
      <c r="V14" s="63"/>
    </row>
    <row r="15" spans="1:22">
      <c r="A15" s="45" t="s">
        <v>1</v>
      </c>
      <c r="B15" s="118">
        <f t="shared" ca="1" si="2"/>
        <v>3</v>
      </c>
      <c r="C15" s="1">
        <f>IF(ISERROR(D15),"",IF(D15="","",MAX($C$13:C14)+1))</f>
        <v>2</v>
      </c>
      <c r="D15" t="str">
        <f t="shared" si="3"/>
        <v xml:space="preserve">Alliant Energy                </v>
      </c>
      <c r="E15" s="15"/>
      <c r="F15" s="80">
        <f t="shared" ca="1" si="4"/>
        <v>3.8726126084270507E-2</v>
      </c>
      <c r="G15" s="80">
        <f t="shared" si="5"/>
        <v>3.1578947368421047E-2</v>
      </c>
      <c r="H15" s="80">
        <f ca="1">IFERROR(IF(VLOOKUP($A15,LASTYR,'2016'!$Q$3,FALSE)=0,"N/A",VLOOKUP($A15,LASTYR,'2016'!$Q$3,FALSE)),"N/A")</f>
        <v>3.2064346077552236E-2</v>
      </c>
      <c r="I15" s="80">
        <f t="shared" ca="1" si="6"/>
        <v>3.6017157264005763E-2</v>
      </c>
      <c r="J15" s="80">
        <f t="shared" ca="1" si="6"/>
        <v>3.5306334371754934E-2</v>
      </c>
      <c r="K15" s="80">
        <f t="shared" ca="1" si="6"/>
        <v>3.7406979983286237E-2</v>
      </c>
      <c r="L15" s="80">
        <f t="shared" ca="1" si="6"/>
        <v>4.0707404224523951E-2</v>
      </c>
      <c r="M15" s="80">
        <f t="shared" ca="1" si="6"/>
        <v>4.2778057372924005E-2</v>
      </c>
      <c r="N15" s="80">
        <f t="shared" ca="1" si="6"/>
        <v>4.6064139941690965E-2</v>
      </c>
      <c r="O15" s="80">
        <f t="shared" ca="1" si="6"/>
        <v>5.7256279105275212E-2</v>
      </c>
      <c r="P15" s="80">
        <f t="shared" ca="1" si="6"/>
        <v>4.1031652989449004E-2</v>
      </c>
      <c r="Q15" s="80">
        <f t="shared" ca="1" si="6"/>
        <v>3.131318112332955E-2</v>
      </c>
      <c r="R15" s="80">
        <f t="shared" ca="1" si="6"/>
        <v>3.3189033189033185E-2</v>
      </c>
      <c r="S15" s="63"/>
      <c r="T15" s="63"/>
      <c r="U15" s="63"/>
      <c r="V15" s="63"/>
    </row>
    <row r="16" spans="1:22">
      <c r="A16" s="45" t="s">
        <v>3</v>
      </c>
      <c r="B16" s="118">
        <f t="shared" ca="1" si="2"/>
        <v>6</v>
      </c>
      <c r="C16" s="1">
        <f>IF(ISERROR(D16),"",IF(D16="","",MAX($C$13:C15)+1))</f>
        <v>3</v>
      </c>
      <c r="D16" t="str">
        <f t="shared" si="3"/>
        <v xml:space="preserve">Ameren Corp.                  </v>
      </c>
      <c r="E16" s="15"/>
      <c r="F16" s="80">
        <f t="shared" ca="1" si="4"/>
        <v>4.77247660830094E-2</v>
      </c>
      <c r="G16" s="80">
        <f t="shared" si="5"/>
        <v>3.1729055258467025E-2</v>
      </c>
      <c r="H16" s="80">
        <f ca="1">IFERROR(IF(VLOOKUP($A16,LASTYR,'2016'!$Q$3,FALSE)=0,"N/A",VLOOKUP($A16,LASTYR,'2016'!$Q$3,FALSE)),"N/A")</f>
        <v>3.498001142204455E-2</v>
      </c>
      <c r="I16" s="80">
        <f t="shared" ca="1" si="6"/>
        <v>3.9633124191771632E-2</v>
      </c>
      <c r="J16" s="80">
        <f t="shared" ca="1" si="6"/>
        <v>4.0154632747225347E-2</v>
      </c>
      <c r="K16" s="80">
        <f t="shared" ca="1" si="6"/>
        <v>4.6129450771226752E-2</v>
      </c>
      <c r="L16" s="80">
        <f t="shared" ca="1" si="6"/>
        <v>4.9724958821518478E-2</v>
      </c>
      <c r="M16" s="80">
        <f t="shared" ca="1" si="6"/>
        <v>5.275299385961936E-2</v>
      </c>
      <c r="N16" s="80">
        <f t="shared" ca="1" si="6"/>
        <v>5.7585162472422693E-2</v>
      </c>
      <c r="O16" s="80">
        <f t="shared" ca="1" si="6"/>
        <v>5.9817440279665957E-2</v>
      </c>
      <c r="P16" s="80">
        <f t="shared" ca="1" si="6"/>
        <v>6.2085991542616896E-2</v>
      </c>
      <c r="Q16" s="80">
        <f t="shared" ca="1" si="6"/>
        <v>4.8846153846153845E-2</v>
      </c>
      <c r="R16" s="80">
        <f t="shared" ca="1" si="6"/>
        <v>4.9258217783380201E-2</v>
      </c>
      <c r="S16" s="63"/>
      <c r="T16" s="63"/>
      <c r="U16" s="63"/>
      <c r="V16" s="63"/>
    </row>
    <row r="17" spans="1:22">
      <c r="A17" s="45" t="s">
        <v>2</v>
      </c>
      <c r="B17" s="118">
        <f t="shared" ca="1" si="2"/>
        <v>7</v>
      </c>
      <c r="C17" s="1">
        <f>IF(ISERROR(D17),"",IF(D17="","",MAX($C$13:C16)+1))</f>
        <v>4</v>
      </c>
      <c r="D17" t="str">
        <f t="shared" si="3"/>
        <v>American Electric Power</v>
      </c>
      <c r="E17" s="15"/>
      <c r="F17" s="80">
        <f t="shared" ca="1" si="4"/>
        <v>4.2097797855083767E-2</v>
      </c>
      <c r="G17" s="80">
        <f t="shared" si="5"/>
        <v>3.5121234386480529E-2</v>
      </c>
      <c r="H17" s="80">
        <f ca="1">IFERROR(IF(VLOOKUP($A17,LASTYR,'2016'!$Q$3,FALSE)=0,"N/A",VLOOKUP($A17,LASTYR,'2016'!$Q$3,FALSE)),"N/A")</f>
        <v>3.540457920019964E-2</v>
      </c>
      <c r="I17" s="80">
        <f t="shared" ca="1" si="6"/>
        <v>3.7978484746780658E-2</v>
      </c>
      <c r="J17" s="80">
        <f t="shared" ca="1" si="6"/>
        <v>3.8283828382838281E-2</v>
      </c>
      <c r="K17" s="80">
        <f t="shared" ca="1" si="6"/>
        <v>4.2307608860732031E-2</v>
      </c>
      <c r="L17" s="80">
        <f t="shared" ca="1" si="6"/>
        <v>4.582459903475844E-2</v>
      </c>
      <c r="M17" s="80">
        <f t="shared" ca="1" si="6"/>
        <v>4.9593866445058046E-2</v>
      </c>
      <c r="N17" s="80">
        <f t="shared" ca="1" si="6"/>
        <v>4.9022418439309677E-2</v>
      </c>
      <c r="O17" s="80">
        <f t="shared" ca="1" si="6"/>
        <v>5.5042792414834694E-2</v>
      </c>
      <c r="P17" s="80">
        <f t="shared" ca="1" si="6"/>
        <v>4.1996363729481956E-2</v>
      </c>
      <c r="Q17" s="80">
        <f t="shared" ca="1" si="6"/>
        <v>3.3959506512487643E-2</v>
      </c>
      <c r="R17" s="80">
        <f t="shared" ca="1" si="6"/>
        <v>4.0638292108043671E-2</v>
      </c>
      <c r="S17" s="63"/>
      <c r="T17" s="63"/>
      <c r="U17" s="63"/>
      <c r="V17" s="63"/>
    </row>
    <row r="18" spans="1:22">
      <c r="A18" s="45" t="s">
        <v>261</v>
      </c>
      <c r="B18" s="118">
        <f t="shared" ca="1" si="2"/>
        <v>10</v>
      </c>
      <c r="C18" s="1">
        <f>IF(ISERROR(D18),"",IF(D18="","",MAX($C$13:C17)+1))</f>
        <v>5</v>
      </c>
      <c r="D18" t="str">
        <f t="shared" si="3"/>
        <v>Avangrid, Inc.</v>
      </c>
      <c r="E18" s="15"/>
      <c r="F18" s="80">
        <f t="shared" ca="1" si="4"/>
        <v>4.179153051659644E-2</v>
      </c>
      <c r="G18" s="80">
        <f t="shared" si="5"/>
        <v>4.0995260663507109E-2</v>
      </c>
      <c r="H18" s="80">
        <f ca="1">IFERROR(IF(VLOOKUP($A18,LASTYR,'2016'!$Q$3,FALSE)=0,"N/A",VLOOKUP($A18,LASTYR,'2016'!$Q$3,FALSE)),"N/A")</f>
        <v>4.2587800369685763E-2</v>
      </c>
      <c r="I18" s="80" t="str">
        <f t="shared" ca="1" si="6"/>
        <v>N/A</v>
      </c>
      <c r="J18" s="80" t="str">
        <f t="shared" ca="1" si="6"/>
        <v>N/A</v>
      </c>
      <c r="K18" s="80" t="str">
        <f t="shared" ca="1" si="6"/>
        <v>N/A</v>
      </c>
      <c r="L18" s="80" t="str">
        <f t="shared" ca="1" si="6"/>
        <v>N/A</v>
      </c>
      <c r="M18" s="80" t="str">
        <f t="shared" ca="1" si="6"/>
        <v>N/A</v>
      </c>
      <c r="N18" s="80" t="str">
        <f t="shared" ca="1" si="6"/>
        <v>N/A</v>
      </c>
      <c r="O18" s="80" t="str">
        <f t="shared" ca="1" si="6"/>
        <v>N/A</v>
      </c>
      <c r="P18" s="80" t="str">
        <f t="shared" ca="1" si="6"/>
        <v>N/A</v>
      </c>
      <c r="Q18" s="80" t="str">
        <f t="shared" ca="1" si="6"/>
        <v>N/A</v>
      </c>
      <c r="R18" s="80" t="str">
        <f t="shared" ca="1" si="6"/>
        <v>N/A</v>
      </c>
      <c r="S18" s="63"/>
      <c r="T18" s="63"/>
      <c r="U18" s="63"/>
      <c r="V18" s="63"/>
    </row>
    <row r="19" spans="1:22">
      <c r="A19" s="45" t="s">
        <v>4</v>
      </c>
      <c r="B19" s="118">
        <f t="shared" ca="1" si="2"/>
        <v>11</v>
      </c>
      <c r="C19" s="1">
        <f>IF(ISERROR(D19),"",IF(D19="","",MAX($C$13:C18)+1))</f>
        <v>6</v>
      </c>
      <c r="D19" t="str">
        <f t="shared" si="3"/>
        <v xml:space="preserve">Avista Corp.                  </v>
      </c>
      <c r="E19" s="15"/>
      <c r="F19" s="80">
        <f t="shared" ca="1" si="4"/>
        <v>3.8555718053088821E-2</v>
      </c>
      <c r="G19" s="80">
        <f t="shared" si="5"/>
        <v>3.4793187347931874E-2</v>
      </c>
      <c r="H19" s="80">
        <f ca="1">IFERROR(IF(VLOOKUP($A19,LASTYR,'2016'!$Q$3,FALSE)=0,"N/A",VLOOKUP($A19,LASTYR,'2016'!$Q$3,FALSE)),"N/A")</f>
        <v>3.3903338365215675E-2</v>
      </c>
      <c r="I19" s="80">
        <f t="shared" ca="1" si="6"/>
        <v>3.9675383228133451E-2</v>
      </c>
      <c r="J19" s="80">
        <f t="shared" ca="1" si="6"/>
        <v>3.9938362841598796E-2</v>
      </c>
      <c r="K19" s="80">
        <f t="shared" ca="1" si="6"/>
        <v>4.5061682795301761E-2</v>
      </c>
      <c r="L19" s="80">
        <f t="shared" ca="1" si="6"/>
        <v>4.5540201005025122E-2</v>
      </c>
      <c r="M19" s="80">
        <f t="shared" ca="1" si="6"/>
        <v>4.5428264640290747E-2</v>
      </c>
      <c r="N19" s="80">
        <f t="shared" ca="1" si="6"/>
        <v>4.7573739295908662E-2</v>
      </c>
      <c r="O19" s="80">
        <f t="shared" ca="1" si="6"/>
        <v>4.4907689748849594E-2</v>
      </c>
      <c r="P19" s="80">
        <f t="shared" ca="1" si="6"/>
        <v>3.388665160593262E-2</v>
      </c>
      <c r="Q19" s="80">
        <f t="shared" ca="1" si="6"/>
        <v>2.6765632028789923E-2</v>
      </c>
      <c r="R19" s="80">
        <f t="shared" ca="1" si="6"/>
        <v>2.5194483734087694E-2</v>
      </c>
      <c r="S19" s="63"/>
      <c r="T19" s="63"/>
      <c r="U19" s="63"/>
      <c r="V19" s="63"/>
    </row>
    <row r="20" spans="1:22">
      <c r="A20" s="45" t="s">
        <v>5</v>
      </c>
      <c r="B20" s="118">
        <f t="shared" ca="1" si="2"/>
        <v>12</v>
      </c>
      <c r="C20" s="1">
        <f>IF(ISERROR(D20),"",IF(D20="","",MAX($C$13:C19)+1))</f>
        <v>7</v>
      </c>
      <c r="D20" t="str">
        <f t="shared" si="3"/>
        <v xml:space="preserve">Black Hills                   </v>
      </c>
      <c r="E20" s="15"/>
      <c r="F20" s="80">
        <f t="shared" ca="1" si="4"/>
        <v>3.8776419489185185E-2</v>
      </c>
      <c r="G20" s="80">
        <f t="shared" si="5"/>
        <v>2.696969696969697E-2</v>
      </c>
      <c r="H20" s="80">
        <f ca="1">IFERROR(IF(VLOOKUP($A20,LASTYR,'2016'!$Q$3,FALSE)=0,"N/A",VLOOKUP($A20,LASTYR,'2016'!$Q$3,FALSE)),"N/A")</f>
        <v>2.8659649601664988E-2</v>
      </c>
      <c r="I20" s="80">
        <f t="shared" ca="1" si="6"/>
        <v>3.5473416834544982E-2</v>
      </c>
      <c r="J20" s="80">
        <f t="shared" ca="1" si="6"/>
        <v>2.8366215110464589E-2</v>
      </c>
      <c r="K20" s="80">
        <f t="shared" ca="1" si="6"/>
        <v>3.1932773109243695E-2</v>
      </c>
      <c r="L20" s="80">
        <f t="shared" ca="1" si="6"/>
        <v>4.3853151204480127E-2</v>
      </c>
      <c r="M20" s="80">
        <f t="shared" ca="1" si="6"/>
        <v>4.6437659033078879E-2</v>
      </c>
      <c r="N20" s="80">
        <f t="shared" ca="1" si="6"/>
        <v>4.7936085219707054E-2</v>
      </c>
      <c r="O20" s="80">
        <f t="shared" ca="1" si="6"/>
        <v>6.1664061142956403E-2</v>
      </c>
      <c r="P20" s="80">
        <f t="shared" ca="1" si="6"/>
        <v>4.2115396185548402E-2</v>
      </c>
      <c r="Q20" s="80">
        <f t="shared" ca="1" si="6"/>
        <v>3.4027967511984301E-2</v>
      </c>
      <c r="R20" s="80">
        <f t="shared" ca="1" si="6"/>
        <v>3.7880961946851865E-2</v>
      </c>
      <c r="S20" s="63"/>
      <c r="T20" s="63"/>
      <c r="U20" s="63"/>
      <c r="V20" s="63"/>
    </row>
    <row r="21" spans="1:22">
      <c r="A21" s="45" t="s">
        <v>6</v>
      </c>
      <c r="B21" s="118">
        <f t="shared" ca="1" si="2"/>
        <v>14</v>
      </c>
      <c r="C21" s="1">
        <f>IF(ISERROR(D21),"",IF(D21="","",MAX($C$13:C20)+1))</f>
        <v>8</v>
      </c>
      <c r="D21" t="str">
        <f t="shared" si="3"/>
        <v xml:space="preserve">CenterPoint Energy            </v>
      </c>
      <c r="E21" s="15"/>
      <c r="F21" s="80">
        <f t="shared" ca="1" si="4"/>
        <v>4.5352820463853021E-2</v>
      </c>
      <c r="G21" s="80">
        <f t="shared" si="5"/>
        <v>3.9194139194139194E-2</v>
      </c>
      <c r="H21" s="80">
        <f ca="1">IFERROR(IF(VLOOKUP($A21,LASTYR,'2016'!$Q$3,FALSE)=0,"N/A",VLOOKUP($A21,LASTYR,'2016'!$Q$3,FALSE)),"N/A")</f>
        <v>4.701049748973072E-2</v>
      </c>
      <c r="I21" s="80">
        <f t="shared" ca="1" si="6"/>
        <v>5.0649749309321604E-2</v>
      </c>
      <c r="J21" s="80">
        <f t="shared" ca="1" si="6"/>
        <v>3.94469127600382E-2</v>
      </c>
      <c r="K21" s="80">
        <f t="shared" ca="1" si="6"/>
        <v>3.5705067538501251E-2</v>
      </c>
      <c r="L21" s="80">
        <f t="shared" ca="1" si="6"/>
        <v>4.0413111809609346E-2</v>
      </c>
      <c r="M21" s="80">
        <f t="shared" ca="1" si="6"/>
        <v>4.267963263101026E-2</v>
      </c>
      <c r="N21" s="80">
        <f t="shared" ca="1" si="6"/>
        <v>5.2895700528957007E-2</v>
      </c>
      <c r="O21" s="80">
        <f t="shared" ca="1" si="6"/>
        <v>6.3731656184486368E-2</v>
      </c>
      <c r="P21" s="80">
        <f t="shared" ca="1" si="6"/>
        <v>4.9815749965879626E-2</v>
      </c>
      <c r="Q21" s="80">
        <f t="shared" ca="1" si="6"/>
        <v>3.8742023701002735E-2</v>
      </c>
      <c r="R21" s="80">
        <f t="shared" ca="1" si="6"/>
        <v>4.3949604453559922E-2</v>
      </c>
      <c r="S21" s="63"/>
      <c r="T21" s="63"/>
      <c r="U21" s="63"/>
      <c r="V21" s="63"/>
    </row>
    <row r="22" spans="1:22">
      <c r="A22" s="45" t="s">
        <v>9</v>
      </c>
      <c r="B22" s="118">
        <f t="shared" ca="1" si="2"/>
        <v>18</v>
      </c>
      <c r="C22" s="1">
        <f>IF(ISERROR(D22),"",IF(D22="","",MAX($C$13:C21)+1))</f>
        <v>9</v>
      </c>
      <c r="D22" t="str">
        <f t="shared" si="3"/>
        <v xml:space="preserve">CMS Energy Corp.              </v>
      </c>
      <c r="E22" s="15"/>
      <c r="F22" s="80">
        <f t="shared" ca="1" si="4"/>
        <v>3.3527621952803094E-2</v>
      </c>
      <c r="G22" s="80">
        <f t="shared" si="5"/>
        <v>2.9555555555555557E-2</v>
      </c>
      <c r="H22" s="80">
        <f ca="1">IFERROR(IF(VLOOKUP($A22,LASTYR,'2016'!$Q$3,FALSE)=0,"N/A",VLOOKUP($A22,LASTYR,'2016'!$Q$3,FALSE)),"N/A")</f>
        <v>2.9903296597294234E-2</v>
      </c>
      <c r="I22" s="80">
        <f t="shared" ca="1" si="6"/>
        <v>3.3555105582875326E-2</v>
      </c>
      <c r="J22" s="80">
        <f t="shared" ca="1" si="6"/>
        <v>3.5880398671096346E-2</v>
      </c>
      <c r="K22" s="80">
        <f t="shared" ca="1" si="6"/>
        <v>3.7643932683790966E-2</v>
      </c>
      <c r="L22" s="80">
        <f t="shared" ca="1" si="6"/>
        <v>4.1637751561415678E-2</v>
      </c>
      <c r="M22" s="80">
        <f t="shared" ca="1" si="6"/>
        <v>4.2548880559213853E-2</v>
      </c>
      <c r="N22" s="80">
        <f t="shared" ca="1" si="6"/>
        <v>3.9838232631134181E-2</v>
      </c>
      <c r="O22" s="80">
        <f t="shared" ca="1" si="6"/>
        <v>3.9660506068057433E-2</v>
      </c>
      <c r="P22" s="80">
        <f t="shared" ca="1" si="6"/>
        <v>2.6936026936026935E-2</v>
      </c>
      <c r="Q22" s="80">
        <f t="shared" ca="1" si="6"/>
        <v>1.1644154634373547E-2</v>
      </c>
      <c r="R22" s="80" t="str">
        <f t="shared" ca="1" si="6"/>
        <v>N/A</v>
      </c>
      <c r="S22" s="63"/>
      <c r="T22" s="63"/>
      <c r="U22" s="63"/>
      <c r="V22" s="63"/>
    </row>
    <row r="23" spans="1:22">
      <c r="A23" s="45" t="s">
        <v>10</v>
      </c>
      <c r="B23" s="118">
        <f t="shared" ca="1" si="2"/>
        <v>20</v>
      </c>
      <c r="C23" s="1">
        <f>IF(ISERROR(D23),"",IF(D23="","",MAX($C$13:C22)+1))</f>
        <v>10</v>
      </c>
      <c r="D23" t="str">
        <f t="shared" si="3"/>
        <v xml:space="preserve">Consol. Edison                </v>
      </c>
      <c r="E23" s="15"/>
      <c r="F23" s="80">
        <f t="shared" ca="1" si="4"/>
        <v>4.5916373903695941E-2</v>
      </c>
      <c r="G23" s="80">
        <f t="shared" si="5"/>
        <v>3.5114503816793895E-2</v>
      </c>
      <c r="H23" s="80">
        <f ca="1">IFERROR(IF(VLOOKUP($A23,LASTYR,'2016'!$Q$3,FALSE)=0,"N/A",VLOOKUP($A23,LASTYR,'2016'!$Q$3,FALSE)),"N/A")</f>
        <v>3.6177594189986374E-2</v>
      </c>
      <c r="I23" s="80">
        <f t="shared" ca="1" si="6"/>
        <v>4.1181594994852307E-2</v>
      </c>
      <c r="J23" s="80">
        <f t="shared" ca="1" si="6"/>
        <v>4.3778121362680888E-2</v>
      </c>
      <c r="K23" s="80">
        <f t="shared" ca="1" si="6"/>
        <v>4.2515684139575884E-2</v>
      </c>
      <c r="L23" s="80">
        <f t="shared" ca="1" si="6"/>
        <v>4.0736625930040737E-2</v>
      </c>
      <c r="M23" s="80">
        <f t="shared" ca="1" si="6"/>
        <v>4.4593916646537467E-2</v>
      </c>
      <c r="N23" s="80">
        <f t="shared" ca="1" si="6"/>
        <v>5.1581023384842113E-2</v>
      </c>
      <c r="O23" s="80">
        <f t="shared" ca="1" si="6"/>
        <v>5.990912090980631E-2</v>
      </c>
      <c r="P23" s="80">
        <f t="shared" ca="1" si="6"/>
        <v>5.6687419753385489E-2</v>
      </c>
      <c r="Q23" s="80">
        <f t="shared" ca="1" si="6"/>
        <v>4.8370619018827006E-2</v>
      </c>
      <c r="R23" s="80">
        <f t="shared" ca="1" si="6"/>
        <v>5.0350262697022766E-2</v>
      </c>
      <c r="S23" s="63"/>
      <c r="T23" s="63"/>
      <c r="U23" s="63"/>
      <c r="V23" s="63"/>
    </row>
    <row r="24" spans="1:22">
      <c r="A24" s="45" t="s">
        <v>11</v>
      </c>
      <c r="B24" s="118">
        <f t="shared" ca="1" si="2"/>
        <v>22</v>
      </c>
      <c r="C24" s="1">
        <f>IF(ISERROR(D24),"",IF(D24="","",MAX($C$13:C23)+1))</f>
        <v>11</v>
      </c>
      <c r="D24" t="str">
        <f t="shared" si="3"/>
        <v xml:space="preserve">Dominion Resources            </v>
      </c>
      <c r="E24" s="15"/>
      <c r="F24" s="80">
        <f t="shared" ca="1" si="4"/>
        <v>3.9285337692345053E-2</v>
      </c>
      <c r="G24" s="80">
        <f t="shared" si="5"/>
        <v>3.9606557377049177E-2</v>
      </c>
      <c r="H24" s="80">
        <f ca="1">IFERROR(IF(VLOOKUP($A24,LASTYR,'2016'!$Q$3,FALSE)=0,"N/A",VLOOKUP($A24,LASTYR,'2016'!$Q$3,FALSE)),"N/A")</f>
        <v>3.8168979525068834E-2</v>
      </c>
      <c r="I24" s="80">
        <f t="shared" ref="I24:R33" ca="1" si="7">IFERROR(IF(INDEX(DIV_MP_WP,$B24,I$13)=0,"N/A",INDEX(DIV_MP_WP,$B24,I$13)),"N/A")</f>
        <v>3.656281321908042E-2</v>
      </c>
      <c r="J24" s="80">
        <f t="shared" ca="1" si="7"/>
        <v>3.4253418205691777E-2</v>
      </c>
      <c r="K24" s="80">
        <f t="shared" ca="1" si="7"/>
        <v>3.7836747048733729E-2</v>
      </c>
      <c r="L24" s="80">
        <f t="shared" ca="1" si="7"/>
        <v>4.0570681433625591E-2</v>
      </c>
      <c r="M24" s="80">
        <f t="shared" ca="1" si="7"/>
        <v>4.132924936013091E-2</v>
      </c>
      <c r="N24" s="80">
        <f t="shared" ca="1" si="7"/>
        <v>4.413147804278101E-2</v>
      </c>
      <c r="O24" s="80">
        <f t="shared" ca="1" si="7"/>
        <v>5.2022949552602629E-2</v>
      </c>
      <c r="P24" s="80">
        <f t="shared" ca="1" si="7"/>
        <v>3.7717832418238242E-2</v>
      </c>
      <c r="Q24" s="80">
        <f t="shared" ca="1" si="7"/>
        <v>3.3232422097284497E-2</v>
      </c>
      <c r="R24" s="80">
        <f t="shared" ca="1" si="7"/>
        <v>3.5990924027853838E-2</v>
      </c>
      <c r="S24" s="63"/>
      <c r="T24" s="63"/>
      <c r="U24" s="63"/>
      <c r="V24" s="63"/>
    </row>
    <row r="25" spans="1:22">
      <c r="A25" s="45" t="s">
        <v>12</v>
      </c>
      <c r="B25" s="118">
        <f t="shared" ca="1" si="2"/>
        <v>23</v>
      </c>
      <c r="C25" s="1">
        <f>IF(ISERROR(D25),"",IF(D25="","",MAX($C$13:C24)+1))</f>
        <v>12</v>
      </c>
      <c r="D25" t="str">
        <f t="shared" si="3"/>
        <v xml:space="preserve">DTE Energy                    </v>
      </c>
      <c r="E25" s="15"/>
      <c r="F25" s="80">
        <f t="shared" ca="1" si="4"/>
        <v>4.3195181823374E-2</v>
      </c>
      <c r="G25" s="80">
        <f t="shared" si="5"/>
        <v>3.2091690544412611E-2</v>
      </c>
      <c r="H25" s="80">
        <f ca="1">IFERROR(IF(VLOOKUP($A25,LASTYR,'2016'!$Q$3,FALSE)=0,"N/A",VLOOKUP($A25,LASTYR,'2016'!$Q$3,FALSE)),"N/A")</f>
        <v>3.3403925507062858E-2</v>
      </c>
      <c r="I25" s="80">
        <f t="shared" ca="1" si="7"/>
        <v>3.5313281026571997E-2</v>
      </c>
      <c r="J25" s="80">
        <f t="shared" ca="1" si="7"/>
        <v>3.5370070871628995E-2</v>
      </c>
      <c r="K25" s="80">
        <f t="shared" ca="1" si="7"/>
        <v>3.8449547958017243E-2</v>
      </c>
      <c r="L25" s="80">
        <f t="shared" ca="1" si="7"/>
        <v>4.1889529348635129E-2</v>
      </c>
      <c r="M25" s="80">
        <f t="shared" ca="1" si="7"/>
        <v>4.6794005526533407E-2</v>
      </c>
      <c r="N25" s="80">
        <f t="shared" ca="1" si="7"/>
        <v>4.7521471857697173E-2</v>
      </c>
      <c r="O25" s="80">
        <f t="shared" ca="1" si="7"/>
        <v>6.2855787476280831E-2</v>
      </c>
      <c r="P25" s="80">
        <f t="shared" ca="1" si="7"/>
        <v>5.2431122322797653E-2</v>
      </c>
      <c r="Q25" s="80">
        <f t="shared" ca="1" si="7"/>
        <v>4.3634866728414122E-2</v>
      </c>
      <c r="R25" s="80">
        <f t="shared" ca="1" si="7"/>
        <v>4.8586882712435907E-2</v>
      </c>
      <c r="S25" s="63"/>
      <c r="T25" s="63"/>
      <c r="U25" s="63"/>
      <c r="V25" s="63"/>
    </row>
    <row r="26" spans="1:22">
      <c r="A26" s="45" t="s">
        <v>13</v>
      </c>
      <c r="B26" s="118">
        <f t="shared" ca="1" si="2"/>
        <v>24</v>
      </c>
      <c r="C26" s="1">
        <f>IF(ISERROR(D26),"",IF(D26="","",MAX($C$13:C25)+1))</f>
        <v>13</v>
      </c>
      <c r="D26" t="str">
        <f t="shared" si="3"/>
        <v xml:space="preserve">Duke Energy                   </v>
      </c>
      <c r="E26" s="15"/>
      <c r="F26" s="80">
        <f t="shared" ca="1" si="4"/>
        <v>4.8195479491147858E-2</v>
      </c>
      <c r="G26" s="80">
        <f t="shared" si="5"/>
        <v>4.266503667481663E-2</v>
      </c>
      <c r="H26" s="80">
        <f ca="1">IFERROR(IF(VLOOKUP($A26,LASTYR,'2016'!$Q$3,FALSE)=0,"N/A",VLOOKUP($A26,LASTYR,'2016'!$Q$3,FALSE)),"N/A")</f>
        <v>4.2616338799893454E-2</v>
      </c>
      <c r="I26" s="80">
        <f t="shared" ca="1" si="7"/>
        <v>4.3376978070527754E-2</v>
      </c>
      <c r="J26" s="80">
        <f t="shared" ca="1" si="7"/>
        <v>4.2579650982035443E-2</v>
      </c>
      <c r="K26" s="80">
        <f t="shared" ca="1" si="7"/>
        <v>4.4494362607456039E-2</v>
      </c>
      <c r="L26" s="80">
        <f t="shared" ca="1" si="7"/>
        <v>4.6766476308072229E-2</v>
      </c>
      <c r="M26" s="80">
        <f t="shared" ca="1" si="7"/>
        <v>5.2124466908861161E-2</v>
      </c>
      <c r="N26" s="80">
        <f t="shared" ca="1" si="7"/>
        <v>5.7066656207714783E-2</v>
      </c>
      <c r="O26" s="80">
        <f t="shared" ca="1" si="7"/>
        <v>6.2468156746339404E-2</v>
      </c>
      <c r="P26" s="80">
        <f t="shared" ca="1" si="7"/>
        <v>5.155918803826838E-2</v>
      </c>
      <c r="Q26" s="80">
        <f t="shared" ca="1" si="7"/>
        <v>4.4432963058641181E-2</v>
      </c>
      <c r="R26" s="80" t="str">
        <f t="shared" ca="1" si="7"/>
        <v>N/A</v>
      </c>
      <c r="S26" s="63"/>
      <c r="T26" s="63"/>
      <c r="U26" s="63"/>
      <c r="V26" s="63"/>
    </row>
    <row r="27" spans="1:22">
      <c r="A27" s="45" t="s">
        <v>14</v>
      </c>
      <c r="B27" s="118">
        <f t="shared" ca="1" si="2"/>
        <v>25</v>
      </c>
      <c r="C27" s="1">
        <f>IF(ISERROR(D27),"",IF(D27="","",MAX($C$13:C26)+1))</f>
        <v>14</v>
      </c>
      <c r="D27" t="str">
        <f t="shared" si="3"/>
        <v xml:space="preserve">Edison Int'l                  </v>
      </c>
      <c r="E27" s="15"/>
      <c r="F27" s="80">
        <f t="shared" ca="1" si="4"/>
        <v>2.9526485688508908E-2</v>
      </c>
      <c r="G27" s="80">
        <f t="shared" si="5"/>
        <v>2.8813559322033902E-2</v>
      </c>
      <c r="H27" s="80">
        <f ca="1">IFERROR(IF(VLOOKUP($A27,LASTYR,'2016'!$Q$3,FALSE)=0,"N/A",VLOOKUP($A27,LASTYR,'2016'!$Q$3,FALSE)),"N/A")</f>
        <v>2.8086227409211944E-2</v>
      </c>
      <c r="I27" s="80">
        <f t="shared" ca="1" si="7"/>
        <v>2.8279103162429427E-2</v>
      </c>
      <c r="J27" s="80">
        <f t="shared" ca="1" si="7"/>
        <v>2.6245000530917072E-2</v>
      </c>
      <c r="K27" s="80">
        <f t="shared" ca="1" si="7"/>
        <v>2.8497625197900178E-2</v>
      </c>
      <c r="L27" s="80">
        <f t="shared" ca="1" si="7"/>
        <v>2.9729423751839693E-2</v>
      </c>
      <c r="M27" s="80">
        <f t="shared" ca="1" si="7"/>
        <v>3.3692545688140743E-2</v>
      </c>
      <c r="N27" s="80">
        <f t="shared" ca="1" si="7"/>
        <v>3.6593479707252158E-2</v>
      </c>
      <c r="O27" s="80">
        <f t="shared" ca="1" si="7"/>
        <v>3.9540127671737549E-2</v>
      </c>
      <c r="P27" s="80">
        <f t="shared" ca="1" si="7"/>
        <v>2.6937877954920288E-2</v>
      </c>
      <c r="Q27" s="80">
        <f t="shared" ca="1" si="7"/>
        <v>2.2080655466606532E-2</v>
      </c>
      <c r="R27" s="80">
        <f t="shared" ca="1" si="7"/>
        <v>2.5822202399117353E-2</v>
      </c>
      <c r="S27" s="63"/>
      <c r="T27" s="63"/>
      <c r="U27" s="63"/>
      <c r="V27" s="63"/>
    </row>
    <row r="28" spans="1:22">
      <c r="A28" s="45" t="s">
        <v>15</v>
      </c>
      <c r="B28" s="118">
        <f t="shared" ca="1" si="2"/>
        <v>26</v>
      </c>
      <c r="C28" s="1">
        <f>IF(ISERROR(D28),"",IF(D28="","",MAX($C$13:C27)+1))</f>
        <v>15</v>
      </c>
      <c r="D28" t="str">
        <f t="shared" si="3"/>
        <v xml:space="preserve">El Paso Electric              </v>
      </c>
      <c r="E28" s="15"/>
      <c r="F28" s="80">
        <f t="shared" ca="1" si="4"/>
        <v>2.7938309708598123E-2</v>
      </c>
      <c r="G28" s="80">
        <f t="shared" si="5"/>
        <v>2.6373626373626377E-2</v>
      </c>
      <c r="H28" s="80">
        <f ca="1">IFERROR(IF(VLOOKUP($A28,LASTYR,'2016'!$Q$3,FALSE)=0,"N/A",VLOOKUP($A28,LASTYR,'2016'!$Q$3,FALSE)),"N/A")</f>
        <v>2.7472527472527472E-2</v>
      </c>
      <c r="I28" s="80">
        <f t="shared" ca="1" si="7"/>
        <v>3.1311312387453973E-2</v>
      </c>
      <c r="J28" s="80">
        <f t="shared" ca="1" si="7"/>
        <v>2.9712288249529446E-2</v>
      </c>
      <c r="K28" s="80">
        <f t="shared" ca="1" si="7"/>
        <v>2.9914407580225E-2</v>
      </c>
      <c r="L28" s="80">
        <f t="shared" ca="1" si="7"/>
        <v>2.9654539896056251E-2</v>
      </c>
      <c r="M28" s="80">
        <f t="shared" ca="1" si="7"/>
        <v>2.1129466000768343E-2</v>
      </c>
      <c r="N28" s="80" t="str">
        <f t="shared" ca="1" si="7"/>
        <v>N/A</v>
      </c>
      <c r="O28" s="80" t="str">
        <f t="shared" ca="1" si="7"/>
        <v>N/A</v>
      </c>
      <c r="P28" s="80" t="str">
        <f t="shared" ca="1" si="7"/>
        <v>N/A</v>
      </c>
      <c r="Q28" s="80" t="str">
        <f t="shared" ca="1" si="7"/>
        <v>N/A</v>
      </c>
      <c r="R28" s="80" t="str">
        <f t="shared" ca="1" si="7"/>
        <v>N/A</v>
      </c>
      <c r="S28" s="63"/>
      <c r="T28" s="63"/>
      <c r="U28" s="63"/>
      <c r="V28" s="63"/>
    </row>
    <row r="29" spans="1:22">
      <c r="A29" s="45" t="s">
        <v>17</v>
      </c>
      <c r="B29" s="118">
        <f t="shared" ca="1" si="2"/>
        <v>28</v>
      </c>
      <c r="C29" s="1">
        <f>IF(ISERROR(D29),"",IF(D29="","",MAX($C$13:C28)+1))</f>
        <v>16</v>
      </c>
      <c r="D29" t="str">
        <f t="shared" si="3"/>
        <v xml:space="preserve">Entergy Corp.                 </v>
      </c>
      <c r="E29" s="15"/>
      <c r="F29" s="80">
        <f t="shared" ca="1" si="4"/>
        <v>4.1173576607230929E-2</v>
      </c>
      <c r="G29" s="80">
        <f t="shared" si="5"/>
        <v>4.6604527296937419E-2</v>
      </c>
      <c r="H29" s="80">
        <f ca="1">IFERROR(IF(VLOOKUP($A29,LASTYR,'2016'!$Q$3,FALSE)=0,"N/A",VLOOKUP($A29,LASTYR,'2016'!$Q$3,FALSE)),"N/A")</f>
        <v>4.5513221457753883E-2</v>
      </c>
      <c r="I29" s="80">
        <f t="shared" ca="1" si="7"/>
        <v>4.5882272134075142E-2</v>
      </c>
      <c r="J29" s="80">
        <f t="shared" ca="1" si="7"/>
        <v>4.4653665097511772E-2</v>
      </c>
      <c r="K29" s="80">
        <f t="shared" ca="1" si="7"/>
        <v>5.0656087885260902E-2</v>
      </c>
      <c r="L29" s="80">
        <f t="shared" ca="1" si="7"/>
        <v>4.91356855316126E-2</v>
      </c>
      <c r="M29" s="80">
        <f t="shared" ca="1" si="7"/>
        <v>4.8525951152491337E-2</v>
      </c>
      <c r="N29" s="80">
        <f t="shared" ca="1" si="7"/>
        <v>4.2045159615883732E-2</v>
      </c>
      <c r="O29" s="80">
        <f t="shared" ca="1" si="7"/>
        <v>3.9745101416250449E-2</v>
      </c>
      <c r="P29" s="80">
        <f t="shared" ca="1" si="7"/>
        <v>2.9225808337148926E-2</v>
      </c>
      <c r="Q29" s="80">
        <f t="shared" ca="1" si="7"/>
        <v>2.3867893982145335E-2</v>
      </c>
      <c r="R29" s="80">
        <f t="shared" ca="1" si="7"/>
        <v>2.8227545379699692E-2</v>
      </c>
      <c r="S29" s="63"/>
      <c r="T29" s="63"/>
      <c r="U29" s="63"/>
      <c r="V29" s="63"/>
    </row>
    <row r="30" spans="1:22">
      <c r="A30" s="45" t="s">
        <v>211</v>
      </c>
      <c r="B30" s="118">
        <f t="shared" ca="1" si="2"/>
        <v>29</v>
      </c>
      <c r="C30" s="1">
        <f>IF(ISERROR(D30),"",IF(D30="","",MAX($C$13:C29)+1))</f>
        <v>17</v>
      </c>
      <c r="D30" t="str">
        <f t="shared" si="3"/>
        <v xml:space="preserve">Eversource Energy    </v>
      </c>
      <c r="E30" s="15"/>
      <c r="F30" s="80">
        <f t="shared" ca="1" si="4"/>
        <v>3.3608021079725318E-2</v>
      </c>
      <c r="G30" s="80">
        <f t="shared" si="5"/>
        <v>3.2367972742759793E-2</v>
      </c>
      <c r="H30" s="80">
        <f ca="1">IFERROR(IF(VLOOKUP($A30,LASTYR,'2016'!$Q$3,FALSE)=0,"N/A",VLOOKUP($A30,LASTYR,'2016'!$Q$3,FALSE)),"N/A")</f>
        <v>3.2172357077014838E-2</v>
      </c>
      <c r="I30" s="80">
        <f t="shared" ca="1" si="7"/>
        <v>3.3411359862353197E-2</v>
      </c>
      <c r="J30" s="80">
        <f t="shared" ca="1" si="7"/>
        <v>3.3958427962710619E-2</v>
      </c>
      <c r="K30" s="80">
        <f t="shared" ca="1" si="7"/>
        <v>3.4848161581679825E-2</v>
      </c>
      <c r="L30" s="80">
        <f t="shared" ca="1" si="7"/>
        <v>3.5175611575973993E-2</v>
      </c>
      <c r="M30" s="80">
        <f t="shared" ca="1" si="7"/>
        <v>3.2279836840097428E-2</v>
      </c>
      <c r="N30" s="80">
        <f t="shared" ca="1" si="7"/>
        <v>3.6361701372875942E-2</v>
      </c>
      <c r="O30" s="80">
        <f t="shared" ca="1" si="7"/>
        <v>4.1586412187007524E-2</v>
      </c>
      <c r="P30" s="80">
        <f t="shared" ca="1" si="7"/>
        <v>3.2464977176137257E-2</v>
      </c>
      <c r="Q30" s="80">
        <f t="shared" ca="1" si="7"/>
        <v>2.6001476212843051E-2</v>
      </c>
      <c r="R30" s="80">
        <f t="shared" ca="1" si="7"/>
        <v>3.2667958365250299E-2</v>
      </c>
      <c r="S30" s="63"/>
      <c r="T30" s="63"/>
      <c r="U30" s="63"/>
      <c r="V30" s="63"/>
    </row>
    <row r="31" spans="1:22">
      <c r="A31" s="45" t="s">
        <v>18</v>
      </c>
      <c r="B31" s="118">
        <f t="shared" ca="1" si="2"/>
        <v>30</v>
      </c>
      <c r="C31" s="1">
        <f>IF(ISERROR(D31),"",IF(D31="","",MAX($C$13:C30)+1))</f>
        <v>18</v>
      </c>
      <c r="D31" t="str">
        <f t="shared" si="3"/>
        <v xml:space="preserve">Exelon Corp.                  </v>
      </c>
      <c r="E31" s="15"/>
      <c r="F31" s="80">
        <f t="shared" ca="1" si="4"/>
        <v>3.9691184906540965E-2</v>
      </c>
      <c r="G31" s="80">
        <f t="shared" si="5"/>
        <v>3.6338418862690715E-2</v>
      </c>
      <c r="H31" s="80">
        <f ca="1">IFERROR(IF(VLOOKUP($A31,LASTYR,'2016'!$Q$3,FALSE)=0,"N/A",VLOOKUP($A31,LASTYR,'2016'!$Q$3,FALSE)),"N/A")</f>
        <v>3.7471004579789455E-2</v>
      </c>
      <c r="I31" s="80">
        <f t="shared" ca="1" si="7"/>
        <v>3.8819146604889956E-2</v>
      </c>
      <c r="J31" s="80">
        <f t="shared" ca="1" si="7"/>
        <v>3.6863071526250075E-2</v>
      </c>
      <c r="K31" s="80">
        <f t="shared" ca="1" si="7"/>
        <v>4.689010634869481E-2</v>
      </c>
      <c r="L31" s="80">
        <f t="shared" ca="1" si="7"/>
        <v>5.7330057330057325E-2</v>
      </c>
      <c r="M31" s="80">
        <f t="shared" ca="1" si="7"/>
        <v>4.9551675318546484E-2</v>
      </c>
      <c r="N31" s="80">
        <f t="shared" ca="1" si="7"/>
        <v>4.946646880079146E-2</v>
      </c>
      <c r="O31" s="80">
        <f t="shared" ca="1" si="7"/>
        <v>4.261017774531288E-2</v>
      </c>
      <c r="P31" s="80">
        <f t="shared" ca="1" si="7"/>
        <v>2.7820752924571826E-2</v>
      </c>
      <c r="Q31" s="80">
        <f t="shared" ca="1" si="7"/>
        <v>2.4784159925919876E-2</v>
      </c>
      <c r="R31" s="80">
        <f t="shared" ca="1" si="7"/>
        <v>2.8349178910976661E-2</v>
      </c>
      <c r="S31" s="63"/>
      <c r="T31" s="63"/>
      <c r="U31" s="63"/>
      <c r="V31" s="63"/>
    </row>
    <row r="32" spans="1:22">
      <c r="A32" s="45" t="s">
        <v>19</v>
      </c>
      <c r="B32" s="118">
        <f t="shared" ca="1" si="2"/>
        <v>31</v>
      </c>
      <c r="C32" s="1">
        <f>IF(ISERROR(D32),"",IF(D32="","",MAX($C$13:C31)+1))</f>
        <v>19</v>
      </c>
      <c r="D32" t="str">
        <f t="shared" si="3"/>
        <v xml:space="preserve">FirstEnergy Corp.             </v>
      </c>
      <c r="E32" s="15"/>
      <c r="F32" s="80">
        <f t="shared" ca="1" si="4"/>
        <v>4.376998164670929E-2</v>
      </c>
      <c r="G32" s="80">
        <f t="shared" si="5"/>
        <v>4.768211920529801E-2</v>
      </c>
      <c r="H32" s="80">
        <f ca="1">IFERROR(IF(VLOOKUP($A32,LASTYR,'2016'!$Q$3,FALSE)=0,"N/A",VLOOKUP($A32,LASTYR,'2016'!$Q$3,FALSE)),"N/A")</f>
        <v>4.3089260600257341E-2</v>
      </c>
      <c r="I32" s="80">
        <f t="shared" ca="1" si="7"/>
        <v>4.2296959906006751E-2</v>
      </c>
      <c r="J32" s="80">
        <f t="shared" ca="1" si="7"/>
        <v>4.2577097069867835E-2</v>
      </c>
      <c r="K32" s="80">
        <f t="shared" ca="1" si="7"/>
        <v>4.2556484060662335E-2</v>
      </c>
      <c r="L32" s="80">
        <f t="shared" ca="1" si="7"/>
        <v>4.8962877236713255E-2</v>
      </c>
      <c r="M32" s="80">
        <f t="shared" ca="1" si="7"/>
        <v>5.2263980614814465E-2</v>
      </c>
      <c r="N32" s="80">
        <f t="shared" ca="1" si="7"/>
        <v>5.7621791513881616E-2</v>
      </c>
      <c r="O32" s="80">
        <f t="shared" ca="1" si="7"/>
        <v>5.0878815911193344E-2</v>
      </c>
      <c r="P32" s="80">
        <f t="shared" ca="1" si="7"/>
        <v>3.2108351090224467E-2</v>
      </c>
      <c r="Q32" s="80">
        <f t="shared" ca="1" si="7"/>
        <v>3.1165909056357081E-2</v>
      </c>
      <c r="R32" s="80">
        <f t="shared" ca="1" si="7"/>
        <v>3.4036133495234946E-2</v>
      </c>
      <c r="S32" s="63"/>
      <c r="T32" s="63"/>
      <c r="U32" s="63"/>
      <c r="V32" s="63"/>
    </row>
    <row r="33" spans="1:22">
      <c r="A33" s="45" t="s">
        <v>267</v>
      </c>
      <c r="B33" s="118">
        <f t="shared" ca="1" si="2"/>
        <v>32</v>
      </c>
      <c r="C33" s="1">
        <f>IF(ISERROR(D33),"",IF(D33="","",MAX($C$13:C32)+1))</f>
        <v>20</v>
      </c>
      <c r="D33" t="str">
        <f t="shared" si="3"/>
        <v>Fortis Inc.</v>
      </c>
      <c r="E33" s="15"/>
      <c r="F33" s="80">
        <f t="shared" ca="1" si="4"/>
        <v>3.6528385175773816E-2</v>
      </c>
      <c r="G33" s="80">
        <f t="shared" si="5"/>
        <v>3.7628278221208664E-2</v>
      </c>
      <c r="H33" s="80">
        <f ca="1">IFERROR(IF(VLOOKUP($A33,LASTYR,'2016'!$Q$3,FALSE)=0,"N/A",VLOOKUP($A33,LASTYR,'2016'!$Q$3,FALSE)),"N/A")</f>
        <v>3.7963212422542802E-2</v>
      </c>
      <c r="I33" s="80">
        <f t="shared" ca="1" si="7"/>
        <v>3.7646439383967355E-2</v>
      </c>
      <c r="J33" s="80">
        <f t="shared" ca="1" si="7"/>
        <v>3.8788602118454425E-2</v>
      </c>
      <c r="K33" s="80">
        <f t="shared" ca="1" si="7"/>
        <v>3.8401277994531656E-2</v>
      </c>
      <c r="L33" s="80">
        <f t="shared" ca="1" si="7"/>
        <v>3.6443587735678573E-2</v>
      </c>
      <c r="M33" s="80">
        <f t="shared" ca="1" si="7"/>
        <v>3.5780910731215025E-2</v>
      </c>
      <c r="N33" s="80">
        <f t="shared" ca="1" si="7"/>
        <v>3.7955808594279522E-2</v>
      </c>
      <c r="O33" s="80">
        <f t="shared" ca="1" si="7"/>
        <v>4.2088223391339538E-2</v>
      </c>
      <c r="P33" s="80">
        <f t="shared" ca="1" si="7"/>
        <v>3.7632183042938319E-2</v>
      </c>
      <c r="Q33" s="80">
        <f t="shared" ca="1" si="7"/>
        <v>3.0133764515654856E-2</v>
      </c>
      <c r="R33" s="80">
        <f t="shared" ca="1" si="7"/>
        <v>2.7878333957475139E-2</v>
      </c>
      <c r="S33" s="63"/>
      <c r="T33" s="63"/>
      <c r="U33" s="63"/>
      <c r="V33" s="63"/>
    </row>
    <row r="34" spans="1:22">
      <c r="A34" s="45" t="s">
        <v>20</v>
      </c>
      <c r="B34" s="118">
        <f t="shared" ca="1" si="2"/>
        <v>34</v>
      </c>
      <c r="C34" s="1">
        <f>IF(ISERROR(D34),"",IF(D34="","",MAX($C$13:C33)+1))</f>
        <v>21</v>
      </c>
      <c r="D34" t="str">
        <f t="shared" si="3"/>
        <v xml:space="preserve">Great Plains Energy             </v>
      </c>
      <c r="E34" s="15"/>
      <c r="F34" s="80">
        <f t="shared" ca="1" si="4"/>
        <v>4.540415259290035E-2</v>
      </c>
      <c r="G34" s="80">
        <f t="shared" si="5"/>
        <v>3.8356164383561646E-2</v>
      </c>
      <c r="H34" s="80">
        <f ca="1">IFERROR(IF(VLOOKUP($A34,LASTYR,'2016'!$Q$3,FALSE)=0,"N/A",VLOOKUP($A34,LASTYR,'2016'!$Q$3,FALSE)),"N/A")</f>
        <v>3.6443400462882997E-2</v>
      </c>
      <c r="I34" s="80">
        <f t="shared" ref="I34:R43" ca="1" si="8">IFERROR(IF(INDEX(DIV_MP_WP,$B34,I$13)=0,"N/A",INDEX(DIV_MP_WP,$B34,I$13)),"N/A")</f>
        <v>3.7616373299159477E-2</v>
      </c>
      <c r="J34" s="80">
        <f t="shared" ca="1" si="8"/>
        <v>3.6159022352850186E-2</v>
      </c>
      <c r="K34" s="80">
        <f t="shared" ca="1" si="8"/>
        <v>3.8377860934644507E-2</v>
      </c>
      <c r="L34" s="80">
        <f t="shared" ca="1" si="8"/>
        <v>4.0770587954794713E-2</v>
      </c>
      <c r="M34" s="80">
        <f t="shared" ca="1" si="8"/>
        <v>4.1478317023496102E-2</v>
      </c>
      <c r="N34" s="80">
        <f t="shared" ca="1" si="8"/>
        <v>4.4852742502026477E-2</v>
      </c>
      <c r="O34" s="80">
        <f t="shared" ca="1" si="8"/>
        <v>5.0260385127770375E-2</v>
      </c>
      <c r="P34" s="80">
        <f t="shared" ca="1" si="8"/>
        <v>6.9648401443316271E-2</v>
      </c>
      <c r="Q34" s="80">
        <f t="shared" ca="1" si="8"/>
        <v>5.4888734583209337E-2</v>
      </c>
      <c r="R34" s="80">
        <f t="shared" ca="1" si="8"/>
        <v>5.5997841047092163E-2</v>
      </c>
      <c r="S34" s="63"/>
      <c r="T34" s="63"/>
      <c r="U34" s="63"/>
      <c r="V34" s="63"/>
    </row>
    <row r="35" spans="1:22">
      <c r="A35" s="45" t="s">
        <v>21</v>
      </c>
      <c r="B35" s="118">
        <f t="shared" ca="1" si="2"/>
        <v>35</v>
      </c>
      <c r="C35" s="1">
        <f>IF(ISERROR(D35),"",IF(D35="","",MAX($C$13:C34)+1))</f>
        <v>22</v>
      </c>
      <c r="D35" t="str">
        <f t="shared" si="3"/>
        <v xml:space="preserve">Hawaiian Elec.                </v>
      </c>
      <c r="E35" s="15"/>
      <c r="F35" s="80">
        <f t="shared" ca="1" si="4"/>
        <v>4.8499754355420976E-2</v>
      </c>
      <c r="G35" s="80">
        <f t="shared" si="5"/>
        <v>3.7689969604863226E-2</v>
      </c>
      <c r="H35" s="80">
        <f ca="1">IFERROR(IF(VLOOKUP($A35,LASTYR,'2016'!$Q$3,FALSE)=0,"N/A",VLOOKUP($A35,LASTYR,'2016'!$Q$3,FALSE)),"N/A")</f>
        <v>3.9943306274964563E-2</v>
      </c>
      <c r="I35" s="80">
        <f t="shared" ca="1" si="8"/>
        <v>4.0517579401385444E-2</v>
      </c>
      <c r="J35" s="80">
        <f t="shared" ca="1" si="8"/>
        <v>4.7609905932040696E-2</v>
      </c>
      <c r="K35" s="80">
        <f t="shared" ca="1" si="8"/>
        <v>4.7211117456691411E-2</v>
      </c>
      <c r="L35" s="80">
        <f t="shared" ca="1" si="8"/>
        <v>4.6955468039987881E-2</v>
      </c>
      <c r="M35" s="80">
        <f t="shared" ca="1" si="8"/>
        <v>5.0388069405502049E-2</v>
      </c>
      <c r="N35" s="80">
        <f t="shared" ca="1" si="8"/>
        <v>5.513316437686186E-2</v>
      </c>
      <c r="O35" s="80">
        <f t="shared" ca="1" si="8"/>
        <v>6.886975840044432E-2</v>
      </c>
      <c r="P35" s="80">
        <f t="shared" ca="1" si="8"/>
        <v>5.0036316681462349E-2</v>
      </c>
      <c r="Q35" s="80">
        <f t="shared" ca="1" si="8"/>
        <v>5.1781016411241491E-2</v>
      </c>
      <c r="R35" s="80">
        <f t="shared" ca="1" si="8"/>
        <v>4.5861380279606477E-2</v>
      </c>
      <c r="S35" s="63"/>
      <c r="T35" s="63"/>
      <c r="U35" s="63"/>
      <c r="V35" s="63"/>
    </row>
    <row r="36" spans="1:22">
      <c r="A36" s="45" t="s">
        <v>22</v>
      </c>
      <c r="B36" s="118">
        <f t="shared" ca="1" si="2"/>
        <v>36</v>
      </c>
      <c r="C36" s="1">
        <f>IF(ISERROR(D36),"",IF(D36="","",MAX($C$13:C35)+1))</f>
        <v>23</v>
      </c>
      <c r="D36" t="str">
        <f t="shared" si="3"/>
        <v xml:space="preserve">IDACORP, Inc.                 </v>
      </c>
      <c r="E36" s="15"/>
      <c r="F36" s="80">
        <f t="shared" ca="1" si="4"/>
        <v>3.5372588522722521E-2</v>
      </c>
      <c r="G36" s="80">
        <f t="shared" si="5"/>
        <v>5.1376146788990829E-2</v>
      </c>
      <c r="H36" s="80">
        <f ca="1">IFERROR(IF(VLOOKUP($A36,LASTYR,'2016'!$Q$3,FALSE)=0,"N/A",VLOOKUP($A36,LASTYR,'2016'!$Q$3,FALSE)),"N/A")</f>
        <v>2.7697142400596553E-2</v>
      </c>
      <c r="I36" s="80">
        <f t="shared" ca="1" si="8"/>
        <v>3.0590784526161492E-2</v>
      </c>
      <c r="J36" s="80">
        <f t="shared" ca="1" si="8"/>
        <v>3.117306363910094E-2</v>
      </c>
      <c r="K36" s="80">
        <f t="shared" ca="1" si="8"/>
        <v>3.206895847376269E-2</v>
      </c>
      <c r="L36" s="80">
        <f t="shared" ca="1" si="8"/>
        <v>3.275944524151124E-2</v>
      </c>
      <c r="M36" s="80">
        <f t="shared" ca="1" si="8"/>
        <v>3.0961349914856284E-2</v>
      </c>
      <c r="N36" s="80">
        <f t="shared" ca="1" si="8"/>
        <v>3.4393809114359415E-2</v>
      </c>
      <c r="O36" s="80">
        <f t="shared" ca="1" si="8"/>
        <v>4.4574867204041455E-2</v>
      </c>
      <c r="P36" s="80">
        <f t="shared" ca="1" si="8"/>
        <v>3.9529597786342525E-2</v>
      </c>
      <c r="Q36" s="80">
        <f t="shared" ca="1" si="8"/>
        <v>3.5460992907801414E-2</v>
      </c>
      <c r="R36" s="80">
        <f t="shared" ca="1" si="8"/>
        <v>3.3884904275145421E-2</v>
      </c>
      <c r="S36" s="63"/>
      <c r="T36" s="63"/>
      <c r="U36" s="63"/>
      <c r="V36" s="63"/>
    </row>
    <row r="37" spans="1:22">
      <c r="A37" s="45" t="s">
        <v>25</v>
      </c>
      <c r="B37" s="118">
        <f t="shared" ca="1" si="2"/>
        <v>40</v>
      </c>
      <c r="C37" s="1">
        <f>IF(ISERROR(D37),"",IF(D37="","",MAX($C$13:C36)+1))</f>
        <v>24</v>
      </c>
      <c r="D37" t="str">
        <f t="shared" si="3"/>
        <v xml:space="preserve">MGE Energy                    </v>
      </c>
      <c r="E37" s="15"/>
      <c r="F37" s="80">
        <f t="shared" ca="1" si="4"/>
        <v>3.3747777336298738E-2</v>
      </c>
      <c r="G37" s="80">
        <f t="shared" si="5"/>
        <v>1.9534883720930232E-2</v>
      </c>
      <c r="H37" s="80">
        <f ca="1">IFERROR(IF(VLOOKUP($A37,LASTYR,'2016'!$Q$3,FALSE)=0,"N/A",VLOOKUP($A37,LASTYR,'2016'!$Q$3,FALSE)),"N/A")</f>
        <v>2.2287714127832012E-2</v>
      </c>
      <c r="I37" s="80">
        <f t="shared" ca="1" si="8"/>
        <v>2.7767803710353083E-2</v>
      </c>
      <c r="J37" s="80">
        <f t="shared" ca="1" si="8"/>
        <v>2.7831406865080361E-2</v>
      </c>
      <c r="K37" s="80">
        <f t="shared" ca="1" si="8"/>
        <v>2.9114854017577758E-2</v>
      </c>
      <c r="L37" s="80">
        <f t="shared" ca="1" si="8"/>
        <v>3.2450310462104906E-2</v>
      </c>
      <c r="M37" s="80">
        <f t="shared" ca="1" si="8"/>
        <v>3.6302919314876655E-2</v>
      </c>
      <c r="N37" s="80">
        <f t="shared" ca="1" si="8"/>
        <v>3.9772499699603475E-2</v>
      </c>
      <c r="O37" s="80">
        <f t="shared" ca="1" si="8"/>
        <v>4.363228699551569E-2</v>
      </c>
      <c r="P37" s="80">
        <f t="shared" ca="1" si="8"/>
        <v>4.2360864941510097E-2</v>
      </c>
      <c r="Q37" s="80">
        <f t="shared" ca="1" si="8"/>
        <v>4.1398749229278602E-2</v>
      </c>
      <c r="R37" s="80">
        <f t="shared" ca="1" si="8"/>
        <v>4.2519034950921936E-2</v>
      </c>
      <c r="S37" s="63"/>
      <c r="T37" s="63"/>
      <c r="U37" s="63"/>
      <c r="V37" s="63"/>
    </row>
    <row r="38" spans="1:22">
      <c r="A38" s="45" t="s">
        <v>141</v>
      </c>
      <c r="B38" s="118">
        <f t="shared" ca="1" si="2"/>
        <v>43</v>
      </c>
      <c r="C38" s="1">
        <f>IF(ISERROR(D38),"",IF(D38="","",MAX($C$13:C37)+1))</f>
        <v>25</v>
      </c>
      <c r="D38" t="str">
        <f t="shared" si="3"/>
        <v>NextEra Energy, Inc.</v>
      </c>
      <c r="E38" s="15"/>
      <c r="F38" s="80">
        <f t="shared" ca="1" si="4"/>
        <v>3.2753202367768866E-2</v>
      </c>
      <c r="G38" s="80">
        <f t="shared" si="5"/>
        <v>2.9649188985288569E-2</v>
      </c>
      <c r="H38" s="80">
        <f ca="1">IFERROR(IF(VLOOKUP($A38,LASTYR,'2016'!$Q$3,FALSE)=0,"N/A",VLOOKUP($A38,LASTYR,'2016'!$Q$3,FALSE)),"N/A")</f>
        <v>2.9069767441860465E-2</v>
      </c>
      <c r="I38" s="80">
        <f t="shared" ca="1" si="8"/>
        <v>3.0084000781402619E-2</v>
      </c>
      <c r="J38" s="80">
        <f t="shared" ca="1" si="8"/>
        <v>3.0012936610608019E-2</v>
      </c>
      <c r="K38" s="80">
        <f t="shared" ca="1" si="8"/>
        <v>3.2983920338834821E-2</v>
      </c>
      <c r="L38" s="80">
        <f t="shared" ca="1" si="8"/>
        <v>3.6464743151465431E-2</v>
      </c>
      <c r="M38" s="80">
        <f t="shared" ca="1" si="8"/>
        <v>3.9566922053163561E-2</v>
      </c>
      <c r="N38" s="80">
        <f t="shared" ca="1" si="8"/>
        <v>3.8965846435599201E-2</v>
      </c>
      <c r="O38" s="80">
        <f t="shared" ca="1" si="8"/>
        <v>3.548629365377394E-2</v>
      </c>
      <c r="P38" s="80">
        <f t="shared" ca="1" si="8"/>
        <v>3.0198666508321599E-2</v>
      </c>
      <c r="Q38" s="80">
        <f t="shared" ca="1" si="8"/>
        <v>2.6540223002605473E-2</v>
      </c>
      <c r="R38" s="80">
        <f t="shared" ca="1" si="8"/>
        <v>3.4015919450302738E-2</v>
      </c>
      <c r="S38" s="63"/>
      <c r="T38" s="63"/>
      <c r="U38" s="63"/>
      <c r="V38" s="63"/>
    </row>
    <row r="39" spans="1:22">
      <c r="A39" s="45" t="s">
        <v>144</v>
      </c>
      <c r="B39" s="118">
        <f t="shared" ca="1" si="2"/>
        <v>46</v>
      </c>
      <c r="C39" s="1">
        <f>IF(ISERROR(D39),"",IF(D39="","",MAX($C$13:C38)+1))</f>
        <v>26</v>
      </c>
      <c r="D39" t="str">
        <f t="shared" si="3"/>
        <v xml:space="preserve">NorthWestern Corp             </v>
      </c>
      <c r="E39" s="15"/>
      <c r="F39" s="80">
        <f t="shared" ca="1" si="4"/>
        <v>4.1649737098351451E-2</v>
      </c>
      <c r="G39" s="80">
        <f t="shared" si="5"/>
        <v>3.5117056856187295E-2</v>
      </c>
      <c r="H39" s="80">
        <f ca="1">IFERROR(IF(VLOOKUP($A39,LASTYR,'2016'!$Q$3,FALSE)=0,"N/A",VLOOKUP($A39,LASTYR,'2016'!$Q$3,FALSE)),"N/A")</f>
        <v>3.4328281354593981E-2</v>
      </c>
      <c r="I39" s="80">
        <f t="shared" ca="1" si="8"/>
        <v>3.605701515521418E-2</v>
      </c>
      <c r="J39" s="80">
        <f t="shared" ca="1" si="8"/>
        <v>3.2959789057350038E-2</v>
      </c>
      <c r="K39" s="80">
        <f t="shared" ca="1" si="8"/>
        <v>3.6648583484026519E-2</v>
      </c>
      <c r="L39" s="80">
        <f t="shared" ca="1" si="8"/>
        <v>4.1665493651642689E-2</v>
      </c>
      <c r="M39" s="80">
        <f t="shared" ca="1" si="8"/>
        <v>4.5091592296852979E-2</v>
      </c>
      <c r="N39" s="80">
        <f t="shared" ca="1" si="8"/>
        <v>4.9282504710827658E-2</v>
      </c>
      <c r="O39" s="80">
        <f t="shared" ca="1" si="8"/>
        <v>5.749345690136011E-2</v>
      </c>
      <c r="P39" s="80">
        <f t="shared" ca="1" si="8"/>
        <v>5.3783156093387123E-2</v>
      </c>
      <c r="Q39" s="80">
        <f t="shared" ca="1" si="8"/>
        <v>4.0897181928557735E-2</v>
      </c>
      <c r="R39" s="80">
        <f t="shared" ca="1" si="8"/>
        <v>3.6472733690217071E-2</v>
      </c>
      <c r="S39" s="63"/>
      <c r="T39" s="63"/>
      <c r="U39" s="63"/>
      <c r="V39" s="63"/>
    </row>
    <row r="40" spans="1:22">
      <c r="A40" s="45" t="s">
        <v>27</v>
      </c>
      <c r="B40" s="118">
        <f t="shared" ca="1" si="2"/>
        <v>47</v>
      </c>
      <c r="C40" s="1">
        <f>IF(ISERROR(D40),"",IF(D40="","",MAX($C$13:C39)+1))</f>
        <v>27</v>
      </c>
      <c r="D40" t="str">
        <f t="shared" si="3"/>
        <v xml:space="preserve">OGE Energy                    </v>
      </c>
      <c r="E40" s="15"/>
      <c r="F40" s="80">
        <f t="shared" ca="1" si="4"/>
        <v>3.5854979466633789E-2</v>
      </c>
      <c r="G40" s="80">
        <f t="shared" si="5"/>
        <v>3.618233618233619E-2</v>
      </c>
      <c r="H40" s="80">
        <f ca="1">IFERROR(IF(VLOOKUP($A40,LASTYR,'2016'!$Q$3,FALSE)=0,"N/A",VLOOKUP($A40,LASTYR,'2016'!$Q$3,FALSE)),"N/A")</f>
        <v>3.8654618473895584E-2</v>
      </c>
      <c r="I40" s="80">
        <f t="shared" ca="1" si="8"/>
        <v>3.5122930255895635E-2</v>
      </c>
      <c r="J40" s="80">
        <f t="shared" ca="1" si="8"/>
        <v>2.6267765304429577E-2</v>
      </c>
      <c r="K40" s="80">
        <f t="shared" ca="1" si="8"/>
        <v>2.4793147651788836E-2</v>
      </c>
      <c r="L40" s="80">
        <f t="shared" ca="1" si="8"/>
        <v>2.9415017140329538E-2</v>
      </c>
      <c r="M40" s="80">
        <f t="shared" ca="1" si="8"/>
        <v>3.0627068033249941E-2</v>
      </c>
      <c r="N40" s="80">
        <f t="shared" ca="1" si="8"/>
        <v>3.6776527331189711E-2</v>
      </c>
      <c r="O40" s="80">
        <f t="shared" ca="1" si="8"/>
        <v>4.9552363106391835E-2</v>
      </c>
      <c r="P40" s="80">
        <f t="shared" ca="1" si="8"/>
        <v>4.52485758674262E-2</v>
      </c>
      <c r="Q40" s="80">
        <f t="shared" ca="1" si="8"/>
        <v>3.768387416671258E-2</v>
      </c>
      <c r="R40" s="80">
        <f t="shared" ca="1" si="8"/>
        <v>3.9935530085959889E-2</v>
      </c>
      <c r="S40" s="63"/>
      <c r="T40" s="63"/>
      <c r="U40" s="63"/>
      <c r="V40" s="63"/>
    </row>
    <row r="41" spans="1:22">
      <c r="A41" s="45" t="s">
        <v>28</v>
      </c>
      <c r="B41" s="118">
        <f t="shared" ca="1" si="2"/>
        <v>49</v>
      </c>
      <c r="C41" s="1">
        <f>IF(ISERROR(D41),"",IF(D41="","",MAX($C$13:C40)+1))</f>
        <v>28</v>
      </c>
      <c r="D41" t="str">
        <f t="shared" si="3"/>
        <v xml:space="preserve">Otter Tail Corp.              </v>
      </c>
      <c r="E41" s="15"/>
      <c r="F41" s="80">
        <f t="shared" ca="1" si="4"/>
        <v>4.3828172223347943E-2</v>
      </c>
      <c r="G41" s="80">
        <f t="shared" si="5"/>
        <v>3.282051282051282E-2</v>
      </c>
      <c r="H41" s="80">
        <f ca="1">IFERROR(IF(VLOOKUP($A41,LASTYR,'2016'!$Q$3,FALSE)=0,"N/A",VLOOKUP($A41,LASTYR,'2016'!$Q$3,FALSE)),"N/A")</f>
        <v>3.8688910210777187E-2</v>
      </c>
      <c r="I41" s="80">
        <f t="shared" ca="1" si="8"/>
        <v>4.3325114476928495E-2</v>
      </c>
      <c r="J41" s="80">
        <f t="shared" ca="1" si="8"/>
        <v>4.1439775334771736E-2</v>
      </c>
      <c r="K41" s="80">
        <f t="shared" ca="1" si="8"/>
        <v>4.1128084606345469E-2</v>
      </c>
      <c r="L41" s="80">
        <f t="shared" ca="1" si="8"/>
        <v>5.2108420545605813E-2</v>
      </c>
      <c r="M41" s="80">
        <f t="shared" ca="1" si="8"/>
        <v>5.569335891795759E-2</v>
      </c>
      <c r="N41" s="80">
        <f t="shared" ca="1" si="8"/>
        <v>5.6837178201270475E-2</v>
      </c>
      <c r="O41" s="80">
        <f t="shared" ca="1" si="8"/>
        <v>5.3790173122994167E-2</v>
      </c>
      <c r="P41" s="80">
        <f t="shared" ca="1" si="8"/>
        <v>3.6323677543420523E-2</v>
      </c>
      <c r="Q41" s="80">
        <f t="shared" ca="1" si="8"/>
        <v>3.4559149313247675E-2</v>
      </c>
      <c r="R41" s="80">
        <f t="shared" ca="1" si="8"/>
        <v>3.9223711586343322E-2</v>
      </c>
      <c r="S41" s="63"/>
      <c r="T41" s="63"/>
      <c r="U41" s="63"/>
      <c r="V41" s="63"/>
    </row>
    <row r="42" spans="1:22">
      <c r="A42" s="45" t="s">
        <v>30</v>
      </c>
      <c r="B42" s="118">
        <f t="shared" ca="1" si="2"/>
        <v>51</v>
      </c>
      <c r="C42" s="1">
        <f>IF(ISERROR(D42),"",IF(D42="","",MAX($C$13:C41)+1))</f>
        <v>29</v>
      </c>
      <c r="D42" t="str">
        <f t="shared" si="3"/>
        <v xml:space="preserve">PG&amp;E Corp.                    </v>
      </c>
      <c r="E42" s="15"/>
      <c r="F42" s="80">
        <f t="shared" ca="1" si="4"/>
        <v>3.7635711366403209E-2</v>
      </c>
      <c r="G42" s="80">
        <f t="shared" si="5"/>
        <v>3.1950844854070667E-2</v>
      </c>
      <c r="H42" s="80">
        <f ca="1">IFERROR(IF(VLOOKUP($A42,LASTYR,'2016'!$Q$3,FALSE)=0,"N/A",VLOOKUP($A42,LASTYR,'2016'!$Q$3,FALSE)),"N/A")</f>
        <v>3.2197096407305816E-2</v>
      </c>
      <c r="I42" s="80">
        <f t="shared" ca="1" si="8"/>
        <v>3.4471655586491658E-2</v>
      </c>
      <c r="J42" s="80">
        <f t="shared" ca="1" si="8"/>
        <v>3.964364285869873E-2</v>
      </c>
      <c r="K42" s="80">
        <f t="shared" ca="1" si="8"/>
        <v>4.2023597866494268E-2</v>
      </c>
      <c r="L42" s="80">
        <f t="shared" ca="1" si="8"/>
        <v>4.2470772174643547E-2</v>
      </c>
      <c r="M42" s="80">
        <f t="shared" ca="1" si="8"/>
        <v>4.2352174621273823E-2</v>
      </c>
      <c r="N42" s="80">
        <f t="shared" ca="1" si="8"/>
        <v>4.0839223605968811E-2</v>
      </c>
      <c r="O42" s="80">
        <f t="shared" ca="1" si="8"/>
        <v>4.2619041578934015E-2</v>
      </c>
      <c r="P42" s="80">
        <f t="shared" ca="1" si="8"/>
        <v>4.009149083806636E-2</v>
      </c>
      <c r="Q42" s="80">
        <f t="shared" ca="1" si="8"/>
        <v>3.0745580322828592E-2</v>
      </c>
      <c r="R42" s="80">
        <f t="shared" ca="1" si="8"/>
        <v>3.2223415682062301E-2</v>
      </c>
      <c r="S42" s="63"/>
      <c r="T42" s="63"/>
      <c r="U42" s="63"/>
      <c r="V42" s="63"/>
    </row>
    <row r="43" spans="1:22">
      <c r="A43" s="45" t="s">
        <v>31</v>
      </c>
      <c r="B43" s="118">
        <f t="shared" ca="1" si="2"/>
        <v>52</v>
      </c>
      <c r="C43" s="1">
        <f>IF(ISERROR(D43),"",IF(D43="","",MAX($C$13:C42)+1))</f>
        <v>30</v>
      </c>
      <c r="D43" t="str">
        <f t="shared" si="3"/>
        <v xml:space="preserve">Pinnacle West Capital         </v>
      </c>
      <c r="E43" s="15"/>
      <c r="F43" s="80">
        <f t="shared" ca="1" si="4"/>
        <v>4.7123750869964814E-2</v>
      </c>
      <c r="G43" s="80">
        <f t="shared" si="5"/>
        <v>3.2406287787182596E-2</v>
      </c>
      <c r="H43" s="80">
        <f ca="1">IFERROR(IF(VLOOKUP($A43,LASTYR,'2016'!$Q$3,FALSE)=0,"N/A",VLOOKUP($A43,LASTYR,'2016'!$Q$3,FALSE)),"N/A")</f>
        <v>3.4578240021611403E-2</v>
      </c>
      <c r="I43" s="80">
        <f t="shared" ca="1" si="8"/>
        <v>3.8816417435571113E-2</v>
      </c>
      <c r="J43" s="80">
        <f t="shared" ca="1" si="8"/>
        <v>4.088127725418484E-2</v>
      </c>
      <c r="K43" s="80">
        <f t="shared" ca="1" si="8"/>
        <v>3.9817465998568363E-2</v>
      </c>
      <c r="L43" s="80">
        <f t="shared" ca="1" si="8"/>
        <v>5.3176658036247756E-2</v>
      </c>
      <c r="M43" s="80">
        <f t="shared" ca="1" si="8"/>
        <v>4.8092337287592185E-2</v>
      </c>
      <c r="N43" s="80">
        <f t="shared" ca="1" si="8"/>
        <v>5.4264968087030678E-2</v>
      </c>
      <c r="O43" s="80">
        <f t="shared" ca="1" si="8"/>
        <v>6.7619783616692422E-2</v>
      </c>
      <c r="P43" s="80">
        <f t="shared" ca="1" si="8"/>
        <v>6.1655901350557839E-2</v>
      </c>
      <c r="Q43" s="80">
        <f t="shared" ca="1" si="8"/>
        <v>4.7515612272603862E-2</v>
      </c>
      <c r="R43" s="80">
        <f t="shared" ca="1" si="8"/>
        <v>4.6660061291734826E-2</v>
      </c>
      <c r="S43" s="63"/>
      <c r="T43" s="63"/>
      <c r="U43" s="63"/>
      <c r="V43" s="63"/>
    </row>
    <row r="44" spans="1:22">
      <c r="A44" s="45" t="s">
        <v>32</v>
      </c>
      <c r="B44" s="118">
        <f t="shared" ca="1" si="2"/>
        <v>53</v>
      </c>
      <c r="C44" s="1">
        <f>IF(ISERROR(D44),"",IF(D44="","",MAX($C$13:C43)+1))</f>
        <v>31</v>
      </c>
      <c r="D44" t="str">
        <f t="shared" si="3"/>
        <v xml:space="preserve">PNM Resources                 </v>
      </c>
      <c r="E44" s="15"/>
      <c r="F44" s="80">
        <f t="shared" ca="1" si="4"/>
        <v>3.3688973908019927E-2</v>
      </c>
      <c r="G44" s="80">
        <f t="shared" si="5"/>
        <v>2.643051771117166E-2</v>
      </c>
      <c r="H44" s="80">
        <f ca="1">IFERROR(IF(VLOOKUP($A44,LASTYR,'2016'!$Q$3,FALSE)=0,"N/A",VLOOKUP($A44,LASTYR,'2016'!$Q$3,FALSE)),"N/A")</f>
        <v>2.6893221685716031E-2</v>
      </c>
      <c r="I44" s="80">
        <f t="shared" ref="I44:R58" ca="1" si="9">IFERROR(IF(INDEX(DIV_MP_WP,$B44,I$13)=0,"N/A",INDEX(DIV_MP_WP,$B44,I$13)),"N/A")</f>
        <v>2.8955083426834123E-2</v>
      </c>
      <c r="J44" s="80">
        <f t="shared" ca="1" si="9"/>
        <v>2.7880354505169867E-2</v>
      </c>
      <c r="K44" s="80">
        <f t="shared" ca="1" si="9"/>
        <v>2.9896680589140471E-2</v>
      </c>
      <c r="L44" s="80">
        <f t="shared" ca="1" si="9"/>
        <v>2.9573730369161739E-2</v>
      </c>
      <c r="M44" s="80">
        <f t="shared" ca="1" si="9"/>
        <v>3.1857279388340237E-2</v>
      </c>
      <c r="N44" s="80">
        <f t="shared" ca="1" si="9"/>
        <v>4.0919878877158526E-2</v>
      </c>
      <c r="O44" s="80">
        <f t="shared" ca="1" si="9"/>
        <v>4.7646274061368399E-2</v>
      </c>
      <c r="P44" s="80">
        <f t="shared" ca="1" si="9"/>
        <v>4.8520330419440212E-2</v>
      </c>
      <c r="Q44" s="80">
        <f t="shared" ca="1" si="9"/>
        <v>3.3588011663529323E-2</v>
      </c>
      <c r="R44" s="80">
        <f t="shared" ca="1" si="9"/>
        <v>3.2106324199208537E-2</v>
      </c>
      <c r="S44" s="63"/>
      <c r="T44" s="63"/>
      <c r="U44" s="63"/>
      <c r="V44" s="63"/>
    </row>
    <row r="45" spans="1:22">
      <c r="A45" s="45" t="s">
        <v>33</v>
      </c>
      <c r="B45" s="118">
        <f t="shared" ca="1" si="2"/>
        <v>54</v>
      </c>
      <c r="C45" s="1">
        <f>IF(ISERROR(D45),"",IF(D45="","",MAX($C$13:C44)+1))</f>
        <v>32</v>
      </c>
      <c r="D45" t="str">
        <f t="shared" si="3"/>
        <v xml:space="preserve">Portland General              </v>
      </c>
      <c r="E45" s="15"/>
      <c r="F45" s="80">
        <f t="shared" ca="1" si="4"/>
        <v>3.7900438262174325E-2</v>
      </c>
      <c r="G45" s="80">
        <f t="shared" si="5"/>
        <v>2.9515418502202646E-2</v>
      </c>
      <c r="H45" s="80">
        <f ca="1">IFERROR(IF(VLOOKUP($A45,LASTYR,'2016'!$Q$3,FALSE)=0,"N/A",VLOOKUP($A45,LASTYR,'2016'!$Q$3,FALSE)),"N/A")</f>
        <v>3.0608526660998423E-2</v>
      </c>
      <c r="I45" s="80">
        <f t="shared" ca="1" si="9"/>
        <v>3.2653513019896503E-2</v>
      </c>
      <c r="J45" s="80">
        <f t="shared" ca="1" si="9"/>
        <v>3.3390231485640701E-2</v>
      </c>
      <c r="K45" s="80">
        <f t="shared" ca="1" si="9"/>
        <v>3.6650266090972987E-2</v>
      </c>
      <c r="L45" s="80">
        <f t="shared" ca="1" si="9"/>
        <v>4.1124713083397088E-2</v>
      </c>
      <c r="M45" s="80">
        <f t="shared" ca="1" si="9"/>
        <v>4.3737821815015961E-2</v>
      </c>
      <c r="N45" s="80">
        <f t="shared" ca="1" si="9"/>
        <v>5.1957831325301199E-2</v>
      </c>
      <c r="O45" s="80">
        <f t="shared" ca="1" si="9"/>
        <v>5.3561011825847167E-2</v>
      </c>
      <c r="P45" s="80">
        <f t="shared" ca="1" si="9"/>
        <v>4.282371639221226E-2</v>
      </c>
      <c r="Q45" s="80">
        <f t="shared" ca="1" si="9"/>
        <v>3.3424381828637148E-2</v>
      </c>
      <c r="R45" s="80">
        <f t="shared" ca="1" si="9"/>
        <v>2.5357827115969799E-2</v>
      </c>
      <c r="S45" s="63"/>
      <c r="T45" s="63"/>
      <c r="U45" s="63"/>
      <c r="V45" s="63"/>
    </row>
    <row r="46" spans="1:22">
      <c r="A46" s="45" t="s">
        <v>34</v>
      </c>
      <c r="B46" s="118">
        <f t="shared" ca="1" si="2"/>
        <v>55</v>
      </c>
      <c r="C46" s="1">
        <f>IF(ISERROR(D46),"",IF(D46="","",MAX($C$13:C45)+1))</f>
        <v>33</v>
      </c>
      <c r="D46" t="str">
        <f t="shared" si="3"/>
        <v xml:space="preserve">PPL Corp.                     </v>
      </c>
      <c r="E46" s="15"/>
      <c r="F46" s="80">
        <f t="shared" ca="1" si="4"/>
        <v>4.2777209059503975E-2</v>
      </c>
      <c r="G46" s="80">
        <f t="shared" si="5"/>
        <v>4.2760487144790256E-2</v>
      </c>
      <c r="H46" s="80">
        <f ca="1">IFERROR(IF(VLOOKUP($A46,LASTYR,'2016'!$Q$3,FALSE)=0,"N/A",VLOOKUP($A46,LASTYR,'2016'!$Q$3,FALSE)),"N/A")</f>
        <v>4.2465217634240382E-2</v>
      </c>
      <c r="I46" s="80">
        <f t="shared" ca="1" si="9"/>
        <v>4.5483489493313926E-2</v>
      </c>
      <c r="J46" s="80">
        <f t="shared" ca="1" si="9"/>
        <v>4.4474956719001847E-2</v>
      </c>
      <c r="K46" s="80">
        <f t="shared" ca="1" si="9"/>
        <v>4.8089505365087673E-2</v>
      </c>
      <c r="L46" s="80">
        <f t="shared" ca="1" si="9"/>
        <v>5.070244005492764E-2</v>
      </c>
      <c r="M46" s="80">
        <f t="shared" ca="1" si="9"/>
        <v>5.1009254536180132E-2</v>
      </c>
      <c r="N46" s="80">
        <f t="shared" ca="1" si="9"/>
        <v>5.124638529960833E-2</v>
      </c>
      <c r="O46" s="80">
        <f t="shared" ca="1" si="9"/>
        <v>4.5146726862302478E-2</v>
      </c>
      <c r="P46" s="80">
        <f t="shared" ca="1" si="9"/>
        <v>3.100846947748415E-2</v>
      </c>
      <c r="Q46" s="80">
        <f t="shared" ca="1" si="9"/>
        <v>2.6872246696035242E-2</v>
      </c>
      <c r="R46" s="80">
        <f t="shared" ca="1" si="9"/>
        <v>3.4067329431075599E-2</v>
      </c>
      <c r="S46" s="63"/>
      <c r="T46" s="63"/>
      <c r="U46" s="63"/>
      <c r="V46" s="63"/>
    </row>
    <row r="47" spans="1:22">
      <c r="A47" s="45" t="s">
        <v>35</v>
      </c>
      <c r="B47" s="118">
        <f t="shared" ca="1" si="2"/>
        <v>56</v>
      </c>
      <c r="C47" s="1">
        <f>IF(ISERROR(D47),"",IF(D47="","",MAX($C$13:C46)+1))</f>
        <v>34</v>
      </c>
      <c r="D47" t="str">
        <f t="shared" si="3"/>
        <v xml:space="preserve">Public Serv. Enterprise       </v>
      </c>
      <c r="E47" s="15"/>
      <c r="F47" s="80">
        <f t="shared" ca="1" si="4"/>
        <v>3.886223330902961E-2</v>
      </c>
      <c r="G47" s="80">
        <f t="shared" si="5"/>
        <v>3.9179954441913432E-2</v>
      </c>
      <c r="H47" s="80">
        <f ca="1">IFERROR(IF(VLOOKUP($A47,LASTYR,'2016'!$Q$3,FALSE)=0,"N/A",VLOOKUP($A47,LASTYR,'2016'!$Q$3,FALSE)),"N/A")</f>
        <v>3.7759307439044043E-2</v>
      </c>
      <c r="I47" s="80">
        <f t="shared" ca="1" si="9"/>
        <v>3.80859375E-2</v>
      </c>
      <c r="J47" s="80">
        <f t="shared" ca="1" si="9"/>
        <v>3.9241681028768391E-2</v>
      </c>
      <c r="K47" s="80">
        <f t="shared" ca="1" si="9"/>
        <v>4.3537414965986392E-2</v>
      </c>
      <c r="L47" s="80">
        <f t="shared" ca="1" si="9"/>
        <v>4.5508444700830049E-2</v>
      </c>
      <c r="M47" s="80">
        <f t="shared" ca="1" si="9"/>
        <v>4.2379435147090673E-2</v>
      </c>
      <c r="N47" s="80">
        <f t="shared" ca="1" si="9"/>
        <v>4.3038451872329735E-2</v>
      </c>
      <c r="O47" s="80">
        <f t="shared" ca="1" si="9"/>
        <v>4.301423027166882E-2</v>
      </c>
      <c r="P47" s="80">
        <f t="shared" ca="1" si="9"/>
        <v>3.259798347358047E-2</v>
      </c>
      <c r="Q47" s="80">
        <f t="shared" ca="1" si="9"/>
        <v>2.7307099845959949E-2</v>
      </c>
      <c r="R47" s="80">
        <f t="shared" ca="1" si="9"/>
        <v>3.4696859021183343E-2</v>
      </c>
      <c r="S47" s="63"/>
      <c r="T47" s="63"/>
      <c r="U47" s="63"/>
      <c r="V47" s="63"/>
    </row>
    <row r="48" spans="1:22">
      <c r="A48" s="45" t="s">
        <v>36</v>
      </c>
      <c r="B48" s="118">
        <f t="shared" ca="1" si="2"/>
        <v>57</v>
      </c>
      <c r="C48" s="1">
        <f>IF(ISERROR(D48),"",IF(D48="","",MAX($C$13:C47)+1))</f>
        <v>35</v>
      </c>
      <c r="D48" t="str">
        <f t="shared" si="3"/>
        <v xml:space="preserve">SCANA Corp.                   </v>
      </c>
      <c r="E48" s="15"/>
      <c r="F48" s="80">
        <f t="shared" ca="1" si="4"/>
        <v>4.3419585189589771E-2</v>
      </c>
      <c r="G48" s="80">
        <f t="shared" si="5"/>
        <v>3.6539895600298286E-2</v>
      </c>
      <c r="H48" s="80">
        <f ca="1">IFERROR(IF(VLOOKUP($A48,LASTYR,'2016'!$Q$3,FALSE)=0,"N/A",VLOOKUP($A48,LASTYR,'2016'!$Q$3,FALSE)),"N/A")</f>
        <v>3.2917805670449829E-2</v>
      </c>
      <c r="I48" s="80">
        <f t="shared" ca="1" si="9"/>
        <v>3.901565995525727E-2</v>
      </c>
      <c r="J48" s="80">
        <f t="shared" ca="1" si="9"/>
        <v>4.0513948373654358E-2</v>
      </c>
      <c r="K48" s="80">
        <f t="shared" ca="1" si="9"/>
        <v>4.1508199402936242E-2</v>
      </c>
      <c r="L48" s="80">
        <f t="shared" ca="1" si="9"/>
        <v>4.2473775661239464E-2</v>
      </c>
      <c r="M48" s="80">
        <f t="shared" ca="1" si="9"/>
        <v>4.7780897492734349E-2</v>
      </c>
      <c r="N48" s="80">
        <f t="shared" ca="1" si="9"/>
        <v>4.9295591936278957E-2</v>
      </c>
      <c r="O48" s="80">
        <f t="shared" ca="1" si="9"/>
        <v>5.6737588652482268E-2</v>
      </c>
      <c r="P48" s="80">
        <f t="shared" ca="1" si="9"/>
        <v>4.9238673767026148E-2</v>
      </c>
      <c r="Q48" s="80">
        <f t="shared" ca="1" si="9"/>
        <v>4.2946731412117807E-2</v>
      </c>
      <c r="R48" s="80">
        <f t="shared" ca="1" si="9"/>
        <v>4.2066254350602197E-2</v>
      </c>
      <c r="S48" s="63"/>
      <c r="T48" s="63"/>
      <c r="U48" s="63"/>
      <c r="V48" s="63"/>
    </row>
    <row r="49" spans="1:22">
      <c r="A49" s="45" t="s">
        <v>37</v>
      </c>
      <c r="B49" s="118">
        <f t="shared" ca="1" si="2"/>
        <v>58</v>
      </c>
      <c r="C49" s="1">
        <f>IF(ISERROR(D49),"",IF(D49="","",MAX($C$13:C48)+1))</f>
        <v>36</v>
      </c>
      <c r="D49" t="str">
        <f t="shared" si="3"/>
        <v xml:space="preserve">Sempra Energy                 </v>
      </c>
      <c r="E49" s="15"/>
      <c r="F49" s="80">
        <f t="shared" ca="1" si="4"/>
        <v>2.9280019012610389E-2</v>
      </c>
      <c r="G49" s="80">
        <f t="shared" si="5"/>
        <v>3.0225080385852091E-2</v>
      </c>
      <c r="H49" s="80">
        <f ca="1">IFERROR(IF(VLOOKUP($A49,LASTYR,'2016'!$Q$3,FALSE)=0,"N/A",VLOOKUP($A49,LASTYR,'2016'!$Q$3,FALSE)),"N/A")</f>
        <v>2.9223921037352427E-2</v>
      </c>
      <c r="I49" s="80">
        <f t="shared" ca="1" si="9"/>
        <v>2.7140724657348351E-2</v>
      </c>
      <c r="J49" s="80">
        <f t="shared" ca="1" si="9"/>
        <v>2.6070211820471041E-2</v>
      </c>
      <c r="K49" s="80">
        <f t="shared" ca="1" si="9"/>
        <v>3.0337687353277555E-2</v>
      </c>
      <c r="L49" s="80">
        <f t="shared" ca="1" si="9"/>
        <v>3.7058196809906886E-2</v>
      </c>
      <c r="M49" s="80">
        <f t="shared" ca="1" si="9"/>
        <v>3.6490801277178041E-2</v>
      </c>
      <c r="N49" s="80">
        <f t="shared" ca="1" si="9"/>
        <v>3.0810554589982622E-2</v>
      </c>
      <c r="O49" s="80">
        <f t="shared" ca="1" si="9"/>
        <v>3.2345684131953809E-2</v>
      </c>
      <c r="P49" s="80">
        <f t="shared" ca="1" si="9"/>
        <v>2.6209060299969392E-2</v>
      </c>
      <c r="Q49" s="80">
        <f t="shared" ca="1" si="9"/>
        <v>2.078131022809164E-2</v>
      </c>
      <c r="R49" s="80">
        <f t="shared" ca="1" si="9"/>
        <v>2.4666995559940796E-2</v>
      </c>
      <c r="S49" s="63"/>
      <c r="T49" s="63"/>
      <c r="U49" s="63"/>
      <c r="V49" s="63"/>
    </row>
    <row r="50" spans="1:22">
      <c r="A50" s="45" t="s">
        <v>38</v>
      </c>
      <c r="B50" s="118">
        <f t="shared" ca="1" si="2"/>
        <v>62</v>
      </c>
      <c r="C50" s="1">
        <f>IF(ISERROR(D50),"",IF(D50="","",MAX($C$13:C49)+1))</f>
        <v>37</v>
      </c>
      <c r="D50" t="str">
        <f t="shared" si="3"/>
        <v xml:space="preserve">Southern Co.                  </v>
      </c>
      <c r="E50" s="15"/>
      <c r="F50" s="80">
        <f t="shared" ca="1" si="4"/>
        <v>4.6851032186437692E-2</v>
      </c>
      <c r="G50" s="80">
        <f t="shared" si="5"/>
        <v>4.6605876393110431E-2</v>
      </c>
      <c r="H50" s="80">
        <f ca="1">IFERROR(IF(VLOOKUP($A50,LASTYR,'2016'!$Q$3,FALSE)=0,"N/A",VLOOKUP($A50,LASTYR,'2016'!$Q$3,FALSE)),"N/A")</f>
        <v>4.4233524355300854E-2</v>
      </c>
      <c r="I50" s="80">
        <f t="shared" ca="1" si="9"/>
        <v>4.7833814707842703E-2</v>
      </c>
      <c r="J50" s="80">
        <f t="shared" ca="1" si="9"/>
        <v>4.6870077854281988E-2</v>
      </c>
      <c r="K50" s="80">
        <f t="shared" ca="1" si="9"/>
        <v>4.606196512745412E-2</v>
      </c>
      <c r="L50" s="80">
        <f t="shared" ca="1" si="9"/>
        <v>4.2888045205721349E-2</v>
      </c>
      <c r="M50" s="80">
        <f t="shared" ca="1" si="9"/>
        <v>4.6349913387775304E-2</v>
      </c>
      <c r="N50" s="80">
        <f t="shared" ca="1" si="9"/>
        <v>5.128423926956225E-2</v>
      </c>
      <c r="O50" s="80">
        <f t="shared" ca="1" si="9"/>
        <v>5.5247385870951293E-2</v>
      </c>
      <c r="P50" s="80">
        <f t="shared" ca="1" si="9"/>
        <v>4.5830347792537064E-2</v>
      </c>
      <c r="Q50" s="80">
        <f t="shared" ca="1" si="9"/>
        <v>4.3854825405554028E-2</v>
      </c>
      <c r="R50" s="80">
        <f t="shared" ca="1" si="9"/>
        <v>4.515237086716084E-2</v>
      </c>
      <c r="S50" s="63"/>
      <c r="T50" s="63"/>
      <c r="U50" s="63"/>
      <c r="V50" s="63"/>
    </row>
    <row r="51" spans="1:22">
      <c r="A51" s="45" t="s">
        <v>42</v>
      </c>
      <c r="B51" s="118">
        <f t="shared" ca="1" si="2"/>
        <v>70</v>
      </c>
      <c r="C51" s="1">
        <f>IF(ISERROR(D51),"",IF(D51="","",MAX($C$13:C50)+1))</f>
        <v>38</v>
      </c>
      <c r="D51" t="str">
        <f t="shared" si="3"/>
        <v xml:space="preserve">Vectren Corp.                 </v>
      </c>
      <c r="E51" s="15"/>
      <c r="F51" s="80">
        <f t="shared" ca="1" si="4"/>
        <v>4.3862264756257284E-2</v>
      </c>
      <c r="G51" s="80">
        <f t="shared" si="5"/>
        <v>2.8643639427127211E-2</v>
      </c>
      <c r="H51" s="80">
        <f ca="1">IFERROR(IF(VLOOKUP($A51,LASTYR,'2016'!$Q$3,FALSE)=0,"N/A",VLOOKUP($A51,LASTYR,'2016'!$Q$3,FALSE)),"N/A")</f>
        <v>3.3126124652380171E-2</v>
      </c>
      <c r="I51" s="80">
        <f t="shared" ca="1" si="9"/>
        <v>3.5952747817154594E-2</v>
      </c>
      <c r="J51" s="80">
        <f t="shared" ca="1" si="9"/>
        <v>3.616994921342747E-2</v>
      </c>
      <c r="K51" s="80">
        <f t="shared" ca="1" si="9"/>
        <v>4.1541556132116728E-2</v>
      </c>
      <c r="L51" s="80">
        <f t="shared" ca="1" si="9"/>
        <v>4.8223785824609573E-2</v>
      </c>
      <c r="M51" s="80">
        <f t="shared" ca="1" si="9"/>
        <v>5.058621571277256E-2</v>
      </c>
      <c r="N51" s="80">
        <f t="shared" ca="1" si="9"/>
        <v>5.5313307493540055E-2</v>
      </c>
      <c r="O51" s="80">
        <f t="shared" ca="1" si="9"/>
        <v>5.8507410938718904E-2</v>
      </c>
      <c r="P51" s="80">
        <f t="shared" ca="1" si="9"/>
        <v>4.7871368536451679E-2</v>
      </c>
      <c r="Q51" s="80">
        <f t="shared" ca="1" si="9"/>
        <v>4.5258543886532908E-2</v>
      </c>
      <c r="R51" s="80">
        <f t="shared" ca="1" si="9"/>
        <v>4.5152527440255497E-2</v>
      </c>
      <c r="S51" s="63"/>
      <c r="T51" s="63"/>
      <c r="U51" s="63"/>
      <c r="V51" s="63"/>
    </row>
    <row r="52" spans="1:22">
      <c r="A52" s="45" t="s">
        <v>44</v>
      </c>
      <c r="B52" s="118">
        <f t="shared" ca="1" si="2"/>
        <v>71</v>
      </c>
      <c r="C52" s="1">
        <f>IF(ISERROR(D52),"",IF(D52="","",MAX($C$13:C51)+1))</f>
        <v>39</v>
      </c>
      <c r="D52" t="str">
        <f t="shared" si="3"/>
        <v>WEC Energy Group</v>
      </c>
      <c r="E52" s="15"/>
      <c r="F52" s="80">
        <f t="shared" ca="1" si="4"/>
        <v>3.0500629253021664E-2</v>
      </c>
      <c r="G52" s="80">
        <f t="shared" si="5"/>
        <v>3.4154351395730705E-2</v>
      </c>
      <c r="H52" s="80">
        <f ca="1">IFERROR(IF(VLOOKUP($A52,LASTYR,'2016'!$Q$3,FALSE)=0,"N/A",VLOOKUP($A52,LASTYR,'2016'!$Q$3,FALSE)),"N/A")</f>
        <v>3.3535449341146981E-2</v>
      </c>
      <c r="I52" s="80">
        <f t="shared" ca="1" si="9"/>
        <v>3.4855071012199278E-2</v>
      </c>
      <c r="J52" s="80">
        <f t="shared" ca="1" si="9"/>
        <v>3.4009897752294578E-2</v>
      </c>
      <c r="K52" s="80">
        <f t="shared" ca="1" si="9"/>
        <v>3.4881475401921498E-2</v>
      </c>
      <c r="L52" s="80">
        <f t="shared" ca="1" si="9"/>
        <v>3.2407907529437181E-2</v>
      </c>
      <c r="M52" s="80">
        <f t="shared" ca="1" si="9"/>
        <v>3.3481424248277637E-2</v>
      </c>
      <c r="N52" s="80">
        <f t="shared" ca="1" si="9"/>
        <v>2.9739776951672865E-2</v>
      </c>
      <c r="O52" s="80">
        <f t="shared" ca="1" si="9"/>
        <v>3.1610002809778028E-2</v>
      </c>
      <c r="P52" s="80">
        <f t="shared" ca="1" si="9"/>
        <v>2.4129764511372269E-2</v>
      </c>
      <c r="Q52" s="80">
        <f t="shared" ca="1" si="9"/>
        <v>2.1376656690893545E-2</v>
      </c>
      <c r="R52" s="80">
        <f t="shared" ca="1" si="9"/>
        <v>2.1825773391535398E-2</v>
      </c>
      <c r="S52" s="63"/>
      <c r="T52" s="63"/>
      <c r="U52" s="63"/>
      <c r="V52" s="63"/>
    </row>
    <row r="53" spans="1:22">
      <c r="A53" s="45" t="s">
        <v>43</v>
      </c>
      <c r="B53" s="118">
        <f t="shared" ca="1" si="2"/>
        <v>72</v>
      </c>
      <c r="C53" s="1">
        <f>IF(ISERROR(D53),"",IF(D53="","",MAX($C$13:C52)+1))</f>
        <v>40</v>
      </c>
      <c r="D53" t="str">
        <f t="shared" si="3"/>
        <v xml:space="preserve">Westar Energy                 </v>
      </c>
      <c r="E53" s="15"/>
      <c r="F53" s="80">
        <f t="shared" ca="1" si="4"/>
        <v>4.3721253646358434E-2</v>
      </c>
      <c r="G53" s="80">
        <f t="shared" si="5"/>
        <v>3.0245746691871453E-2</v>
      </c>
      <c r="H53" s="80">
        <f ca="1">IFERROR(IF(VLOOKUP($A53,LASTYR,'2016'!$Q$3,FALSE)=0,"N/A",VLOOKUP($A53,LASTYR,'2016'!$Q$3,FALSE)),"N/A")</f>
        <v>2.8977770999351813E-2</v>
      </c>
      <c r="I53" s="80">
        <f t="shared" ca="1" si="9"/>
        <v>3.7335684098628426E-2</v>
      </c>
      <c r="J53" s="80">
        <f t="shared" ca="1" si="9"/>
        <v>3.8790834280014404E-2</v>
      </c>
      <c r="K53" s="80">
        <f t="shared" ca="1" si="9"/>
        <v>4.2681395932714035E-2</v>
      </c>
      <c r="L53" s="80">
        <f t="shared" ca="1" si="9"/>
        <v>4.5715868947842353E-2</v>
      </c>
      <c r="M53" s="80">
        <f t="shared" ca="1" si="9"/>
        <v>4.8387706498317772E-2</v>
      </c>
      <c r="N53" s="80">
        <f t="shared" ca="1" si="9"/>
        <v>5.3168681931223739E-2</v>
      </c>
      <c r="O53" s="80">
        <f t="shared" ca="1" si="9"/>
        <v>6.2722140915743255E-2</v>
      </c>
      <c r="P53" s="80">
        <f t="shared" ca="1" si="9"/>
        <v>5.220287115791368E-2</v>
      </c>
      <c r="Q53" s="80">
        <f t="shared" ca="1" si="9"/>
        <v>4.1618497109826597E-2</v>
      </c>
      <c r="R53" s="80">
        <f t="shared" ca="1" si="9"/>
        <v>4.2807845192853709E-2</v>
      </c>
      <c r="S53" s="63"/>
      <c r="T53" s="63"/>
      <c r="U53" s="63"/>
      <c r="V53" s="63"/>
    </row>
    <row r="54" spans="1:22">
      <c r="A54" s="45" t="s">
        <v>45</v>
      </c>
      <c r="B54" s="118">
        <f t="shared" ca="1" si="2"/>
        <v>74</v>
      </c>
      <c r="C54" s="1">
        <f>IF(ISERROR(D54),"",IF(D54="","",MAX($C$13:C53)+1))</f>
        <v>41</v>
      </c>
      <c r="D54" t="str">
        <f t="shared" si="3"/>
        <v xml:space="preserve">Xcel Energy Inc.              </v>
      </c>
      <c r="E54" s="15"/>
      <c r="F54" s="80">
        <f t="shared" ca="1" si="4"/>
        <v>4.0753140514455534E-2</v>
      </c>
      <c r="G54" s="80">
        <f t="shared" si="5"/>
        <v>3.2542372881355933E-2</v>
      </c>
      <c r="H54" s="80">
        <f ca="1">IFERROR(IF(VLOOKUP($A54,LASTYR,'2016'!$Q$3,FALSE)=0,"N/A",VLOOKUP($A54,LASTYR,'2016'!$Q$3,FALSE)),"N/A")</f>
        <v>3.3309657351392394E-2</v>
      </c>
      <c r="I54" s="80">
        <f t="shared" ca="1" si="9"/>
        <v>3.6856805551556335E-2</v>
      </c>
      <c r="J54" s="80">
        <f t="shared" ca="1" si="9"/>
        <v>3.8284839203675342E-2</v>
      </c>
      <c r="K54" s="80">
        <f t="shared" ca="1" si="9"/>
        <v>3.8642297650130553E-2</v>
      </c>
      <c r="L54" s="80">
        <f t="shared" ca="1" si="9"/>
        <v>3.9022611232676876E-2</v>
      </c>
      <c r="M54" s="80">
        <f t="shared" ca="1" si="9"/>
        <v>4.2045964812017798E-2</v>
      </c>
      <c r="N54" s="80">
        <f t="shared" ca="1" si="9"/>
        <v>4.5369992287101313E-2</v>
      </c>
      <c r="O54" s="80">
        <f t="shared" ca="1" si="9"/>
        <v>5.1404345521992578E-2</v>
      </c>
      <c r="P54" s="80">
        <f t="shared" ca="1" si="9"/>
        <v>4.7042338104293861E-2</v>
      </c>
      <c r="Q54" s="80">
        <f t="shared" ca="1" si="9"/>
        <v>4.047682590516858E-2</v>
      </c>
      <c r="R54" s="80">
        <f t="shared" ca="1" si="9"/>
        <v>4.4039635672104893E-2</v>
      </c>
      <c r="S54" s="63"/>
      <c r="T54" s="63"/>
      <c r="U54" s="63"/>
      <c r="V54" s="63"/>
    </row>
    <row r="55" spans="1:22" hidden="1">
      <c r="A55" s="45"/>
      <c r="B55" s="118" t="str">
        <f t="shared" ca="1" si="2"/>
        <v/>
      </c>
      <c r="C55" s="1" t="str">
        <f>IF(ISERROR(D55),"",IF(D55="","",MAX($C$13:C54)+1))</f>
        <v/>
      </c>
      <c r="D55" t="e">
        <f t="shared" si="3"/>
        <v>#N/A</v>
      </c>
      <c r="E55" s="15"/>
      <c r="F55" s="80" t="str">
        <f t="shared" ca="1" si="4"/>
        <v>N/A</v>
      </c>
      <c r="G55" s="80" t="str">
        <f t="shared" si="5"/>
        <v>N/A</v>
      </c>
      <c r="H55" s="80" t="str">
        <f ca="1">IFERROR(IF(VLOOKUP($A55,LASTYR,'2016'!$Q$3,FALSE)=0,"N/A",VLOOKUP($A55,LASTYR,'2016'!$Q$3,FALSE)),"N/A")</f>
        <v>N/A</v>
      </c>
      <c r="I55" s="80" t="str">
        <f t="shared" ca="1" si="9"/>
        <v>N/A</v>
      </c>
      <c r="J55" s="80" t="str">
        <f t="shared" ca="1" si="9"/>
        <v>N/A</v>
      </c>
      <c r="K55" s="80" t="str">
        <f t="shared" ca="1" si="9"/>
        <v>N/A</v>
      </c>
      <c r="L55" s="80" t="str">
        <f t="shared" ca="1" si="9"/>
        <v>N/A</v>
      </c>
      <c r="M55" s="80" t="str">
        <f t="shared" ca="1" si="9"/>
        <v>N/A</v>
      </c>
      <c r="N55" s="80" t="str">
        <f t="shared" ca="1" si="9"/>
        <v>N/A</v>
      </c>
      <c r="O55" s="80" t="str">
        <f t="shared" ca="1" si="9"/>
        <v>N/A</v>
      </c>
      <c r="P55" s="80" t="str">
        <f t="shared" ca="1" si="9"/>
        <v>N/A</v>
      </c>
      <c r="Q55" s="80" t="str">
        <f t="shared" ca="1" si="9"/>
        <v>N/A</v>
      </c>
      <c r="R55" s="80" t="str">
        <f t="shared" ca="1" si="9"/>
        <v>N/A</v>
      </c>
      <c r="S55" s="63"/>
      <c r="T55" s="63"/>
      <c r="U55" s="63"/>
      <c r="V55" s="63"/>
    </row>
    <row r="56" spans="1:22" hidden="1">
      <c r="A56" s="51"/>
      <c r="B56" s="118" t="str">
        <f t="shared" ca="1" si="2"/>
        <v/>
      </c>
      <c r="C56" s="1" t="str">
        <f>IF(ISERROR(D56),"",IF(D56="","",MAX($C$13:C55)+1))</f>
        <v/>
      </c>
      <c r="D56" t="e">
        <f t="shared" si="3"/>
        <v>#N/A</v>
      </c>
      <c r="F56" s="80" t="str">
        <f t="shared" ca="1" si="4"/>
        <v>N/A</v>
      </c>
      <c r="G56" s="80" t="str">
        <f t="shared" si="5"/>
        <v>N/A</v>
      </c>
      <c r="H56" s="80" t="str">
        <f ca="1">IFERROR(IF(VLOOKUP($A56,LASTYR,'2016'!$Q$3,FALSE)=0,"N/A",VLOOKUP($A56,LASTYR,'2016'!$Q$3,FALSE)),"N/A")</f>
        <v>N/A</v>
      </c>
      <c r="I56" s="80" t="str">
        <f t="shared" ca="1" si="9"/>
        <v>N/A</v>
      </c>
      <c r="J56" s="80" t="str">
        <f t="shared" ca="1" si="9"/>
        <v>N/A</v>
      </c>
      <c r="K56" s="80" t="str">
        <f t="shared" ca="1" si="9"/>
        <v>N/A</v>
      </c>
      <c r="L56" s="80" t="str">
        <f t="shared" ca="1" si="9"/>
        <v>N/A</v>
      </c>
      <c r="M56" s="80" t="str">
        <f t="shared" ca="1" si="9"/>
        <v>N/A</v>
      </c>
      <c r="N56" s="80" t="str">
        <f t="shared" ca="1" si="9"/>
        <v>N/A</v>
      </c>
      <c r="O56" s="80" t="str">
        <f t="shared" ca="1" si="9"/>
        <v>N/A</v>
      </c>
      <c r="P56" s="80" t="str">
        <f t="shared" ca="1" si="9"/>
        <v>N/A</v>
      </c>
      <c r="Q56" s="80" t="str">
        <f t="shared" ca="1" si="9"/>
        <v>N/A</v>
      </c>
      <c r="R56" s="80" t="str">
        <f t="shared" ca="1" si="9"/>
        <v>N/A</v>
      </c>
      <c r="S56" s="63"/>
      <c r="T56" s="63"/>
      <c r="U56" s="63"/>
      <c r="V56" s="63"/>
    </row>
    <row r="57" spans="1:22" hidden="1">
      <c r="A57" s="51"/>
      <c r="B57" s="118" t="str">
        <f t="shared" ca="1" si="2"/>
        <v/>
      </c>
      <c r="C57" s="1" t="str">
        <f>IF(ISERROR(D57),"",IF(D57="","",MAX($C$13:C56)+1))</f>
        <v/>
      </c>
      <c r="D57" t="e">
        <f t="shared" si="3"/>
        <v>#N/A</v>
      </c>
      <c r="F57" s="80" t="str">
        <f t="shared" ca="1" si="4"/>
        <v>N/A</v>
      </c>
      <c r="G57" s="80" t="str">
        <f t="shared" si="5"/>
        <v>N/A</v>
      </c>
      <c r="H57" s="80" t="str">
        <f ca="1">IFERROR(IF(VLOOKUP($A57,LASTYR,'2016'!$Q$3,FALSE)=0,"N/A",VLOOKUP($A57,LASTYR,'2016'!$Q$3,FALSE)),"N/A")</f>
        <v>N/A</v>
      </c>
      <c r="I57" s="80" t="str">
        <f t="shared" ca="1" si="9"/>
        <v>N/A</v>
      </c>
      <c r="J57" s="80" t="str">
        <f t="shared" ca="1" si="9"/>
        <v>N/A</v>
      </c>
      <c r="K57" s="80" t="str">
        <f t="shared" ca="1" si="9"/>
        <v>N/A</v>
      </c>
      <c r="L57" s="80" t="str">
        <f t="shared" ca="1" si="9"/>
        <v>N/A</v>
      </c>
      <c r="M57" s="80" t="str">
        <f t="shared" ca="1" si="9"/>
        <v>N/A</v>
      </c>
      <c r="N57" s="80" t="str">
        <f t="shared" ca="1" si="9"/>
        <v>N/A</v>
      </c>
      <c r="O57" s="80" t="str">
        <f t="shared" ca="1" si="9"/>
        <v>N/A</v>
      </c>
      <c r="P57" s="80" t="str">
        <f t="shared" ca="1" si="9"/>
        <v>N/A</v>
      </c>
      <c r="Q57" s="80" t="str">
        <f t="shared" ca="1" si="9"/>
        <v>N/A</v>
      </c>
      <c r="R57" s="80" t="str">
        <f t="shared" ca="1" si="9"/>
        <v>N/A</v>
      </c>
      <c r="S57" s="63"/>
      <c r="T57" s="63"/>
      <c r="U57" s="63"/>
      <c r="V57" s="63"/>
    </row>
    <row r="58" spans="1:22" hidden="1">
      <c r="A58" s="51"/>
      <c r="B58" s="118" t="str">
        <f t="shared" ca="1" si="2"/>
        <v/>
      </c>
      <c r="C58" s="1" t="str">
        <f>IF(ISERROR(D58),"",IF(D58="","",MAX($C$13:C57)+1))</f>
        <v/>
      </c>
      <c r="D58" t="e">
        <f t="shared" si="3"/>
        <v>#N/A</v>
      </c>
      <c r="F58" s="80" t="str">
        <f t="shared" ca="1" si="4"/>
        <v>N/A</v>
      </c>
      <c r="G58" s="80" t="str">
        <f t="shared" si="5"/>
        <v>N/A</v>
      </c>
      <c r="H58" s="80" t="str">
        <f ca="1">IFERROR(IF(VLOOKUP($A58,LASTYR,'2016'!$Q$3,FALSE)=0,"N/A",VLOOKUP($A58,LASTYR,'2016'!$Q$3,FALSE)),"N/A")</f>
        <v>N/A</v>
      </c>
      <c r="I58" s="80" t="str">
        <f t="shared" ca="1" si="9"/>
        <v>N/A</v>
      </c>
      <c r="J58" s="80" t="str">
        <f t="shared" ca="1" si="9"/>
        <v>N/A</v>
      </c>
      <c r="K58" s="80" t="str">
        <f t="shared" ca="1" si="9"/>
        <v>N/A</v>
      </c>
      <c r="L58" s="80" t="str">
        <f t="shared" ca="1" si="9"/>
        <v>N/A</v>
      </c>
      <c r="M58" s="80" t="str">
        <f t="shared" ca="1" si="9"/>
        <v>N/A</v>
      </c>
      <c r="N58" s="80" t="str">
        <f t="shared" ca="1" si="9"/>
        <v>N/A</v>
      </c>
      <c r="O58" s="80" t="str">
        <f t="shared" ca="1" si="9"/>
        <v>N/A</v>
      </c>
      <c r="P58" s="80" t="str">
        <f t="shared" ca="1" si="9"/>
        <v>N/A</v>
      </c>
      <c r="Q58" s="80" t="str">
        <f t="shared" ca="1" si="9"/>
        <v>N/A</v>
      </c>
      <c r="R58" s="80" t="str">
        <f t="shared" ca="1" si="9"/>
        <v>N/A</v>
      </c>
      <c r="S58" s="63"/>
      <c r="T58" s="63"/>
      <c r="U58" s="63"/>
      <c r="V58" s="63"/>
    </row>
    <row r="59" spans="1:22">
      <c r="A59" s="31"/>
      <c r="B59" s="31"/>
      <c r="C59" s="1" t="str">
        <f>IF(ISERROR(D59),"",IF(D59="","",MAX($C$13:C58)+1))</f>
        <v/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63"/>
      <c r="T59" s="63"/>
      <c r="U59" s="63"/>
      <c r="V59" s="63"/>
    </row>
    <row r="60" spans="1:22" ht="15">
      <c r="A60" s="31"/>
      <c r="B60" s="31"/>
      <c r="C60" s="1">
        <f>IF(ISERROR(D60),"",IF(D60="","",MAX($C$13:C59)+1))</f>
        <v>42</v>
      </c>
      <c r="D60" s="112" t="s">
        <v>98</v>
      </c>
      <c r="E60" s="112"/>
      <c r="F60" s="116">
        <f ca="1">AVERAGE(G60:R60)</f>
        <v>3.9869474385237157E-2</v>
      </c>
      <c r="G60" s="116">
        <f t="shared" ref="G60:R60" si="10">AVERAGE(G14:G59)</f>
        <v>3.4824077541393952E-2</v>
      </c>
      <c r="H60" s="116">
        <f t="shared" ca="1" si="10"/>
        <v>3.4857080408313895E-2</v>
      </c>
      <c r="I60" s="116">
        <f t="shared" ca="1" si="10"/>
        <v>3.7132383606324655E-2</v>
      </c>
      <c r="J60" s="116">
        <f t="shared" ca="1" si="10"/>
        <v>3.6626497766093294E-2</v>
      </c>
      <c r="K60" s="116">
        <f t="shared" ca="1" si="10"/>
        <v>3.87024111281771E-2</v>
      </c>
      <c r="L60" s="116">
        <f t="shared" ca="1" si="10"/>
        <v>4.1798480891185888E-2</v>
      </c>
      <c r="M60" s="116">
        <f t="shared" ca="1" si="10"/>
        <v>4.3018938310111818E-2</v>
      </c>
      <c r="N60" s="116">
        <f t="shared" ca="1" si="10"/>
        <v>4.6277642879546561E-2</v>
      </c>
      <c r="O60" s="116">
        <f t="shared" ca="1" si="10"/>
        <v>5.0911191944417351E-2</v>
      </c>
      <c r="P60" s="116">
        <f t="shared" ca="1" si="10"/>
        <v>4.211628756261266E-2</v>
      </c>
      <c r="Q60" s="116">
        <f t="shared" ca="1" si="10"/>
        <v>3.5076999115169927E-2</v>
      </c>
      <c r="R60" s="116">
        <f t="shared" ca="1" si="10"/>
        <v>3.7091701469498785E-2</v>
      </c>
      <c r="S60" s="63"/>
      <c r="T60" s="63"/>
      <c r="U60" s="63"/>
      <c r="V60" s="63"/>
    </row>
    <row r="61" spans="1:22">
      <c r="A61" s="31"/>
      <c r="B61" s="31"/>
      <c r="C61" s="1">
        <f>IF(ISERROR(D61),"",IF(D61="","",MAX($C$13:C60)+1))</f>
        <v>43</v>
      </c>
      <c r="D61" t="s">
        <v>257</v>
      </c>
      <c r="F61" s="80">
        <f ca="1">AVERAGE(G61:R61)</f>
        <v>3.9896166967353208E-2</v>
      </c>
      <c r="G61" s="80">
        <f t="shared" ref="G61:R61" si="11">MEDIAN(G14:G59)</f>
        <v>3.4154351395730705E-2</v>
      </c>
      <c r="H61" s="80">
        <f t="shared" ca="1" si="11"/>
        <v>3.4328281354593981E-2</v>
      </c>
      <c r="I61" s="80">
        <f t="shared" ca="1" si="11"/>
        <v>3.7096244825092384E-2</v>
      </c>
      <c r="J61" s="80">
        <f t="shared" ca="1" si="11"/>
        <v>3.7573449954544175E-2</v>
      </c>
      <c r="K61" s="80">
        <f t="shared" ca="1" si="11"/>
        <v>3.8545922804073901E-2</v>
      </c>
      <c r="L61" s="80">
        <f t="shared" ca="1" si="11"/>
        <v>4.1777511500138906E-2</v>
      </c>
      <c r="M61" s="80">
        <f t="shared" ca="1" si="11"/>
        <v>4.4165869230776714E-2</v>
      </c>
      <c r="N61" s="80">
        <f t="shared" ca="1" si="11"/>
        <v>4.7573739295908662E-2</v>
      </c>
      <c r="O61" s="80">
        <f t="shared" ca="1" si="11"/>
        <v>5.1404345521992578E-2</v>
      </c>
      <c r="P61" s="80">
        <f t="shared" ca="1" si="11"/>
        <v>4.2115396185548402E-2</v>
      </c>
      <c r="Q61" s="80">
        <f t="shared" ca="1" si="11"/>
        <v>3.4027967511984301E-2</v>
      </c>
      <c r="R61" s="80">
        <f t="shared" ca="1" si="11"/>
        <v>3.5990924027853838E-2</v>
      </c>
      <c r="S61" s="63"/>
      <c r="T61" s="63"/>
      <c r="U61" s="63"/>
      <c r="V61" s="63"/>
    </row>
    <row r="62" spans="1:22">
      <c r="A62" s="31"/>
      <c r="B62" s="31"/>
      <c r="C62" s="1" t="str">
        <f>IF(ISERROR(D62),"",IF(D62="","",MAX($C$13:C61)+1))</f>
        <v/>
      </c>
    </row>
    <row r="63" spans="1:22" s="103" customFormat="1" ht="29.45" customHeight="1">
      <c r="C63" s="115">
        <f>IF(ISERROR(D63),"",IF(D63="","",MAX($C$13:C62)+1))</f>
        <v>44</v>
      </c>
      <c r="D63" s="144" t="s">
        <v>378</v>
      </c>
      <c r="E63" s="144"/>
      <c r="F63" s="114">
        <f>AVERAGE(G63:R63)</f>
        <v>5.0180576683828991E-2</v>
      </c>
      <c r="G63" s="114">
        <f>VLOOKUP(2017,'Annual Yields (WP)'!$B$6:$C$43,2,FALSE)</f>
        <v>4.0725393956729763E-2</v>
      </c>
      <c r="H63" s="114">
        <f>VLOOKUP(H11,'Annual Yields (WP)'!$B$6:$C$43,2,FALSE)</f>
        <v>3.930199127182251E-2</v>
      </c>
      <c r="I63" s="114">
        <f>VLOOKUP(I11,'Annual Yields (WP)'!$B$6:$C$43,2,FALSE)</f>
        <v>4.1153967589428117E-2</v>
      </c>
      <c r="J63" s="114">
        <f>VLOOKUP(J11,'Annual Yields (WP)'!$B$6:$C$43,2,FALSE)</f>
        <v>4.2774094021446961E-2</v>
      </c>
      <c r="K63" s="114">
        <f>VLOOKUP(K11,'Annual Yields (WP)'!$B$6:$C$43,2,FALSE)</f>
        <v>4.4759707479483019E-2</v>
      </c>
      <c r="L63" s="114">
        <f>VLOOKUP(L11,'Annual Yields (WP)'!$B$6:$C$43,2,FALSE)</f>
        <v>4.1308564221010043E-2</v>
      </c>
      <c r="M63" s="114">
        <f>VLOOKUP(M11,'Annual Yields (WP)'!$B$6:$C$43,2,FALSE)</f>
        <v>5.0407157265811221E-2</v>
      </c>
      <c r="N63" s="114">
        <f>VLOOKUP(N11,'Annual Yields (WP)'!$B$6:$C$43,2,FALSE)</f>
        <v>5.4644377733549555E-2</v>
      </c>
      <c r="O63" s="114">
        <f>VLOOKUP(O11,'Annual Yields (WP)'!$B$6:$C$43,2,FALSE)</f>
        <v>6.0391666666666656E-2</v>
      </c>
      <c r="P63" s="114">
        <f>VLOOKUP(P11,'Annual Yields (WP)'!$B$6:$C$43,2,FALSE)</f>
        <v>6.5283333333333332E-2</v>
      </c>
      <c r="Q63" s="114">
        <f>VLOOKUP(Q11,'Annual Yields (WP)'!$B$6:$C$43,2,FALSE)</f>
        <v>6.0733333333333334E-2</v>
      </c>
      <c r="R63" s="114">
        <f>VLOOKUP(R11,'Annual Yields (WP)'!$B$6:$C$43,2,FALSE)</f>
        <v>6.0683333333333332E-2</v>
      </c>
      <c r="S63" s="113"/>
      <c r="T63" s="113"/>
      <c r="U63" s="113"/>
      <c r="V63" s="113"/>
    </row>
    <row r="64" spans="1:22" s="103" customFormat="1" ht="15">
      <c r="C64" s="1" t="str">
        <f>IF(ISERROR(D64),"",IF(D64="","",MAX($C$13:C63)+1))</f>
        <v/>
      </c>
      <c r="D64" s="109"/>
      <c r="E64" s="109"/>
      <c r="F64" s="8"/>
      <c r="G64" s="8"/>
      <c r="H64" s="8"/>
      <c r="I64" s="8"/>
      <c r="J64" s="8"/>
      <c r="K64" s="8"/>
      <c r="L64" s="8"/>
      <c r="M64" s="8"/>
      <c r="N64" s="8"/>
      <c r="O64" s="109"/>
      <c r="P64" s="109"/>
      <c r="Q64" s="109"/>
      <c r="R64" s="109"/>
      <c r="S64" s="109"/>
      <c r="T64" s="109"/>
      <c r="U64" s="109"/>
    </row>
    <row r="65" spans="2:22" s="103" customFormat="1" ht="15">
      <c r="C65" s="1">
        <f>IF(ISERROR(D65),"",IF(D65="","",MAX($C$13:C64)+1))</f>
        <v>45</v>
      </c>
      <c r="D65" s="112" t="s">
        <v>377</v>
      </c>
      <c r="E65"/>
      <c r="F65" s="111">
        <f t="shared" ref="F65:R65" ca="1" si="12">F63-F60</f>
        <v>1.0311102298591834E-2</v>
      </c>
      <c r="G65" s="111">
        <f t="shared" si="12"/>
        <v>5.9013164153358111E-3</v>
      </c>
      <c r="H65" s="111">
        <f t="shared" ca="1" si="12"/>
        <v>4.4449108635086151E-3</v>
      </c>
      <c r="I65" s="111">
        <f t="shared" ca="1" si="12"/>
        <v>4.0215839831034619E-3</v>
      </c>
      <c r="J65" s="111">
        <f t="shared" ca="1" si="12"/>
        <v>6.147596255353667E-3</v>
      </c>
      <c r="K65" s="111">
        <f t="shared" ca="1" si="12"/>
        <v>6.0572963513059186E-3</v>
      </c>
      <c r="L65" s="111">
        <f t="shared" ca="1" si="12"/>
        <v>-4.8991667017584534E-4</v>
      </c>
      <c r="M65" s="111">
        <f t="shared" ca="1" si="12"/>
        <v>7.3882189556994035E-3</v>
      </c>
      <c r="N65" s="111">
        <f t="shared" ca="1" si="12"/>
        <v>8.366734854002994E-3</v>
      </c>
      <c r="O65" s="111">
        <f t="shared" ca="1" si="12"/>
        <v>9.4804747222493047E-3</v>
      </c>
      <c r="P65" s="111">
        <f t="shared" ca="1" si="12"/>
        <v>2.3167045770720672E-2</v>
      </c>
      <c r="Q65" s="111">
        <f t="shared" ca="1" si="12"/>
        <v>2.5656334218163407E-2</v>
      </c>
      <c r="R65" s="111">
        <f t="shared" ca="1" si="12"/>
        <v>2.3591631863834547E-2</v>
      </c>
      <c r="S65" s="41"/>
      <c r="T65" s="41"/>
      <c r="U65" s="41"/>
      <c r="V65" s="41"/>
    </row>
    <row r="66" spans="2:22" s="103" customFormat="1" ht="15">
      <c r="C66" s="10"/>
      <c r="D66" s="10"/>
      <c r="E66" s="10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2:22" s="103" customFormat="1">
      <c r="B67" s="106"/>
      <c r="C67" s="107"/>
      <c r="E67" s="20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</row>
    <row r="68" spans="2:22" s="103" customFormat="1">
      <c r="B68" s="106"/>
      <c r="C68" s="107"/>
      <c r="E68" s="20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</row>
    <row r="69" spans="2:22" s="103" customFormat="1">
      <c r="B69" s="106"/>
      <c r="C69" s="107"/>
      <c r="E69" s="20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</row>
    <row r="70" spans="2:22" s="103" customFormat="1">
      <c r="B70" s="106"/>
      <c r="C70" s="107"/>
      <c r="E70" s="20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</row>
    <row r="71" spans="2:22" s="103" customFormat="1">
      <c r="B71" s="106"/>
      <c r="C71" s="107"/>
      <c r="E71" s="20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</row>
    <row r="72" spans="2:22" s="103" customFormat="1">
      <c r="B72" s="106"/>
      <c r="C72" s="107"/>
      <c r="E72" s="20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</row>
    <row r="73" spans="2:22" s="103" customFormat="1">
      <c r="B73" s="106"/>
      <c r="C73" s="107"/>
      <c r="E73" s="20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</row>
    <row r="74" spans="2:22" s="103" customFormat="1">
      <c r="B74" s="106"/>
      <c r="C74" s="107"/>
      <c r="E74" s="20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</row>
    <row r="75" spans="2:22" s="103" customFormat="1">
      <c r="B75" s="106"/>
      <c r="C75" s="107"/>
      <c r="E75" s="20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</row>
    <row r="76" spans="2:22" s="103" customFormat="1">
      <c r="B76" s="106"/>
      <c r="C76" s="107"/>
      <c r="E76" s="20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</row>
    <row r="77" spans="2:22" s="103" customFormat="1">
      <c r="B77" s="106"/>
      <c r="C77" s="107"/>
      <c r="E77" s="20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</row>
    <row r="78" spans="2:22" s="103" customFormat="1">
      <c r="B78" s="106"/>
      <c r="C78" s="107"/>
      <c r="E78" s="20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</row>
    <row r="79" spans="2:22" s="103" customFormat="1">
      <c r="B79" s="106"/>
      <c r="C79" s="107"/>
      <c r="E79" s="20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</row>
    <row r="80" spans="2:22" s="103" customFormat="1">
      <c r="B80" s="106"/>
      <c r="C80" s="107"/>
      <c r="E80" s="20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</row>
    <row r="81" spans="1:22" s="103" customFormat="1">
      <c r="B81" s="106"/>
      <c r="C81" s="107"/>
      <c r="E81" s="20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</row>
    <row r="82" spans="1:22" s="103" customFormat="1">
      <c r="B82" s="106"/>
      <c r="C82" s="107"/>
      <c r="E82" s="20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</row>
    <row r="83" spans="1:22" s="103" customFormat="1">
      <c r="B83" s="106"/>
      <c r="C83" s="107"/>
      <c r="E83" s="20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</row>
    <row r="84" spans="1:22" s="103" customFormat="1">
      <c r="B84" s="106"/>
      <c r="C84" s="107"/>
      <c r="E84" s="20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</row>
    <row r="85" spans="1:22" s="103" customFormat="1">
      <c r="B85" s="106"/>
      <c r="C85" s="107"/>
      <c r="E85" s="20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</row>
    <row r="86" spans="1:22" s="103" customFormat="1">
      <c r="B86" s="106"/>
      <c r="C86" s="107"/>
      <c r="E86" s="20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</row>
    <row r="87" spans="1:22" s="103" customFormat="1">
      <c r="B87" s="106"/>
      <c r="C87" s="107"/>
      <c r="D87" s="18"/>
      <c r="E87" s="91"/>
      <c r="F87"/>
      <c r="G87"/>
      <c r="H87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4"/>
      <c r="U87" s="104"/>
      <c r="V87" s="104"/>
    </row>
    <row r="88" spans="1:22" s="103" customFormat="1">
      <c r="B88" s="106"/>
      <c r="C88" s="1"/>
      <c r="D88" s="20" t="s">
        <v>107</v>
      </c>
      <c r="E88"/>
      <c r="F88"/>
      <c r="G88"/>
      <c r="H88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4"/>
      <c r="U88" s="104"/>
      <c r="V88" s="104"/>
    </row>
    <row r="89" spans="1:22" s="103" customFormat="1" ht="16.5">
      <c r="B89" s="106"/>
      <c r="C89"/>
      <c r="D89" s="79">
        <v>1</v>
      </c>
      <c r="E89" s="21" t="str">
        <f>"The Value Line Investment Survey Investment Analyzer Software, downloaded on "&amp;TEXT('2016'!$A$1,"mmmm d, yyyy.")</f>
        <v>The Value Line Investment Survey Investment Analyzer Software, downloaded on June 21, 2017.</v>
      </c>
      <c r="F89"/>
      <c r="G89"/>
      <c r="H89"/>
      <c r="I89"/>
      <c r="J89"/>
      <c r="K89"/>
      <c r="L89"/>
      <c r="M89"/>
      <c r="N89"/>
      <c r="O89"/>
      <c r="P89"/>
      <c r="Q89"/>
      <c r="R89"/>
      <c r="S89" s="105"/>
      <c r="T89" s="104"/>
      <c r="U89" s="104"/>
      <c r="V89" s="104"/>
    </row>
    <row r="90" spans="1:22" ht="16.5">
      <c r="A90" s="31"/>
      <c r="B90" s="31"/>
      <c r="D90" s="79">
        <v>2</v>
      </c>
      <c r="E90" s="21" t="str">
        <f>"The Value Line Investment Survey, "&amp;'2017 Data (WP)'!$D$1</f>
        <v>The Value Line Investment Survey, July 28, August 18, and September 15, 2017.</v>
      </c>
    </row>
    <row r="91" spans="1:22" ht="16.5">
      <c r="A91" s="31"/>
      <c r="B91" s="31"/>
      <c r="D91" s="79">
        <v>3</v>
      </c>
      <c r="E91" t="s">
        <v>398</v>
      </c>
    </row>
    <row r="92" spans="1:22">
      <c r="A92" s="31"/>
      <c r="B92" s="31"/>
      <c r="D92" s="20" t="s">
        <v>336</v>
      </c>
    </row>
    <row r="93" spans="1:22" ht="16.5">
      <c r="A93" s="31"/>
      <c r="B93" s="31"/>
      <c r="D93" s="79" t="s">
        <v>362</v>
      </c>
      <c r="E93" s="21" t="str">
        <f>"Based on the average of the high and low price for 2017 and the projected 2017 Dividends Declared per share, published in the "</f>
        <v xml:space="preserve">Based on the average of the high and low price for 2017 and the projected 2017 Dividends Declared per share, published in the </v>
      </c>
    </row>
    <row r="94" spans="1:22">
      <c r="A94" s="31"/>
      <c r="B94" s="31"/>
      <c r="E94" t="str">
        <f>"Value Line Investment Survey, "&amp;'2017 Data (WP)'!$D$1</f>
        <v>Value Line Investment Survey, July 28, August 18, and September 15, 2017.</v>
      </c>
    </row>
  </sheetData>
  <mergeCells count="6">
    <mergeCell ref="D63:E63"/>
    <mergeCell ref="C2:R2"/>
    <mergeCell ref="C5:R5"/>
    <mergeCell ref="C6:R6"/>
    <mergeCell ref="F9:R9"/>
    <mergeCell ref="D11:E11"/>
  </mergeCells>
  <printOptions horizontalCentered="1"/>
  <pageMargins left="0.7" right="0.7" top="1" bottom="0.75" header="0.55000000000000004" footer="0.51"/>
  <pageSetup scale="52" fitToHeight="0" orientation="portrait" useFirstPageNumber="1" r:id="rId1"/>
  <headerFooter>
    <oddHeader>&amp;R&amp;19Exhibit MPG-4
Page 4 of 5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">
    <tabColor rgb="FF7030A0"/>
    <pageSetUpPr fitToPage="1"/>
  </sheetPr>
  <dimension ref="A1:AD83"/>
  <sheetViews>
    <sheetView topLeftCell="D49" zoomScale="70" zoomScaleNormal="70" workbookViewId="0">
      <selection activeCell="L68" sqref="L68"/>
    </sheetView>
  </sheetViews>
  <sheetFormatPr defaultRowHeight="14.25"/>
  <cols>
    <col min="1" max="2" width="2.125" bestFit="1" customWidth="1"/>
    <col min="3" max="3" width="17.75" bestFit="1" customWidth="1"/>
    <col min="4" max="4" width="8.75" bestFit="1" customWidth="1"/>
    <col min="5" max="5" width="16.125" customWidth="1"/>
    <col min="6" max="6" width="9.75" customWidth="1"/>
    <col min="7" max="7" width="6.375" customWidth="1"/>
    <col min="8" max="8" width="7.5" bestFit="1" customWidth="1"/>
    <col min="9" max="9" width="8.75" hidden="1" customWidth="1"/>
    <col min="10" max="10" width="7.625" customWidth="1"/>
    <col min="11" max="11" width="9.75" customWidth="1"/>
    <col min="12" max="12" width="10.125" customWidth="1"/>
    <col min="13" max="13" width="10.5" customWidth="1"/>
    <col min="14" max="14" width="8.5" customWidth="1"/>
    <col min="15" max="15" width="10.125" customWidth="1"/>
    <col min="16" max="18" width="8.375" bestFit="1" customWidth="1"/>
    <col min="19" max="19" width="9" bestFit="1" customWidth="1"/>
    <col min="20" max="21" width="9.25" customWidth="1"/>
  </cols>
  <sheetData>
    <row r="1" spans="1:30">
      <c r="C1" t="s">
        <v>359</v>
      </c>
      <c r="D1" s="90" t="s">
        <v>397</v>
      </c>
    </row>
    <row r="2" spans="1:30">
      <c r="C2" t="s">
        <v>360</v>
      </c>
      <c r="D2" s="90" t="s">
        <v>400</v>
      </c>
    </row>
    <row r="3" spans="1:30">
      <c r="C3" t="s">
        <v>361</v>
      </c>
      <c r="D3" s="90" t="s">
        <v>381</v>
      </c>
    </row>
    <row r="4" spans="1:30" ht="15">
      <c r="F4" s="50" t="s">
        <v>115</v>
      </c>
      <c r="G4" s="50"/>
      <c r="H4" s="50"/>
      <c r="I4" s="50"/>
    </row>
    <row r="5" spans="1:30" ht="60">
      <c r="C5" s="48" t="s">
        <v>268</v>
      </c>
      <c r="F5" s="25">
        <v>2017</v>
      </c>
      <c r="G5" s="145" t="str">
        <f>F5&amp;" Stock Price"</f>
        <v>2017 Stock Price</v>
      </c>
      <c r="H5" s="145"/>
      <c r="I5" s="145"/>
      <c r="J5" s="48" t="str">
        <f>$F$5&amp;CHAR(10)&amp;"Cash Flow"&amp;CHAR(10)&amp;"/Share"</f>
        <v>2017
Cash Flow
/Share</v>
      </c>
      <c r="K5" s="48" t="str">
        <f>$F$5&amp;CHAR(10)&amp;"Earnings"&amp;CHAR(10)&amp;"/Share"</f>
        <v>2017
Earnings
/Share</v>
      </c>
      <c r="L5" s="48" t="str">
        <f>$F$5&amp;CHAR(10)&amp;"Div'd Decl'd"&amp;CHAR(10)&amp;"/Share"</f>
        <v>2017
Div'd Decl'd
/Share</v>
      </c>
      <c r="M5" s="48" t="str">
        <f>$F$5&amp;CHAR(10)&amp;"Cap'l Spending"&amp;CHAR(10)&amp;"/Share"</f>
        <v>2017
Cap'l Spending
/Share</v>
      </c>
      <c r="N5" s="48" t="str">
        <f>$F$5&amp;CHAR(10)&amp;"Book Value"&amp;CHAR(10)&amp;"/Share"</f>
        <v>2017
Book Value
/Share</v>
      </c>
      <c r="O5" s="74" t="s">
        <v>326</v>
      </c>
      <c r="P5" s="25">
        <f>F5</f>
        <v>2017</v>
      </c>
      <c r="Q5" s="25">
        <f>$F$5</f>
        <v>2017</v>
      </c>
      <c r="R5" s="25">
        <f t="shared" ref="R5:U5" si="0">$F$5</f>
        <v>2017</v>
      </c>
      <c r="S5" s="25">
        <f t="shared" si="0"/>
        <v>2017</v>
      </c>
      <c r="T5" s="25">
        <f t="shared" si="0"/>
        <v>2017</v>
      </c>
      <c r="U5" s="100">
        <f t="shared" si="0"/>
        <v>2017</v>
      </c>
    </row>
    <row r="6" spans="1:30" ht="30.75" thickBot="1">
      <c r="F6" s="24" t="s">
        <v>113</v>
      </c>
      <c r="G6" s="24" t="s">
        <v>110</v>
      </c>
      <c r="H6" s="24" t="s">
        <v>111</v>
      </c>
      <c r="I6" s="24" t="s">
        <v>112</v>
      </c>
      <c r="J6" s="49"/>
      <c r="K6" s="49"/>
      <c r="L6" s="49"/>
      <c r="M6" s="49"/>
      <c r="N6" s="49"/>
      <c r="O6" s="49"/>
      <c r="P6" s="24" t="s">
        <v>114</v>
      </c>
      <c r="Q6" s="24" t="s">
        <v>245</v>
      </c>
      <c r="R6" s="24" t="s">
        <v>357</v>
      </c>
      <c r="S6" s="24" t="s">
        <v>327</v>
      </c>
      <c r="T6" s="86" t="s">
        <v>328</v>
      </c>
      <c r="U6" s="24" t="s">
        <v>357</v>
      </c>
      <c r="W6" s="24" t="s">
        <v>351</v>
      </c>
    </row>
    <row r="7" spans="1:30" ht="15" customHeight="1">
      <c r="F7" s="40" t="s">
        <v>116</v>
      </c>
      <c r="G7" s="40" t="s">
        <v>116</v>
      </c>
      <c r="H7" s="40" t="s">
        <v>116</v>
      </c>
      <c r="J7" s="40" t="s">
        <v>116</v>
      </c>
      <c r="K7" s="40" t="s">
        <v>116</v>
      </c>
      <c r="L7" s="40" t="s">
        <v>116</v>
      </c>
      <c r="M7" s="40" t="s">
        <v>116</v>
      </c>
      <c r="N7" s="40" t="s">
        <v>116</v>
      </c>
      <c r="O7" s="40" t="s">
        <v>116</v>
      </c>
      <c r="S7" s="40"/>
    </row>
    <row r="8" spans="1:30">
      <c r="D8" s="54">
        <v>1</v>
      </c>
      <c r="E8" s="54">
        <v>2</v>
      </c>
      <c r="F8" s="54">
        <v>3</v>
      </c>
      <c r="G8" s="54">
        <v>4</v>
      </c>
      <c r="H8" s="54">
        <v>5</v>
      </c>
      <c r="I8" s="54">
        <v>6</v>
      </c>
      <c r="J8" s="54">
        <v>7</v>
      </c>
      <c r="K8" s="54">
        <v>8</v>
      </c>
      <c r="L8" s="54">
        <v>9</v>
      </c>
      <c r="M8" s="54">
        <v>10</v>
      </c>
      <c r="N8" s="54">
        <v>11</v>
      </c>
      <c r="O8" s="54">
        <v>12</v>
      </c>
      <c r="P8" s="54">
        <v>13</v>
      </c>
      <c r="Q8" s="54">
        <v>14</v>
      </c>
      <c r="R8" s="54">
        <v>15</v>
      </c>
      <c r="S8" s="54">
        <v>16</v>
      </c>
      <c r="T8" s="54">
        <v>17</v>
      </c>
      <c r="U8" s="54">
        <v>18</v>
      </c>
    </row>
    <row r="9" spans="1:30">
      <c r="A9">
        <f>IF(OR(B9="E",B9="N"),1,"")</f>
        <v>1</v>
      </c>
      <c r="B9" t="str">
        <f>LEFT(C9,1)</f>
        <v>E</v>
      </c>
      <c r="C9" t="s">
        <v>350</v>
      </c>
      <c r="D9" s="13" t="s">
        <v>0</v>
      </c>
      <c r="E9" t="str">
        <f>VLOOKUP(D9,'MP-CF (WP)'!$B$4:$U$81,2,FALSE)</f>
        <v xml:space="preserve">ALLETE                        </v>
      </c>
      <c r="F9" s="66">
        <v>23.4</v>
      </c>
      <c r="G9" s="66">
        <v>78.099999999999994</v>
      </c>
      <c r="H9" s="66">
        <v>61.6</v>
      </c>
      <c r="I9" s="2">
        <f t="shared" ref="I9:I31" si="1">IFERROR(AVERAGE(G9:H9),"")</f>
        <v>69.849999999999994</v>
      </c>
      <c r="J9" s="67">
        <v>7.3</v>
      </c>
      <c r="K9" s="67">
        <v>3.3</v>
      </c>
      <c r="L9" s="67">
        <v>2.14</v>
      </c>
      <c r="M9" s="67">
        <v>4.5999999999999996</v>
      </c>
      <c r="N9" s="67">
        <v>39.85</v>
      </c>
      <c r="O9" s="75">
        <v>42993</v>
      </c>
      <c r="P9" s="2">
        <f>IFERROR(I9/J9,"")</f>
        <v>9.5684931506849313</v>
      </c>
      <c r="Q9" s="53">
        <f>IFERROR(I9/N9,"")</f>
        <v>1.7528230865746548</v>
      </c>
      <c r="R9" s="87">
        <f>IFERROR(L9/N9,"")</f>
        <v>5.3701380175658724E-2</v>
      </c>
      <c r="S9" s="53">
        <f>IFERROR(L9/K9,"")</f>
        <v>0.64848484848484855</v>
      </c>
      <c r="T9" s="53">
        <f>IFERROR(J9/M9,"")</f>
        <v>1.5869565217391306</v>
      </c>
      <c r="U9" s="87">
        <f>IFERROR(L9/I9,"")</f>
        <v>3.0637079455977097E-2</v>
      </c>
      <c r="W9" s="33">
        <f>ABS(SUM(F9:H9,J9:N9))</f>
        <v>220.29</v>
      </c>
    </row>
    <row r="10" spans="1:30">
      <c r="A10">
        <f t="shared" ref="A10:A72" si="2">IF(OR(B10="E",B10="N"),1,"")</f>
        <v>1</v>
      </c>
      <c r="B10" t="str">
        <f t="shared" ref="B10:B72" si="3">LEFT(C10,1)</f>
        <v>E</v>
      </c>
      <c r="C10" t="s">
        <v>350</v>
      </c>
      <c r="D10" s="13" t="s">
        <v>1</v>
      </c>
      <c r="E10" t="str">
        <f>VLOOKUP(D10,'MP-CF (WP)'!$B$4:$U$81,2,FALSE)</f>
        <v xml:space="preserve">Alliant Energy                </v>
      </c>
      <c r="F10" s="66">
        <v>21.1</v>
      </c>
      <c r="G10" s="66">
        <v>43.2</v>
      </c>
      <c r="H10" s="66">
        <v>36.6</v>
      </c>
      <c r="I10" s="2">
        <f t="shared" si="1"/>
        <v>39.900000000000006</v>
      </c>
      <c r="J10" s="67">
        <v>4</v>
      </c>
      <c r="K10" s="67">
        <v>2</v>
      </c>
      <c r="L10" s="67">
        <v>1.26</v>
      </c>
      <c r="M10" s="67">
        <v>6.1</v>
      </c>
      <c r="N10" s="67">
        <v>17.45</v>
      </c>
      <c r="O10" s="75">
        <v>42993</v>
      </c>
      <c r="P10" s="2">
        <f>IFERROR(I10/J10,"")</f>
        <v>9.9750000000000014</v>
      </c>
      <c r="Q10" s="53">
        <f t="shared" ref="Q10:Q72" si="4">IFERROR(I10/N10,"")</f>
        <v>2.2865329512893986</v>
      </c>
      <c r="R10" s="87">
        <f t="shared" ref="R10:R72" si="5">IFERROR(L10/N10,"")</f>
        <v>7.2206303724928367E-2</v>
      </c>
      <c r="S10" s="53">
        <f t="shared" ref="S10:S72" si="6">IFERROR(L10/K10,"")</f>
        <v>0.63</v>
      </c>
      <c r="T10" s="53">
        <f t="shared" ref="T10:T72" si="7">IFERROR(J10/M10,"")</f>
        <v>0.65573770491803285</v>
      </c>
      <c r="U10" s="87">
        <f t="shared" ref="U10:U72" si="8">IFERROR(L10/I10,"")</f>
        <v>3.1578947368421047E-2</v>
      </c>
      <c r="W10" s="33">
        <f t="shared" ref="W10:W72" si="9">ABS(SUM(F10:H10,J10:N10))</f>
        <v>131.71</v>
      </c>
      <c r="X10" s="2"/>
      <c r="AD10" s="26"/>
    </row>
    <row r="11" spans="1:30">
      <c r="A11" t="str">
        <f t="shared" si="2"/>
        <v/>
      </c>
      <c r="B11" t="str">
        <f t="shared" si="3"/>
        <v>W</v>
      </c>
      <c r="C11" t="s">
        <v>271</v>
      </c>
      <c r="D11" s="13" t="s">
        <v>165</v>
      </c>
      <c r="E11" t="str">
        <f ca="1">INDEX(nameLU,MATCH(D11,tickerLU,0))</f>
        <v>Amer. States Water</v>
      </c>
      <c r="F11" s="66">
        <v>28.1</v>
      </c>
      <c r="G11" s="66">
        <v>50.9</v>
      </c>
      <c r="H11" s="66">
        <v>41.1</v>
      </c>
      <c r="I11" s="2">
        <f t="shared" si="1"/>
        <v>46</v>
      </c>
      <c r="J11" s="67">
        <v>2.85</v>
      </c>
      <c r="K11" s="67">
        <v>1.7</v>
      </c>
      <c r="L11" s="67">
        <v>0.98</v>
      </c>
      <c r="M11" s="67">
        <v>3.15</v>
      </c>
      <c r="N11" s="67">
        <v>14.2</v>
      </c>
      <c r="O11" s="75">
        <v>42930</v>
      </c>
      <c r="P11" s="2">
        <f t="shared" ref="P11:P72" si="10">IFERROR(I11/J11,"")</f>
        <v>16.140350877192983</v>
      </c>
      <c r="Q11" s="53">
        <f t="shared" si="4"/>
        <v>3.23943661971831</v>
      </c>
      <c r="R11" s="87">
        <f t="shared" si="5"/>
        <v>6.9014084507042259E-2</v>
      </c>
      <c r="S11" s="53">
        <f t="shared" si="6"/>
        <v>0.57647058823529407</v>
      </c>
      <c r="T11" s="53">
        <f t="shared" si="7"/>
        <v>0.90476190476190477</v>
      </c>
      <c r="U11" s="87">
        <f t="shared" si="8"/>
        <v>2.1304347826086957E-2</v>
      </c>
      <c r="W11" s="33">
        <f t="shared" si="9"/>
        <v>142.97999999999999</v>
      </c>
      <c r="X11" s="2"/>
      <c r="AD11" s="26"/>
    </row>
    <row r="12" spans="1:30">
      <c r="A12" t="str">
        <f t="shared" si="2"/>
        <v/>
      </c>
      <c r="B12" t="str">
        <f t="shared" si="3"/>
        <v>W</v>
      </c>
      <c r="C12" t="s">
        <v>271</v>
      </c>
      <c r="D12" s="13" t="s">
        <v>167</v>
      </c>
      <c r="E12" t="str">
        <f ca="1">INDEX(nameLU,MATCH(D12,tickerLU,0))</f>
        <v>Amer. Water Works</v>
      </c>
      <c r="F12" s="66">
        <v>25.6</v>
      </c>
      <c r="G12" s="66">
        <v>82.9</v>
      </c>
      <c r="H12" s="66">
        <v>70</v>
      </c>
      <c r="I12" s="2">
        <f t="shared" si="1"/>
        <v>76.45</v>
      </c>
      <c r="J12" s="67">
        <v>5.85</v>
      </c>
      <c r="K12" s="67">
        <v>3.05</v>
      </c>
      <c r="L12" s="67">
        <v>1.61</v>
      </c>
      <c r="M12" s="67">
        <v>6.75</v>
      </c>
      <c r="N12" s="67">
        <v>30.8</v>
      </c>
      <c r="O12" s="75">
        <v>42930</v>
      </c>
      <c r="P12" s="2">
        <f t="shared" si="10"/>
        <v>13.06837606837607</v>
      </c>
      <c r="Q12" s="53">
        <f t="shared" si="4"/>
        <v>2.4821428571428572</v>
      </c>
      <c r="R12" s="87">
        <f t="shared" si="5"/>
        <v>5.2272727272727276E-2</v>
      </c>
      <c r="S12" s="53">
        <f t="shared" si="6"/>
        <v>0.52786885245901649</v>
      </c>
      <c r="T12" s="53">
        <f t="shared" si="7"/>
        <v>0.86666666666666659</v>
      </c>
      <c r="U12" s="87">
        <f t="shared" si="8"/>
        <v>2.1059516023544802E-2</v>
      </c>
      <c r="W12" s="33">
        <f t="shared" si="9"/>
        <v>226.56000000000003</v>
      </c>
      <c r="X12" s="2"/>
      <c r="AD12" s="26"/>
    </row>
    <row r="13" spans="1:30">
      <c r="A13">
        <f t="shared" si="2"/>
        <v>1</v>
      </c>
      <c r="B13" t="str">
        <f t="shared" si="3"/>
        <v>E</v>
      </c>
      <c r="C13" t="s">
        <v>350</v>
      </c>
      <c r="D13" s="13" t="s">
        <v>3</v>
      </c>
      <c r="E13" t="str">
        <f>VLOOKUP(D13,'MP-CF (WP)'!$B$4:$U$81,2,FALSE)</f>
        <v xml:space="preserve">Ameren Corp.                  </v>
      </c>
      <c r="F13" s="66">
        <v>20.8</v>
      </c>
      <c r="G13" s="66">
        <v>60.8</v>
      </c>
      <c r="H13" s="66">
        <v>51.4</v>
      </c>
      <c r="I13" s="2">
        <f t="shared" si="1"/>
        <v>56.099999999999994</v>
      </c>
      <c r="J13" s="67">
        <v>6.95</v>
      </c>
      <c r="K13" s="67">
        <v>2.8</v>
      </c>
      <c r="L13" s="67">
        <v>1.78</v>
      </c>
      <c r="M13" s="67">
        <v>9.15</v>
      </c>
      <c r="N13" s="67">
        <v>30.3</v>
      </c>
      <c r="O13" s="75">
        <v>42993</v>
      </c>
      <c r="P13" s="2">
        <f t="shared" si="10"/>
        <v>8.071942446043165</v>
      </c>
      <c r="Q13" s="53">
        <f t="shared" si="4"/>
        <v>1.8514851485148514</v>
      </c>
      <c r="R13" s="87">
        <f t="shared" si="5"/>
        <v>5.8745874587458745E-2</v>
      </c>
      <c r="S13" s="53">
        <f t="shared" si="6"/>
        <v>0.63571428571428579</v>
      </c>
      <c r="T13" s="53">
        <f t="shared" si="7"/>
        <v>0.7595628415300546</v>
      </c>
      <c r="U13" s="87">
        <f t="shared" si="8"/>
        <v>3.1729055258467025E-2</v>
      </c>
      <c r="W13" s="33">
        <f t="shared" si="9"/>
        <v>183.98000000000002</v>
      </c>
      <c r="X13" s="2"/>
      <c r="AD13" s="26"/>
    </row>
    <row r="14" spans="1:30">
      <c r="A14">
        <f t="shared" si="2"/>
        <v>1</v>
      </c>
      <c r="B14" t="str">
        <f t="shared" si="3"/>
        <v>E</v>
      </c>
      <c r="C14" t="s">
        <v>350</v>
      </c>
      <c r="D14" s="13" t="s">
        <v>2</v>
      </c>
      <c r="E14" t="str">
        <f>VLOOKUP(D14,'MP-CF (WP)'!$B$4:$U$81,2,FALSE)</f>
        <v>American Electric Power</v>
      </c>
      <c r="F14" s="66">
        <v>19.5</v>
      </c>
      <c r="G14" s="66">
        <v>74.3</v>
      </c>
      <c r="H14" s="66">
        <v>61.8</v>
      </c>
      <c r="I14" s="2">
        <f t="shared" si="1"/>
        <v>68.05</v>
      </c>
      <c r="J14" s="67">
        <v>7.95</v>
      </c>
      <c r="K14" s="67">
        <v>3.65</v>
      </c>
      <c r="L14" s="67">
        <v>2.39</v>
      </c>
      <c r="M14" s="67">
        <v>11.9</v>
      </c>
      <c r="N14" s="67">
        <v>36.85</v>
      </c>
      <c r="O14" s="75">
        <v>42993</v>
      </c>
      <c r="P14" s="2">
        <f t="shared" si="10"/>
        <v>8.5597484276729556</v>
      </c>
      <c r="Q14" s="53">
        <f t="shared" si="4"/>
        <v>1.8466757123473541</v>
      </c>
      <c r="R14" s="87">
        <f t="shared" si="5"/>
        <v>6.4857530529172328E-2</v>
      </c>
      <c r="S14" s="53">
        <f t="shared" si="6"/>
        <v>0.65479452054794529</v>
      </c>
      <c r="T14" s="53">
        <f t="shared" si="7"/>
        <v>0.66806722689075626</v>
      </c>
      <c r="U14" s="87">
        <f t="shared" si="8"/>
        <v>3.5121234386480529E-2</v>
      </c>
      <c r="W14" s="33">
        <f t="shared" si="9"/>
        <v>218.33999999999997</v>
      </c>
      <c r="X14" s="2"/>
      <c r="AD14" s="26"/>
    </row>
    <row r="15" spans="1:30">
      <c r="A15" t="str">
        <f t="shared" si="2"/>
        <v/>
      </c>
      <c r="B15" t="str">
        <f t="shared" si="3"/>
        <v>W</v>
      </c>
      <c r="C15" t="s">
        <v>271</v>
      </c>
      <c r="D15" s="13" t="s">
        <v>171</v>
      </c>
      <c r="E15" t="str">
        <f ca="1">INDEX(nameLU,MATCH(D15,tickerLU,0))</f>
        <v>Aqua America</v>
      </c>
      <c r="F15" s="66">
        <v>23.9</v>
      </c>
      <c r="G15" s="66">
        <v>34.4</v>
      </c>
      <c r="H15" s="66">
        <v>29.4</v>
      </c>
      <c r="I15" s="2">
        <f t="shared" si="1"/>
        <v>31.9</v>
      </c>
      <c r="J15" s="67">
        <v>2.15</v>
      </c>
      <c r="K15" s="67">
        <v>1.38</v>
      </c>
      <c r="L15" s="67">
        <v>0.8</v>
      </c>
      <c r="M15" s="67">
        <v>2.0499999999999998</v>
      </c>
      <c r="N15" s="67">
        <v>11.1</v>
      </c>
      <c r="O15" s="75">
        <v>42930</v>
      </c>
      <c r="P15" s="2">
        <f t="shared" si="10"/>
        <v>14.837209302325581</v>
      </c>
      <c r="Q15" s="53">
        <f t="shared" si="4"/>
        <v>2.8738738738738738</v>
      </c>
      <c r="R15" s="87">
        <f t="shared" si="5"/>
        <v>7.2072072072072071E-2</v>
      </c>
      <c r="S15" s="53">
        <f t="shared" si="6"/>
        <v>0.57971014492753636</v>
      </c>
      <c r="T15" s="53">
        <f t="shared" si="7"/>
        <v>1.0487804878048781</v>
      </c>
      <c r="U15" s="87">
        <f t="shared" si="8"/>
        <v>2.5078369905956115E-2</v>
      </c>
      <c r="W15" s="33">
        <f t="shared" si="9"/>
        <v>105.17999999999998</v>
      </c>
      <c r="X15" s="2"/>
      <c r="AD15" s="26"/>
    </row>
    <row r="16" spans="1:30">
      <c r="A16">
        <f t="shared" si="2"/>
        <v>1</v>
      </c>
      <c r="B16" t="str">
        <f t="shared" si="3"/>
        <v>N</v>
      </c>
      <c r="C16" t="s">
        <v>272</v>
      </c>
      <c r="D16" s="13" t="s">
        <v>175</v>
      </c>
      <c r="E16" t="str">
        <f ca="1">INDEX(OFFSET(CashFlow,0,-1,,1),MATCH(D16,OFFSET(CashFlow,0,0,,1),0))</f>
        <v>Atmos Energy</v>
      </c>
      <c r="F16" s="66">
        <v>24.2</v>
      </c>
      <c r="G16" s="66">
        <v>88.7</v>
      </c>
      <c r="H16" s="66">
        <v>72.5</v>
      </c>
      <c r="I16" s="2">
        <f t="shared" si="1"/>
        <v>80.599999999999994</v>
      </c>
      <c r="J16" s="67">
        <v>6.5</v>
      </c>
      <c r="K16" s="67">
        <v>3.6</v>
      </c>
      <c r="L16" s="67">
        <v>1.8</v>
      </c>
      <c r="M16" s="67">
        <v>11</v>
      </c>
      <c r="N16" s="67">
        <v>36.65</v>
      </c>
      <c r="O16" s="75">
        <v>42979</v>
      </c>
      <c r="P16" s="2">
        <f t="shared" si="10"/>
        <v>12.399999999999999</v>
      </c>
      <c r="Q16" s="53">
        <f t="shared" si="4"/>
        <v>2.1991814461118691</v>
      </c>
      <c r="R16" s="87">
        <f t="shared" si="5"/>
        <v>4.9113233287858118E-2</v>
      </c>
      <c r="S16" s="53">
        <f t="shared" si="6"/>
        <v>0.5</v>
      </c>
      <c r="T16" s="53">
        <f t="shared" si="7"/>
        <v>0.59090909090909094</v>
      </c>
      <c r="U16" s="87">
        <f t="shared" si="8"/>
        <v>2.2332506203473948E-2</v>
      </c>
      <c r="W16" s="33">
        <f t="shared" si="9"/>
        <v>244.95000000000002</v>
      </c>
      <c r="X16" s="2"/>
      <c r="AD16" s="26"/>
    </row>
    <row r="17" spans="1:30">
      <c r="A17">
        <f t="shared" si="2"/>
        <v>1</v>
      </c>
      <c r="B17" t="str">
        <f t="shared" si="3"/>
        <v>E</v>
      </c>
      <c r="C17" t="s">
        <v>269</v>
      </c>
      <c r="D17" s="13" t="s">
        <v>261</v>
      </c>
      <c r="E17" t="str">
        <f>VLOOKUP(D17,'MP-CF (WP)'!$B$4:$U$81,2,FALSE)</f>
        <v>Avangrid, Inc.</v>
      </c>
      <c r="F17" s="66">
        <v>21</v>
      </c>
      <c r="G17" s="66">
        <v>47</v>
      </c>
      <c r="H17" s="66">
        <v>37.4</v>
      </c>
      <c r="I17" s="2">
        <f t="shared" si="1"/>
        <v>42.2</v>
      </c>
      <c r="J17" s="67">
        <v>4.95</v>
      </c>
      <c r="K17" s="67">
        <v>2.15</v>
      </c>
      <c r="L17" s="67">
        <v>1.73</v>
      </c>
      <c r="M17" s="67">
        <v>6.8</v>
      </c>
      <c r="N17" s="67">
        <v>49.35</v>
      </c>
      <c r="O17" s="75">
        <v>42965</v>
      </c>
      <c r="P17" s="2">
        <f t="shared" si="10"/>
        <v>8.525252525252526</v>
      </c>
      <c r="Q17" s="53">
        <f t="shared" si="4"/>
        <v>0.85511651469098282</v>
      </c>
      <c r="R17" s="87">
        <f t="shared" si="5"/>
        <v>3.5055724417426541E-2</v>
      </c>
      <c r="S17" s="53">
        <f t="shared" si="6"/>
        <v>0.8046511627906977</v>
      </c>
      <c r="T17" s="53">
        <f t="shared" si="7"/>
        <v>0.72794117647058831</v>
      </c>
      <c r="U17" s="87">
        <f t="shared" si="8"/>
        <v>4.0995260663507109E-2</v>
      </c>
      <c r="W17" s="33">
        <f t="shared" si="9"/>
        <v>170.38000000000002</v>
      </c>
    </row>
    <row r="18" spans="1:30">
      <c r="A18">
        <f t="shared" si="2"/>
        <v>1</v>
      </c>
      <c r="B18" t="str">
        <f t="shared" si="3"/>
        <v>E</v>
      </c>
      <c r="C18" t="s">
        <v>270</v>
      </c>
      <c r="D18" s="13" t="s">
        <v>4</v>
      </c>
      <c r="E18" t="str">
        <f>VLOOKUP(D18,'MP-CF (WP)'!$B$4:$U$81,2,FALSE)</f>
        <v xml:space="preserve">Avista Corp.                  </v>
      </c>
      <c r="F18" s="66">
        <v>25.5</v>
      </c>
      <c r="G18" s="66">
        <v>44.4</v>
      </c>
      <c r="H18" s="66">
        <v>37.799999999999997</v>
      </c>
      <c r="I18" s="2">
        <f t="shared" si="1"/>
        <v>41.099999999999994</v>
      </c>
      <c r="J18" s="67">
        <v>5.25</v>
      </c>
      <c r="K18" s="67">
        <v>2</v>
      </c>
      <c r="L18" s="67">
        <v>1.43</v>
      </c>
      <c r="M18" s="67">
        <v>6.25</v>
      </c>
      <c r="N18" s="67">
        <v>26.6</v>
      </c>
      <c r="O18" s="75">
        <v>42944</v>
      </c>
      <c r="P18" s="2">
        <f t="shared" si="10"/>
        <v>7.8285714285714274</v>
      </c>
      <c r="Q18" s="53">
        <f t="shared" si="4"/>
        <v>1.5451127819548869</v>
      </c>
      <c r="R18" s="87">
        <f t="shared" si="5"/>
        <v>5.3759398496240597E-2</v>
      </c>
      <c r="S18" s="53">
        <f t="shared" si="6"/>
        <v>0.71499999999999997</v>
      </c>
      <c r="T18" s="53">
        <f t="shared" si="7"/>
        <v>0.84</v>
      </c>
      <c r="U18" s="87">
        <f t="shared" si="8"/>
        <v>3.4793187347931874E-2</v>
      </c>
      <c r="W18" s="33">
        <f t="shared" si="9"/>
        <v>149.23000000000002</v>
      </c>
    </row>
    <row r="19" spans="1:30">
      <c r="A19">
        <f t="shared" si="2"/>
        <v>1</v>
      </c>
      <c r="B19" t="str">
        <f t="shared" si="3"/>
        <v>E</v>
      </c>
      <c r="C19" t="s">
        <v>270</v>
      </c>
      <c r="D19" s="13" t="s">
        <v>5</v>
      </c>
      <c r="E19" t="str">
        <f>VLOOKUP(D19,'MP-CF (WP)'!$B$4:$U$81,2,FALSE)</f>
        <v xml:space="preserve">Black Hills                   </v>
      </c>
      <c r="F19" s="66">
        <v>19.3</v>
      </c>
      <c r="G19" s="66">
        <v>72</v>
      </c>
      <c r="H19" s="66">
        <v>60</v>
      </c>
      <c r="I19" s="2">
        <f t="shared" si="1"/>
        <v>66</v>
      </c>
      <c r="J19" s="67">
        <v>7.35</v>
      </c>
      <c r="K19" s="67">
        <v>3.55</v>
      </c>
      <c r="L19" s="67">
        <v>1.78</v>
      </c>
      <c r="M19" s="67">
        <v>5.85</v>
      </c>
      <c r="N19" s="67">
        <v>31.85</v>
      </c>
      <c r="O19" s="75">
        <v>42944</v>
      </c>
      <c r="P19" s="2">
        <f t="shared" si="10"/>
        <v>8.979591836734695</v>
      </c>
      <c r="Q19" s="53">
        <f t="shared" si="4"/>
        <v>2.0722135007849292</v>
      </c>
      <c r="R19" s="87">
        <f t="shared" si="5"/>
        <v>5.5886970172684458E-2</v>
      </c>
      <c r="S19" s="53">
        <f t="shared" si="6"/>
        <v>0.50140845070422535</v>
      </c>
      <c r="T19" s="53">
        <f t="shared" si="7"/>
        <v>1.2564102564102564</v>
      </c>
      <c r="U19" s="87">
        <f t="shared" si="8"/>
        <v>2.696969696969697E-2</v>
      </c>
      <c r="W19" s="33">
        <f t="shared" si="9"/>
        <v>201.68</v>
      </c>
    </row>
    <row r="20" spans="1:30">
      <c r="A20" t="str">
        <f t="shared" si="2"/>
        <v/>
      </c>
      <c r="B20" t="str">
        <f t="shared" si="3"/>
        <v>W</v>
      </c>
      <c r="C20" t="s">
        <v>271</v>
      </c>
      <c r="D20" s="13" t="s">
        <v>177</v>
      </c>
      <c r="E20" t="str">
        <f ca="1">INDEX(nameLU,MATCH(D20,tickerLU,0))</f>
        <v>California Water</v>
      </c>
      <c r="F20" s="66">
        <v>27.3</v>
      </c>
      <c r="G20" s="66">
        <v>39.4</v>
      </c>
      <c r="H20" s="66">
        <v>32.4</v>
      </c>
      <c r="I20" s="2">
        <f t="shared" si="1"/>
        <v>35.9</v>
      </c>
      <c r="J20" s="67">
        <v>2.65</v>
      </c>
      <c r="K20" s="67">
        <v>1.35</v>
      </c>
      <c r="L20" s="67">
        <v>0.72</v>
      </c>
      <c r="M20" s="67">
        <v>3.85</v>
      </c>
      <c r="N20" s="67">
        <v>14.2</v>
      </c>
      <c r="O20" s="75">
        <v>42930</v>
      </c>
      <c r="P20" s="2">
        <f t="shared" si="10"/>
        <v>13.547169811320755</v>
      </c>
      <c r="Q20" s="53">
        <f t="shared" si="4"/>
        <v>2.528169014084507</v>
      </c>
      <c r="R20" s="87">
        <f t="shared" si="5"/>
        <v>5.0704225352112678E-2</v>
      </c>
      <c r="S20" s="53">
        <f t="shared" si="6"/>
        <v>0.53333333333333333</v>
      </c>
      <c r="T20" s="53">
        <f t="shared" si="7"/>
        <v>0.68831168831168832</v>
      </c>
      <c r="U20" s="87">
        <f t="shared" si="8"/>
        <v>2.0055710306406686E-2</v>
      </c>
      <c r="W20" s="33">
        <f t="shared" si="9"/>
        <v>121.86999999999999</v>
      </c>
    </row>
    <row r="21" spans="1:30">
      <c r="A21">
        <f t="shared" si="2"/>
        <v>1</v>
      </c>
      <c r="B21" t="str">
        <f t="shared" si="3"/>
        <v>E</v>
      </c>
      <c r="C21" t="s">
        <v>350</v>
      </c>
      <c r="D21" s="13" t="s">
        <v>6</v>
      </c>
      <c r="E21" t="str">
        <f>VLOOKUP(D21,'MP-CF (WP)'!$B$4:$U$81,2,FALSE)</f>
        <v xml:space="preserve">CenterPoint Energy            </v>
      </c>
      <c r="F21" s="66">
        <v>21.9</v>
      </c>
      <c r="G21" s="66">
        <v>30.1</v>
      </c>
      <c r="H21" s="66">
        <v>24.5</v>
      </c>
      <c r="I21" s="2">
        <f t="shared" si="1"/>
        <v>27.3</v>
      </c>
      <c r="J21" s="67">
        <v>3.9</v>
      </c>
      <c r="K21" s="67">
        <v>1.4</v>
      </c>
      <c r="L21" s="67">
        <v>1.07</v>
      </c>
      <c r="M21" s="67">
        <v>3.5</v>
      </c>
      <c r="N21" s="67">
        <v>8.35</v>
      </c>
      <c r="O21" s="75">
        <v>42993</v>
      </c>
      <c r="P21" s="2">
        <f t="shared" si="10"/>
        <v>7</v>
      </c>
      <c r="Q21" s="53">
        <f t="shared" si="4"/>
        <v>3.2694610778443116</v>
      </c>
      <c r="R21" s="87">
        <f t="shared" si="5"/>
        <v>0.1281437125748503</v>
      </c>
      <c r="S21" s="53">
        <f t="shared" si="6"/>
        <v>0.76428571428571435</v>
      </c>
      <c r="T21" s="53">
        <f t="shared" si="7"/>
        <v>1.1142857142857143</v>
      </c>
      <c r="U21" s="87">
        <f t="shared" si="8"/>
        <v>3.9194139194139194E-2</v>
      </c>
      <c r="W21" s="33">
        <f t="shared" si="9"/>
        <v>94.72</v>
      </c>
    </row>
    <row r="22" spans="1:30">
      <c r="A22">
        <f t="shared" si="2"/>
        <v>1</v>
      </c>
      <c r="B22" t="str">
        <f t="shared" si="3"/>
        <v>N</v>
      </c>
      <c r="C22" t="s">
        <v>272</v>
      </c>
      <c r="D22" s="13" t="s">
        <v>178</v>
      </c>
      <c r="E22" t="str">
        <f ca="1">INDEX(OFFSET(CashFlow,0,-1,,1),MATCH(D22,OFFSET(CashFlow,0,0,,1),0))</f>
        <v>Chesapeake Utilities</v>
      </c>
      <c r="F22" s="66">
        <v>28.9</v>
      </c>
      <c r="G22" s="66">
        <v>80.3</v>
      </c>
      <c r="H22" s="66">
        <v>63</v>
      </c>
      <c r="I22" s="2">
        <f t="shared" si="1"/>
        <v>71.650000000000006</v>
      </c>
      <c r="J22" s="67">
        <v>4.7</v>
      </c>
      <c r="K22" s="67">
        <v>2.5499999999999998</v>
      </c>
      <c r="L22" s="67">
        <v>1.26</v>
      </c>
      <c r="M22" s="67">
        <v>10.3</v>
      </c>
      <c r="N22" s="67">
        <v>29.7</v>
      </c>
      <c r="O22" s="75">
        <v>42979</v>
      </c>
      <c r="P22" s="2">
        <f t="shared" si="10"/>
        <v>15.24468085106383</v>
      </c>
      <c r="Q22" s="53">
        <f t="shared" si="4"/>
        <v>2.4124579124579126</v>
      </c>
      <c r="R22" s="87">
        <f t="shared" si="5"/>
        <v>4.2424242424242427E-2</v>
      </c>
      <c r="S22" s="53">
        <f t="shared" si="6"/>
        <v>0.49411764705882355</v>
      </c>
      <c r="T22" s="53">
        <f t="shared" si="7"/>
        <v>0.45631067961165045</v>
      </c>
      <c r="U22" s="87">
        <f t="shared" si="8"/>
        <v>1.7585484996510817E-2</v>
      </c>
      <c r="W22" s="33">
        <f t="shared" si="9"/>
        <v>220.70999999999998</v>
      </c>
    </row>
    <row r="23" spans="1:30">
      <c r="A23">
        <f t="shared" si="2"/>
        <v>1</v>
      </c>
      <c r="B23" t="str">
        <f t="shared" si="3"/>
        <v>E</v>
      </c>
      <c r="C23" t="s">
        <v>350</v>
      </c>
      <c r="D23" s="13" t="s">
        <v>9</v>
      </c>
      <c r="E23" t="str">
        <f>VLOOKUP(D23,'MP-CF (WP)'!$B$4:$U$81,2,FALSE)</f>
        <v xml:space="preserve">CMS Energy Corp.              </v>
      </c>
      <c r="F23" s="66">
        <v>21.6</v>
      </c>
      <c r="G23" s="66">
        <v>48.9</v>
      </c>
      <c r="H23" s="66">
        <v>41.1</v>
      </c>
      <c r="I23" s="2">
        <f t="shared" si="1"/>
        <v>45</v>
      </c>
      <c r="J23" s="67">
        <v>5.3</v>
      </c>
      <c r="K23" s="67">
        <v>2.15</v>
      </c>
      <c r="L23" s="67">
        <v>1.33</v>
      </c>
      <c r="M23" s="67">
        <v>6.55</v>
      </c>
      <c r="N23" s="67">
        <v>16.25</v>
      </c>
      <c r="O23" s="75">
        <v>42993</v>
      </c>
      <c r="P23" s="2">
        <f t="shared" si="10"/>
        <v>8.4905660377358494</v>
      </c>
      <c r="Q23" s="53">
        <f t="shared" si="4"/>
        <v>2.7692307692307692</v>
      </c>
      <c r="R23" s="87">
        <f t="shared" si="5"/>
        <v>8.1846153846153846E-2</v>
      </c>
      <c r="S23" s="53">
        <f t="shared" si="6"/>
        <v>0.61860465116279073</v>
      </c>
      <c r="T23" s="53">
        <f t="shared" si="7"/>
        <v>0.80916030534351147</v>
      </c>
      <c r="U23" s="87">
        <f t="shared" si="8"/>
        <v>2.9555555555555557E-2</v>
      </c>
      <c r="W23" s="33">
        <f t="shared" si="9"/>
        <v>143.18</v>
      </c>
    </row>
    <row r="24" spans="1:30">
      <c r="A24" t="str">
        <f t="shared" si="2"/>
        <v/>
      </c>
      <c r="B24" t="str">
        <f t="shared" si="3"/>
        <v>W</v>
      </c>
      <c r="C24" t="s">
        <v>271</v>
      </c>
      <c r="D24" s="13" t="s">
        <v>180</v>
      </c>
      <c r="E24" t="str">
        <f ca="1">INDEX(nameLU,MATCH(D24,tickerLU,0))</f>
        <v>Conn. Water Services</v>
      </c>
      <c r="F24" s="66">
        <v>25.9</v>
      </c>
      <c r="G24" s="66">
        <v>62.2</v>
      </c>
      <c r="H24" s="66">
        <v>50.8</v>
      </c>
      <c r="I24" s="2">
        <f t="shared" si="1"/>
        <v>56.5</v>
      </c>
      <c r="J24" s="67">
        <v>3.4</v>
      </c>
      <c r="K24" s="67">
        <v>2.2000000000000002</v>
      </c>
      <c r="L24" s="67">
        <v>1.18</v>
      </c>
      <c r="M24" s="67">
        <v>4.5</v>
      </c>
      <c r="N24" s="67">
        <v>21.7</v>
      </c>
      <c r="O24" s="75">
        <v>42930</v>
      </c>
      <c r="P24" s="2">
        <f t="shared" si="10"/>
        <v>16.617647058823529</v>
      </c>
      <c r="Q24" s="53">
        <f t="shared" si="4"/>
        <v>2.6036866359447006</v>
      </c>
      <c r="R24" s="87">
        <f t="shared" si="5"/>
        <v>5.4377880184331796E-2</v>
      </c>
      <c r="S24" s="53">
        <f t="shared" si="6"/>
        <v>0.53636363636363626</v>
      </c>
      <c r="T24" s="53">
        <f t="shared" si="7"/>
        <v>0.75555555555555554</v>
      </c>
      <c r="U24" s="87">
        <f t="shared" si="8"/>
        <v>2.088495575221239E-2</v>
      </c>
      <c r="W24" s="33">
        <f t="shared" si="9"/>
        <v>171.87999999999997</v>
      </c>
    </row>
    <row r="25" spans="1:30">
      <c r="A25">
        <f t="shared" si="2"/>
        <v>1</v>
      </c>
      <c r="B25" t="str">
        <f t="shared" si="3"/>
        <v>E</v>
      </c>
      <c r="C25" t="s">
        <v>269</v>
      </c>
      <c r="D25" s="13" t="s">
        <v>10</v>
      </c>
      <c r="E25" t="str">
        <f>VLOOKUP(D25,'MP-CF (WP)'!$B$4:$U$81,2,FALSE)</f>
        <v xml:space="preserve">Consol. Edison                </v>
      </c>
      <c r="F25" s="66">
        <v>20.6</v>
      </c>
      <c r="G25" s="66">
        <v>85.1</v>
      </c>
      <c r="H25" s="66">
        <v>72.099999999999994</v>
      </c>
      <c r="I25" s="2">
        <f t="shared" si="1"/>
        <v>78.599999999999994</v>
      </c>
      <c r="J25" s="67">
        <v>8.4</v>
      </c>
      <c r="K25" s="67">
        <v>4.05</v>
      </c>
      <c r="L25" s="67">
        <v>2.76</v>
      </c>
      <c r="M25" s="67">
        <v>11.9</v>
      </c>
      <c r="N25" s="67">
        <v>48.7</v>
      </c>
      <c r="O25" s="75">
        <v>42965</v>
      </c>
      <c r="P25" s="2">
        <f t="shared" si="10"/>
        <v>9.3571428571428559</v>
      </c>
      <c r="Q25" s="53">
        <f t="shared" si="4"/>
        <v>1.6139630390143735</v>
      </c>
      <c r="R25" s="87">
        <f t="shared" si="5"/>
        <v>5.6673511293634488E-2</v>
      </c>
      <c r="S25" s="53">
        <f t="shared" si="6"/>
        <v>0.68148148148148147</v>
      </c>
      <c r="T25" s="53">
        <f t="shared" si="7"/>
        <v>0.70588235294117652</v>
      </c>
      <c r="U25" s="87">
        <f t="shared" si="8"/>
        <v>3.5114503816793895E-2</v>
      </c>
      <c r="W25" s="33">
        <f t="shared" si="9"/>
        <v>253.61</v>
      </c>
    </row>
    <row r="26" spans="1:30">
      <c r="A26" t="str">
        <f t="shared" si="2"/>
        <v/>
      </c>
      <c r="B26" t="str">
        <f t="shared" si="3"/>
        <v>W</v>
      </c>
      <c r="C26" t="s">
        <v>271</v>
      </c>
      <c r="D26" s="13" t="s">
        <v>182</v>
      </c>
      <c r="E26" t="str">
        <f ca="1">INDEX(nameLU,MATCH(D26,tickerLU,0))</f>
        <v>Consolidated Water</v>
      </c>
      <c r="F26" s="66">
        <v>19.5</v>
      </c>
      <c r="G26" s="66">
        <v>13</v>
      </c>
      <c r="H26" s="66">
        <v>10</v>
      </c>
      <c r="I26" s="2">
        <f t="shared" si="1"/>
        <v>11.5</v>
      </c>
      <c r="J26" s="67">
        <v>1.1499999999999999</v>
      </c>
      <c r="K26" s="67">
        <v>0.65</v>
      </c>
      <c r="L26" s="67">
        <v>0.3</v>
      </c>
      <c r="M26" s="67">
        <v>0.25</v>
      </c>
      <c r="N26" s="67">
        <v>10</v>
      </c>
      <c r="O26" s="75">
        <v>42930</v>
      </c>
      <c r="P26" s="2">
        <f t="shared" si="10"/>
        <v>10</v>
      </c>
      <c r="Q26" s="53">
        <f t="shared" si="4"/>
        <v>1.1499999999999999</v>
      </c>
      <c r="R26" s="87">
        <f t="shared" si="5"/>
        <v>0.03</v>
      </c>
      <c r="S26" s="53">
        <f t="shared" si="6"/>
        <v>0.46153846153846151</v>
      </c>
      <c r="T26" s="53">
        <f t="shared" si="7"/>
        <v>4.5999999999999996</v>
      </c>
      <c r="U26" s="87">
        <f t="shared" si="8"/>
        <v>2.6086956521739129E-2</v>
      </c>
      <c r="W26" s="33">
        <f t="shared" si="9"/>
        <v>54.849999999999994</v>
      </c>
    </row>
    <row r="27" spans="1:30">
      <c r="A27">
        <f t="shared" si="2"/>
        <v>1</v>
      </c>
      <c r="B27" t="str">
        <f t="shared" si="3"/>
        <v>E</v>
      </c>
      <c r="C27" t="s">
        <v>269</v>
      </c>
      <c r="D27" s="13" t="s">
        <v>11</v>
      </c>
      <c r="E27" t="str">
        <f>VLOOKUP(D27,'MP-CF (WP)'!$B$4:$U$81,2,FALSE)</f>
        <v xml:space="preserve">Dominion Resources            </v>
      </c>
      <c r="F27" s="66">
        <v>22.7</v>
      </c>
      <c r="G27" s="66">
        <v>81.599999999999994</v>
      </c>
      <c r="H27" s="66">
        <v>70.900000000000006</v>
      </c>
      <c r="I27" s="2">
        <f t="shared" si="1"/>
        <v>76.25</v>
      </c>
      <c r="J27" s="67">
        <v>6.75</v>
      </c>
      <c r="K27" s="67">
        <v>3.4</v>
      </c>
      <c r="L27" s="67">
        <v>3.02</v>
      </c>
      <c r="M27" s="67">
        <v>8.9499999999999993</v>
      </c>
      <c r="N27" s="67">
        <v>25.1</v>
      </c>
      <c r="O27" s="75">
        <v>42965</v>
      </c>
      <c r="P27" s="2">
        <f t="shared" si="10"/>
        <v>11.296296296296296</v>
      </c>
      <c r="Q27" s="53">
        <f t="shared" si="4"/>
        <v>3.0378486055776892</v>
      </c>
      <c r="R27" s="87">
        <f t="shared" si="5"/>
        <v>0.12031872509960159</v>
      </c>
      <c r="S27" s="53">
        <f t="shared" si="6"/>
        <v>0.88823529411764712</v>
      </c>
      <c r="T27" s="53">
        <f t="shared" si="7"/>
        <v>0.75418994413407825</v>
      </c>
      <c r="U27" s="87">
        <f t="shared" si="8"/>
        <v>3.9606557377049177E-2</v>
      </c>
      <c r="W27" s="33">
        <f t="shared" si="9"/>
        <v>222.42</v>
      </c>
    </row>
    <row r="28" spans="1:30">
      <c r="A28">
        <f t="shared" si="2"/>
        <v>1</v>
      </c>
      <c r="B28" t="str">
        <f t="shared" si="3"/>
        <v>E</v>
      </c>
      <c r="C28" t="s">
        <v>350</v>
      </c>
      <c r="D28" s="13" t="s">
        <v>12</v>
      </c>
      <c r="E28" t="str">
        <f>VLOOKUP(D28,'MP-CF (WP)'!$B$4:$U$81,2,FALSE)</f>
        <v xml:space="preserve">DTE Energy                    </v>
      </c>
      <c r="F28" s="66">
        <v>20.6</v>
      </c>
      <c r="G28" s="66">
        <v>112.8</v>
      </c>
      <c r="H28" s="66">
        <v>96.6</v>
      </c>
      <c r="I28" s="2">
        <f t="shared" si="1"/>
        <v>104.69999999999999</v>
      </c>
      <c r="J28" s="67">
        <v>12.05</v>
      </c>
      <c r="K28" s="67">
        <v>5.8</v>
      </c>
      <c r="L28" s="67">
        <v>3.36</v>
      </c>
      <c r="M28" s="67">
        <v>16.149999999999999</v>
      </c>
      <c r="N28" s="67">
        <v>52.65</v>
      </c>
      <c r="O28" s="75">
        <v>42993</v>
      </c>
      <c r="P28" s="2">
        <f t="shared" si="10"/>
        <v>8.6887966804979246</v>
      </c>
      <c r="Q28" s="53">
        <f t="shared" si="4"/>
        <v>1.9886039886039883</v>
      </c>
      <c r="R28" s="87">
        <f t="shared" si="5"/>
        <v>6.3817663817663822E-2</v>
      </c>
      <c r="S28" s="53">
        <f t="shared" si="6"/>
        <v>0.57931034482758625</v>
      </c>
      <c r="T28" s="53">
        <f t="shared" si="7"/>
        <v>0.74613003095975239</v>
      </c>
      <c r="U28" s="87">
        <f t="shared" si="8"/>
        <v>3.2091690544412611E-2</v>
      </c>
      <c r="W28" s="33">
        <f t="shared" si="9"/>
        <v>320.01</v>
      </c>
    </row>
    <row r="29" spans="1:30">
      <c r="A29">
        <f t="shared" si="2"/>
        <v>1</v>
      </c>
      <c r="B29" t="str">
        <f t="shared" si="3"/>
        <v>E</v>
      </c>
      <c r="C29" t="s">
        <v>269</v>
      </c>
      <c r="D29" s="13" t="s">
        <v>13</v>
      </c>
      <c r="E29" t="str">
        <f>VLOOKUP(D29,'MP-CF (WP)'!$B$4:$U$81,2,FALSE)</f>
        <v xml:space="preserve">Duke Energy                   </v>
      </c>
      <c r="F29" s="66">
        <v>18.7</v>
      </c>
      <c r="G29" s="66">
        <v>87.5</v>
      </c>
      <c r="H29" s="66">
        <v>76.099999999999994</v>
      </c>
      <c r="I29" s="2">
        <f t="shared" si="1"/>
        <v>81.8</v>
      </c>
      <c r="J29" s="67">
        <v>10.45</v>
      </c>
      <c r="K29" s="67">
        <v>4.5999999999999996</v>
      </c>
      <c r="L29" s="67">
        <v>3.49</v>
      </c>
      <c r="M29" s="67">
        <v>13.45</v>
      </c>
      <c r="N29" s="67">
        <v>59.65</v>
      </c>
      <c r="O29" s="75">
        <v>42965</v>
      </c>
      <c r="P29" s="2">
        <f t="shared" si="10"/>
        <v>7.8277511961722492</v>
      </c>
      <c r="Q29" s="53">
        <f t="shared" si="4"/>
        <v>1.3713327745180217</v>
      </c>
      <c r="R29" s="87">
        <f t="shared" si="5"/>
        <v>5.8507963118189441E-2</v>
      </c>
      <c r="S29" s="53">
        <f t="shared" si="6"/>
        <v>0.7586956521739131</v>
      </c>
      <c r="T29" s="53">
        <f t="shared" si="7"/>
        <v>0.77695167286245348</v>
      </c>
      <c r="U29" s="87">
        <f t="shared" si="8"/>
        <v>4.266503667481663E-2</v>
      </c>
      <c r="W29" s="33">
        <f t="shared" si="9"/>
        <v>273.94</v>
      </c>
    </row>
    <row r="30" spans="1:30">
      <c r="A30">
        <f t="shared" si="2"/>
        <v>1</v>
      </c>
      <c r="B30" t="str">
        <f t="shared" si="3"/>
        <v>E</v>
      </c>
      <c r="C30" t="s">
        <v>270</v>
      </c>
      <c r="D30" s="13" t="s">
        <v>14</v>
      </c>
      <c r="E30" t="str">
        <f>VLOOKUP(D30,'MP-CF (WP)'!$B$4:$U$81,2,FALSE)</f>
        <v xml:space="preserve">Edison Int'l                  </v>
      </c>
      <c r="F30" s="66">
        <v>18.3</v>
      </c>
      <c r="G30" s="66">
        <v>82.8</v>
      </c>
      <c r="H30" s="66">
        <v>70.599999999999994</v>
      </c>
      <c r="I30" s="2">
        <f t="shared" si="1"/>
        <v>76.699999999999989</v>
      </c>
      <c r="J30" s="67">
        <v>11.05</v>
      </c>
      <c r="K30" s="67">
        <v>4.25</v>
      </c>
      <c r="L30" s="67">
        <v>2.21</v>
      </c>
      <c r="M30" s="67">
        <v>13.1</v>
      </c>
      <c r="N30" s="67">
        <v>38.299999999999997</v>
      </c>
      <c r="O30" s="75">
        <v>42944</v>
      </c>
      <c r="P30" s="2">
        <f t="shared" si="10"/>
        <v>6.9411764705882337</v>
      </c>
      <c r="Q30" s="53">
        <f t="shared" si="4"/>
        <v>2.0026109660574409</v>
      </c>
      <c r="R30" s="87">
        <f t="shared" si="5"/>
        <v>5.7702349869451698E-2</v>
      </c>
      <c r="S30" s="53">
        <f t="shared" si="6"/>
        <v>0.52</v>
      </c>
      <c r="T30" s="53">
        <f t="shared" si="7"/>
        <v>0.84351145038167952</v>
      </c>
      <c r="U30" s="87">
        <f t="shared" si="8"/>
        <v>2.8813559322033902E-2</v>
      </c>
      <c r="W30" s="33">
        <f t="shared" si="9"/>
        <v>240.61</v>
      </c>
      <c r="X30" s="2"/>
      <c r="AD30" s="26"/>
    </row>
    <row r="31" spans="1:30">
      <c r="A31">
        <f t="shared" si="2"/>
        <v>1</v>
      </c>
      <c r="B31" t="str">
        <f t="shared" si="3"/>
        <v>E</v>
      </c>
      <c r="C31" t="s">
        <v>270</v>
      </c>
      <c r="D31" s="13" t="s">
        <v>15</v>
      </c>
      <c r="E31" t="str">
        <f>VLOOKUP(D31,'MP-CF (WP)'!$B$4:$U$81,2,FALSE)</f>
        <v xml:space="preserve">El Paso Electric              </v>
      </c>
      <c r="F31" s="66">
        <v>20.9</v>
      </c>
      <c r="G31" s="66">
        <v>55.4</v>
      </c>
      <c r="H31" s="66">
        <v>44.7</v>
      </c>
      <c r="I31" s="2">
        <f t="shared" si="1"/>
        <v>50.05</v>
      </c>
      <c r="J31" s="67">
        <v>6.2</v>
      </c>
      <c r="K31" s="67">
        <v>2.4500000000000002</v>
      </c>
      <c r="L31" s="67">
        <v>1.32</v>
      </c>
      <c r="M31" s="67">
        <v>6.35</v>
      </c>
      <c r="N31" s="67">
        <v>27.65</v>
      </c>
      <c r="O31" s="75">
        <v>42944</v>
      </c>
      <c r="P31" s="2">
        <f t="shared" si="10"/>
        <v>8.07258064516129</v>
      </c>
      <c r="Q31" s="53">
        <f t="shared" si="4"/>
        <v>1.8101265822784811</v>
      </c>
      <c r="R31" s="87">
        <f t="shared" si="5"/>
        <v>4.7739602169981923E-2</v>
      </c>
      <c r="S31" s="53">
        <f t="shared" si="6"/>
        <v>0.53877551020408165</v>
      </c>
      <c r="T31" s="53">
        <f t="shared" si="7"/>
        <v>0.97637795275590555</v>
      </c>
      <c r="U31" s="87">
        <f t="shared" si="8"/>
        <v>2.6373626373626377E-2</v>
      </c>
      <c r="W31" s="33">
        <f t="shared" si="9"/>
        <v>164.97</v>
      </c>
      <c r="X31" s="2"/>
      <c r="AD31" s="26"/>
    </row>
    <row r="32" spans="1:30">
      <c r="A32" t="str">
        <f t="shared" si="2"/>
        <v/>
      </c>
      <c r="B32" t="str">
        <f t="shared" si="3"/>
        <v/>
      </c>
      <c r="D32" s="13"/>
      <c r="F32" s="66"/>
      <c r="G32" s="66"/>
      <c r="H32" s="66"/>
      <c r="I32" s="2"/>
      <c r="J32" s="67"/>
      <c r="K32" s="67"/>
      <c r="L32" s="67"/>
      <c r="M32" s="67"/>
      <c r="N32" s="67"/>
      <c r="O32" s="75"/>
      <c r="P32" s="2" t="str">
        <f t="shared" si="10"/>
        <v/>
      </c>
      <c r="Q32" s="53" t="str">
        <f t="shared" si="4"/>
        <v/>
      </c>
      <c r="R32" s="87" t="str">
        <f t="shared" si="5"/>
        <v/>
      </c>
      <c r="S32" s="53" t="str">
        <f t="shared" si="6"/>
        <v/>
      </c>
      <c r="T32" s="53" t="str">
        <f t="shared" si="7"/>
        <v/>
      </c>
      <c r="U32" s="87" t="str">
        <f t="shared" si="8"/>
        <v/>
      </c>
      <c r="W32" s="33">
        <f t="shared" si="9"/>
        <v>0</v>
      </c>
      <c r="X32" s="2"/>
      <c r="AD32" s="26"/>
    </row>
    <row r="33" spans="1:30">
      <c r="A33">
        <f t="shared" si="2"/>
        <v>1</v>
      </c>
      <c r="B33" t="str">
        <f t="shared" si="3"/>
        <v>E</v>
      </c>
      <c r="C33" t="s">
        <v>350</v>
      </c>
      <c r="D33" s="13" t="s">
        <v>17</v>
      </c>
      <c r="E33" t="str">
        <f>VLOOKUP(D33,'MP-CF (WP)'!$B$4:$U$81,2,FALSE)</f>
        <v xml:space="preserve">Entergy Corp.                 </v>
      </c>
      <c r="F33" s="66">
        <v>12.1</v>
      </c>
      <c r="G33" s="66">
        <v>80.599999999999994</v>
      </c>
      <c r="H33" s="66">
        <v>69.599999999999994</v>
      </c>
      <c r="I33" s="2">
        <f t="shared" ref="I33:I50" si="11">IFERROR(AVERAGE(G33:H33),"")</f>
        <v>75.099999999999994</v>
      </c>
      <c r="J33" s="67">
        <v>18.7</v>
      </c>
      <c r="K33" s="67">
        <v>6.5</v>
      </c>
      <c r="L33" s="67">
        <v>3.5</v>
      </c>
      <c r="M33" s="67">
        <v>20.85</v>
      </c>
      <c r="N33" s="67">
        <v>47.1</v>
      </c>
      <c r="O33" s="75">
        <v>42993</v>
      </c>
      <c r="P33" s="2">
        <f>IFERROR(I33/J33,"")</f>
        <v>4.0160427807486627</v>
      </c>
      <c r="Q33" s="53">
        <f>IFERROR(I33/N33,"")</f>
        <v>1.5944798301486198</v>
      </c>
      <c r="R33" s="87">
        <f>IFERROR(L33/N33,"")</f>
        <v>7.4309978768577492E-2</v>
      </c>
      <c r="S33" s="53">
        <f>IFERROR(L33/K33,"")</f>
        <v>0.53846153846153844</v>
      </c>
      <c r="T33" s="53">
        <f>IFERROR(J33/M33,"")</f>
        <v>0.89688249400479603</v>
      </c>
      <c r="U33" s="87">
        <f t="shared" si="8"/>
        <v>4.6604527296937419E-2</v>
      </c>
      <c r="W33" s="33">
        <f t="shared" ref="W33:W50" si="12">ABS(SUM(F33:H33,J33:N33))</f>
        <v>258.95</v>
      </c>
      <c r="X33" s="2"/>
      <c r="AD33" s="26"/>
    </row>
    <row r="34" spans="1:30">
      <c r="A34">
        <f t="shared" si="2"/>
        <v>1</v>
      </c>
      <c r="B34" t="str">
        <f t="shared" si="3"/>
        <v>E</v>
      </c>
      <c r="C34" t="s">
        <v>269</v>
      </c>
      <c r="D34" s="13" t="s">
        <v>211</v>
      </c>
      <c r="E34" t="str">
        <f>VLOOKUP(D34,'MP-CF (WP)'!$B$4:$U$81,2,FALSE)</f>
        <v xml:space="preserve">Eversource Energy    </v>
      </c>
      <c r="F34" s="66">
        <v>19.600000000000001</v>
      </c>
      <c r="G34" s="66">
        <v>63.3</v>
      </c>
      <c r="H34" s="66">
        <v>54.1</v>
      </c>
      <c r="I34" s="2">
        <f t="shared" si="11"/>
        <v>58.7</v>
      </c>
      <c r="J34" s="67">
        <v>5.8</v>
      </c>
      <c r="K34" s="67">
        <v>3.1</v>
      </c>
      <c r="L34" s="67">
        <v>1.9</v>
      </c>
      <c r="M34" s="67">
        <v>8.5500000000000007</v>
      </c>
      <c r="N34" s="67">
        <v>35</v>
      </c>
      <c r="O34" s="75">
        <v>42965</v>
      </c>
      <c r="P34" s="2">
        <f t="shared" si="10"/>
        <v>10.120689655172415</v>
      </c>
      <c r="Q34" s="53">
        <f t="shared" si="4"/>
        <v>1.6771428571428573</v>
      </c>
      <c r="R34" s="87">
        <f t="shared" si="5"/>
        <v>5.4285714285714284E-2</v>
      </c>
      <c r="S34" s="53">
        <f t="shared" si="6"/>
        <v>0.61290322580645151</v>
      </c>
      <c r="T34" s="53">
        <f t="shared" si="7"/>
        <v>0.67836257309941517</v>
      </c>
      <c r="U34" s="87">
        <f t="shared" si="8"/>
        <v>3.2367972742759793E-2</v>
      </c>
      <c r="W34" s="33">
        <f t="shared" si="12"/>
        <v>191.35000000000002</v>
      </c>
      <c r="X34" s="2"/>
      <c r="AD34" s="26"/>
    </row>
    <row r="35" spans="1:30">
      <c r="A35">
        <f t="shared" si="2"/>
        <v>1</v>
      </c>
      <c r="B35" t="str">
        <f t="shared" si="3"/>
        <v>E</v>
      </c>
      <c r="C35" t="s">
        <v>269</v>
      </c>
      <c r="D35" s="13" t="s">
        <v>18</v>
      </c>
      <c r="E35" t="str">
        <f>VLOOKUP(D35,'MP-CF (WP)'!$B$4:$U$81,2,FALSE)</f>
        <v xml:space="preserve">Exelon Corp.                  </v>
      </c>
      <c r="F35" s="66">
        <v>15.2</v>
      </c>
      <c r="G35" s="66">
        <v>38.799999999999997</v>
      </c>
      <c r="H35" s="66">
        <v>33.299999999999997</v>
      </c>
      <c r="I35" s="2">
        <f t="shared" si="11"/>
        <v>36.049999999999997</v>
      </c>
      <c r="J35" s="67">
        <v>8</v>
      </c>
      <c r="K35" s="67">
        <v>2.6</v>
      </c>
      <c r="L35" s="67">
        <v>1.31</v>
      </c>
      <c r="M35" s="67">
        <v>8.6</v>
      </c>
      <c r="N35" s="67">
        <v>28.85</v>
      </c>
      <c r="O35" s="75">
        <v>42965</v>
      </c>
      <c r="P35" s="2">
        <f t="shared" si="10"/>
        <v>4.5062499999999996</v>
      </c>
      <c r="Q35" s="53">
        <f t="shared" si="4"/>
        <v>1.2495667244367417</v>
      </c>
      <c r="R35" s="87">
        <f t="shared" si="5"/>
        <v>4.540727902946274E-2</v>
      </c>
      <c r="S35" s="53">
        <f t="shared" si="6"/>
        <v>0.50384615384615383</v>
      </c>
      <c r="T35" s="53">
        <f t="shared" si="7"/>
        <v>0.93023255813953487</v>
      </c>
      <c r="U35" s="87">
        <f t="shared" si="8"/>
        <v>3.6338418862690715E-2</v>
      </c>
      <c r="W35" s="33">
        <f t="shared" si="12"/>
        <v>136.66</v>
      </c>
      <c r="X35" s="2"/>
      <c r="AD35" s="26"/>
    </row>
    <row r="36" spans="1:30">
      <c r="A36">
        <f t="shared" si="2"/>
        <v>1</v>
      </c>
      <c r="B36" t="str">
        <f t="shared" si="3"/>
        <v>E</v>
      </c>
      <c r="C36" t="s">
        <v>269</v>
      </c>
      <c r="D36" s="13" t="s">
        <v>19</v>
      </c>
      <c r="E36" t="str">
        <f>VLOOKUP(D36,'MP-CF (WP)'!$B$4:$U$81,2,FALSE)</f>
        <v xml:space="preserve">FirstEnergy Corp.             </v>
      </c>
      <c r="F36" s="66">
        <v>12.2</v>
      </c>
      <c r="G36" s="66">
        <v>32.5</v>
      </c>
      <c r="H36" s="66">
        <v>27.9</v>
      </c>
      <c r="I36" s="2">
        <f t="shared" si="11"/>
        <v>30.2</v>
      </c>
      <c r="J36" s="67">
        <v>6.35</v>
      </c>
      <c r="K36" s="67">
        <v>2.5</v>
      </c>
      <c r="L36" s="67">
        <v>1.44</v>
      </c>
      <c r="M36" s="67">
        <v>6.6</v>
      </c>
      <c r="N36" s="67">
        <v>15.25</v>
      </c>
      <c r="O36" s="75">
        <v>42965</v>
      </c>
      <c r="P36" s="2">
        <f t="shared" si="10"/>
        <v>4.7559055118110241</v>
      </c>
      <c r="Q36" s="53">
        <f t="shared" si="4"/>
        <v>1.980327868852459</v>
      </c>
      <c r="R36" s="87">
        <f t="shared" si="5"/>
        <v>9.4426229508196721E-2</v>
      </c>
      <c r="S36" s="53">
        <f t="shared" si="6"/>
        <v>0.57599999999999996</v>
      </c>
      <c r="T36" s="53">
        <f t="shared" si="7"/>
        <v>0.96212121212121215</v>
      </c>
      <c r="U36" s="87">
        <f t="shared" si="8"/>
        <v>4.768211920529801E-2</v>
      </c>
      <c r="W36" s="33">
        <f t="shared" si="12"/>
        <v>104.73999999999998</v>
      </c>
      <c r="X36" s="2"/>
      <c r="AD36" s="26"/>
    </row>
    <row r="37" spans="1:30">
      <c r="A37">
        <f t="shared" si="2"/>
        <v>1</v>
      </c>
      <c r="B37" t="str">
        <f t="shared" si="3"/>
        <v>E</v>
      </c>
      <c r="C37" t="s">
        <v>350</v>
      </c>
      <c r="D37" s="13" t="s">
        <v>267</v>
      </c>
      <c r="E37" t="str">
        <f>VLOOKUP(D37,'MP-CF (WP)'!$B$4:$U$81,2,FALSE)</f>
        <v>Fortis Inc.</v>
      </c>
      <c r="F37" s="66">
        <v>17.100000000000001</v>
      </c>
      <c r="G37" s="66">
        <v>47.1</v>
      </c>
      <c r="H37" s="66">
        <v>40.6</v>
      </c>
      <c r="I37" s="2">
        <f t="shared" si="11"/>
        <v>43.85</v>
      </c>
      <c r="J37" s="67">
        <v>5.45</v>
      </c>
      <c r="K37" s="67">
        <v>2.65</v>
      </c>
      <c r="L37" s="67">
        <v>1.65</v>
      </c>
      <c r="M37" s="67">
        <v>7.35</v>
      </c>
      <c r="N37" s="67">
        <v>33.700000000000003</v>
      </c>
      <c r="O37" s="75">
        <v>42993</v>
      </c>
      <c r="P37" s="2">
        <f>IFERROR(I37/J37,"")</f>
        <v>8.0458715596330279</v>
      </c>
      <c r="Q37" s="53">
        <f>IFERROR(I37/N37,"")</f>
        <v>1.3011869436201779</v>
      </c>
      <c r="R37" s="87">
        <f>IFERROR(L37/N37,"")</f>
        <v>4.8961424332344204E-2</v>
      </c>
      <c r="S37" s="53">
        <f>IFERROR(L37/K37,"")</f>
        <v>0.62264150943396224</v>
      </c>
      <c r="T37" s="53">
        <f>IFERROR(J37/M37,"")</f>
        <v>0.74149659863945583</v>
      </c>
      <c r="U37" s="87">
        <f t="shared" si="8"/>
        <v>3.7628278221208664E-2</v>
      </c>
      <c r="W37" s="33">
        <f t="shared" si="12"/>
        <v>155.60000000000002</v>
      </c>
      <c r="X37" s="2"/>
      <c r="AD37" s="26"/>
    </row>
    <row r="38" spans="1:30">
      <c r="A38">
        <f t="shared" si="2"/>
        <v>1</v>
      </c>
      <c r="B38" t="str">
        <f t="shared" si="3"/>
        <v>E</v>
      </c>
      <c r="C38" t="s">
        <v>350</v>
      </c>
      <c r="D38" s="13" t="s">
        <v>20</v>
      </c>
      <c r="E38" t="str">
        <f>VLOOKUP(D38,'MP-CF (WP)'!$B$4:$U$81,2,FALSE)</f>
        <v xml:space="preserve">Great Plains Energy             </v>
      </c>
      <c r="F38" s="66">
        <v>38.9</v>
      </c>
      <c r="G38" s="66">
        <v>31.7</v>
      </c>
      <c r="H38" s="66">
        <v>26.7</v>
      </c>
      <c r="I38" s="2">
        <f t="shared" si="11"/>
        <v>29.2</v>
      </c>
      <c r="J38" s="67">
        <v>2.9</v>
      </c>
      <c r="K38" s="67">
        <v>0.6</v>
      </c>
      <c r="L38" s="67">
        <v>1.1200000000000001</v>
      </c>
      <c r="M38" s="67">
        <v>2.75</v>
      </c>
      <c r="N38" s="67">
        <v>24.2</v>
      </c>
      <c r="O38" s="75">
        <v>42993</v>
      </c>
      <c r="P38" s="2">
        <f t="shared" si="10"/>
        <v>10.068965517241379</v>
      </c>
      <c r="Q38" s="53">
        <f t="shared" si="4"/>
        <v>1.2066115702479339</v>
      </c>
      <c r="R38" s="87">
        <f t="shared" si="5"/>
        <v>4.6280991735537194E-2</v>
      </c>
      <c r="S38" s="53">
        <f t="shared" si="6"/>
        <v>1.8666666666666669</v>
      </c>
      <c r="T38" s="53">
        <f t="shared" si="7"/>
        <v>1.0545454545454545</v>
      </c>
      <c r="U38" s="87">
        <f t="shared" si="8"/>
        <v>3.8356164383561646E-2</v>
      </c>
      <c r="W38" s="33">
        <f t="shared" si="12"/>
        <v>128.87</v>
      </c>
    </row>
    <row r="39" spans="1:30">
      <c r="A39">
        <f t="shared" si="2"/>
        <v>1</v>
      </c>
      <c r="B39" t="str">
        <f t="shared" si="3"/>
        <v>E</v>
      </c>
      <c r="C39" t="s">
        <v>270</v>
      </c>
      <c r="D39" s="13" t="s">
        <v>21</v>
      </c>
      <c r="E39" t="str">
        <f>VLOOKUP(D39,'MP-CF (WP)'!$B$4:$U$81,2,FALSE)</f>
        <v xml:space="preserve">Hawaiian Elec.                </v>
      </c>
      <c r="F39" s="66">
        <v>19.899999999999999</v>
      </c>
      <c r="G39" s="66">
        <v>34.1</v>
      </c>
      <c r="H39" s="66">
        <v>31.7</v>
      </c>
      <c r="I39" s="2">
        <f t="shared" si="11"/>
        <v>32.9</v>
      </c>
      <c r="J39" s="67">
        <v>3.65</v>
      </c>
      <c r="K39" s="67">
        <v>1.6</v>
      </c>
      <c r="L39" s="67">
        <v>1.24</v>
      </c>
      <c r="M39" s="67">
        <v>3.55</v>
      </c>
      <c r="N39" s="67">
        <v>19.350000000000001</v>
      </c>
      <c r="O39" s="75">
        <v>42944</v>
      </c>
      <c r="P39" s="2">
        <f t="shared" si="10"/>
        <v>9.0136986301369859</v>
      </c>
      <c r="Q39" s="53">
        <f t="shared" si="4"/>
        <v>1.7002583979328163</v>
      </c>
      <c r="R39" s="87">
        <f t="shared" si="5"/>
        <v>6.4082687338501282E-2</v>
      </c>
      <c r="S39" s="53">
        <f t="shared" si="6"/>
        <v>0.77499999999999991</v>
      </c>
      <c r="T39" s="53">
        <f t="shared" si="7"/>
        <v>1.028169014084507</v>
      </c>
      <c r="U39" s="87">
        <f t="shared" si="8"/>
        <v>3.7689969604863226E-2</v>
      </c>
      <c r="W39" s="33">
        <f t="shared" si="12"/>
        <v>115.09</v>
      </c>
    </row>
    <row r="40" spans="1:30">
      <c r="A40">
        <f t="shared" si="2"/>
        <v>1</v>
      </c>
      <c r="B40" t="str">
        <f t="shared" si="3"/>
        <v>E</v>
      </c>
      <c r="C40" t="s">
        <v>270</v>
      </c>
      <c r="D40" s="13" t="s">
        <v>22</v>
      </c>
      <c r="E40" t="str">
        <f>VLOOKUP(D40,'MP-CF (WP)'!$B$4:$U$81,2,FALSE)</f>
        <v xml:space="preserve">IDACORP, Inc.                 </v>
      </c>
      <c r="F40" s="66">
        <v>20.8</v>
      </c>
      <c r="G40" s="66">
        <v>9.6999999999999993</v>
      </c>
      <c r="H40" s="66">
        <v>77.5</v>
      </c>
      <c r="I40" s="2">
        <f t="shared" si="11"/>
        <v>43.6</v>
      </c>
      <c r="J40" s="67">
        <v>7.35</v>
      </c>
      <c r="K40" s="67">
        <v>4.05</v>
      </c>
      <c r="L40" s="67">
        <v>2.2400000000000002</v>
      </c>
      <c r="M40" s="67">
        <v>6.5</v>
      </c>
      <c r="N40" s="67">
        <v>44.45</v>
      </c>
      <c r="O40" s="75">
        <v>42944</v>
      </c>
      <c r="P40" s="2">
        <f t="shared" si="10"/>
        <v>5.9319727891156466</v>
      </c>
      <c r="Q40" s="53">
        <f t="shared" si="4"/>
        <v>0.98087739032620924</v>
      </c>
      <c r="R40" s="87">
        <f t="shared" si="5"/>
        <v>5.0393700787401574E-2</v>
      </c>
      <c r="S40" s="53">
        <f t="shared" si="6"/>
        <v>0.55308641975308648</v>
      </c>
      <c r="T40" s="53">
        <f t="shared" si="7"/>
        <v>1.1307692307692307</v>
      </c>
      <c r="U40" s="87">
        <f t="shared" si="8"/>
        <v>5.1376146788990829E-2</v>
      </c>
      <c r="W40" s="33">
        <f t="shared" si="12"/>
        <v>172.58999999999997</v>
      </c>
    </row>
    <row r="41" spans="1:30">
      <c r="A41">
        <f t="shared" si="2"/>
        <v>1</v>
      </c>
      <c r="B41" t="str">
        <f t="shared" si="3"/>
        <v>E</v>
      </c>
      <c r="C41" t="s">
        <v>350</v>
      </c>
      <c r="D41" s="13" t="s">
        <v>25</v>
      </c>
      <c r="E41" t="str">
        <f>VLOOKUP(D41,'MP-CF (WP)'!$B$4:$U$81,2,FALSE)</f>
        <v xml:space="preserve">MGE Energy                    </v>
      </c>
      <c r="F41" s="66">
        <v>27.5</v>
      </c>
      <c r="G41" s="66">
        <v>68.7</v>
      </c>
      <c r="H41" s="66">
        <v>60.3</v>
      </c>
      <c r="I41" s="2">
        <f t="shared" si="11"/>
        <v>64.5</v>
      </c>
      <c r="J41" s="67">
        <v>3.75</v>
      </c>
      <c r="K41" s="67">
        <v>2.2999999999999998</v>
      </c>
      <c r="L41" s="67">
        <v>1.26</v>
      </c>
      <c r="M41" s="67">
        <v>2.4500000000000002</v>
      </c>
      <c r="N41" s="67">
        <v>22</v>
      </c>
      <c r="O41" s="75">
        <v>42993</v>
      </c>
      <c r="P41" s="2">
        <f t="shared" si="10"/>
        <v>17.2</v>
      </c>
      <c r="Q41" s="53">
        <f t="shared" si="4"/>
        <v>2.9318181818181817</v>
      </c>
      <c r="R41" s="87">
        <f t="shared" si="5"/>
        <v>5.7272727272727274E-2</v>
      </c>
      <c r="S41" s="53">
        <f t="shared" si="6"/>
        <v>0.5478260869565218</v>
      </c>
      <c r="T41" s="53">
        <f t="shared" si="7"/>
        <v>1.5306122448979591</v>
      </c>
      <c r="U41" s="87">
        <f t="shared" si="8"/>
        <v>1.9534883720930232E-2</v>
      </c>
      <c r="W41" s="33">
        <f t="shared" si="12"/>
        <v>188.26</v>
      </c>
    </row>
    <row r="42" spans="1:30">
      <c r="A42" t="str">
        <f t="shared" si="2"/>
        <v/>
      </c>
      <c r="B42" t="str">
        <f t="shared" si="3"/>
        <v>W</v>
      </c>
      <c r="C42" t="s">
        <v>271</v>
      </c>
      <c r="D42" s="13" t="s">
        <v>188</v>
      </c>
      <c r="E42" t="str">
        <f ca="1">INDEX(nameLU,MATCH(D42,tickerLU,0))</f>
        <v>Middlesex Water</v>
      </c>
      <c r="F42" s="66">
        <v>26.9</v>
      </c>
      <c r="G42" s="66">
        <v>42.8</v>
      </c>
      <c r="H42" s="66">
        <v>32.200000000000003</v>
      </c>
      <c r="I42" s="2">
        <f t="shared" si="11"/>
        <v>37.5</v>
      </c>
      <c r="J42" s="67">
        <v>2.35</v>
      </c>
      <c r="K42" s="67">
        <v>1.5</v>
      </c>
      <c r="L42" s="67">
        <v>0.84</v>
      </c>
      <c r="M42" s="67">
        <v>1.8</v>
      </c>
      <c r="N42" s="67">
        <v>13.95</v>
      </c>
      <c r="O42" s="75">
        <v>42930</v>
      </c>
      <c r="P42" s="2">
        <f t="shared" si="10"/>
        <v>15.957446808510637</v>
      </c>
      <c r="Q42" s="53">
        <f t="shared" si="4"/>
        <v>2.688172043010753</v>
      </c>
      <c r="R42" s="87">
        <f t="shared" si="5"/>
        <v>6.0215053763440864E-2</v>
      </c>
      <c r="S42" s="53">
        <f t="shared" si="6"/>
        <v>0.55999999999999994</v>
      </c>
      <c r="T42" s="53">
        <f t="shared" si="7"/>
        <v>1.3055555555555556</v>
      </c>
      <c r="U42" s="87">
        <f t="shared" si="8"/>
        <v>2.24E-2</v>
      </c>
      <c r="W42" s="33">
        <f t="shared" si="12"/>
        <v>122.33999999999999</v>
      </c>
    </row>
    <row r="43" spans="1:30">
      <c r="A43">
        <f t="shared" si="2"/>
        <v>1</v>
      </c>
      <c r="B43" t="str">
        <f t="shared" si="3"/>
        <v>N</v>
      </c>
      <c r="C43" t="s">
        <v>272</v>
      </c>
      <c r="D43" s="13" t="s">
        <v>190</v>
      </c>
      <c r="E43" t="str">
        <f ca="1">INDEX(OFFSET(CashFlow,0,-1,,1),MATCH(D43,OFFSET(CashFlow,0,0,,1),0))</f>
        <v>New Jersey Resources</v>
      </c>
      <c r="F43" s="66">
        <v>24.1</v>
      </c>
      <c r="G43" s="66">
        <v>44.3</v>
      </c>
      <c r="H43" s="66">
        <v>33.700000000000003</v>
      </c>
      <c r="I43" s="2">
        <f t="shared" si="11"/>
        <v>39</v>
      </c>
      <c r="J43" s="67">
        <v>2.5499999999999998</v>
      </c>
      <c r="K43" s="67">
        <v>1.75</v>
      </c>
      <c r="L43" s="67">
        <v>1.02</v>
      </c>
      <c r="M43" s="67">
        <v>2.15</v>
      </c>
      <c r="N43" s="67">
        <v>14.35</v>
      </c>
      <c r="O43" s="75">
        <v>42979</v>
      </c>
      <c r="P43" s="2">
        <f t="shared" si="10"/>
        <v>15.294117647058824</v>
      </c>
      <c r="Q43" s="53">
        <f t="shared" si="4"/>
        <v>2.7177700348432055</v>
      </c>
      <c r="R43" s="87">
        <f t="shared" si="5"/>
        <v>7.1080139372822301E-2</v>
      </c>
      <c r="S43" s="53">
        <f t="shared" si="6"/>
        <v>0.58285714285714285</v>
      </c>
      <c r="T43" s="53">
        <f t="shared" si="7"/>
        <v>1.1860465116279069</v>
      </c>
      <c r="U43" s="87">
        <f t="shared" si="8"/>
        <v>2.6153846153846156E-2</v>
      </c>
      <c r="W43" s="33">
        <f t="shared" si="12"/>
        <v>123.92</v>
      </c>
    </row>
    <row r="44" spans="1:30">
      <c r="A44">
        <f t="shared" si="2"/>
        <v>1</v>
      </c>
      <c r="B44" t="str">
        <f t="shared" si="3"/>
        <v>E</v>
      </c>
      <c r="C44" t="s">
        <v>269</v>
      </c>
      <c r="D44" s="13" t="s">
        <v>141</v>
      </c>
      <c r="E44" t="str">
        <f>VLOOKUP(D44,'MP-CF (WP)'!$B$4:$U$81,2,FALSE)</f>
        <v>NextEra Energy, Inc.</v>
      </c>
      <c r="F44" s="66">
        <v>22.2</v>
      </c>
      <c r="G44" s="66">
        <v>147.80000000000001</v>
      </c>
      <c r="H44" s="66">
        <v>117.3</v>
      </c>
      <c r="I44" s="2">
        <f t="shared" si="11"/>
        <v>132.55000000000001</v>
      </c>
      <c r="J44" s="67">
        <v>14.3</v>
      </c>
      <c r="K44" s="67">
        <v>6.7</v>
      </c>
      <c r="L44" s="67">
        <v>3.93</v>
      </c>
      <c r="M44" s="67">
        <v>15.4</v>
      </c>
      <c r="N44" s="67">
        <v>54.6</v>
      </c>
      <c r="O44" s="75">
        <v>42965</v>
      </c>
      <c r="P44" s="2">
        <f t="shared" si="10"/>
        <v>9.2692307692307701</v>
      </c>
      <c r="Q44" s="53">
        <f t="shared" si="4"/>
        <v>2.4276556776556779</v>
      </c>
      <c r="R44" s="87">
        <f t="shared" si="5"/>
        <v>7.1978021978021986E-2</v>
      </c>
      <c r="S44" s="53">
        <f t="shared" si="6"/>
        <v>0.58656716417910448</v>
      </c>
      <c r="T44" s="53">
        <f t="shared" si="7"/>
        <v>0.9285714285714286</v>
      </c>
      <c r="U44" s="87">
        <f t="shared" si="8"/>
        <v>2.9649188985288569E-2</v>
      </c>
      <c r="W44" s="33">
        <f t="shared" si="12"/>
        <v>382.23</v>
      </c>
    </row>
    <row r="45" spans="1:30">
      <c r="A45">
        <f t="shared" si="2"/>
        <v>1</v>
      </c>
      <c r="B45" t="str">
        <f t="shared" si="3"/>
        <v>N</v>
      </c>
      <c r="C45" t="s">
        <v>272</v>
      </c>
      <c r="D45" s="13" t="s">
        <v>26</v>
      </c>
      <c r="E45" t="str">
        <f ca="1">INDEX(OFFSET(CashFlow,0,-1,,1),MATCH(D45,OFFSET(CashFlow,0,0,,1),0))</f>
        <v>NiSource Inc.</v>
      </c>
      <c r="F45" s="66">
        <v>29.9</v>
      </c>
      <c r="G45" s="66">
        <v>27</v>
      </c>
      <c r="H45" s="66">
        <v>21.7</v>
      </c>
      <c r="I45" s="2">
        <f t="shared" si="11"/>
        <v>24.35</v>
      </c>
      <c r="J45" s="67">
        <v>2.65</v>
      </c>
      <c r="K45" s="67">
        <v>0.9</v>
      </c>
      <c r="L45" s="67">
        <v>0.7</v>
      </c>
      <c r="M45" s="67">
        <v>4.9000000000000004</v>
      </c>
      <c r="N45" s="67">
        <v>12.65</v>
      </c>
      <c r="O45" s="75">
        <v>42979</v>
      </c>
      <c r="P45" s="2">
        <f t="shared" si="10"/>
        <v>9.1886792452830193</v>
      </c>
      <c r="Q45" s="53">
        <f t="shared" si="4"/>
        <v>1.924901185770751</v>
      </c>
      <c r="R45" s="87">
        <f t="shared" si="5"/>
        <v>5.5335968379446633E-2</v>
      </c>
      <c r="S45" s="53">
        <f t="shared" si="6"/>
        <v>0.77777777777777768</v>
      </c>
      <c r="T45" s="53">
        <f t="shared" si="7"/>
        <v>0.54081632653061218</v>
      </c>
      <c r="U45" s="87">
        <f t="shared" si="8"/>
        <v>2.874743326488706E-2</v>
      </c>
      <c r="W45" s="33">
        <f t="shared" si="12"/>
        <v>100.40000000000002</v>
      </c>
    </row>
    <row r="46" spans="1:30">
      <c r="A46">
        <f t="shared" si="2"/>
        <v>1</v>
      </c>
      <c r="B46" t="str">
        <f t="shared" si="3"/>
        <v>N</v>
      </c>
      <c r="C46" t="s">
        <v>272</v>
      </c>
      <c r="D46" s="13" t="s">
        <v>192</v>
      </c>
      <c r="E46" t="str">
        <f ca="1">INDEX(OFFSET(CashFlow,0,-1,,1),MATCH(D46,OFFSET(CashFlow,0,0,,1),0))</f>
        <v>Northwest Nat. Gas</v>
      </c>
      <c r="F46" s="66">
        <v>28.3</v>
      </c>
      <c r="G46" s="66">
        <v>66</v>
      </c>
      <c r="H46" s="66">
        <v>56.5</v>
      </c>
      <c r="I46" s="2">
        <f t="shared" si="11"/>
        <v>61.25</v>
      </c>
      <c r="J46" s="67">
        <v>5.4</v>
      </c>
      <c r="K46" s="67">
        <v>2.25</v>
      </c>
      <c r="L46" s="67">
        <v>1.88</v>
      </c>
      <c r="M46" s="67">
        <v>6.2</v>
      </c>
      <c r="N46" s="67">
        <v>29.95</v>
      </c>
      <c r="O46" s="75">
        <v>42979</v>
      </c>
      <c r="P46" s="2">
        <f t="shared" si="10"/>
        <v>11.342592592592592</v>
      </c>
      <c r="Q46" s="53">
        <f t="shared" si="4"/>
        <v>2.0450751252086814</v>
      </c>
      <c r="R46" s="87">
        <f t="shared" si="5"/>
        <v>6.2771285475792984E-2</v>
      </c>
      <c r="S46" s="53">
        <f t="shared" si="6"/>
        <v>0.8355555555555555</v>
      </c>
      <c r="T46" s="53">
        <f t="shared" si="7"/>
        <v>0.87096774193548387</v>
      </c>
      <c r="U46" s="87">
        <f t="shared" si="8"/>
        <v>3.0693877551020408E-2</v>
      </c>
      <c r="W46" s="33">
        <f t="shared" si="12"/>
        <v>196.48</v>
      </c>
    </row>
    <row r="47" spans="1:30">
      <c r="A47">
        <f t="shared" si="2"/>
        <v>1</v>
      </c>
      <c r="B47" t="str">
        <f t="shared" si="3"/>
        <v>E</v>
      </c>
      <c r="C47" t="s">
        <v>270</v>
      </c>
      <c r="D47" s="13" t="str">
        <f>"NW"&amp;"E"</f>
        <v>NWE</v>
      </c>
      <c r="E47" t="str">
        <f>VLOOKUP(D47,'MP-CF (WP)'!$B$4:$U$81,2,FALSE)</f>
        <v xml:space="preserve">NorthWestern Corp             </v>
      </c>
      <c r="F47" s="66">
        <v>17.2</v>
      </c>
      <c r="G47" s="66">
        <v>63.9</v>
      </c>
      <c r="H47" s="66">
        <v>55.7</v>
      </c>
      <c r="I47" s="2">
        <f t="shared" si="11"/>
        <v>59.8</v>
      </c>
      <c r="J47" s="67">
        <v>6.95</v>
      </c>
      <c r="K47" s="67">
        <v>3.45</v>
      </c>
      <c r="L47" s="67">
        <v>2.1</v>
      </c>
      <c r="M47" s="67">
        <v>6.15</v>
      </c>
      <c r="N47" s="67">
        <v>35.9</v>
      </c>
      <c r="O47" s="75">
        <v>42944</v>
      </c>
      <c r="P47" s="2">
        <f t="shared" si="10"/>
        <v>8.6043165467625897</v>
      </c>
      <c r="Q47" s="53">
        <f t="shared" si="4"/>
        <v>1.6657381615598885</v>
      </c>
      <c r="R47" s="87">
        <f t="shared" si="5"/>
        <v>5.8495821727019504E-2</v>
      </c>
      <c r="S47" s="53">
        <f t="shared" si="6"/>
        <v>0.60869565217391308</v>
      </c>
      <c r="T47" s="53">
        <f t="shared" si="7"/>
        <v>1.1300813008130082</v>
      </c>
      <c r="U47" s="87">
        <f t="shared" si="8"/>
        <v>3.5117056856187295E-2</v>
      </c>
      <c r="W47" s="33">
        <f t="shared" si="12"/>
        <v>191.35</v>
      </c>
    </row>
    <row r="48" spans="1:30">
      <c r="A48">
        <f t="shared" si="2"/>
        <v>1</v>
      </c>
      <c r="B48" t="str">
        <f t="shared" si="3"/>
        <v>N</v>
      </c>
      <c r="C48" s="31" t="s">
        <v>272</v>
      </c>
      <c r="D48" s="13" t="s">
        <v>353</v>
      </c>
      <c r="E48" t="str">
        <f ca="1">INDEX(OFFSET(CashFlow,0,-1,,1),MATCH(D48,OFFSET(CashFlow,0,0,,1),0))</f>
        <v>ONE Gas Inc.</v>
      </c>
      <c r="F48" s="66">
        <v>24.7</v>
      </c>
      <c r="G48" s="66">
        <v>75</v>
      </c>
      <c r="H48" s="66">
        <v>61.4</v>
      </c>
      <c r="I48" s="2">
        <f t="shared" si="11"/>
        <v>68.2</v>
      </c>
      <c r="J48" s="67">
        <v>5.9</v>
      </c>
      <c r="K48" s="67">
        <v>2.95</v>
      </c>
      <c r="L48" s="67">
        <v>1.68</v>
      </c>
      <c r="M48" s="67">
        <v>6.65</v>
      </c>
      <c r="N48" s="67">
        <v>37.799999999999997</v>
      </c>
      <c r="O48" s="75">
        <v>42979</v>
      </c>
      <c r="P48" s="53">
        <f t="shared" si="10"/>
        <v>11.559322033898304</v>
      </c>
      <c r="Q48" s="53">
        <f t="shared" si="4"/>
        <v>1.8042328042328044</v>
      </c>
      <c r="R48" s="87">
        <f t="shared" si="5"/>
        <v>4.4444444444444446E-2</v>
      </c>
      <c r="S48" s="53">
        <f t="shared" si="6"/>
        <v>0.56949152542372872</v>
      </c>
      <c r="T48" s="53">
        <f t="shared" si="7"/>
        <v>0.88721804511278191</v>
      </c>
      <c r="U48" s="87">
        <f t="shared" si="8"/>
        <v>2.4633431085043987E-2</v>
      </c>
      <c r="V48" s="33"/>
      <c r="W48" s="33">
        <f t="shared" si="12"/>
        <v>216.07999999999998</v>
      </c>
    </row>
    <row r="49" spans="1:23">
      <c r="A49">
        <f t="shared" si="2"/>
        <v>1</v>
      </c>
      <c r="B49" t="str">
        <f t="shared" si="3"/>
        <v>E</v>
      </c>
      <c r="C49" t="s">
        <v>350</v>
      </c>
      <c r="D49" s="13" t="s">
        <v>27</v>
      </c>
      <c r="E49" t="str">
        <f>VLOOKUP(D49,'MP-CF (WP)'!$B$4:$U$81,2,FALSE)</f>
        <v xml:space="preserve">OGE Energy                    </v>
      </c>
      <c r="F49" s="66">
        <v>18.100000000000001</v>
      </c>
      <c r="G49" s="66">
        <v>37.4</v>
      </c>
      <c r="H49" s="66">
        <v>32.799999999999997</v>
      </c>
      <c r="I49" s="2">
        <f t="shared" si="11"/>
        <v>35.099999999999994</v>
      </c>
      <c r="J49" s="67">
        <v>3.35</v>
      </c>
      <c r="K49" s="67">
        <v>1.95</v>
      </c>
      <c r="L49" s="67">
        <v>1.27</v>
      </c>
      <c r="M49" s="67">
        <v>4.8499999999999996</v>
      </c>
      <c r="N49" s="67">
        <v>17.95</v>
      </c>
      <c r="O49" s="75">
        <v>42993</v>
      </c>
      <c r="P49" s="2">
        <f t="shared" si="10"/>
        <v>10.477611940298505</v>
      </c>
      <c r="Q49" s="53">
        <f t="shared" si="4"/>
        <v>1.9554317548746516</v>
      </c>
      <c r="R49" s="87">
        <f t="shared" si="5"/>
        <v>7.0752089136490254E-2</v>
      </c>
      <c r="S49" s="53">
        <f t="shared" si="6"/>
        <v>0.6512820512820513</v>
      </c>
      <c r="T49" s="53">
        <f t="shared" si="7"/>
        <v>0.69072164948453618</v>
      </c>
      <c r="U49" s="87">
        <f t="shared" si="8"/>
        <v>3.618233618233619E-2</v>
      </c>
      <c r="W49" s="33">
        <f t="shared" si="12"/>
        <v>117.66999999999999</v>
      </c>
    </row>
    <row r="50" spans="1:23">
      <c r="A50">
        <f t="shared" si="2"/>
        <v>1</v>
      </c>
      <c r="B50" t="str">
        <f t="shared" si="3"/>
        <v>E</v>
      </c>
      <c r="C50" t="s">
        <v>350</v>
      </c>
      <c r="D50" s="13" t="s">
        <v>28</v>
      </c>
      <c r="E50" t="str">
        <f>VLOOKUP(D50,'MP-CF (WP)'!$B$4:$U$81,2,FALSE)</f>
        <v xml:space="preserve">Otter Tail Corp.              </v>
      </c>
      <c r="F50" s="66">
        <v>23.8</v>
      </c>
      <c r="G50" s="66">
        <v>42.3</v>
      </c>
      <c r="H50" s="66">
        <v>35.700000000000003</v>
      </c>
      <c r="I50" s="2">
        <f t="shared" si="11"/>
        <v>39</v>
      </c>
      <c r="J50" s="67">
        <v>3.65</v>
      </c>
      <c r="K50" s="67">
        <v>1.75</v>
      </c>
      <c r="L50" s="67">
        <v>1.28</v>
      </c>
      <c r="M50" s="67">
        <v>3.75</v>
      </c>
      <c r="N50" s="67">
        <v>17.75</v>
      </c>
      <c r="O50" s="75">
        <v>42993</v>
      </c>
      <c r="P50" s="2">
        <f t="shared" si="10"/>
        <v>10.684931506849315</v>
      </c>
      <c r="Q50" s="53">
        <f t="shared" si="4"/>
        <v>2.1971830985915495</v>
      </c>
      <c r="R50" s="87">
        <f t="shared" si="5"/>
        <v>7.2112676056338032E-2</v>
      </c>
      <c r="S50" s="53">
        <f t="shared" si="6"/>
        <v>0.73142857142857143</v>
      </c>
      <c r="T50" s="53">
        <f t="shared" si="7"/>
        <v>0.97333333333333327</v>
      </c>
      <c r="U50" s="87">
        <f t="shared" si="8"/>
        <v>3.282051282051282E-2</v>
      </c>
      <c r="W50" s="33">
        <f t="shared" si="12"/>
        <v>129.98000000000002</v>
      </c>
    </row>
    <row r="51" spans="1:23">
      <c r="A51">
        <f t="shared" si="2"/>
        <v>1</v>
      </c>
      <c r="B51" t="str">
        <f t="shared" si="3"/>
        <v>E</v>
      </c>
      <c r="C51" t="s">
        <v>270</v>
      </c>
      <c r="D51" s="13" t="s">
        <v>30</v>
      </c>
      <c r="E51" t="str">
        <f>VLOOKUP(D51,'MP-CF (WP)'!$B$4:$U$81,2,FALSE)</f>
        <v xml:space="preserve">PG&amp;E Corp.                    </v>
      </c>
      <c r="F51" s="66">
        <v>18</v>
      </c>
      <c r="G51" s="66">
        <v>70.3</v>
      </c>
      <c r="H51" s="66">
        <v>59.9</v>
      </c>
      <c r="I51" s="2">
        <f t="shared" ref="I51:I70" si="13">IFERROR(AVERAGE(G51:H51),"")</f>
        <v>65.099999999999994</v>
      </c>
      <c r="J51" s="67">
        <v>9.25</v>
      </c>
      <c r="K51" s="67">
        <v>3.7</v>
      </c>
      <c r="L51" s="67">
        <v>2.08</v>
      </c>
      <c r="M51" s="67">
        <v>11.65</v>
      </c>
      <c r="N51" s="67">
        <v>37.549999999999997</v>
      </c>
      <c r="O51" s="75">
        <v>42944</v>
      </c>
      <c r="P51" s="2">
        <f t="shared" si="10"/>
        <v>7.037837837837837</v>
      </c>
      <c r="Q51" s="53">
        <f t="shared" si="4"/>
        <v>1.7336884154460719</v>
      </c>
      <c r="R51" s="87">
        <f t="shared" si="5"/>
        <v>5.5392809587217047E-2</v>
      </c>
      <c r="S51" s="53">
        <f t="shared" si="6"/>
        <v>0.56216216216216219</v>
      </c>
      <c r="T51" s="53">
        <f t="shared" si="7"/>
        <v>0.79399141630901282</v>
      </c>
      <c r="U51" s="87">
        <f t="shared" si="8"/>
        <v>3.1950844854070667E-2</v>
      </c>
      <c r="W51" s="33">
        <f t="shared" si="9"/>
        <v>212.43</v>
      </c>
    </row>
    <row r="52" spans="1:23">
      <c r="A52">
        <f t="shared" si="2"/>
        <v>1</v>
      </c>
      <c r="B52" t="str">
        <f t="shared" si="3"/>
        <v>E</v>
      </c>
      <c r="C52" t="s">
        <v>270</v>
      </c>
      <c r="D52" s="13" t="s">
        <v>31</v>
      </c>
      <c r="E52" t="str">
        <f>VLOOKUP(D52,'MP-CF (WP)'!$B$4:$U$81,2,FALSE)</f>
        <v xml:space="preserve">Pinnacle West Capital         </v>
      </c>
      <c r="F52" s="66">
        <v>20.2</v>
      </c>
      <c r="G52" s="66">
        <v>89.6</v>
      </c>
      <c r="H52" s="66">
        <v>75.8</v>
      </c>
      <c r="I52" s="2">
        <f t="shared" si="13"/>
        <v>82.699999999999989</v>
      </c>
      <c r="J52" s="67">
        <v>9.9</v>
      </c>
      <c r="K52" s="67">
        <v>4.25</v>
      </c>
      <c r="L52" s="67">
        <v>2.68</v>
      </c>
      <c r="M52" s="67">
        <v>12.55</v>
      </c>
      <c r="N52" s="67">
        <v>44.6</v>
      </c>
      <c r="O52" s="75">
        <v>42944</v>
      </c>
      <c r="P52" s="2">
        <f t="shared" si="10"/>
        <v>8.3535353535353529</v>
      </c>
      <c r="Q52" s="53">
        <f t="shared" si="4"/>
        <v>1.8542600896860983</v>
      </c>
      <c r="R52" s="87">
        <f t="shared" si="5"/>
        <v>6.0089686098654713E-2</v>
      </c>
      <c r="S52" s="53">
        <f t="shared" si="6"/>
        <v>0.63058823529411767</v>
      </c>
      <c r="T52" s="53">
        <f t="shared" si="7"/>
        <v>0.78884462151394419</v>
      </c>
      <c r="U52" s="87">
        <f t="shared" si="8"/>
        <v>3.2406287787182596E-2</v>
      </c>
      <c r="W52" s="33">
        <f t="shared" si="9"/>
        <v>259.58000000000004</v>
      </c>
    </row>
    <row r="53" spans="1:23">
      <c r="A53">
        <f t="shared" si="2"/>
        <v>1</v>
      </c>
      <c r="B53" t="str">
        <f t="shared" si="3"/>
        <v>E</v>
      </c>
      <c r="C53" t="s">
        <v>270</v>
      </c>
      <c r="D53" s="13" t="s">
        <v>32</v>
      </c>
      <c r="E53" t="str">
        <f>VLOOKUP(D53,'MP-CF (WP)'!$B$4:$U$81,2,FALSE)</f>
        <v xml:space="preserve">PNM Resources                 </v>
      </c>
      <c r="F53" s="66">
        <v>20.3</v>
      </c>
      <c r="G53" s="66">
        <v>40.1</v>
      </c>
      <c r="H53" s="66">
        <v>33.299999999999997</v>
      </c>
      <c r="I53" s="2">
        <f t="shared" si="13"/>
        <v>36.700000000000003</v>
      </c>
      <c r="J53" s="67">
        <v>4.5</v>
      </c>
      <c r="K53" s="67">
        <v>1.85</v>
      </c>
      <c r="L53" s="67">
        <v>0.97</v>
      </c>
      <c r="M53" s="67">
        <v>5.65</v>
      </c>
      <c r="N53" s="67">
        <v>23.6</v>
      </c>
      <c r="O53" s="75">
        <v>42944</v>
      </c>
      <c r="P53" s="2">
        <f t="shared" si="10"/>
        <v>8.1555555555555568</v>
      </c>
      <c r="Q53" s="53">
        <f t="shared" si="4"/>
        <v>1.5550847457627119</v>
      </c>
      <c r="R53" s="87">
        <f t="shared" si="5"/>
        <v>4.1101694915254235E-2</v>
      </c>
      <c r="S53" s="53">
        <f t="shared" si="6"/>
        <v>0.5243243243243243</v>
      </c>
      <c r="T53" s="53">
        <f t="shared" si="7"/>
        <v>0.79646017699115035</v>
      </c>
      <c r="U53" s="87">
        <f t="shared" si="8"/>
        <v>2.643051771117166E-2</v>
      </c>
      <c r="W53" s="33">
        <f t="shared" si="9"/>
        <v>130.27000000000001</v>
      </c>
    </row>
    <row r="54" spans="1:23">
      <c r="A54">
        <f t="shared" si="2"/>
        <v>1</v>
      </c>
      <c r="B54" t="str">
        <f t="shared" si="3"/>
        <v>E</v>
      </c>
      <c r="C54" t="s">
        <v>270</v>
      </c>
      <c r="D54" s="13" t="s">
        <v>33</v>
      </c>
      <c r="E54" t="str">
        <f>VLOOKUP(D54,'MP-CF (WP)'!$B$4:$U$81,2,FALSE)</f>
        <v xml:space="preserve">Portland General              </v>
      </c>
      <c r="F54" s="66">
        <v>19.899999999999999</v>
      </c>
      <c r="G54" s="66">
        <v>48.4</v>
      </c>
      <c r="H54" s="66">
        <v>42.4</v>
      </c>
      <c r="I54" s="2">
        <f t="shared" si="13"/>
        <v>45.4</v>
      </c>
      <c r="J54" s="67">
        <v>6.1</v>
      </c>
      <c r="K54" s="67">
        <v>2.25</v>
      </c>
      <c r="L54" s="67">
        <v>1.34</v>
      </c>
      <c r="M54" s="67">
        <v>6.75</v>
      </c>
      <c r="N54" s="67">
        <v>27.2</v>
      </c>
      <c r="O54" s="75">
        <v>42944</v>
      </c>
      <c r="P54" s="2">
        <f t="shared" si="10"/>
        <v>7.442622950819672</v>
      </c>
      <c r="Q54" s="53">
        <f t="shared" si="4"/>
        <v>1.6691176470588236</v>
      </c>
      <c r="R54" s="87">
        <f t="shared" si="5"/>
        <v>4.9264705882352947E-2</v>
      </c>
      <c r="S54" s="53">
        <f t="shared" si="6"/>
        <v>0.59555555555555562</v>
      </c>
      <c r="T54" s="53">
        <f t="shared" si="7"/>
        <v>0.90370370370370368</v>
      </c>
      <c r="U54" s="87">
        <f t="shared" si="8"/>
        <v>2.9515418502202646E-2</v>
      </c>
      <c r="W54" s="33">
        <f t="shared" si="9"/>
        <v>154.33999999999997</v>
      </c>
    </row>
    <row r="55" spans="1:23">
      <c r="A55">
        <f t="shared" si="2"/>
        <v>1</v>
      </c>
      <c r="B55" t="str">
        <f t="shared" si="3"/>
        <v>E</v>
      </c>
      <c r="C55" t="s">
        <v>269</v>
      </c>
      <c r="D55" s="13" t="s">
        <v>34</v>
      </c>
      <c r="E55" t="str">
        <f>VLOOKUP(D55,'MP-CF (WP)'!$B$4:$U$81,2,FALSE)</f>
        <v xml:space="preserve">PPL Corp.                     </v>
      </c>
      <c r="F55" s="66">
        <v>18.399999999999999</v>
      </c>
      <c r="G55" s="66">
        <v>40.200000000000003</v>
      </c>
      <c r="H55" s="66">
        <v>33.700000000000003</v>
      </c>
      <c r="I55" s="2">
        <f t="shared" si="13"/>
        <v>36.950000000000003</v>
      </c>
      <c r="J55" s="67">
        <v>3.6</v>
      </c>
      <c r="K55" s="67">
        <v>2.0499999999999998</v>
      </c>
      <c r="L55" s="67">
        <v>1.58</v>
      </c>
      <c r="M55" s="67">
        <v>4.95</v>
      </c>
      <c r="N55" s="67">
        <v>15.3</v>
      </c>
      <c r="O55" s="75">
        <v>42965</v>
      </c>
      <c r="P55" s="2">
        <f t="shared" si="10"/>
        <v>10.263888888888889</v>
      </c>
      <c r="Q55" s="53">
        <f t="shared" si="4"/>
        <v>2.4150326797385619</v>
      </c>
      <c r="R55" s="87">
        <f t="shared" si="5"/>
        <v>0.10326797385620914</v>
      </c>
      <c r="S55" s="53">
        <f t="shared" si="6"/>
        <v>0.7707317073170733</v>
      </c>
      <c r="T55" s="53">
        <f t="shared" si="7"/>
        <v>0.72727272727272729</v>
      </c>
      <c r="U55" s="87">
        <f t="shared" si="8"/>
        <v>4.2760487144790256E-2</v>
      </c>
      <c r="W55" s="33">
        <f t="shared" si="9"/>
        <v>119.78</v>
      </c>
    </row>
    <row r="56" spans="1:23">
      <c r="A56">
        <f t="shared" si="2"/>
        <v>1</v>
      </c>
      <c r="B56" t="str">
        <f t="shared" si="3"/>
        <v>E</v>
      </c>
      <c r="C56" t="s">
        <v>269</v>
      </c>
      <c r="D56" s="13" t="s">
        <v>35</v>
      </c>
      <c r="E56" t="str">
        <f>VLOOKUP(D56,'MP-CF (WP)'!$B$4:$U$81,2,FALSE)</f>
        <v xml:space="preserve">Public Serv. Enterprise       </v>
      </c>
      <c r="F56" s="66">
        <v>15.2</v>
      </c>
      <c r="G56" s="66">
        <v>46.1</v>
      </c>
      <c r="H56" s="66">
        <v>41.7</v>
      </c>
      <c r="I56" s="2">
        <f t="shared" si="13"/>
        <v>43.900000000000006</v>
      </c>
      <c r="J56" s="67">
        <v>5.65</v>
      </c>
      <c r="K56" s="67">
        <v>2.95</v>
      </c>
      <c r="L56" s="67">
        <v>1.72</v>
      </c>
      <c r="M56" s="67">
        <v>9.1</v>
      </c>
      <c r="N56" s="67">
        <v>26</v>
      </c>
      <c r="O56" s="75">
        <v>42965</v>
      </c>
      <c r="P56" s="2">
        <f t="shared" si="10"/>
        <v>7.7699115044247788</v>
      </c>
      <c r="Q56" s="53">
        <f t="shared" si="4"/>
        <v>1.6884615384615387</v>
      </c>
      <c r="R56" s="87">
        <f t="shared" si="5"/>
        <v>6.6153846153846146E-2</v>
      </c>
      <c r="S56" s="53">
        <f t="shared" si="6"/>
        <v>0.58305084745762703</v>
      </c>
      <c r="T56" s="53">
        <f t="shared" si="7"/>
        <v>0.62087912087912089</v>
      </c>
      <c r="U56" s="87">
        <f t="shared" si="8"/>
        <v>3.9179954441913432E-2</v>
      </c>
      <c r="W56" s="33">
        <f t="shared" si="9"/>
        <v>148.42000000000002</v>
      </c>
    </row>
    <row r="57" spans="1:23">
      <c r="A57">
        <f t="shared" si="2"/>
        <v>1</v>
      </c>
      <c r="B57" t="str">
        <f t="shared" si="3"/>
        <v>E</v>
      </c>
      <c r="C57" t="s">
        <v>269</v>
      </c>
      <c r="D57" s="13" t="s">
        <v>36</v>
      </c>
      <c r="E57" t="str">
        <f>VLOOKUP(D57,'MP-CF (WP)'!$B$4:$U$81,2,FALSE)</f>
        <v xml:space="preserve">SCANA Corp.                   </v>
      </c>
      <c r="F57" s="66">
        <v>14.9</v>
      </c>
      <c r="G57" s="66">
        <v>74.099999999999994</v>
      </c>
      <c r="H57" s="66">
        <v>60</v>
      </c>
      <c r="I57" s="2">
        <f t="shared" si="13"/>
        <v>67.05</v>
      </c>
      <c r="J57" s="67">
        <v>7.45</v>
      </c>
      <c r="K57" s="67">
        <v>4.1500000000000004</v>
      </c>
      <c r="L57" s="67">
        <v>2.4500000000000002</v>
      </c>
      <c r="M57" s="67">
        <v>11.7</v>
      </c>
      <c r="N57" s="67">
        <v>41.7</v>
      </c>
      <c r="O57" s="75">
        <v>42965</v>
      </c>
      <c r="P57" s="2">
        <f t="shared" si="10"/>
        <v>9</v>
      </c>
      <c r="Q57" s="53">
        <f t="shared" si="4"/>
        <v>1.607913669064748</v>
      </c>
      <c r="R57" s="87">
        <f t="shared" si="5"/>
        <v>5.8752997601918468E-2</v>
      </c>
      <c r="S57" s="53">
        <f t="shared" si="6"/>
        <v>0.59036144578313254</v>
      </c>
      <c r="T57" s="53">
        <f t="shared" si="7"/>
        <v>0.63675213675213682</v>
      </c>
      <c r="U57" s="87">
        <f t="shared" si="8"/>
        <v>3.6539895600298286E-2</v>
      </c>
      <c r="W57" s="33">
        <f t="shared" si="9"/>
        <v>216.45</v>
      </c>
    </row>
    <row r="58" spans="1:23">
      <c r="A58">
        <f t="shared" si="2"/>
        <v>1</v>
      </c>
      <c r="B58" t="str">
        <f t="shared" si="3"/>
        <v>E</v>
      </c>
      <c r="C58" t="s">
        <v>270</v>
      </c>
      <c r="D58" s="13" t="s">
        <v>37</v>
      </c>
      <c r="E58" t="str">
        <f>VLOOKUP(D58,'MP-CF (WP)'!$B$4:$U$81,2,FALSE)</f>
        <v xml:space="preserve">Sempra Energy                 </v>
      </c>
      <c r="F58" s="66">
        <v>22.2</v>
      </c>
      <c r="G58" s="66">
        <v>118</v>
      </c>
      <c r="H58" s="66">
        <v>99.7</v>
      </c>
      <c r="I58" s="2">
        <f t="shared" si="13"/>
        <v>108.85</v>
      </c>
      <c r="J58" s="67">
        <v>10.85</v>
      </c>
      <c r="K58" s="67">
        <v>5.05</v>
      </c>
      <c r="L58" s="67">
        <v>3.29</v>
      </c>
      <c r="M58" s="67">
        <v>13.5</v>
      </c>
      <c r="N58" s="67">
        <v>53.45</v>
      </c>
      <c r="O58" s="75">
        <v>42944</v>
      </c>
      <c r="P58" s="2">
        <f t="shared" si="10"/>
        <v>10.032258064516128</v>
      </c>
      <c r="Q58" s="53">
        <f t="shared" si="4"/>
        <v>2.0364826941066414</v>
      </c>
      <c r="R58" s="87">
        <f t="shared" si="5"/>
        <v>6.1552853133769875E-2</v>
      </c>
      <c r="S58" s="53">
        <f t="shared" si="6"/>
        <v>0.65148514851485151</v>
      </c>
      <c r="T58" s="53">
        <f t="shared" si="7"/>
        <v>0.8037037037037037</v>
      </c>
      <c r="U58" s="87">
        <f t="shared" si="8"/>
        <v>3.0225080385852091E-2</v>
      </c>
      <c r="W58" s="33">
        <f t="shared" si="9"/>
        <v>326.03999999999996</v>
      </c>
    </row>
    <row r="59" spans="1:23">
      <c r="A59" t="str">
        <f t="shared" si="2"/>
        <v/>
      </c>
      <c r="B59" t="str">
        <f t="shared" si="3"/>
        <v>W</v>
      </c>
      <c r="C59" t="s">
        <v>271</v>
      </c>
      <c r="D59" s="13" t="s">
        <v>196</v>
      </c>
      <c r="E59" t="str">
        <f ca="1">INDEX(nameLU,MATCH(D59,tickerLU,0))</f>
        <v>SJW Corp.</v>
      </c>
      <c r="F59" s="66">
        <v>22.7</v>
      </c>
      <c r="G59" s="66">
        <v>56.4</v>
      </c>
      <c r="H59" s="66">
        <v>45.4</v>
      </c>
      <c r="I59" s="2">
        <f t="shared" si="13"/>
        <v>50.9</v>
      </c>
      <c r="J59" s="67">
        <v>4.4000000000000004</v>
      </c>
      <c r="K59" s="67">
        <v>2.2000000000000002</v>
      </c>
      <c r="L59" s="67">
        <v>0.87</v>
      </c>
      <c r="M59" s="67">
        <v>6</v>
      </c>
      <c r="N59" s="67">
        <v>21.2</v>
      </c>
      <c r="O59" s="75">
        <v>42930</v>
      </c>
      <c r="P59" s="2">
        <f t="shared" si="10"/>
        <v>11.568181818181817</v>
      </c>
      <c r="Q59" s="53">
        <f t="shared" si="4"/>
        <v>2.4009433962264151</v>
      </c>
      <c r="R59" s="87">
        <f t="shared" si="5"/>
        <v>4.1037735849056602E-2</v>
      </c>
      <c r="S59" s="53">
        <f t="shared" si="6"/>
        <v>0.39545454545454545</v>
      </c>
      <c r="T59" s="53">
        <f t="shared" si="7"/>
        <v>0.73333333333333339</v>
      </c>
      <c r="U59" s="87">
        <f t="shared" si="8"/>
        <v>1.7092337917485264E-2</v>
      </c>
      <c r="W59" s="33">
        <f t="shared" si="9"/>
        <v>159.16999999999999</v>
      </c>
    </row>
    <row r="60" spans="1:23">
      <c r="A60">
        <f t="shared" si="2"/>
        <v>1</v>
      </c>
      <c r="B60" t="str">
        <f t="shared" si="3"/>
        <v>N</v>
      </c>
      <c r="C60" t="s">
        <v>272</v>
      </c>
      <c r="D60" s="13" t="s">
        <v>198</v>
      </c>
      <c r="E60" t="str">
        <f ca="1">INDEX(OFFSET(CashFlow,0,-1,,1),MATCH(D60,OFFSET(CashFlow,0,0,,1),0))</f>
        <v>South Jersey Inds.</v>
      </c>
      <c r="F60" s="66">
        <v>28</v>
      </c>
      <c r="G60" s="66">
        <v>38.4</v>
      </c>
      <c r="H60" s="66">
        <v>31.4</v>
      </c>
      <c r="I60" s="2">
        <f t="shared" si="13"/>
        <v>34.9</v>
      </c>
      <c r="J60" s="67">
        <v>2.4</v>
      </c>
      <c r="K60" s="67">
        <v>1.2</v>
      </c>
      <c r="L60" s="67">
        <v>1.1000000000000001</v>
      </c>
      <c r="M60" s="67">
        <v>3.4</v>
      </c>
      <c r="N60" s="67">
        <v>17.3</v>
      </c>
      <c r="O60" s="75">
        <v>42979</v>
      </c>
      <c r="P60" s="2">
        <f t="shared" si="10"/>
        <v>14.541666666666666</v>
      </c>
      <c r="Q60" s="53">
        <f t="shared" si="4"/>
        <v>2.0173410404624277</v>
      </c>
      <c r="R60" s="87">
        <f t="shared" si="5"/>
        <v>6.358381502890173E-2</v>
      </c>
      <c r="S60" s="53">
        <f t="shared" si="6"/>
        <v>0.91666666666666674</v>
      </c>
      <c r="T60" s="53">
        <f t="shared" si="7"/>
        <v>0.70588235294117652</v>
      </c>
      <c r="U60" s="87">
        <f t="shared" si="8"/>
        <v>3.1518624641833817E-2</v>
      </c>
      <c r="W60" s="33">
        <f t="shared" si="9"/>
        <v>123.20000000000002</v>
      </c>
    </row>
    <row r="61" spans="1:23">
      <c r="A61">
        <f t="shared" si="2"/>
        <v>1</v>
      </c>
      <c r="B61" t="str">
        <f t="shared" si="3"/>
        <v>E</v>
      </c>
      <c r="C61" t="s">
        <v>269</v>
      </c>
      <c r="D61" s="13" t="s">
        <v>38</v>
      </c>
      <c r="E61" t="str">
        <f>VLOOKUP(D61,'MP-CF (WP)'!$B$4:$U$81,2,FALSE)</f>
        <v xml:space="preserve">Southern Co.                  </v>
      </c>
      <c r="F61" s="66">
        <v>16.8</v>
      </c>
      <c r="G61" s="66">
        <v>52</v>
      </c>
      <c r="H61" s="66">
        <v>46.7</v>
      </c>
      <c r="I61" s="2">
        <f t="shared" si="13"/>
        <v>49.35</v>
      </c>
      <c r="J61" s="67">
        <v>6.25</v>
      </c>
      <c r="K61" s="67">
        <v>2.95</v>
      </c>
      <c r="L61" s="67">
        <v>2.2999999999999998</v>
      </c>
      <c r="M61" s="67">
        <v>8.6999999999999993</v>
      </c>
      <c r="N61" s="67">
        <v>24.3</v>
      </c>
      <c r="O61" s="75">
        <v>42965</v>
      </c>
      <c r="P61" s="2">
        <f t="shared" si="10"/>
        <v>7.8959999999999999</v>
      </c>
      <c r="Q61" s="53">
        <f t="shared" si="4"/>
        <v>2.0308641975308643</v>
      </c>
      <c r="R61" s="87">
        <f t="shared" si="5"/>
        <v>9.4650205761316858E-2</v>
      </c>
      <c r="S61" s="53">
        <f t="shared" si="6"/>
        <v>0.77966101694915246</v>
      </c>
      <c r="T61" s="53">
        <f t="shared" si="7"/>
        <v>0.71839080459770122</v>
      </c>
      <c r="U61" s="87">
        <f t="shared" si="8"/>
        <v>4.6605876393110431E-2</v>
      </c>
      <c r="W61" s="33">
        <f t="shared" si="9"/>
        <v>160</v>
      </c>
    </row>
    <row r="62" spans="1:23">
      <c r="A62">
        <f t="shared" si="2"/>
        <v>1</v>
      </c>
      <c r="B62" t="str">
        <f t="shared" si="3"/>
        <v>N</v>
      </c>
      <c r="C62" t="s">
        <v>272</v>
      </c>
      <c r="D62" s="13" t="s">
        <v>200</v>
      </c>
      <c r="E62" t="str">
        <f ca="1">INDEX(OFFSET(CashFlow,0,-1,,1),MATCH(D62,OFFSET(CashFlow,0,0,,1),0))</f>
        <v>Southwest Gas</v>
      </c>
      <c r="F62" s="66">
        <v>22.5</v>
      </c>
      <c r="G62" s="66">
        <v>86.6</v>
      </c>
      <c r="H62" s="66">
        <v>72.3</v>
      </c>
      <c r="I62" s="2">
        <f t="shared" si="13"/>
        <v>79.449999999999989</v>
      </c>
      <c r="J62" s="67">
        <v>9.25</v>
      </c>
      <c r="K62" s="67">
        <v>3.4</v>
      </c>
      <c r="L62" s="67">
        <v>1.98</v>
      </c>
      <c r="M62" s="67">
        <v>10.95</v>
      </c>
      <c r="N62" s="67">
        <v>37.5</v>
      </c>
      <c r="O62" s="75">
        <v>42979</v>
      </c>
      <c r="P62" s="2">
        <f t="shared" si="10"/>
        <v>8.5891891891891881</v>
      </c>
      <c r="Q62" s="53">
        <f t="shared" si="4"/>
        <v>2.1186666666666665</v>
      </c>
      <c r="R62" s="87">
        <f t="shared" si="5"/>
        <v>5.28E-2</v>
      </c>
      <c r="S62" s="53">
        <f t="shared" si="6"/>
        <v>0.58235294117647063</v>
      </c>
      <c r="T62" s="53">
        <f t="shared" si="7"/>
        <v>0.84474885844748859</v>
      </c>
      <c r="U62" s="87">
        <f t="shared" si="8"/>
        <v>2.4921334172435496E-2</v>
      </c>
      <c r="W62" s="33">
        <f t="shared" si="9"/>
        <v>244.47999999999996</v>
      </c>
    </row>
    <row r="63" spans="1:23">
      <c r="A63">
        <f t="shared" si="2"/>
        <v>1</v>
      </c>
      <c r="B63" t="str">
        <f t="shared" si="3"/>
        <v>N</v>
      </c>
      <c r="C63" t="s">
        <v>272</v>
      </c>
      <c r="D63" s="13" t="s">
        <v>244</v>
      </c>
      <c r="E63" t="str">
        <f ca="1">INDEX(OFFSET(CashFlow,0,-1,,1),MATCH(D63,OFFSET(CashFlow,0,0,,1),0))</f>
        <v>Spire Inc.</v>
      </c>
      <c r="F63" s="66">
        <v>19.899999999999999</v>
      </c>
      <c r="G63" s="66">
        <v>77.099999999999994</v>
      </c>
      <c r="H63" s="66">
        <v>62.3</v>
      </c>
      <c r="I63" s="2">
        <f t="shared" si="13"/>
        <v>69.699999999999989</v>
      </c>
      <c r="J63" s="67">
        <v>6.2</v>
      </c>
      <c r="K63" s="67">
        <v>3.55</v>
      </c>
      <c r="L63" s="67">
        <v>2.1</v>
      </c>
      <c r="M63" s="67">
        <v>6.75</v>
      </c>
      <c r="N63" s="67">
        <v>39.6</v>
      </c>
      <c r="O63" s="75">
        <v>42979</v>
      </c>
      <c r="P63" s="2">
        <f t="shared" si="10"/>
        <v>11.241935483870966</v>
      </c>
      <c r="Q63" s="53">
        <f t="shared" si="4"/>
        <v>1.7601010101010097</v>
      </c>
      <c r="R63" s="87">
        <f t="shared" si="5"/>
        <v>5.3030303030303032E-2</v>
      </c>
      <c r="S63" s="53">
        <f t="shared" si="6"/>
        <v>0.59154929577464799</v>
      </c>
      <c r="T63" s="53">
        <f t="shared" si="7"/>
        <v>0.91851851851851851</v>
      </c>
      <c r="U63" s="87">
        <f t="shared" si="8"/>
        <v>3.0129124820659978E-2</v>
      </c>
      <c r="W63" s="33">
        <f t="shared" si="9"/>
        <v>217.5</v>
      </c>
    </row>
    <row r="64" spans="1:23">
      <c r="A64">
        <f t="shared" si="2"/>
        <v>1</v>
      </c>
      <c r="B64" t="str">
        <f t="shared" si="3"/>
        <v>N</v>
      </c>
      <c r="C64" t="s">
        <v>272</v>
      </c>
      <c r="D64" s="13" t="s">
        <v>204</v>
      </c>
      <c r="E64" t="str">
        <f ca="1">INDEX(OFFSET(CashFlow,0,-1,,1),MATCH(D64,OFFSET(CashFlow,0,0,,1),0))</f>
        <v>UGI Corp.</v>
      </c>
      <c r="F64" s="66">
        <v>20.8</v>
      </c>
      <c r="G64" s="66">
        <v>52</v>
      </c>
      <c r="H64" s="66">
        <v>45</v>
      </c>
      <c r="I64" s="2">
        <f t="shared" si="13"/>
        <v>48.5</v>
      </c>
      <c r="J64" s="67">
        <v>4.7</v>
      </c>
      <c r="K64" s="67">
        <v>2.25</v>
      </c>
      <c r="L64" s="67">
        <v>0.95</v>
      </c>
      <c r="M64" s="67">
        <v>3.25</v>
      </c>
      <c r="N64" s="67">
        <v>17.3</v>
      </c>
      <c r="O64" s="75">
        <v>42979</v>
      </c>
      <c r="P64" s="2">
        <f t="shared" si="10"/>
        <v>10.319148936170212</v>
      </c>
      <c r="Q64" s="53">
        <f t="shared" si="4"/>
        <v>2.8034682080924855</v>
      </c>
      <c r="R64" s="87">
        <f t="shared" si="5"/>
        <v>5.4913294797687855E-2</v>
      </c>
      <c r="S64" s="53">
        <f t="shared" si="6"/>
        <v>0.42222222222222222</v>
      </c>
      <c r="T64" s="53">
        <f t="shared" si="7"/>
        <v>1.4461538461538461</v>
      </c>
      <c r="U64" s="87">
        <f t="shared" si="8"/>
        <v>1.9587628865979381E-2</v>
      </c>
      <c r="W64" s="33">
        <f t="shared" si="9"/>
        <v>146.25</v>
      </c>
    </row>
    <row r="65" spans="1:23">
      <c r="A65">
        <f t="shared" si="2"/>
        <v>1</v>
      </c>
      <c r="B65" t="str">
        <f t="shared" si="3"/>
        <v>E</v>
      </c>
      <c r="C65" t="s">
        <v>350</v>
      </c>
      <c r="D65" s="13" t="s">
        <v>42</v>
      </c>
      <c r="E65" t="str">
        <f>VLOOKUP(D65,'MP-CF (WP)'!$B$4:$U$81,2,FALSE)</f>
        <v xml:space="preserve">Vectren Corp.                 </v>
      </c>
      <c r="F65" s="66">
        <v>24.6</v>
      </c>
      <c r="G65" s="66">
        <v>67.2</v>
      </c>
      <c r="H65" s="66">
        <v>51.5</v>
      </c>
      <c r="I65" s="2">
        <f t="shared" si="13"/>
        <v>59.35</v>
      </c>
      <c r="J65" s="67">
        <v>5.85</v>
      </c>
      <c r="K65" s="67">
        <v>2.65</v>
      </c>
      <c r="L65" s="67">
        <v>1.7</v>
      </c>
      <c r="M65" s="67">
        <v>7</v>
      </c>
      <c r="N65" s="67">
        <v>21.9</v>
      </c>
      <c r="O65" s="75">
        <v>42993</v>
      </c>
      <c r="P65" s="2">
        <f t="shared" si="10"/>
        <v>10.145299145299147</v>
      </c>
      <c r="Q65" s="53">
        <f t="shared" si="4"/>
        <v>2.7100456621004567</v>
      </c>
      <c r="R65" s="87">
        <f t="shared" si="5"/>
        <v>7.7625570776255717E-2</v>
      </c>
      <c r="S65" s="53">
        <f t="shared" si="6"/>
        <v>0.64150943396226412</v>
      </c>
      <c r="T65" s="53">
        <f t="shared" si="7"/>
        <v>0.83571428571428563</v>
      </c>
      <c r="U65" s="87">
        <f t="shared" si="8"/>
        <v>2.8643639427127211E-2</v>
      </c>
      <c r="W65" s="33">
        <f t="shared" si="9"/>
        <v>182.4</v>
      </c>
    </row>
    <row r="66" spans="1:23">
      <c r="A66">
        <f t="shared" si="2"/>
        <v>1</v>
      </c>
      <c r="B66" t="str">
        <f t="shared" si="3"/>
        <v>E</v>
      </c>
      <c r="C66" t="s">
        <v>350</v>
      </c>
      <c r="D66" s="13" t="s">
        <v>44</v>
      </c>
      <c r="E66" t="str">
        <f>VLOOKUP(D66,'MP-CF (WP)'!$B$4:$U$81,2,FALSE)</f>
        <v>WEC Energy Group</v>
      </c>
      <c r="F66" s="66">
        <v>20.9</v>
      </c>
      <c r="G66" s="66">
        <v>65.7</v>
      </c>
      <c r="H66" s="66">
        <v>56.1</v>
      </c>
      <c r="I66" s="2">
        <f t="shared" si="13"/>
        <v>60.900000000000006</v>
      </c>
      <c r="J66" s="67">
        <v>5.6</v>
      </c>
      <c r="K66" s="67">
        <v>3.1</v>
      </c>
      <c r="L66" s="67">
        <v>2.08</v>
      </c>
      <c r="M66" s="67">
        <v>7</v>
      </c>
      <c r="N66" s="67">
        <v>29.3</v>
      </c>
      <c r="O66" s="75">
        <v>42993</v>
      </c>
      <c r="P66" s="2">
        <f t="shared" si="10"/>
        <v>10.875000000000002</v>
      </c>
      <c r="Q66" s="53">
        <f t="shared" si="4"/>
        <v>2.0784982935153584</v>
      </c>
      <c r="R66" s="87">
        <f t="shared" si="5"/>
        <v>7.0989761092150175E-2</v>
      </c>
      <c r="S66" s="53">
        <f t="shared" si="6"/>
        <v>0.67096774193548392</v>
      </c>
      <c r="T66" s="53">
        <f t="shared" si="7"/>
        <v>0.79999999999999993</v>
      </c>
      <c r="U66" s="87">
        <f t="shared" si="8"/>
        <v>3.4154351395730705E-2</v>
      </c>
      <c r="W66" s="33">
        <f t="shared" si="9"/>
        <v>189.78</v>
      </c>
    </row>
    <row r="67" spans="1:23">
      <c r="A67">
        <f t="shared" si="2"/>
        <v>1</v>
      </c>
      <c r="B67" t="str">
        <f t="shared" si="3"/>
        <v>E</v>
      </c>
      <c r="C67" t="s">
        <v>350</v>
      </c>
      <c r="D67" s="13" t="s">
        <v>43</v>
      </c>
      <c r="E67" t="str">
        <f>VLOOKUP(D67,'MP-CF (WP)'!$B$4:$U$81,2,FALSE)</f>
        <v xml:space="preserve">Westar Energy                 </v>
      </c>
      <c r="F67" s="66">
        <v>20.6</v>
      </c>
      <c r="G67" s="66">
        <v>56.6</v>
      </c>
      <c r="H67" s="66">
        <v>49.2</v>
      </c>
      <c r="I67" s="2">
        <f t="shared" si="13"/>
        <v>52.900000000000006</v>
      </c>
      <c r="J67" s="67">
        <v>4.9000000000000004</v>
      </c>
      <c r="K67" s="67">
        <v>2.4500000000000002</v>
      </c>
      <c r="L67" s="67">
        <v>1.6</v>
      </c>
      <c r="M67" s="67">
        <v>5.65</v>
      </c>
      <c r="N67" s="67">
        <v>28.05</v>
      </c>
      <c r="O67" s="75">
        <v>42993</v>
      </c>
      <c r="P67" s="2">
        <f t="shared" si="10"/>
        <v>10.795918367346939</v>
      </c>
      <c r="Q67" s="53">
        <f t="shared" si="4"/>
        <v>1.8859180035650625</v>
      </c>
      <c r="R67" s="87">
        <f t="shared" si="5"/>
        <v>5.7040998217468809E-2</v>
      </c>
      <c r="S67" s="53">
        <f t="shared" si="6"/>
        <v>0.65306122448979587</v>
      </c>
      <c r="T67" s="53">
        <f t="shared" si="7"/>
        <v>0.86725663716814161</v>
      </c>
      <c r="U67" s="87">
        <f t="shared" si="8"/>
        <v>3.0245746691871453E-2</v>
      </c>
      <c r="W67" s="33">
        <f t="shared" si="9"/>
        <v>169.05</v>
      </c>
    </row>
    <row r="68" spans="1:23">
      <c r="A68">
        <f t="shared" si="2"/>
        <v>1</v>
      </c>
      <c r="B68" t="str">
        <f t="shared" si="3"/>
        <v>N</v>
      </c>
      <c r="C68" t="s">
        <v>272</v>
      </c>
      <c r="D68" s="13" t="s">
        <v>206</v>
      </c>
      <c r="E68" t="str">
        <f ca="1">INDEX(OFFSET(CashFlow,0,-1,,1),MATCH(D68,OFFSET(CashFlow,0,0,,1),0))</f>
        <v>WGL Holdings Inc.</v>
      </c>
      <c r="F68" s="66">
        <v>24.2</v>
      </c>
      <c r="G68" s="66">
        <v>86.9</v>
      </c>
      <c r="H68" s="66">
        <v>73.5</v>
      </c>
      <c r="I68" s="2">
        <f t="shared" si="13"/>
        <v>80.2</v>
      </c>
      <c r="J68" s="67">
        <v>5.7</v>
      </c>
      <c r="K68" s="67">
        <v>3.3</v>
      </c>
      <c r="L68" s="67">
        <v>2.02</v>
      </c>
      <c r="M68" s="67">
        <v>10.6</v>
      </c>
      <c r="N68" s="67">
        <v>30.3</v>
      </c>
      <c r="O68" s="75">
        <v>42979</v>
      </c>
      <c r="P68" s="2">
        <f t="shared" si="10"/>
        <v>14.070175438596491</v>
      </c>
      <c r="Q68" s="53">
        <f t="shared" si="4"/>
        <v>2.6468646864686467</v>
      </c>
      <c r="R68" s="87">
        <f t="shared" si="5"/>
        <v>6.6666666666666666E-2</v>
      </c>
      <c r="S68" s="53">
        <f t="shared" si="6"/>
        <v>0.61212121212121218</v>
      </c>
      <c r="T68" s="53">
        <f t="shared" si="7"/>
        <v>0.53773584905660377</v>
      </c>
      <c r="U68" s="87">
        <f t="shared" si="8"/>
        <v>2.5187032418952617E-2</v>
      </c>
      <c r="W68" s="33">
        <f t="shared" si="9"/>
        <v>236.52000000000004</v>
      </c>
    </row>
    <row r="69" spans="1:23">
      <c r="A69">
        <f t="shared" si="2"/>
        <v>1</v>
      </c>
      <c r="B69" t="str">
        <f t="shared" si="3"/>
        <v>E</v>
      </c>
      <c r="C69" t="s">
        <v>270</v>
      </c>
      <c r="D69" s="13" t="s">
        <v>45</v>
      </c>
      <c r="E69" t="str">
        <f>VLOOKUP(D69,'MP-CF (WP)'!$B$4:$U$81,2,FALSE)</f>
        <v xml:space="preserve">Xcel Energy Inc.              </v>
      </c>
      <c r="F69" s="66">
        <v>20.2</v>
      </c>
      <c r="G69" s="66">
        <v>48.5</v>
      </c>
      <c r="H69" s="66">
        <v>40</v>
      </c>
      <c r="I69" s="2">
        <f t="shared" si="13"/>
        <v>44.25</v>
      </c>
      <c r="J69" s="67">
        <v>5.5</v>
      </c>
      <c r="K69" s="67">
        <v>2.2999999999999998</v>
      </c>
      <c r="L69" s="67">
        <v>1.44</v>
      </c>
      <c r="M69" s="67">
        <v>7.2</v>
      </c>
      <c r="N69" s="67">
        <v>22.6</v>
      </c>
      <c r="O69" s="75">
        <v>42944</v>
      </c>
      <c r="P69" s="2">
        <f t="shared" si="10"/>
        <v>8.045454545454545</v>
      </c>
      <c r="Q69" s="53">
        <f t="shared" si="4"/>
        <v>1.9579646017699113</v>
      </c>
      <c r="R69" s="87">
        <f t="shared" si="5"/>
        <v>6.3716814159292035E-2</v>
      </c>
      <c r="S69" s="53">
        <f t="shared" si="6"/>
        <v>0.62608695652173918</v>
      </c>
      <c r="T69" s="53">
        <f t="shared" si="7"/>
        <v>0.76388888888888884</v>
      </c>
      <c r="U69" s="87">
        <f t="shared" si="8"/>
        <v>3.2542372881355933E-2</v>
      </c>
      <c r="W69" s="33">
        <f t="shared" si="9"/>
        <v>147.74</v>
      </c>
    </row>
    <row r="70" spans="1:23">
      <c r="A70" t="str">
        <f t="shared" si="2"/>
        <v/>
      </c>
      <c r="B70" t="str">
        <f t="shared" si="3"/>
        <v>W</v>
      </c>
      <c r="C70" t="s">
        <v>271</v>
      </c>
      <c r="D70" s="13" t="s">
        <v>208</v>
      </c>
      <c r="E70" t="str">
        <f ca="1">INDEX(nameLU,MATCH(D70,tickerLU,0))</f>
        <v>York Water Co. (The)</v>
      </c>
      <c r="F70" s="66">
        <v>34.200000000000003</v>
      </c>
      <c r="G70" s="66">
        <v>39.9</v>
      </c>
      <c r="H70" s="66">
        <v>31.7</v>
      </c>
      <c r="I70" s="2">
        <f t="shared" si="13"/>
        <v>35.799999999999997</v>
      </c>
      <c r="J70" s="67">
        <v>1.65</v>
      </c>
      <c r="K70" s="67">
        <v>1.03</v>
      </c>
      <c r="L70" s="67">
        <v>0.66</v>
      </c>
      <c r="M70" s="67">
        <v>1.5</v>
      </c>
      <c r="N70" s="67">
        <v>9.1</v>
      </c>
      <c r="O70" s="75">
        <v>42930</v>
      </c>
      <c r="P70" s="2">
        <f t="shared" si="10"/>
        <v>21.696969696969695</v>
      </c>
      <c r="Q70" s="53">
        <f t="shared" si="4"/>
        <v>3.9340659340659339</v>
      </c>
      <c r="R70" s="53">
        <f t="shared" si="5"/>
        <v>7.2527472527472533E-2</v>
      </c>
      <c r="S70" s="53">
        <f t="shared" si="6"/>
        <v>0.64077669902912626</v>
      </c>
      <c r="T70" s="53">
        <f t="shared" si="7"/>
        <v>1.0999999999999999</v>
      </c>
      <c r="U70" s="87">
        <f t="shared" si="8"/>
        <v>1.8435754189944135E-2</v>
      </c>
      <c r="W70" s="33">
        <f t="shared" si="9"/>
        <v>119.74</v>
      </c>
    </row>
    <row r="71" spans="1:23">
      <c r="A71" t="str">
        <f t="shared" si="2"/>
        <v/>
      </c>
      <c r="B71" t="str">
        <f t="shared" si="3"/>
        <v/>
      </c>
      <c r="D71" s="13"/>
      <c r="E71" t="e">
        <f>VLOOKUP(D71,'MP-CF (WP)'!$B$4:$U$60,2,FALSE)</f>
        <v>#N/A</v>
      </c>
      <c r="F71" s="33"/>
      <c r="G71" s="33"/>
      <c r="H71" s="33"/>
      <c r="I71" s="2" t="str">
        <f t="shared" ref="I71:I72" si="14">IFERROR(AVERAGE(G71:H71),"")</f>
        <v/>
      </c>
      <c r="J71" s="2"/>
      <c r="K71" s="2"/>
      <c r="L71" s="2"/>
      <c r="M71" s="2"/>
      <c r="N71" s="2"/>
      <c r="O71" s="75"/>
      <c r="P71" s="2" t="str">
        <f t="shared" si="10"/>
        <v/>
      </c>
      <c r="Q71" s="53" t="str">
        <f t="shared" si="4"/>
        <v/>
      </c>
      <c r="R71" s="53" t="str">
        <f t="shared" si="5"/>
        <v/>
      </c>
      <c r="S71" s="53" t="str">
        <f t="shared" si="6"/>
        <v/>
      </c>
      <c r="T71" s="53" t="str">
        <f t="shared" si="7"/>
        <v/>
      </c>
      <c r="U71" s="87" t="str">
        <f t="shared" si="8"/>
        <v/>
      </c>
      <c r="W71" s="33">
        <f t="shared" si="9"/>
        <v>0</v>
      </c>
    </row>
    <row r="72" spans="1:23">
      <c r="A72" t="str">
        <f t="shared" si="2"/>
        <v/>
      </c>
      <c r="B72" t="str">
        <f t="shared" si="3"/>
        <v/>
      </c>
      <c r="D72" s="13"/>
      <c r="E72" t="e">
        <f>VLOOKUP(D72,'MP-CF (WP)'!$B$4:$U$60,2,FALSE)</f>
        <v>#N/A</v>
      </c>
      <c r="F72" s="33"/>
      <c r="G72" s="33"/>
      <c r="H72" s="33"/>
      <c r="I72" s="2" t="str">
        <f t="shared" si="14"/>
        <v/>
      </c>
      <c r="J72" s="2"/>
      <c r="K72" s="2"/>
      <c r="L72" s="2"/>
      <c r="M72" s="2"/>
      <c r="N72" s="2"/>
      <c r="O72" s="75"/>
      <c r="P72" s="2" t="str">
        <f t="shared" si="10"/>
        <v/>
      </c>
      <c r="Q72" s="53" t="str">
        <f t="shared" si="4"/>
        <v/>
      </c>
      <c r="R72" s="53" t="str">
        <f t="shared" si="5"/>
        <v/>
      </c>
      <c r="S72" s="53" t="str">
        <f t="shared" si="6"/>
        <v/>
      </c>
      <c r="T72" s="53" t="str">
        <f t="shared" si="7"/>
        <v/>
      </c>
      <c r="U72" s="87" t="str">
        <f t="shared" si="8"/>
        <v/>
      </c>
      <c r="W72" s="33">
        <f t="shared" si="9"/>
        <v>0</v>
      </c>
    </row>
    <row r="73" spans="1:23">
      <c r="F73" s="33"/>
      <c r="G73" s="33"/>
      <c r="H73" s="33"/>
      <c r="I73" s="2"/>
      <c r="J73" s="2"/>
      <c r="K73" s="2"/>
      <c r="L73" s="2"/>
      <c r="M73" s="2"/>
      <c r="N73" s="2"/>
      <c r="O73" s="75"/>
      <c r="P73" s="2" t="str">
        <f t="shared" ref="P73" si="15">IFERROR(I73/J73,"")</f>
        <v/>
      </c>
      <c r="Q73" s="53" t="str">
        <f t="shared" ref="Q73" si="16">IFERROR(I73/N73,"")</f>
        <v/>
      </c>
      <c r="S73" s="32"/>
      <c r="W73" s="33"/>
    </row>
    <row r="74" spans="1:23" hidden="1">
      <c r="F74" s="33"/>
      <c r="G74" s="33"/>
      <c r="H74" s="33"/>
      <c r="S74" s="32"/>
    </row>
    <row r="76" spans="1:23">
      <c r="C76" t="s">
        <v>347</v>
      </c>
      <c r="D76">
        <f>COUNTIFS($W$9:$W$72,"&gt;0")</f>
        <v>61</v>
      </c>
      <c r="E76" t="s">
        <v>348</v>
      </c>
      <c r="F76" s="83">
        <f>IFERROR(AVERAGEIFS(F$9:F$75,$W$9:$W$75,"&gt;0"),"N/A")</f>
        <v>22.00491803278689</v>
      </c>
      <c r="G76" s="83">
        <f>IFERROR(AVERAGEIFS(G$9:G$75,$W$9:$W$75,"&gt;0"),"N/A")</f>
        <v>60.047540983606545</v>
      </c>
      <c r="H76" s="83">
        <f>IFERROR(AVERAGEIFS(H$9:H$75,$W$9:$W$75,"&gt;0"),"N/A")</f>
        <v>51.355737704918027</v>
      </c>
      <c r="I76" s="2">
        <f>IFERROR(AVERAGE(G76:H76),"N/A")</f>
        <v>55.70163934426229</v>
      </c>
      <c r="J76" s="83">
        <f>IFERROR(AVERAGEIFS(J$9:J$75,$W$9:$W$75,"&gt;0"),"N/A")</f>
        <v>5.997540983606557</v>
      </c>
      <c r="K76" s="83">
        <f>IFERROR(AVERAGEIFS(K$9:K$75,$W$9:$W$75,"&gt;0"),"N/A")</f>
        <v>2.7829508196721311</v>
      </c>
      <c r="L76" s="83">
        <f>IFERROR(AVERAGEIFS(L$9:L$75,$W$9:$W$75,"&gt;0"),"N/A")</f>
        <v>1.7211475409836068</v>
      </c>
      <c r="M76" s="83">
        <f>IFERROR(AVERAGEIFS(M$9:M$75,$W$9:$W$75,"&gt;0"),"N/A")</f>
        <v>7.3008196721311442</v>
      </c>
      <c r="N76" s="83">
        <f>IFERROR(AVERAGEIFS(N$9:N$75,$W$9:$W$75,"&gt;0"),"N/A")</f>
        <v>28.686885245901639</v>
      </c>
      <c r="O76" s="2"/>
      <c r="P76" s="83">
        <f>IFERROR(AVERAGEIFS(P$9:P$75,$W$9:$W$75,"&gt;0"),"N/A")</f>
        <v>10.244533425333195</v>
      </c>
      <c r="Q76" s="83">
        <f>IFERROR(AVERAGEIFS(Q$9:Q$75,$W$9:$W$75,"&gt;0"),"N/A")</f>
        <v>2.0740212899800086</v>
      </c>
      <c r="R76" s="83">
        <f>IFERROR(AVERAGEIFS(R$9:R$75,$W$9:$W$75,"&gt;0"),"N/A")</f>
        <v>6.2224701106910807E-2</v>
      </c>
      <c r="S76" s="83">
        <f>IFERROR(AVERAGEIFS(S$9:S$75,$W$9:$W$75,"&gt;0"),"N/A")</f>
        <v>0.64081345909386433</v>
      </c>
      <c r="T76" s="83">
        <f>IFERROR(AVERAGEIFS(T$9:T$75,$W$9:$W$75,"&gt;0"),"N/A")</f>
        <v>0.93347861443370872</v>
      </c>
      <c r="U76" s="83"/>
    </row>
    <row r="77" spans="1:23">
      <c r="C77" t="s">
        <v>347</v>
      </c>
      <c r="D77">
        <f>COUNTIFS($W$9:$W$72,"&gt;0",$C$9:$C$72,E77)</f>
        <v>16</v>
      </c>
      <c r="E77" t="s">
        <v>350</v>
      </c>
      <c r="F77" s="83">
        <f t="shared" ref="F77:H79" si="17">IFERROR(AVERAGEIFS(F$9:F$72,$W$9:$W$72,"&gt;0",$C$9:$C$72,$E77),"N/A")</f>
        <v>22.03125</v>
      </c>
      <c r="G77" s="83">
        <f t="shared" si="17"/>
        <v>59.093750000000007</v>
      </c>
      <c r="H77" s="83">
        <f t="shared" si="17"/>
        <v>49.756250000000009</v>
      </c>
      <c r="I77" s="2">
        <f t="shared" ref="I77:I83" si="18">IFERROR(AVERAGE(G77:H77),"N/A")</f>
        <v>54.425000000000011</v>
      </c>
      <c r="J77" s="83">
        <f t="shared" ref="J77:N79" si="19">IFERROR(AVERAGEIFS(J$9:J$72,$W$9:$W$72,"&gt;0",$C$9:$C$72,$E77),"N/A")</f>
        <v>6.3500000000000005</v>
      </c>
      <c r="K77" s="83">
        <f t="shared" si="19"/>
        <v>2.8156250000000003</v>
      </c>
      <c r="L77" s="83">
        <f t="shared" si="19"/>
        <v>1.7993749999999999</v>
      </c>
      <c r="M77" s="83">
        <f t="shared" si="19"/>
        <v>7.4749999999999996</v>
      </c>
      <c r="N77" s="83">
        <f t="shared" si="19"/>
        <v>27.728124999999999</v>
      </c>
      <c r="O77" s="2"/>
      <c r="P77" s="83">
        <f t="shared" ref="P77:T79" si="20">IFERROR(AVERAGEIFS(P$9:P$72,$W$9:$W$72,"&gt;0",$C$9:$C$72,$E77),"N/A")</f>
        <v>9.5415117225032375</v>
      </c>
      <c r="Q77" s="83">
        <f t="shared" si="20"/>
        <v>2.1016241295554572</v>
      </c>
      <c r="R77" s="83">
        <f t="shared" si="20"/>
        <v>6.8666552290235966E-2</v>
      </c>
      <c r="S77" s="83">
        <f t="shared" si="20"/>
        <v>0.71593994935250183</v>
      </c>
      <c r="T77" s="83">
        <f t="shared" si="20"/>
        <v>0.92065394021593205</v>
      </c>
      <c r="U77" s="83"/>
    </row>
    <row r="78" spans="1:23">
      <c r="C78" t="s">
        <v>347</v>
      </c>
      <c r="D78">
        <f>COUNTIFS($W$9:$W$72,"&gt;0",$C$9:$C$72,E78)</f>
        <v>12</v>
      </c>
      <c r="E78" t="s">
        <v>269</v>
      </c>
      <c r="F78" s="83">
        <f t="shared" si="17"/>
        <v>18.125</v>
      </c>
      <c r="G78" s="83">
        <f t="shared" si="17"/>
        <v>66.333333333333343</v>
      </c>
      <c r="H78" s="83">
        <f t="shared" si="17"/>
        <v>55.933333333333344</v>
      </c>
      <c r="I78" s="2">
        <f t="shared" si="18"/>
        <v>61.13333333333334</v>
      </c>
      <c r="J78" s="83">
        <f t="shared" si="19"/>
        <v>7.3291666666666666</v>
      </c>
      <c r="K78" s="83">
        <f t="shared" si="19"/>
        <v>3.4333333333333336</v>
      </c>
      <c r="L78" s="83">
        <f t="shared" si="19"/>
        <v>2.3025000000000002</v>
      </c>
      <c r="M78" s="83">
        <f t="shared" si="19"/>
        <v>9.5583333333333336</v>
      </c>
      <c r="N78" s="83">
        <f t="shared" si="19"/>
        <v>35.31666666666667</v>
      </c>
      <c r="O78" s="2"/>
      <c r="P78" s="83">
        <f t="shared" si="20"/>
        <v>8.382359933699318</v>
      </c>
      <c r="Q78" s="83">
        <f t="shared" si="20"/>
        <v>1.8296021788903765</v>
      </c>
      <c r="R78" s="83">
        <f t="shared" si="20"/>
        <v>7.1623182675294869E-2</v>
      </c>
      <c r="S78" s="83">
        <f t="shared" si="20"/>
        <v>0.67801542932520287</v>
      </c>
      <c r="T78" s="83">
        <f t="shared" si="20"/>
        <v>0.76396230898679773</v>
      </c>
      <c r="U78" s="83"/>
    </row>
    <row r="79" spans="1:23">
      <c r="C79" t="s">
        <v>347</v>
      </c>
      <c r="D79">
        <f>COUNTIFS($W$9:$W$72,"&gt;0",$C$9:$C$72,E79)</f>
        <v>13</v>
      </c>
      <c r="E79" t="s">
        <v>270</v>
      </c>
      <c r="F79" s="83">
        <f t="shared" si="17"/>
        <v>20.207692307692305</v>
      </c>
      <c r="G79" s="83">
        <f t="shared" si="17"/>
        <v>59.784615384615378</v>
      </c>
      <c r="H79" s="83">
        <f t="shared" si="17"/>
        <v>56.084615384615375</v>
      </c>
      <c r="I79" s="2">
        <f t="shared" si="18"/>
        <v>57.934615384615377</v>
      </c>
      <c r="J79" s="83">
        <f t="shared" si="19"/>
        <v>7.2230769230769223</v>
      </c>
      <c r="K79" s="83">
        <f t="shared" si="19"/>
        <v>3.1346153846153841</v>
      </c>
      <c r="L79" s="83">
        <f t="shared" si="19"/>
        <v>1.8553846153846154</v>
      </c>
      <c r="M79" s="83">
        <f t="shared" si="19"/>
        <v>8.0807692307692314</v>
      </c>
      <c r="N79" s="83">
        <f t="shared" si="19"/>
        <v>33.315384615384616</v>
      </c>
      <c r="O79" s="2"/>
      <c r="P79" s="83">
        <f t="shared" si="20"/>
        <v>8.0337825119069191</v>
      </c>
      <c r="Q79" s="83">
        <f t="shared" si="20"/>
        <v>1.7371950749788392</v>
      </c>
      <c r="R79" s="83">
        <f t="shared" si="20"/>
        <v>5.5321468795217078E-2</v>
      </c>
      <c r="S79" s="83">
        <f t="shared" si="20"/>
        <v>0.60016680116985044</v>
      </c>
      <c r="T79" s="83">
        <f t="shared" si="20"/>
        <v>0.92737782433269156</v>
      </c>
      <c r="U79" s="83"/>
    </row>
    <row r="80" spans="1:23">
      <c r="C80" t="s">
        <v>347</v>
      </c>
      <c r="D80">
        <f>COUNTIFS($W$9:$W$72,"&gt;0",$B$9:$B$72,LEFT(E80,1))</f>
        <v>41</v>
      </c>
      <c r="E80" t="s">
        <v>352</v>
      </c>
      <c r="F80" s="83">
        <f t="shared" ref="F80:H81" si="21">IFERROR(AVERAGEIFS(F$9:F$72,$W$9:$W$72,"&gt;0",$B$9:$B$72,LEFT($E80,1)),"N/A")</f>
        <v>20.309756097560978</v>
      </c>
      <c r="G80" s="83">
        <f t="shared" si="21"/>
        <v>61.431707317073155</v>
      </c>
      <c r="H80" s="83">
        <f t="shared" si="21"/>
        <v>53.570731707317073</v>
      </c>
      <c r="I80" s="2">
        <f t="shared" si="18"/>
        <v>57.501219512195114</v>
      </c>
      <c r="J80" s="83">
        <f t="shared" ref="J80:N81" si="22">IFERROR(AVERAGEIFS(J$9:J$72,$W$9:$W$72,"&gt;0",$B$9:$B$72,LEFT($E80,1)),"N/A")</f>
        <v>6.9134146341463412</v>
      </c>
      <c r="K80" s="83">
        <f t="shared" si="22"/>
        <v>3.0975609756097562</v>
      </c>
      <c r="L80" s="83">
        <f t="shared" si="22"/>
        <v>1.9643902439024392</v>
      </c>
      <c r="M80" s="83">
        <f t="shared" si="22"/>
        <v>8.2768292682926816</v>
      </c>
      <c r="N80" s="83">
        <f t="shared" si="22"/>
        <v>31.720731707317071</v>
      </c>
      <c r="P80" s="83">
        <f t="shared" ref="P80:T81" si="23">IFERROR(AVERAGEIFS(P$9:P$72,$W$9:$W$72,"&gt;0",$B$9:$B$72,LEFT($E80,1)),"N/A")</f>
        <v>8.7241873029081347</v>
      </c>
      <c r="Q80" s="83">
        <f t="shared" si="23"/>
        <v>1.9064572730316276</v>
      </c>
      <c r="R80" s="83">
        <f t="shared" si="23"/>
        <v>6.5300539587442336E-2</v>
      </c>
      <c r="S80" s="83">
        <f t="shared" si="23"/>
        <v>0.66813153065245168</v>
      </c>
      <c r="T80" s="83">
        <f t="shared" si="23"/>
        <v>0.8769249382346701</v>
      </c>
      <c r="U80" s="83"/>
    </row>
    <row r="81" spans="3:21">
      <c r="C81" t="s">
        <v>347</v>
      </c>
      <c r="D81">
        <f>COUNTIFS($W$9:$W$72,"&gt;0",$B$9:$B$72,LEFT(E81,1))</f>
        <v>11</v>
      </c>
      <c r="E81" t="s">
        <v>272</v>
      </c>
      <c r="F81" s="83">
        <f t="shared" si="21"/>
        <v>25.045454545454547</v>
      </c>
      <c r="G81" s="83">
        <f t="shared" si="21"/>
        <v>65.663636363636357</v>
      </c>
      <c r="H81" s="83">
        <f t="shared" si="21"/>
        <v>53.93636363636363</v>
      </c>
      <c r="I81" s="2">
        <f t="shared" si="18"/>
        <v>59.8</v>
      </c>
      <c r="J81" s="83">
        <f t="shared" si="22"/>
        <v>5.0863636363636369</v>
      </c>
      <c r="K81" s="83">
        <f t="shared" si="22"/>
        <v>2.5181818181818181</v>
      </c>
      <c r="L81" s="83">
        <f t="shared" si="22"/>
        <v>1.499090909090909</v>
      </c>
      <c r="M81" s="83">
        <f t="shared" si="22"/>
        <v>6.922727272727272</v>
      </c>
      <c r="N81" s="83">
        <f t="shared" si="22"/>
        <v>27.554545454545458</v>
      </c>
      <c r="P81" s="83">
        <f t="shared" si="23"/>
        <v>12.162864371308189</v>
      </c>
      <c r="Q81" s="83">
        <f t="shared" si="23"/>
        <v>2.222732738219678</v>
      </c>
      <c r="R81" s="83">
        <f t="shared" si="23"/>
        <v>5.6014853900742373E-2</v>
      </c>
      <c r="S81" s="83">
        <f t="shared" si="23"/>
        <v>0.62588290787584078</v>
      </c>
      <c r="T81" s="83">
        <f t="shared" si="23"/>
        <v>0.81684616553137812</v>
      </c>
      <c r="U81" s="83"/>
    </row>
    <row r="82" spans="3:21">
      <c r="C82" t="s">
        <v>347</v>
      </c>
      <c r="D82" s="82">
        <f>COUNTIFS($W$9:$W$72,"&gt;0",$A$9:$A$72,1)</f>
        <v>52</v>
      </c>
      <c r="E82" t="s">
        <v>349</v>
      </c>
      <c r="F82" s="83">
        <f>IFERROR(AVERAGEIFS(F$9:F$72,$W$9:$W$72,"&gt;0",$A$9:$A$72,1),"N/A")</f>
        <v>21.311538461538461</v>
      </c>
      <c r="G82" s="83">
        <f>IFERROR(AVERAGEIFS(G$9:G$72,$W$9:$W$72,"&gt;0",$A$9:$A$72,1),"N/A")</f>
        <v>62.326923076923059</v>
      </c>
      <c r="H82" s="83">
        <f>IFERROR(AVERAGEIFS(H$9:H$72,$W$9:$W$72,"&gt;0",$A$9:$A$72,1),"N/A")</f>
        <v>53.648076923076921</v>
      </c>
      <c r="I82" s="2">
        <f t="shared" si="18"/>
        <v>57.98749999999999</v>
      </c>
      <c r="J82" s="83">
        <f>IFERROR(AVERAGEIFS(J$9:J$72,$W$9:$W$72,"&gt;0",$A$9:$A$72,1),"N/A")</f>
        <v>6.5269230769230768</v>
      </c>
      <c r="K82" s="83">
        <f>IFERROR(AVERAGEIFS(K$9:K$72,$W$9:$W$72,"&gt;0",$A$9:$A$72,1),"N/A")</f>
        <v>2.9750000000000005</v>
      </c>
      <c r="L82" s="83">
        <f>IFERROR(AVERAGEIFS(L$9:L$72,$W$9:$W$72,"&gt;0",$A$9:$A$72,1),"N/A")</f>
        <v>1.8659615384615384</v>
      </c>
      <c r="M82" s="83">
        <f>IFERROR(AVERAGEIFS(M$9:M$72,$W$9:$W$72,"&gt;0",$A$9:$A$72,1),"N/A")</f>
        <v>7.9903846153846132</v>
      </c>
      <c r="N82" s="83">
        <f>IFERROR(AVERAGEIFS(N$9:N$72,$W$9:$W$72,"&gt;0",$A$9:$A$72,1),"N/A")</f>
        <v>30.839423076923069</v>
      </c>
      <c r="P82" s="83">
        <f>IFERROR(AVERAGEIFS(P$9:P$72,$W$9:$W$72,"&gt;0",$A$9:$A$72,1),"N/A")</f>
        <v>9.4515997596850703</v>
      </c>
      <c r="Q82" s="128">
        <f>IFERROR(AVERAGEIFS(Q$9:Q$72,$W$9:$W$72,"&gt;0",$A$9:$A$72,1),"N/A")</f>
        <v>1.9733616983598687</v>
      </c>
      <c r="R82" s="83">
        <f>IFERROR(AVERAGEIFS(R$9:R$72,$W$9:$W$72,"&gt;0",$A$9:$A$72,1),"N/A")</f>
        <v>6.3336259922948127E-2</v>
      </c>
      <c r="S82" s="83">
        <f>IFERROR(AVERAGEIFS(S$9:S$72,$W$9:$W$72,"&gt;0",$A$9:$A$72,1),"N/A")</f>
        <v>0.65919432198816863</v>
      </c>
      <c r="T82" s="83">
        <f>IFERROR(AVERAGEIFS(T$9:T$72,$W$9:$W$72,"&gt;0",$A$9:$A$72,1),"N/A")</f>
        <v>0.86421596708589687</v>
      </c>
      <c r="U82" s="83"/>
    </row>
    <row r="83" spans="3:21">
      <c r="C83" t="s">
        <v>347</v>
      </c>
      <c r="D83">
        <f>COUNTIFS($W$9:$W$72,"&gt;0",$B$9:$B$72,LEFT(E83,1))</f>
        <v>9</v>
      </c>
      <c r="E83" t="s">
        <v>271</v>
      </c>
      <c r="F83" s="83">
        <f>IFERROR(AVERAGEIFS(F$9:F$72,$W$9:$W$72,"&gt;0",$B$9:$B$72,LEFT($E83,1)),"N/A")</f>
        <v>26.011111111111106</v>
      </c>
      <c r="G83" s="83">
        <f>IFERROR(AVERAGEIFS(G$9:G$72,$W$9:$W$72,"&gt;0",$B$9:$B$72,LEFT($E83,1)),"N/A")</f>
        <v>46.877777777777773</v>
      </c>
      <c r="H83" s="83">
        <f>IFERROR(AVERAGEIFS(H$9:H$72,$W$9:$W$72,"&gt;0",$B$9:$B$72,LEFT($E83,1)),"N/A")</f>
        <v>38.111111111111107</v>
      </c>
      <c r="I83" s="2">
        <f t="shared" si="18"/>
        <v>42.49444444444444</v>
      </c>
      <c r="J83" s="83">
        <f>IFERROR(AVERAGEIFS(J$9:J$72,$W$9:$W$72,"&gt;0",$B$9:$B$72,LEFT($E83,1)),"N/A")</f>
        <v>2.9388888888888882</v>
      </c>
      <c r="K83" s="83">
        <f>IFERROR(AVERAGEIFS(K$9:K$72,$W$9:$W$72,"&gt;0",$B$9:$B$72,LEFT($E83,1)),"N/A")</f>
        <v>1.6733333333333333</v>
      </c>
      <c r="L83" s="83">
        <f>IFERROR(AVERAGEIFS(L$9:L$72,$W$9:$W$72,"&gt;0",$B$9:$B$72,LEFT($E83,1)),"N/A")</f>
        <v>0.88444444444444437</v>
      </c>
      <c r="M83" s="83">
        <f>IFERROR(AVERAGEIFS(M$9:M$72,$W$9:$W$72,"&gt;0",$B$9:$B$72,LEFT($E83,1)),"N/A")</f>
        <v>3.3166666666666664</v>
      </c>
      <c r="N83" s="83">
        <f>IFERROR(AVERAGEIFS(N$9:N$72,$W$9:$W$72,"&gt;0",$B$9:$B$72,LEFT($E83,1)),"N/A")</f>
        <v>16.25</v>
      </c>
      <c r="P83" s="83">
        <f>IFERROR(AVERAGEIFS(P$9:P$72,$W$9:$W$72,"&gt;0",$B$9:$B$72,LEFT($E83,1)),"N/A")</f>
        <v>14.825927937966785</v>
      </c>
      <c r="Q83" s="83">
        <f>IFERROR(AVERAGEIFS(Q$9:Q$72,$W$9:$W$72,"&gt;0",$B$9:$B$72,LEFT($E83,1)),"N/A")</f>
        <v>2.655610041563039</v>
      </c>
      <c r="R83" s="83">
        <f>IFERROR(AVERAGEIFS(R$9:R$72,$W$9:$W$72,"&gt;0",$B$9:$B$72,LEFT($E83,1)),"N/A")</f>
        <v>5.5802361280917347E-2</v>
      </c>
      <c r="S83" s="83">
        <f>IFERROR(AVERAGEIFS(S$9:S$72,$W$9:$W$72,"&gt;0",$B$9:$B$72,LEFT($E83,1)),"N/A")</f>
        <v>0.53461291792677212</v>
      </c>
      <c r="T83" s="83">
        <f>IFERROR(AVERAGEIFS(T$9:T$72,$W$9:$W$72,"&gt;0",$B$9:$B$72,LEFT($E83,1)),"N/A")</f>
        <v>1.3336627991099532</v>
      </c>
      <c r="U83" s="83"/>
    </row>
  </sheetData>
  <autoFilter ref="A8:AD73">
    <filterColumn colId="2"/>
  </autoFilter>
  <sortState ref="C9:S69">
    <sortCondition ref="E9:E69"/>
  </sortState>
  <mergeCells count="1">
    <mergeCell ref="G5:I5"/>
  </mergeCells>
  <pageMargins left="0.3" right="0.3" top="0.45" bottom="0.54" header="0.3" footer="0.3"/>
  <pageSetup scale="69" fitToHeight="0" orientation="landscape" r:id="rId1"/>
  <headerFooter>
    <oddFooter>&amp;L&amp;F&amp;R&amp;A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Q73"/>
  <sheetViews>
    <sheetView topLeftCell="A52" workbookViewId="0">
      <selection activeCell="I72" sqref="I72"/>
    </sheetView>
  </sheetViews>
  <sheetFormatPr defaultColWidth="8.75" defaultRowHeight="11.25"/>
  <cols>
    <col min="1" max="1" width="8.75" style="60"/>
    <col min="2" max="2" width="17.375" style="60" bestFit="1" customWidth="1"/>
    <col min="3" max="3" width="6.875" style="60" customWidth="1"/>
    <col min="4" max="4" width="7.875" style="60" customWidth="1"/>
    <col min="5" max="7" width="6.875" style="60" customWidth="1"/>
    <col min="8" max="8" width="7.625" style="60" customWidth="1"/>
    <col min="9" max="10" width="6.875" style="60" customWidth="1"/>
    <col min="11" max="11" width="1.75" style="60" customWidth="1"/>
    <col min="12" max="12" width="4.75" style="60" bestFit="1" customWidth="1"/>
    <col min="13" max="13" width="4.875" style="60" bestFit="1" customWidth="1"/>
    <col min="14" max="14" width="5.875" style="60" customWidth="1"/>
    <col min="15" max="15" width="6.25" style="60" bestFit="1" customWidth="1"/>
    <col min="16" max="16" width="5.25" style="60" bestFit="1" customWidth="1"/>
    <col min="17" max="16384" width="8.75" style="60"/>
  </cols>
  <sheetData>
    <row r="1" spans="1:17">
      <c r="A1" s="72">
        <v>42907</v>
      </c>
      <c r="B1" s="60" t="s">
        <v>319</v>
      </c>
    </row>
    <row r="2" spans="1:17" ht="45">
      <c r="A2" s="84">
        <f>COUNTA(A5:A300)</f>
        <v>69</v>
      </c>
      <c r="C2" s="73" t="s">
        <v>339</v>
      </c>
      <c r="D2" s="73" t="s">
        <v>341</v>
      </c>
      <c r="E2" s="73" t="s">
        <v>343</v>
      </c>
      <c r="F2" s="73" t="s">
        <v>345</v>
      </c>
      <c r="G2" s="73" t="s">
        <v>340</v>
      </c>
      <c r="H2" s="73" t="s">
        <v>342</v>
      </c>
      <c r="I2" s="73" t="s">
        <v>344</v>
      </c>
      <c r="J2" s="73" t="s">
        <v>346</v>
      </c>
      <c r="K2" s="59"/>
      <c r="L2" s="59"/>
      <c r="M2" s="59"/>
      <c r="N2" s="59"/>
      <c r="O2" s="59"/>
      <c r="P2" s="59"/>
    </row>
    <row r="3" spans="1:17">
      <c r="A3" s="84">
        <v>1</v>
      </c>
      <c r="B3" s="60">
        <v>2</v>
      </c>
      <c r="C3" s="73">
        <v>3</v>
      </c>
      <c r="D3" s="84">
        <v>4</v>
      </c>
      <c r="E3" s="60">
        <v>5</v>
      </c>
      <c r="F3" s="73">
        <v>6</v>
      </c>
      <c r="G3" s="84">
        <v>7</v>
      </c>
      <c r="H3" s="60">
        <v>8</v>
      </c>
      <c r="I3" s="73">
        <v>9</v>
      </c>
      <c r="J3" s="84">
        <v>10</v>
      </c>
      <c r="K3" s="60">
        <v>11</v>
      </c>
      <c r="L3" s="73">
        <v>12</v>
      </c>
      <c r="M3" s="84">
        <v>13</v>
      </c>
      <c r="N3" s="60">
        <v>14</v>
      </c>
      <c r="O3" s="73">
        <v>15</v>
      </c>
      <c r="P3" s="84">
        <v>16</v>
      </c>
      <c r="Q3" s="60">
        <v>17</v>
      </c>
    </row>
    <row r="4" spans="1:17" ht="33.75">
      <c r="A4" s="81" t="s">
        <v>118</v>
      </c>
      <c r="B4" s="81" t="s">
        <v>117</v>
      </c>
      <c r="C4" s="81" t="s">
        <v>309</v>
      </c>
      <c r="D4" s="81" t="s">
        <v>310</v>
      </c>
      <c r="E4" s="81" t="s">
        <v>311</v>
      </c>
      <c r="F4" s="81" t="s">
        <v>312</v>
      </c>
      <c r="G4" s="81" t="s">
        <v>313</v>
      </c>
      <c r="H4" s="81" t="s">
        <v>314</v>
      </c>
      <c r="I4" s="81" t="s">
        <v>315</v>
      </c>
      <c r="J4" s="81" t="s">
        <v>338</v>
      </c>
      <c r="L4" s="88" t="s">
        <v>114</v>
      </c>
      <c r="M4" s="88" t="s">
        <v>245</v>
      </c>
      <c r="N4" s="88" t="s">
        <v>358</v>
      </c>
      <c r="O4" s="88" t="s">
        <v>327</v>
      </c>
      <c r="P4" s="88" t="s">
        <v>328</v>
      </c>
      <c r="Q4" s="88" t="s">
        <v>380</v>
      </c>
    </row>
    <row r="5" spans="1:17">
      <c r="A5" s="60" t="s">
        <v>163</v>
      </c>
      <c r="B5" s="60" t="s">
        <v>162</v>
      </c>
      <c r="C5" s="60">
        <v>61.71</v>
      </c>
      <c r="D5" s="60">
        <v>35.872999999999998</v>
      </c>
      <c r="E5" s="60">
        <v>5.0510000000000002</v>
      </c>
      <c r="F5" s="60">
        <v>0.6</v>
      </c>
      <c r="G5" s="60">
        <v>37.026000000000003</v>
      </c>
      <c r="H5" s="60">
        <v>2.0110000000000001</v>
      </c>
      <c r="I5" s="60">
        <v>0.88</v>
      </c>
      <c r="J5" s="60">
        <v>2.3769999999999998</v>
      </c>
    </row>
    <row r="6" spans="1:17">
      <c r="A6" s="60" t="s">
        <v>0</v>
      </c>
      <c r="B6" s="60" t="s">
        <v>119</v>
      </c>
      <c r="C6" s="60">
        <v>18.632000000000001</v>
      </c>
      <c r="D6" s="60">
        <v>38.164999999999999</v>
      </c>
      <c r="E6" s="60">
        <v>7.0789999999999997</v>
      </c>
      <c r="F6" s="60">
        <v>3.14</v>
      </c>
      <c r="G6" s="60">
        <v>58.503999999999998</v>
      </c>
      <c r="H6" s="60">
        <v>5.3550000000000004</v>
      </c>
      <c r="I6" s="60">
        <v>2.08</v>
      </c>
      <c r="J6" s="60">
        <v>3.5550000000000002</v>
      </c>
      <c r="L6" s="78">
        <f>IFERROR(G6/E6,"")</f>
        <v>8.2644441305269112</v>
      </c>
      <c r="M6" s="78">
        <f>IFERROR(G6/D6,"")</f>
        <v>1.5329228350582995</v>
      </c>
      <c r="N6" s="89">
        <f>IFERROR(I6/D6,"")</f>
        <v>5.4500196515131667E-2</v>
      </c>
      <c r="O6" s="78">
        <f>IFERROR(I6/F6,"")</f>
        <v>0.66242038216560506</v>
      </c>
      <c r="P6" s="78">
        <f>IFERROR(E6/H6,"")</f>
        <v>1.321942110177404</v>
      </c>
      <c r="Q6" s="89">
        <f>IFERROR(I6/G6,"")</f>
        <v>3.5553124572678792E-2</v>
      </c>
    </row>
    <row r="7" spans="1:17">
      <c r="A7" s="60" t="s">
        <v>1</v>
      </c>
      <c r="B7" s="60" t="s">
        <v>120</v>
      </c>
      <c r="C7" s="60">
        <v>22.303999999999998</v>
      </c>
      <c r="D7" s="60">
        <v>16.963000000000001</v>
      </c>
      <c r="E7" s="60">
        <v>3.45</v>
      </c>
      <c r="F7" s="60">
        <v>1.65</v>
      </c>
      <c r="G7" s="60">
        <v>36.801000000000002</v>
      </c>
      <c r="I7" s="60">
        <v>1.18</v>
      </c>
      <c r="J7" s="60">
        <v>3.206</v>
      </c>
      <c r="L7" s="78">
        <f t="shared" ref="L7:L70" si="0">IFERROR(G7/E7,"")</f>
        <v>10.666956521739131</v>
      </c>
      <c r="M7" s="78">
        <f t="shared" ref="M7:M70" si="1">IFERROR(G7/D7,"")</f>
        <v>2.1694865295053942</v>
      </c>
      <c r="N7" s="89">
        <f t="shared" ref="N7:N70" si="2">IFERROR(I7/D7,"")</f>
        <v>6.9563166892648701E-2</v>
      </c>
      <c r="O7" s="78">
        <f t="shared" ref="O7:O70" si="3">IFERROR(I7/F7,"")</f>
        <v>0.7151515151515152</v>
      </c>
      <c r="P7" s="78" t="str">
        <f t="shared" ref="P7:P70" si="4">IFERROR(E7/H7,"")</f>
        <v/>
      </c>
      <c r="Q7" s="89">
        <f t="shared" ref="Q7:Q70" si="5">IFERROR(I7/G7,"")</f>
        <v>3.2064346077552236E-2</v>
      </c>
    </row>
    <row r="8" spans="1:17">
      <c r="A8" s="60" t="s">
        <v>2</v>
      </c>
      <c r="B8" s="60" t="s">
        <v>121</v>
      </c>
      <c r="C8" s="60">
        <v>15.157</v>
      </c>
      <c r="D8" s="60">
        <v>35.380000000000003</v>
      </c>
      <c r="E8" s="60">
        <v>8.4689999999999994</v>
      </c>
      <c r="F8" s="60">
        <v>4.2300000000000004</v>
      </c>
      <c r="G8" s="60">
        <v>64.116</v>
      </c>
      <c r="H8" s="60">
        <v>9.9849999999999994</v>
      </c>
      <c r="I8" s="60">
        <v>2.27</v>
      </c>
      <c r="J8" s="60">
        <v>3.54</v>
      </c>
      <c r="L8" s="78">
        <f t="shared" si="0"/>
        <v>7.5706695005313502</v>
      </c>
      <c r="M8" s="78">
        <f t="shared" si="1"/>
        <v>1.8122102882984736</v>
      </c>
      <c r="N8" s="89">
        <f t="shared" si="2"/>
        <v>6.4160542679479932E-2</v>
      </c>
      <c r="O8" s="78">
        <f t="shared" si="3"/>
        <v>0.53664302600472813</v>
      </c>
      <c r="P8" s="78">
        <f t="shared" si="4"/>
        <v>0.84817225838758137</v>
      </c>
      <c r="Q8" s="89">
        <f t="shared" si="5"/>
        <v>3.540457920019964E-2</v>
      </c>
    </row>
    <row r="9" spans="1:17">
      <c r="A9" s="60" t="s">
        <v>165</v>
      </c>
      <c r="B9" s="60" t="s">
        <v>164</v>
      </c>
      <c r="C9" s="60">
        <v>25.593</v>
      </c>
      <c r="D9" s="60">
        <v>13.516</v>
      </c>
      <c r="E9" s="60">
        <v>2.7029999999999998</v>
      </c>
      <c r="F9" s="60">
        <v>1.62</v>
      </c>
      <c r="G9" s="60">
        <v>41.460999999999999</v>
      </c>
      <c r="H9" s="60">
        <v>3.5510000000000002</v>
      </c>
      <c r="I9" s="60">
        <v>0.91400000000000003</v>
      </c>
      <c r="J9" s="60">
        <v>2.2040000000000002</v>
      </c>
      <c r="L9" s="78">
        <f t="shared" si="0"/>
        <v>15.338882722900481</v>
      </c>
      <c r="M9" s="78">
        <f t="shared" si="1"/>
        <v>3.067549570878958</v>
      </c>
      <c r="N9" s="89">
        <f t="shared" si="2"/>
        <v>6.7623557265463152E-2</v>
      </c>
      <c r="O9" s="78">
        <f t="shared" si="3"/>
        <v>0.56419753086419755</v>
      </c>
      <c r="P9" s="78">
        <f t="shared" si="4"/>
        <v>0.76119402985074625</v>
      </c>
      <c r="Q9" s="89">
        <f t="shared" si="5"/>
        <v>2.204481319794506E-2</v>
      </c>
    </row>
    <row r="10" spans="1:17">
      <c r="A10" s="60" t="s">
        <v>167</v>
      </c>
      <c r="B10" s="60" t="s">
        <v>166</v>
      </c>
      <c r="C10" s="60">
        <v>27.710999999999999</v>
      </c>
      <c r="D10" s="60">
        <v>29.242999999999999</v>
      </c>
      <c r="E10" s="60">
        <v>5.2610000000000001</v>
      </c>
      <c r="F10" s="60">
        <v>2.62</v>
      </c>
      <c r="G10" s="60">
        <v>72.603999999999999</v>
      </c>
      <c r="H10" s="60">
        <v>7.3609999999999998</v>
      </c>
      <c r="I10" s="60">
        <v>1.47</v>
      </c>
      <c r="J10" s="60">
        <v>2.0249999999999999</v>
      </c>
      <c r="L10" s="78">
        <f t="shared" si="0"/>
        <v>13.800418171450294</v>
      </c>
      <c r="M10" s="78">
        <f t="shared" si="1"/>
        <v>2.4827822042882057</v>
      </c>
      <c r="N10" s="89">
        <f t="shared" si="2"/>
        <v>5.0268440310501657E-2</v>
      </c>
      <c r="O10" s="78">
        <f t="shared" si="3"/>
        <v>0.56106870229007633</v>
      </c>
      <c r="P10" s="78">
        <f t="shared" si="4"/>
        <v>0.71471267490830059</v>
      </c>
      <c r="Q10" s="89">
        <f t="shared" si="5"/>
        <v>2.0246818357115309E-2</v>
      </c>
    </row>
    <row r="11" spans="1:17">
      <c r="A11" s="60" t="s">
        <v>3</v>
      </c>
      <c r="B11" s="60" t="s">
        <v>122</v>
      </c>
      <c r="C11" s="60">
        <v>18.294</v>
      </c>
      <c r="D11" s="60">
        <v>29.274000000000001</v>
      </c>
      <c r="E11" s="60">
        <v>6.5860000000000003</v>
      </c>
      <c r="F11" s="60">
        <v>2.68</v>
      </c>
      <c r="G11" s="60">
        <v>49.027999999999999</v>
      </c>
      <c r="H11" s="60">
        <v>8.7829999999999995</v>
      </c>
      <c r="I11" s="60">
        <v>1.7150000000000001</v>
      </c>
      <c r="J11" s="60">
        <v>3.4980000000000002</v>
      </c>
      <c r="L11" s="78">
        <f t="shared" si="0"/>
        <v>7.4442757364105674</v>
      </c>
      <c r="M11" s="78">
        <f t="shared" si="1"/>
        <v>1.6747967479674797</v>
      </c>
      <c r="N11" s="89">
        <f t="shared" si="2"/>
        <v>5.8584409373505501E-2</v>
      </c>
      <c r="O11" s="78">
        <f t="shared" si="3"/>
        <v>0.6399253731343284</v>
      </c>
      <c r="P11" s="78">
        <f t="shared" si="4"/>
        <v>0.74985767960833438</v>
      </c>
      <c r="Q11" s="89">
        <f t="shared" si="5"/>
        <v>3.498001142204455E-2</v>
      </c>
    </row>
    <row r="12" spans="1:17">
      <c r="A12" s="60" t="s">
        <v>169</v>
      </c>
      <c r="B12" s="60" t="s">
        <v>168</v>
      </c>
      <c r="C12" s="60">
        <v>23.855</v>
      </c>
      <c r="D12" s="60">
        <v>10.592000000000001</v>
      </c>
      <c r="E12" s="60">
        <v>4.2720000000000002</v>
      </c>
      <c r="F12" s="60">
        <v>1.77</v>
      </c>
      <c r="G12" s="60">
        <v>42.222999999999999</v>
      </c>
      <c r="H12" s="60">
        <v>1.0940000000000001</v>
      </c>
      <c r="I12" s="60">
        <v>3.72</v>
      </c>
      <c r="J12" s="60">
        <v>8.81</v>
      </c>
      <c r="L12" s="78">
        <f t="shared" si="0"/>
        <v>9.8836610486891381</v>
      </c>
      <c r="M12" s="78">
        <f t="shared" si="1"/>
        <v>3.9863104229607247</v>
      </c>
      <c r="N12" s="89">
        <f t="shared" si="2"/>
        <v>0.3512084592145015</v>
      </c>
      <c r="O12" s="78">
        <f t="shared" si="3"/>
        <v>2.1016949152542375</v>
      </c>
      <c r="P12" s="78">
        <f t="shared" si="4"/>
        <v>3.9049360146252283</v>
      </c>
      <c r="Q12" s="89">
        <f t="shared" si="5"/>
        <v>8.810364019610166E-2</v>
      </c>
    </row>
    <row r="13" spans="1:17">
      <c r="A13" s="60" t="s">
        <v>171</v>
      </c>
      <c r="B13" s="60" t="s">
        <v>170</v>
      </c>
      <c r="C13" s="60">
        <v>23.863</v>
      </c>
      <c r="D13" s="60">
        <v>10.429</v>
      </c>
      <c r="E13" s="60">
        <v>2.0699999999999998</v>
      </c>
      <c r="F13" s="60">
        <v>1.32</v>
      </c>
      <c r="G13" s="60">
        <v>31.498999999999999</v>
      </c>
      <c r="H13" s="60">
        <v>2.1589999999999998</v>
      </c>
      <c r="I13" s="60">
        <v>0.74</v>
      </c>
      <c r="J13" s="60">
        <v>2.3490000000000002</v>
      </c>
      <c r="L13" s="78">
        <f t="shared" si="0"/>
        <v>15.216908212560387</v>
      </c>
      <c r="M13" s="78">
        <f t="shared" si="1"/>
        <v>3.0203279317288327</v>
      </c>
      <c r="N13" s="89">
        <f t="shared" si="2"/>
        <v>7.0955988110077667E-2</v>
      </c>
      <c r="O13" s="78">
        <f t="shared" si="3"/>
        <v>0.56060606060606055</v>
      </c>
      <c r="P13" s="78">
        <f t="shared" si="4"/>
        <v>0.95877721167207042</v>
      </c>
      <c r="Q13" s="89">
        <f t="shared" si="5"/>
        <v>2.3492809295533192E-2</v>
      </c>
    </row>
    <row r="14" spans="1:17">
      <c r="A14" s="60" t="s">
        <v>173</v>
      </c>
      <c r="B14" s="60" t="s">
        <v>172</v>
      </c>
      <c r="C14" s="60">
        <v>20.856000000000002</v>
      </c>
      <c r="D14" s="60">
        <v>15.231999999999999</v>
      </c>
      <c r="E14" s="60">
        <v>2.4260000000000002</v>
      </c>
      <c r="F14" s="60">
        <v>1.41</v>
      </c>
      <c r="G14" s="60">
        <v>29.407</v>
      </c>
      <c r="H14" s="60">
        <v>3.0950000000000002</v>
      </c>
      <c r="I14" s="60">
        <v>0.9</v>
      </c>
      <c r="J14" s="60">
        <v>3.06</v>
      </c>
      <c r="L14" s="78">
        <f t="shared" si="0"/>
        <v>12.121599340478152</v>
      </c>
      <c r="M14" s="78">
        <f t="shared" si="1"/>
        <v>1.9306066176470589</v>
      </c>
      <c r="N14" s="89">
        <f t="shared" si="2"/>
        <v>5.9086134453781518E-2</v>
      </c>
      <c r="O14" s="78">
        <f t="shared" si="3"/>
        <v>0.63829787234042556</v>
      </c>
      <c r="P14" s="78">
        <f t="shared" si="4"/>
        <v>0.78384491114701127</v>
      </c>
      <c r="Q14" s="89">
        <f t="shared" si="5"/>
        <v>3.0604958003196518E-2</v>
      </c>
    </row>
    <row r="15" spans="1:17">
      <c r="A15" s="60" t="s">
        <v>175</v>
      </c>
      <c r="B15" s="60" t="s">
        <v>174</v>
      </c>
      <c r="C15" s="60">
        <v>20.8</v>
      </c>
      <c r="D15" s="60">
        <v>33.320999999999998</v>
      </c>
      <c r="E15" s="60">
        <v>6.1890000000000001</v>
      </c>
      <c r="F15" s="60">
        <v>3.38</v>
      </c>
      <c r="G15" s="60">
        <v>70.305000000000007</v>
      </c>
      <c r="H15" s="60">
        <v>10.458</v>
      </c>
      <c r="I15" s="60">
        <v>1.68</v>
      </c>
      <c r="J15" s="60">
        <v>2.39</v>
      </c>
      <c r="L15" s="78">
        <f t="shared" si="0"/>
        <v>11.359670382937471</v>
      </c>
      <c r="M15" s="78">
        <f t="shared" si="1"/>
        <v>2.1099306743495099</v>
      </c>
      <c r="N15" s="89">
        <f t="shared" si="2"/>
        <v>5.0418654902313856E-2</v>
      </c>
      <c r="O15" s="78">
        <f t="shared" si="3"/>
        <v>0.49704142011834318</v>
      </c>
      <c r="P15" s="78">
        <f t="shared" si="4"/>
        <v>0.5917957544463569</v>
      </c>
      <c r="Q15" s="89">
        <f t="shared" si="5"/>
        <v>2.389588222743759E-2</v>
      </c>
    </row>
    <row r="16" spans="1:17">
      <c r="A16" s="60" t="s">
        <v>261</v>
      </c>
      <c r="B16" s="60" t="s">
        <v>264</v>
      </c>
      <c r="C16" s="60">
        <v>20.492000000000001</v>
      </c>
      <c r="D16" s="60">
        <v>48.898000000000003</v>
      </c>
      <c r="E16" s="60">
        <v>4.7380000000000004</v>
      </c>
      <c r="F16" s="60">
        <v>1.98</v>
      </c>
      <c r="G16" s="60">
        <v>40.575000000000003</v>
      </c>
      <c r="H16" s="60">
        <v>5.524</v>
      </c>
      <c r="I16" s="60">
        <v>1.728</v>
      </c>
      <c r="J16" s="60">
        <v>4.2590000000000003</v>
      </c>
      <c r="L16" s="78">
        <f t="shared" si="0"/>
        <v>8.563739974672858</v>
      </c>
      <c r="M16" s="78">
        <f t="shared" si="1"/>
        <v>0.82978853940856478</v>
      </c>
      <c r="N16" s="89">
        <f t="shared" si="2"/>
        <v>3.5338868665385083E-2</v>
      </c>
      <c r="O16" s="78">
        <f t="shared" si="3"/>
        <v>0.87272727272727268</v>
      </c>
      <c r="P16" s="78">
        <f t="shared" si="4"/>
        <v>0.85771180304127448</v>
      </c>
      <c r="Q16" s="89">
        <f t="shared" si="5"/>
        <v>4.2587800369685763E-2</v>
      </c>
    </row>
    <row r="17" spans="1:17">
      <c r="A17" s="60" t="s">
        <v>4</v>
      </c>
      <c r="B17" s="60" t="s">
        <v>123</v>
      </c>
      <c r="C17" s="60">
        <v>18.795000000000002</v>
      </c>
      <c r="D17" s="60">
        <v>25.686</v>
      </c>
      <c r="E17" s="60">
        <v>5.2949999999999999</v>
      </c>
      <c r="F17" s="60">
        <v>2.15</v>
      </c>
      <c r="G17" s="60">
        <v>40.408999999999999</v>
      </c>
      <c r="H17" s="60">
        <v>6.3410000000000002</v>
      </c>
      <c r="I17" s="60">
        <v>1.37</v>
      </c>
      <c r="J17" s="60">
        <v>3.39</v>
      </c>
      <c r="L17" s="78">
        <f t="shared" si="0"/>
        <v>7.6315391879131251</v>
      </c>
      <c r="M17" s="78">
        <f t="shared" si="1"/>
        <v>1.5731916218951958</v>
      </c>
      <c r="N17" s="89">
        <f t="shared" si="2"/>
        <v>5.3336447870435261E-2</v>
      </c>
      <c r="O17" s="78">
        <f t="shared" si="3"/>
        <v>0.63720930232558148</v>
      </c>
      <c r="P17" s="78">
        <f t="shared" si="4"/>
        <v>0.83504179151553382</v>
      </c>
      <c r="Q17" s="89">
        <f t="shared" si="5"/>
        <v>3.3903338365215675E-2</v>
      </c>
    </row>
    <row r="18" spans="1:17">
      <c r="A18" s="60" t="s">
        <v>5</v>
      </c>
      <c r="B18" s="60" t="s">
        <v>124</v>
      </c>
      <c r="C18" s="60">
        <v>22.289000000000001</v>
      </c>
      <c r="D18" s="60">
        <v>30.247</v>
      </c>
      <c r="E18" s="60">
        <v>6.2850000000000001</v>
      </c>
      <c r="F18" s="60">
        <v>2.63</v>
      </c>
      <c r="G18" s="60">
        <v>58.619</v>
      </c>
      <c r="H18" s="60">
        <v>8.8940000000000001</v>
      </c>
      <c r="I18" s="60">
        <v>1.68</v>
      </c>
      <c r="J18" s="60">
        <v>2.8660000000000001</v>
      </c>
      <c r="L18" s="78">
        <f t="shared" si="0"/>
        <v>9.3268098647573581</v>
      </c>
      <c r="M18" s="78">
        <f t="shared" si="1"/>
        <v>1.9380103811948293</v>
      </c>
      <c r="N18" s="89">
        <f t="shared" si="2"/>
        <v>5.5542698449432999E-2</v>
      </c>
      <c r="O18" s="78">
        <f t="shared" si="3"/>
        <v>0.63878326996197721</v>
      </c>
      <c r="P18" s="78">
        <f t="shared" si="4"/>
        <v>0.70665617270069714</v>
      </c>
      <c r="Q18" s="89">
        <f t="shared" si="5"/>
        <v>2.8659649601664988E-2</v>
      </c>
    </row>
    <row r="19" spans="1:17">
      <c r="A19" s="60" t="s">
        <v>177</v>
      </c>
      <c r="B19" s="60" t="s">
        <v>176</v>
      </c>
      <c r="C19" s="60">
        <v>29.65</v>
      </c>
      <c r="D19" s="60">
        <v>13.749000000000001</v>
      </c>
      <c r="E19" s="60">
        <v>2.3410000000000002</v>
      </c>
      <c r="F19" s="60">
        <v>1.01</v>
      </c>
      <c r="G19" s="60">
        <v>29.946000000000002</v>
      </c>
      <c r="H19" s="60">
        <v>4.7729999999999997</v>
      </c>
      <c r="I19" s="60">
        <v>0.69</v>
      </c>
      <c r="J19" s="60">
        <v>2.3039999999999998</v>
      </c>
      <c r="L19" s="78">
        <f t="shared" si="0"/>
        <v>12.791969243912858</v>
      </c>
      <c r="M19" s="78">
        <f t="shared" si="1"/>
        <v>2.1780493126772855</v>
      </c>
      <c r="N19" s="89">
        <f t="shared" si="2"/>
        <v>5.0185468034038831E-2</v>
      </c>
      <c r="O19" s="78">
        <f t="shared" si="3"/>
        <v>0.68316831683168311</v>
      </c>
      <c r="P19" s="78">
        <f t="shared" si="4"/>
        <v>0.49046721139744404</v>
      </c>
      <c r="Q19" s="89">
        <f t="shared" si="5"/>
        <v>2.3041474654377878E-2</v>
      </c>
    </row>
    <row r="20" spans="1:17">
      <c r="A20" s="60" t="s">
        <v>6</v>
      </c>
      <c r="B20" s="60" t="s">
        <v>125</v>
      </c>
      <c r="C20" s="60">
        <v>21.91</v>
      </c>
      <c r="D20" s="60">
        <v>8.0340000000000007</v>
      </c>
      <c r="E20" s="60">
        <v>3.6779999999999999</v>
      </c>
      <c r="F20" s="60">
        <v>1</v>
      </c>
      <c r="G20" s="60">
        <v>21.91</v>
      </c>
      <c r="H20" s="60">
        <v>3.2829999999999999</v>
      </c>
      <c r="I20" s="60">
        <v>1.03</v>
      </c>
      <c r="J20" s="60">
        <v>4.7009999999999996</v>
      </c>
      <c r="L20" s="78">
        <f t="shared" si="0"/>
        <v>5.957041870581838</v>
      </c>
      <c r="M20" s="78">
        <f t="shared" si="1"/>
        <v>2.7271595718197656</v>
      </c>
      <c r="N20" s="89">
        <f t="shared" si="2"/>
        <v>0.12820512820512819</v>
      </c>
      <c r="O20" s="78">
        <f t="shared" si="3"/>
        <v>1.03</v>
      </c>
      <c r="P20" s="78">
        <f t="shared" si="4"/>
        <v>1.1203167834297898</v>
      </c>
      <c r="Q20" s="89">
        <f t="shared" si="5"/>
        <v>4.701049748973072E-2</v>
      </c>
    </row>
    <row r="21" spans="1:17">
      <c r="A21" s="60" t="s">
        <v>178</v>
      </c>
      <c r="B21" s="60" t="s">
        <v>215</v>
      </c>
      <c r="C21" s="60">
        <v>21.774000000000001</v>
      </c>
      <c r="D21" s="60">
        <v>27.361000000000001</v>
      </c>
      <c r="E21" s="60">
        <v>5.1630000000000003</v>
      </c>
      <c r="F21" s="60">
        <v>2.86</v>
      </c>
      <c r="G21" s="60">
        <v>62.274999999999999</v>
      </c>
      <c r="H21" s="60">
        <v>10.419</v>
      </c>
      <c r="I21" s="60">
        <v>1.19</v>
      </c>
      <c r="J21" s="60">
        <v>1.911</v>
      </c>
      <c r="L21" s="78">
        <f t="shared" si="0"/>
        <v>12.061785783459229</v>
      </c>
      <c r="M21" s="78">
        <f t="shared" si="1"/>
        <v>2.2760498519790944</v>
      </c>
      <c r="N21" s="89">
        <f t="shared" si="2"/>
        <v>4.3492562406344797E-2</v>
      </c>
      <c r="O21" s="78">
        <f t="shared" si="3"/>
        <v>0.41608391608391609</v>
      </c>
      <c r="P21" s="78">
        <f t="shared" si="4"/>
        <v>0.4955369997120645</v>
      </c>
      <c r="Q21" s="89">
        <f t="shared" si="5"/>
        <v>1.9108791649939783E-2</v>
      </c>
    </row>
    <row r="22" spans="1:17">
      <c r="A22" s="60" t="s">
        <v>9</v>
      </c>
      <c r="B22" s="60" t="s">
        <v>126</v>
      </c>
      <c r="C22" s="60">
        <v>20.943000000000001</v>
      </c>
      <c r="D22" s="60">
        <v>15.231999999999999</v>
      </c>
      <c r="E22" s="60">
        <v>4.8780000000000001</v>
      </c>
      <c r="F22" s="60">
        <v>1.98</v>
      </c>
      <c r="G22" s="60">
        <v>41.466999999999999</v>
      </c>
      <c r="H22" s="60">
        <v>5.9880000000000004</v>
      </c>
      <c r="I22" s="60">
        <v>1.24</v>
      </c>
      <c r="J22" s="60">
        <v>2.99</v>
      </c>
      <c r="L22" s="78">
        <f t="shared" si="0"/>
        <v>8.5008200082000815</v>
      </c>
      <c r="M22" s="78">
        <f t="shared" si="1"/>
        <v>2.7223608193277311</v>
      </c>
      <c r="N22" s="89">
        <f t="shared" si="2"/>
        <v>8.1407563025210086E-2</v>
      </c>
      <c r="O22" s="78">
        <f t="shared" si="3"/>
        <v>0.6262626262626263</v>
      </c>
      <c r="P22" s="78">
        <f t="shared" si="4"/>
        <v>0.81462925851703405</v>
      </c>
      <c r="Q22" s="89">
        <f t="shared" si="5"/>
        <v>2.9903296597294234E-2</v>
      </c>
    </row>
    <row r="23" spans="1:17">
      <c r="A23" s="60" t="s">
        <v>180</v>
      </c>
      <c r="B23" s="60" t="s">
        <v>179</v>
      </c>
      <c r="C23" s="60">
        <v>23.285</v>
      </c>
      <c r="D23" s="60">
        <v>20.983000000000001</v>
      </c>
      <c r="E23" s="60">
        <v>3.3119999999999998</v>
      </c>
      <c r="F23" s="60">
        <v>2.08</v>
      </c>
      <c r="G23" s="60">
        <v>48.433</v>
      </c>
      <c r="H23" s="60">
        <v>5.9290000000000003</v>
      </c>
      <c r="I23" s="60">
        <v>1.1200000000000001</v>
      </c>
      <c r="J23" s="60">
        <v>2.3119999999999998</v>
      </c>
      <c r="L23" s="78">
        <f t="shared" si="0"/>
        <v>14.623490338164252</v>
      </c>
      <c r="M23" s="78">
        <f t="shared" si="1"/>
        <v>2.3082018777105273</v>
      </c>
      <c r="N23" s="89">
        <f t="shared" si="2"/>
        <v>5.3376542915693659E-2</v>
      </c>
      <c r="O23" s="78">
        <f t="shared" si="3"/>
        <v>0.53846153846153855</v>
      </c>
      <c r="P23" s="78">
        <f t="shared" si="4"/>
        <v>0.55861022094788326</v>
      </c>
      <c r="Q23" s="89">
        <f t="shared" si="5"/>
        <v>2.312472900708195E-2</v>
      </c>
    </row>
    <row r="24" spans="1:17">
      <c r="A24" s="60" t="s">
        <v>10</v>
      </c>
      <c r="B24" s="60" t="s">
        <v>127</v>
      </c>
      <c r="C24" s="60">
        <v>18.802</v>
      </c>
      <c r="D24" s="60">
        <v>46.878999999999998</v>
      </c>
      <c r="E24" s="60">
        <v>7.8849999999999998</v>
      </c>
      <c r="F24" s="60">
        <v>3.94</v>
      </c>
      <c r="G24" s="60">
        <v>74.078999999999994</v>
      </c>
      <c r="H24" s="60">
        <v>12.066000000000001</v>
      </c>
      <c r="I24" s="60">
        <v>2.68</v>
      </c>
      <c r="J24" s="60">
        <v>3.6179999999999999</v>
      </c>
      <c r="L24" s="78">
        <f t="shared" si="0"/>
        <v>9.3949270767279636</v>
      </c>
      <c r="M24" s="78">
        <f t="shared" si="1"/>
        <v>1.5802171548027901</v>
      </c>
      <c r="N24" s="89">
        <f t="shared" si="2"/>
        <v>5.7168454958510216E-2</v>
      </c>
      <c r="O24" s="78">
        <f t="shared" si="3"/>
        <v>0.68020304568527923</v>
      </c>
      <c r="P24" s="78">
        <f t="shared" si="4"/>
        <v>0.65348914304657713</v>
      </c>
      <c r="Q24" s="89">
        <f t="shared" si="5"/>
        <v>3.6177594189986374E-2</v>
      </c>
    </row>
    <row r="25" spans="1:17">
      <c r="A25" s="60" t="s">
        <v>182</v>
      </c>
      <c r="B25" s="60" t="s">
        <v>181</v>
      </c>
      <c r="C25" s="60">
        <v>44.807000000000002</v>
      </c>
      <c r="D25" s="60">
        <v>9.7889999999999997</v>
      </c>
      <c r="E25" s="60">
        <v>0.95399999999999996</v>
      </c>
      <c r="F25" s="60">
        <v>0.27</v>
      </c>
      <c r="G25" s="60">
        <v>12.098000000000001</v>
      </c>
      <c r="H25" s="60">
        <v>0.23300000000000001</v>
      </c>
      <c r="I25" s="60">
        <v>0.3</v>
      </c>
      <c r="J25" s="60">
        <v>2.48</v>
      </c>
      <c r="L25" s="78">
        <f t="shared" si="0"/>
        <v>12.681341719077569</v>
      </c>
      <c r="M25" s="78">
        <f t="shared" si="1"/>
        <v>1.2358770048013077</v>
      </c>
      <c r="N25" s="89">
        <f t="shared" si="2"/>
        <v>3.0646644192460926E-2</v>
      </c>
      <c r="O25" s="78">
        <f t="shared" si="3"/>
        <v>1.1111111111111109</v>
      </c>
      <c r="P25" s="78">
        <f t="shared" si="4"/>
        <v>4.0944206008583688</v>
      </c>
      <c r="Q25" s="89">
        <f t="shared" si="5"/>
        <v>2.4797487187964949E-2</v>
      </c>
    </row>
    <row r="26" spans="1:17">
      <c r="A26" s="60" t="s">
        <v>184</v>
      </c>
      <c r="B26" s="60" t="s">
        <v>183</v>
      </c>
      <c r="C26" s="60">
        <v>28.154</v>
      </c>
      <c r="D26" s="60">
        <v>10.965999999999999</v>
      </c>
      <c r="E26" s="60">
        <v>1.718</v>
      </c>
      <c r="F26" s="60">
        <v>0.78</v>
      </c>
      <c r="G26" s="60">
        <v>21.96</v>
      </c>
      <c r="H26" s="60">
        <v>0.88900000000000001</v>
      </c>
      <c r="I26" s="60">
        <v>0.82</v>
      </c>
      <c r="J26" s="60">
        <v>3.734</v>
      </c>
      <c r="L26" s="78">
        <f t="shared" si="0"/>
        <v>12.782305005820723</v>
      </c>
      <c r="M26" s="78">
        <f t="shared" si="1"/>
        <v>2.0025533467080066</v>
      </c>
      <c r="N26" s="89">
        <f t="shared" si="2"/>
        <v>7.4776582163049429E-2</v>
      </c>
      <c r="O26" s="78">
        <f t="shared" si="3"/>
        <v>1.0512820512820511</v>
      </c>
      <c r="P26" s="78">
        <f t="shared" si="4"/>
        <v>1.9325084364454443</v>
      </c>
      <c r="Q26" s="89">
        <f t="shared" si="5"/>
        <v>3.7340619307832418E-2</v>
      </c>
    </row>
    <row r="27" spans="1:17">
      <c r="A27" s="60" t="s">
        <v>11</v>
      </c>
      <c r="B27" s="60" t="s">
        <v>354</v>
      </c>
      <c r="C27" s="60">
        <v>21.324999999999999</v>
      </c>
      <c r="D27" s="60">
        <v>23.263999999999999</v>
      </c>
      <c r="E27" s="60">
        <v>6.327</v>
      </c>
      <c r="F27" s="60">
        <v>3.44</v>
      </c>
      <c r="G27" s="60">
        <v>73.358000000000004</v>
      </c>
      <c r="H27" s="60">
        <v>9.6929999999999996</v>
      </c>
      <c r="I27" s="60">
        <v>2.8</v>
      </c>
      <c r="J27" s="60">
        <v>3.8170000000000002</v>
      </c>
      <c r="L27" s="78">
        <f t="shared" si="0"/>
        <v>11.594436541804964</v>
      </c>
      <c r="M27" s="78">
        <f t="shared" si="1"/>
        <v>3.1532840440165066</v>
      </c>
      <c r="N27" s="89">
        <f t="shared" si="2"/>
        <v>0.12035763411279229</v>
      </c>
      <c r="O27" s="78">
        <f t="shared" si="3"/>
        <v>0.81395348837209303</v>
      </c>
      <c r="P27" s="78">
        <f t="shared" si="4"/>
        <v>0.65273909006499542</v>
      </c>
      <c r="Q27" s="89">
        <f t="shared" si="5"/>
        <v>3.8168979525068834E-2</v>
      </c>
    </row>
    <row r="28" spans="1:17">
      <c r="A28" s="60" t="s">
        <v>12</v>
      </c>
      <c r="B28" s="60" t="s">
        <v>129</v>
      </c>
      <c r="C28" s="60">
        <v>18.966000000000001</v>
      </c>
      <c r="D28" s="60">
        <v>50.219000000000001</v>
      </c>
      <c r="E28" s="60">
        <v>10.6</v>
      </c>
      <c r="F28" s="60">
        <v>4.83</v>
      </c>
      <c r="G28" s="60">
        <v>91.605999999999995</v>
      </c>
      <c r="H28" s="60">
        <v>11.397</v>
      </c>
      <c r="I28" s="60">
        <v>3.06</v>
      </c>
      <c r="J28" s="60">
        <v>3.34</v>
      </c>
      <c r="L28" s="78">
        <f t="shared" si="0"/>
        <v>8.6420754716981136</v>
      </c>
      <c r="M28" s="78">
        <f t="shared" si="1"/>
        <v>1.8241303092455046</v>
      </c>
      <c r="N28" s="89">
        <f t="shared" si="2"/>
        <v>6.0933112965212366E-2</v>
      </c>
      <c r="O28" s="78">
        <f t="shared" si="3"/>
        <v>0.63354037267080743</v>
      </c>
      <c r="P28" s="78">
        <f t="shared" si="4"/>
        <v>0.93006931648679469</v>
      </c>
      <c r="Q28" s="89">
        <f t="shared" si="5"/>
        <v>3.3403925507062858E-2</v>
      </c>
    </row>
    <row r="29" spans="1:17">
      <c r="A29" s="60" t="s">
        <v>13</v>
      </c>
      <c r="B29" s="60" t="s">
        <v>130</v>
      </c>
      <c r="C29" s="60">
        <v>21.251000000000001</v>
      </c>
      <c r="D29" s="60">
        <v>58.619</v>
      </c>
      <c r="E29" s="60">
        <v>9.1999999999999993</v>
      </c>
      <c r="F29" s="60">
        <v>3.71</v>
      </c>
      <c r="G29" s="60">
        <v>78.843000000000004</v>
      </c>
      <c r="H29" s="60">
        <v>11.287000000000001</v>
      </c>
      <c r="I29" s="60">
        <v>3.36</v>
      </c>
      <c r="J29" s="60">
        <v>4.2619999999999996</v>
      </c>
      <c r="L29" s="78">
        <f t="shared" si="0"/>
        <v>8.5698913043478271</v>
      </c>
      <c r="M29" s="78">
        <f t="shared" si="1"/>
        <v>1.3450075913952815</v>
      </c>
      <c r="N29" s="89">
        <f t="shared" si="2"/>
        <v>5.7319299203329975E-2</v>
      </c>
      <c r="O29" s="78">
        <f t="shared" si="3"/>
        <v>0.90566037735849059</v>
      </c>
      <c r="P29" s="78">
        <f t="shared" si="4"/>
        <v>0.81509701426419767</v>
      </c>
      <c r="Q29" s="89">
        <f t="shared" si="5"/>
        <v>4.2616338799893454E-2</v>
      </c>
    </row>
    <row r="30" spans="1:17">
      <c r="A30" s="60" t="s">
        <v>14</v>
      </c>
      <c r="B30" s="60" t="s">
        <v>131</v>
      </c>
      <c r="C30" s="60">
        <v>17.920000000000002</v>
      </c>
      <c r="D30" s="60">
        <v>36.819000000000003</v>
      </c>
      <c r="E30" s="60">
        <v>10.426</v>
      </c>
      <c r="F30" s="60">
        <v>3.94</v>
      </c>
      <c r="G30" s="60">
        <v>70.603999999999999</v>
      </c>
      <c r="H30" s="60">
        <v>11.461</v>
      </c>
      <c r="I30" s="60">
        <v>1.9830000000000001</v>
      </c>
      <c r="J30" s="60">
        <v>2.8090000000000002</v>
      </c>
      <c r="L30" s="78">
        <f t="shared" si="0"/>
        <v>6.7719163629388071</v>
      </c>
      <c r="M30" s="78">
        <f t="shared" si="1"/>
        <v>1.9175968929085525</v>
      </c>
      <c r="N30" s="89">
        <f t="shared" si="2"/>
        <v>5.3858062413427846E-2</v>
      </c>
      <c r="O30" s="78">
        <f t="shared" si="3"/>
        <v>0.50329949238578686</v>
      </c>
      <c r="P30" s="78">
        <f t="shared" si="4"/>
        <v>0.90969374400139602</v>
      </c>
      <c r="Q30" s="89">
        <f t="shared" si="5"/>
        <v>2.8086227409211944E-2</v>
      </c>
    </row>
    <row r="31" spans="1:17">
      <c r="A31" s="60" t="s">
        <v>15</v>
      </c>
      <c r="B31" s="60" t="s">
        <v>132</v>
      </c>
      <c r="C31" s="60">
        <v>18.657</v>
      </c>
      <c r="D31" s="60">
        <v>26.516999999999999</v>
      </c>
      <c r="E31" s="60">
        <v>5.976</v>
      </c>
      <c r="F31" s="60">
        <v>2.39</v>
      </c>
      <c r="G31" s="60">
        <v>44.59</v>
      </c>
      <c r="H31" s="60">
        <v>7.0279999999999996</v>
      </c>
      <c r="I31" s="60">
        <v>1.2250000000000001</v>
      </c>
      <c r="J31" s="60">
        <v>2.7469999999999999</v>
      </c>
      <c r="L31" s="78">
        <f t="shared" si="0"/>
        <v>7.4615127175368148</v>
      </c>
      <c r="M31" s="78">
        <f t="shared" si="1"/>
        <v>1.6815627710525325</v>
      </c>
      <c r="N31" s="89">
        <f t="shared" si="2"/>
        <v>4.6196779424520121E-2</v>
      </c>
      <c r="O31" s="78">
        <f t="shared" si="3"/>
        <v>0.5125523012552301</v>
      </c>
      <c r="P31" s="78">
        <f t="shared" si="4"/>
        <v>0.8503130335799659</v>
      </c>
      <c r="Q31" s="89">
        <f t="shared" si="5"/>
        <v>2.7472527472527472E-2</v>
      </c>
    </row>
    <row r="32" spans="1:17">
      <c r="A32" s="60" t="s">
        <v>17</v>
      </c>
      <c r="B32" s="60" t="s">
        <v>134</v>
      </c>
      <c r="C32" s="60">
        <v>10.922000000000001</v>
      </c>
      <c r="D32" s="60">
        <v>45.116999999999997</v>
      </c>
      <c r="E32" s="60">
        <v>18.724</v>
      </c>
      <c r="F32" s="60">
        <v>6.88</v>
      </c>
      <c r="G32" s="60">
        <v>75.143000000000001</v>
      </c>
      <c r="H32" s="60">
        <v>17.277999999999999</v>
      </c>
      <c r="I32" s="60">
        <v>3.42</v>
      </c>
      <c r="J32" s="60">
        <v>4.5510000000000002</v>
      </c>
      <c r="L32" s="78">
        <f t="shared" si="0"/>
        <v>4.0131916257209994</v>
      </c>
      <c r="M32" s="78">
        <f t="shared" si="1"/>
        <v>1.6655141077642575</v>
      </c>
      <c r="N32" s="89">
        <f t="shared" si="2"/>
        <v>7.580291242768801E-2</v>
      </c>
      <c r="O32" s="78">
        <f t="shared" si="3"/>
        <v>0.49709302325581395</v>
      </c>
      <c r="P32" s="78">
        <f t="shared" si="4"/>
        <v>1.0836902419261489</v>
      </c>
      <c r="Q32" s="89">
        <f t="shared" si="5"/>
        <v>4.5513221457753883E-2</v>
      </c>
    </row>
    <row r="33" spans="1:17">
      <c r="A33" s="60" t="s">
        <v>211</v>
      </c>
      <c r="B33" s="60" t="s">
        <v>210</v>
      </c>
      <c r="C33" s="60">
        <v>18.692</v>
      </c>
      <c r="D33" s="60">
        <v>33.802999999999997</v>
      </c>
      <c r="E33" s="60">
        <v>5.4580000000000002</v>
      </c>
      <c r="F33" s="60">
        <v>2.96</v>
      </c>
      <c r="G33" s="60">
        <v>55.326999999999998</v>
      </c>
      <c r="H33" s="60">
        <v>6.2380000000000004</v>
      </c>
      <c r="I33" s="60">
        <v>1.78</v>
      </c>
      <c r="J33" s="60">
        <v>3.2170000000000001</v>
      </c>
      <c r="L33" s="78">
        <f t="shared" si="0"/>
        <v>10.136863319897397</v>
      </c>
      <c r="M33" s="78">
        <f t="shared" si="1"/>
        <v>1.6367482176138213</v>
      </c>
      <c r="N33" s="89">
        <f t="shared" si="2"/>
        <v>5.2658048102239452E-2</v>
      </c>
      <c r="O33" s="78">
        <f t="shared" si="3"/>
        <v>0.60135135135135132</v>
      </c>
      <c r="P33" s="78">
        <f t="shared" si="4"/>
        <v>0.87495992305226034</v>
      </c>
      <c r="Q33" s="89">
        <f t="shared" si="5"/>
        <v>3.2172357077014838E-2</v>
      </c>
    </row>
    <row r="34" spans="1:17">
      <c r="A34" s="60" t="s">
        <v>18</v>
      </c>
      <c r="B34" s="60" t="s">
        <v>135</v>
      </c>
      <c r="C34" s="60">
        <v>18.681000000000001</v>
      </c>
      <c r="D34" s="60">
        <v>27.960999999999999</v>
      </c>
      <c r="E34" s="60">
        <v>7.0049999999999999</v>
      </c>
      <c r="F34" s="60">
        <v>1.8</v>
      </c>
      <c r="G34" s="60">
        <v>33.625999999999998</v>
      </c>
      <c r="H34" s="60">
        <v>9.2560000000000002</v>
      </c>
      <c r="I34" s="60">
        <v>1.26</v>
      </c>
      <c r="J34" s="60">
        <v>3.7469999999999999</v>
      </c>
      <c r="L34" s="78">
        <f t="shared" si="0"/>
        <v>4.8002855103497497</v>
      </c>
      <c r="M34" s="78">
        <f t="shared" si="1"/>
        <v>1.2026036264797395</v>
      </c>
      <c r="N34" s="89">
        <f t="shared" si="2"/>
        <v>4.5062765995493727E-2</v>
      </c>
      <c r="O34" s="78">
        <f t="shared" si="3"/>
        <v>0.7</v>
      </c>
      <c r="P34" s="78">
        <f t="shared" si="4"/>
        <v>0.75680639585133969</v>
      </c>
      <c r="Q34" s="89">
        <f t="shared" si="5"/>
        <v>3.7471004579789455E-2</v>
      </c>
    </row>
    <row r="35" spans="1:17">
      <c r="A35" s="60" t="s">
        <v>19</v>
      </c>
      <c r="B35" s="60" t="s">
        <v>136</v>
      </c>
      <c r="C35" s="60">
        <v>15.914</v>
      </c>
      <c r="D35" s="60">
        <v>14.109</v>
      </c>
      <c r="E35" s="60">
        <v>6.5309999999999997</v>
      </c>
      <c r="F35" s="60">
        <v>2.1</v>
      </c>
      <c r="G35" s="60">
        <v>33.418999999999997</v>
      </c>
      <c r="H35" s="60">
        <v>6.9340000000000002</v>
      </c>
      <c r="I35" s="60">
        <v>1.44</v>
      </c>
      <c r="J35" s="60">
        <v>4.3090000000000002</v>
      </c>
      <c r="L35" s="78">
        <f t="shared" si="0"/>
        <v>5.1169805542795892</v>
      </c>
      <c r="M35" s="78">
        <f t="shared" si="1"/>
        <v>2.3686299525125802</v>
      </c>
      <c r="N35" s="89">
        <f t="shared" si="2"/>
        <v>0.10206251328938974</v>
      </c>
      <c r="O35" s="78">
        <f t="shared" si="3"/>
        <v>0.68571428571428561</v>
      </c>
      <c r="P35" s="78">
        <f t="shared" si="4"/>
        <v>0.94188058840496103</v>
      </c>
      <c r="Q35" s="89">
        <f t="shared" si="5"/>
        <v>4.3089260600257341E-2</v>
      </c>
    </row>
    <row r="36" spans="1:17">
      <c r="A36" s="60" t="s">
        <v>267</v>
      </c>
      <c r="B36" s="60" t="s">
        <v>266</v>
      </c>
      <c r="C36" s="60">
        <v>21.603000000000002</v>
      </c>
      <c r="D36" s="60">
        <v>32.314999999999998</v>
      </c>
      <c r="E36" s="60">
        <v>3.9049999999999998</v>
      </c>
      <c r="F36" s="60">
        <v>1.89</v>
      </c>
      <c r="G36" s="60">
        <v>40.829000000000001</v>
      </c>
      <c r="H36" s="60">
        <v>5.133</v>
      </c>
      <c r="I36" s="60">
        <v>1.55</v>
      </c>
      <c r="J36" s="60">
        <v>3.7959999999999998</v>
      </c>
      <c r="L36" s="78">
        <f t="shared" si="0"/>
        <v>10.455569782330347</v>
      </c>
      <c r="M36" s="78">
        <f t="shared" si="1"/>
        <v>1.2634689772551448</v>
      </c>
      <c r="N36" s="89">
        <f t="shared" si="2"/>
        <v>4.796534117282996E-2</v>
      </c>
      <c r="O36" s="78">
        <f t="shared" si="3"/>
        <v>0.82010582010582023</v>
      </c>
      <c r="P36" s="78">
        <f t="shared" si="4"/>
        <v>0.76076368595363331</v>
      </c>
      <c r="Q36" s="89">
        <f t="shared" si="5"/>
        <v>3.7963212422542802E-2</v>
      </c>
    </row>
    <row r="37" spans="1:17">
      <c r="A37" s="60" t="s">
        <v>186</v>
      </c>
      <c r="B37" s="60" t="s">
        <v>185</v>
      </c>
      <c r="D37" s="60">
        <v>8.8360000000000003</v>
      </c>
      <c r="E37" s="60">
        <v>0.81399999999999995</v>
      </c>
      <c r="F37" s="60">
        <v>5.0999999999999997E-2</v>
      </c>
      <c r="G37" s="60">
        <v>8.6920000000000002</v>
      </c>
      <c r="H37" s="60">
        <v>0.71499999999999997</v>
      </c>
      <c r="I37" s="60">
        <v>0.3</v>
      </c>
      <c r="J37" s="60">
        <v>3.4510000000000001</v>
      </c>
      <c r="L37" s="78">
        <f t="shared" si="0"/>
        <v>10.678132678132679</v>
      </c>
      <c r="M37" s="78">
        <f t="shared" si="1"/>
        <v>0.98370303304662743</v>
      </c>
      <c r="N37" s="89">
        <f t="shared" si="2"/>
        <v>3.3952014486192846E-2</v>
      </c>
      <c r="O37" s="78">
        <f t="shared" si="3"/>
        <v>5.882352941176471</v>
      </c>
      <c r="P37" s="78">
        <f t="shared" si="4"/>
        <v>1.1384615384615384</v>
      </c>
      <c r="Q37" s="89">
        <f t="shared" si="5"/>
        <v>3.4514496088357105E-2</v>
      </c>
    </row>
    <row r="38" spans="1:17">
      <c r="A38" s="60" t="s">
        <v>20</v>
      </c>
      <c r="B38" s="60" t="s">
        <v>137</v>
      </c>
      <c r="C38" s="60">
        <v>17.981000000000002</v>
      </c>
      <c r="D38" s="60">
        <v>24.731000000000002</v>
      </c>
      <c r="E38" s="60">
        <v>3.355</v>
      </c>
      <c r="F38" s="60">
        <v>1.61</v>
      </c>
      <c r="G38" s="60">
        <v>28.949000000000002</v>
      </c>
      <c r="H38" s="60">
        <v>2.8610000000000002</v>
      </c>
      <c r="I38" s="60">
        <v>1.0549999999999999</v>
      </c>
      <c r="J38" s="60">
        <v>3.6440000000000001</v>
      </c>
      <c r="L38" s="78">
        <f t="shared" si="0"/>
        <v>8.628614008941879</v>
      </c>
      <c r="M38" s="78">
        <f t="shared" si="1"/>
        <v>1.170555173668675</v>
      </c>
      <c r="N38" s="89">
        <f t="shared" si="2"/>
        <v>4.2659010957907077E-2</v>
      </c>
      <c r="O38" s="78">
        <f t="shared" si="3"/>
        <v>0.65527950310559002</v>
      </c>
      <c r="P38" s="78">
        <f t="shared" si="4"/>
        <v>1.1726668996854246</v>
      </c>
      <c r="Q38" s="89">
        <f t="shared" si="5"/>
        <v>3.6443400462882997E-2</v>
      </c>
    </row>
    <row r="39" spans="1:17">
      <c r="A39" s="60" t="s">
        <v>21</v>
      </c>
      <c r="B39" s="60" t="s">
        <v>138</v>
      </c>
      <c r="C39" s="60">
        <v>13.555999999999999</v>
      </c>
      <c r="D39" s="60">
        <v>19.033999999999999</v>
      </c>
      <c r="E39" s="60">
        <v>4.1719999999999997</v>
      </c>
      <c r="F39" s="60">
        <v>2.29</v>
      </c>
      <c r="G39" s="60">
        <v>31.044</v>
      </c>
      <c r="H39" s="60">
        <v>3.04</v>
      </c>
      <c r="I39" s="60">
        <v>1.24</v>
      </c>
      <c r="J39" s="60">
        <v>3.9940000000000002</v>
      </c>
      <c r="L39" s="78">
        <f t="shared" si="0"/>
        <v>7.441035474592522</v>
      </c>
      <c r="M39" s="78">
        <f t="shared" si="1"/>
        <v>1.6309761479457814</v>
      </c>
      <c r="N39" s="89">
        <f t="shared" si="2"/>
        <v>6.5146579804560262E-2</v>
      </c>
      <c r="O39" s="78">
        <f t="shared" si="3"/>
        <v>0.54148471615720528</v>
      </c>
      <c r="P39" s="78">
        <f t="shared" si="4"/>
        <v>1.3723684210526315</v>
      </c>
      <c r="Q39" s="89">
        <f t="shared" si="5"/>
        <v>3.9943306274964563E-2</v>
      </c>
    </row>
    <row r="40" spans="1:17">
      <c r="A40" s="60" t="s">
        <v>22</v>
      </c>
      <c r="B40" s="60" t="s">
        <v>216</v>
      </c>
      <c r="C40" s="60">
        <v>19.059999999999999</v>
      </c>
      <c r="D40" s="60">
        <v>42.738999999999997</v>
      </c>
      <c r="E40" s="60">
        <v>6.8570000000000002</v>
      </c>
      <c r="F40" s="60">
        <v>3.94</v>
      </c>
      <c r="G40" s="60">
        <v>75.097999999999999</v>
      </c>
      <c r="H40" s="60">
        <v>5.8920000000000003</v>
      </c>
      <c r="I40" s="60">
        <v>2.08</v>
      </c>
      <c r="J40" s="60">
        <v>2.77</v>
      </c>
      <c r="L40" s="78">
        <f t="shared" si="0"/>
        <v>10.952019833746537</v>
      </c>
      <c r="M40" s="78">
        <f t="shared" si="1"/>
        <v>1.7571304897166524</v>
      </c>
      <c r="N40" s="89">
        <f t="shared" si="2"/>
        <v>4.8667493390112081E-2</v>
      </c>
      <c r="O40" s="78">
        <f t="shared" si="3"/>
        <v>0.52791878172588835</v>
      </c>
      <c r="P40" s="78">
        <f t="shared" si="4"/>
        <v>1.1637813985064493</v>
      </c>
      <c r="Q40" s="89">
        <f t="shared" si="5"/>
        <v>2.7697142400596553E-2</v>
      </c>
    </row>
    <row r="41" spans="1:17">
      <c r="A41" s="60" t="s">
        <v>25</v>
      </c>
      <c r="B41" s="60" t="s">
        <v>139</v>
      </c>
      <c r="C41" s="60">
        <v>24.904</v>
      </c>
      <c r="D41" s="60">
        <v>20.885999999999999</v>
      </c>
      <c r="E41" s="60">
        <v>3.4670000000000001</v>
      </c>
      <c r="F41" s="60">
        <v>2.1800000000000002</v>
      </c>
      <c r="G41" s="60">
        <v>54.29</v>
      </c>
      <c r="H41" s="60">
        <v>2.4129999999999998</v>
      </c>
      <c r="I41" s="60">
        <v>1.21</v>
      </c>
      <c r="J41" s="60">
        <v>2.2290000000000001</v>
      </c>
      <c r="L41" s="78">
        <f t="shared" si="0"/>
        <v>15.659071243149697</v>
      </c>
      <c r="M41" s="78">
        <f t="shared" si="1"/>
        <v>2.5993488461170164</v>
      </c>
      <c r="N41" s="89">
        <f t="shared" si="2"/>
        <v>5.7933544000766064E-2</v>
      </c>
      <c r="O41" s="78">
        <f t="shared" si="3"/>
        <v>0.55504587155963292</v>
      </c>
      <c r="P41" s="78">
        <f t="shared" si="4"/>
        <v>1.4368006630750105</v>
      </c>
      <c r="Q41" s="89">
        <f t="shared" si="5"/>
        <v>2.2287714127832012E-2</v>
      </c>
    </row>
    <row r="42" spans="1:17">
      <c r="A42" s="60" t="s">
        <v>188</v>
      </c>
      <c r="B42" s="60" t="s">
        <v>187</v>
      </c>
      <c r="C42" s="60">
        <v>25.645</v>
      </c>
      <c r="D42" s="60">
        <v>13.404</v>
      </c>
      <c r="E42" s="60">
        <v>2.1720000000000002</v>
      </c>
      <c r="F42" s="60">
        <v>1.38</v>
      </c>
      <c r="G42" s="60">
        <v>35.39</v>
      </c>
      <c r="H42" s="60">
        <v>2.907</v>
      </c>
      <c r="I42" s="60">
        <v>0.80800000000000005</v>
      </c>
      <c r="J42" s="60">
        <v>2.2829999999999999</v>
      </c>
      <c r="L42" s="78">
        <f t="shared" si="0"/>
        <v>16.293738489871085</v>
      </c>
      <c r="M42" s="78">
        <f t="shared" si="1"/>
        <v>2.6402566398090124</v>
      </c>
      <c r="N42" s="89">
        <f t="shared" si="2"/>
        <v>6.0280513279618031E-2</v>
      </c>
      <c r="O42" s="78">
        <f t="shared" si="3"/>
        <v>0.58550724637681173</v>
      </c>
      <c r="P42" s="78">
        <f t="shared" si="4"/>
        <v>0.74716202270381837</v>
      </c>
      <c r="Q42" s="89">
        <f t="shared" si="5"/>
        <v>2.283130827917491E-2</v>
      </c>
    </row>
    <row r="43" spans="1:17">
      <c r="A43" s="60" t="s">
        <v>190</v>
      </c>
      <c r="B43" s="60" t="s">
        <v>189</v>
      </c>
      <c r="C43" s="60">
        <v>21.25</v>
      </c>
      <c r="D43" s="60">
        <v>13.583</v>
      </c>
      <c r="E43" s="60">
        <v>2.4550000000000001</v>
      </c>
      <c r="F43" s="60">
        <v>1.61</v>
      </c>
      <c r="G43" s="60">
        <v>34.213000000000001</v>
      </c>
      <c r="H43" s="60">
        <v>4.1459999999999999</v>
      </c>
      <c r="I43" s="60">
        <v>0.98</v>
      </c>
      <c r="J43" s="60">
        <v>2.8639999999999999</v>
      </c>
      <c r="L43" s="78">
        <f t="shared" si="0"/>
        <v>13.936048879837067</v>
      </c>
      <c r="M43" s="78">
        <f t="shared" si="1"/>
        <v>2.5188102775528236</v>
      </c>
      <c r="N43" s="89">
        <f t="shared" si="2"/>
        <v>7.2149009791651328E-2</v>
      </c>
      <c r="O43" s="78">
        <f t="shared" si="3"/>
        <v>0.60869565217391297</v>
      </c>
      <c r="P43" s="78">
        <f t="shared" si="4"/>
        <v>0.59213699951760734</v>
      </c>
      <c r="Q43" s="89">
        <f t="shared" si="5"/>
        <v>2.8644082658638527E-2</v>
      </c>
    </row>
    <row r="44" spans="1:17">
      <c r="A44" s="60" t="s">
        <v>141</v>
      </c>
      <c r="B44" s="60" t="s">
        <v>140</v>
      </c>
      <c r="C44" s="60">
        <v>20.710999999999999</v>
      </c>
      <c r="D44" s="60">
        <v>52.011000000000003</v>
      </c>
      <c r="E44" s="60">
        <v>12.97</v>
      </c>
      <c r="F44" s="60">
        <v>5.78</v>
      </c>
      <c r="G44" s="60">
        <v>119.712</v>
      </c>
      <c r="H44" s="60">
        <v>20.59</v>
      </c>
      <c r="I44" s="60">
        <v>3.48</v>
      </c>
      <c r="J44" s="60">
        <v>2.907</v>
      </c>
      <c r="L44" s="78">
        <f t="shared" si="0"/>
        <v>9.229915188897456</v>
      </c>
      <c r="M44" s="78">
        <f t="shared" si="1"/>
        <v>2.3016669550671973</v>
      </c>
      <c r="N44" s="89">
        <f t="shared" si="2"/>
        <v>6.6908923112418528E-2</v>
      </c>
      <c r="O44" s="78">
        <f t="shared" si="3"/>
        <v>0.60207612456747406</v>
      </c>
      <c r="P44" s="78">
        <f t="shared" si="4"/>
        <v>0.62991743564837299</v>
      </c>
      <c r="Q44" s="89">
        <f t="shared" si="5"/>
        <v>2.9069767441860465E-2</v>
      </c>
    </row>
    <row r="45" spans="1:17">
      <c r="A45" s="60" t="s">
        <v>26</v>
      </c>
      <c r="B45" s="60" t="s">
        <v>142</v>
      </c>
      <c r="C45" s="60">
        <v>23.183</v>
      </c>
      <c r="D45" s="60">
        <v>12.598000000000001</v>
      </c>
      <c r="E45" s="60">
        <v>2.7080000000000002</v>
      </c>
      <c r="F45" s="60">
        <v>1</v>
      </c>
      <c r="G45" s="60">
        <v>23.183</v>
      </c>
      <c r="H45" s="60">
        <v>4.5650000000000004</v>
      </c>
      <c r="I45" s="60">
        <v>0.64</v>
      </c>
      <c r="J45" s="60">
        <v>2.7610000000000001</v>
      </c>
      <c r="L45" s="78">
        <f t="shared" si="0"/>
        <v>8.5609305760709002</v>
      </c>
      <c r="M45" s="78">
        <f t="shared" si="1"/>
        <v>1.840212732179711</v>
      </c>
      <c r="N45" s="89">
        <f t="shared" si="2"/>
        <v>5.0801714557866327E-2</v>
      </c>
      <c r="O45" s="78">
        <f t="shared" si="3"/>
        <v>0.64</v>
      </c>
      <c r="P45" s="78">
        <f t="shared" si="4"/>
        <v>0.59320920043811609</v>
      </c>
      <c r="Q45" s="89">
        <f t="shared" si="5"/>
        <v>2.7606435750334297E-2</v>
      </c>
    </row>
    <row r="46" spans="1:17">
      <c r="A46" s="60" t="s">
        <v>192</v>
      </c>
      <c r="B46" s="60" t="s">
        <v>191</v>
      </c>
      <c r="C46" s="60">
        <v>26.922999999999998</v>
      </c>
      <c r="D46" s="60">
        <v>29.706</v>
      </c>
      <c r="E46" s="60">
        <v>4.931</v>
      </c>
      <c r="F46" s="60">
        <v>2.12</v>
      </c>
      <c r="G46" s="60">
        <v>57.076000000000001</v>
      </c>
      <c r="H46" s="60">
        <v>4.8730000000000002</v>
      </c>
      <c r="I46" s="60">
        <v>1.87</v>
      </c>
      <c r="J46" s="60">
        <v>3.2759999999999998</v>
      </c>
      <c r="L46" s="78">
        <f t="shared" si="0"/>
        <v>11.574934090448185</v>
      </c>
      <c r="M46" s="78">
        <f t="shared" si="1"/>
        <v>1.921362687672524</v>
      </c>
      <c r="N46" s="89">
        <f t="shared" si="2"/>
        <v>6.2950245741601032E-2</v>
      </c>
      <c r="O46" s="78">
        <f t="shared" si="3"/>
        <v>0.88207547169811318</v>
      </c>
      <c r="P46" s="78">
        <f t="shared" si="4"/>
        <v>1.0119023189000615</v>
      </c>
      <c r="Q46" s="89">
        <f t="shared" si="5"/>
        <v>3.2763333099726684E-2</v>
      </c>
    </row>
    <row r="47" spans="1:17">
      <c r="A47" s="60" t="s">
        <v>144</v>
      </c>
      <c r="B47" s="60" t="s">
        <v>143</v>
      </c>
      <c r="C47" s="60">
        <v>17.186</v>
      </c>
      <c r="D47" s="60">
        <v>34.682000000000002</v>
      </c>
      <c r="E47" s="60">
        <v>6.7370000000000001</v>
      </c>
      <c r="F47" s="60">
        <v>3.39</v>
      </c>
      <c r="G47" s="60">
        <v>58.261000000000003</v>
      </c>
      <c r="H47" s="60">
        <v>5.9569999999999999</v>
      </c>
      <c r="I47" s="60">
        <v>2</v>
      </c>
      <c r="J47" s="60">
        <v>3.4329999999999998</v>
      </c>
      <c r="L47" s="78">
        <f t="shared" si="0"/>
        <v>8.647914502003859</v>
      </c>
      <c r="M47" s="78">
        <f t="shared" si="1"/>
        <v>1.6798627530130903</v>
      </c>
      <c r="N47" s="89">
        <f t="shared" si="2"/>
        <v>5.7666801222536181E-2</v>
      </c>
      <c r="O47" s="78">
        <f t="shared" si="3"/>
        <v>0.58997050147492625</v>
      </c>
      <c r="P47" s="78">
        <f t="shared" si="4"/>
        <v>1.130938391807957</v>
      </c>
      <c r="Q47" s="89">
        <f t="shared" si="5"/>
        <v>3.4328281354593981E-2</v>
      </c>
    </row>
    <row r="48" spans="1:17">
      <c r="A48" s="60" t="s">
        <v>27</v>
      </c>
      <c r="B48" s="60" t="s">
        <v>145</v>
      </c>
      <c r="C48" s="60">
        <v>17.68</v>
      </c>
      <c r="D48" s="60">
        <v>17.245000000000001</v>
      </c>
      <c r="E48" s="60">
        <v>3.3090000000000002</v>
      </c>
      <c r="F48" s="60">
        <v>1.69</v>
      </c>
      <c r="G48" s="60">
        <v>29.88</v>
      </c>
      <c r="H48" s="60">
        <v>3.3050000000000002</v>
      </c>
      <c r="I48" s="60">
        <v>1.155</v>
      </c>
      <c r="J48" s="60">
        <v>3.8650000000000002</v>
      </c>
      <c r="L48" s="78">
        <f t="shared" si="0"/>
        <v>9.0299184043517666</v>
      </c>
      <c r="M48" s="78">
        <f t="shared" si="1"/>
        <v>1.7326761380110176</v>
      </c>
      <c r="N48" s="89">
        <f t="shared" si="2"/>
        <v>6.6975935053638733E-2</v>
      </c>
      <c r="O48" s="78">
        <f t="shared" si="3"/>
        <v>0.68343195266272194</v>
      </c>
      <c r="P48" s="78">
        <f t="shared" si="4"/>
        <v>1.0012102874432678</v>
      </c>
      <c r="Q48" s="89">
        <f t="shared" si="5"/>
        <v>3.8654618473895584E-2</v>
      </c>
    </row>
    <row r="49" spans="1:17">
      <c r="A49" s="60" t="s">
        <v>353</v>
      </c>
      <c r="B49" s="60" t="s">
        <v>356</v>
      </c>
      <c r="C49" s="60">
        <v>22.738</v>
      </c>
      <c r="D49" s="60">
        <v>36.116999999999997</v>
      </c>
      <c r="E49" s="60">
        <v>5.431</v>
      </c>
      <c r="F49" s="60">
        <v>2.65</v>
      </c>
      <c r="G49" s="60">
        <v>60.256999999999998</v>
      </c>
      <c r="H49" s="60">
        <v>5.9119999999999999</v>
      </c>
      <c r="I49" s="60">
        <v>1.4</v>
      </c>
      <c r="J49" s="60">
        <v>2.323</v>
      </c>
      <c r="L49" s="78">
        <f t="shared" si="0"/>
        <v>11.095010127048425</v>
      </c>
      <c r="M49" s="78">
        <f t="shared" si="1"/>
        <v>1.6683833097987097</v>
      </c>
      <c r="N49" s="89">
        <f t="shared" si="2"/>
        <v>3.8762909433230887E-2</v>
      </c>
      <c r="O49" s="78">
        <f t="shared" si="3"/>
        <v>0.52830188679245282</v>
      </c>
      <c r="P49" s="78">
        <f t="shared" si="4"/>
        <v>0.91864005412719896</v>
      </c>
      <c r="Q49" s="89">
        <f t="shared" si="5"/>
        <v>2.3233815158404832E-2</v>
      </c>
    </row>
    <row r="50" spans="1:17">
      <c r="A50" s="60" t="s">
        <v>28</v>
      </c>
      <c r="B50" s="60" t="s">
        <v>146</v>
      </c>
      <c r="C50" s="60">
        <v>20.193000000000001</v>
      </c>
      <c r="D50" s="60">
        <v>17.03</v>
      </c>
      <c r="E50" s="60">
        <v>3.4430000000000001</v>
      </c>
      <c r="F50" s="60">
        <v>1.6</v>
      </c>
      <c r="G50" s="60">
        <v>32.308999999999997</v>
      </c>
      <c r="H50" s="60">
        <v>4.0979999999999999</v>
      </c>
      <c r="I50" s="60">
        <v>1.25</v>
      </c>
      <c r="J50" s="60">
        <v>3.8690000000000002</v>
      </c>
      <c r="L50" s="78">
        <f t="shared" si="0"/>
        <v>9.3839674702294502</v>
      </c>
      <c r="M50" s="78">
        <f t="shared" si="1"/>
        <v>1.8971814445096886</v>
      </c>
      <c r="N50" s="89">
        <f t="shared" si="2"/>
        <v>7.3399882560187896E-2</v>
      </c>
      <c r="O50" s="78">
        <f t="shared" si="3"/>
        <v>0.78125</v>
      </c>
      <c r="P50" s="78">
        <f t="shared" si="4"/>
        <v>0.84016593460224509</v>
      </c>
      <c r="Q50" s="89">
        <f t="shared" si="5"/>
        <v>3.8688910210777187E-2</v>
      </c>
    </row>
    <row r="51" spans="1:17">
      <c r="A51" s="60" t="s">
        <v>30</v>
      </c>
      <c r="B51" s="60" t="s">
        <v>147</v>
      </c>
      <c r="C51" s="60">
        <v>21.126999999999999</v>
      </c>
      <c r="D51" s="60">
        <v>35.392000000000003</v>
      </c>
      <c r="E51" s="60">
        <v>8.2309999999999999</v>
      </c>
      <c r="F51" s="60">
        <v>2.83</v>
      </c>
      <c r="G51" s="60">
        <v>59.787999999999997</v>
      </c>
      <c r="H51" s="60">
        <v>11.263</v>
      </c>
      <c r="I51" s="60">
        <v>1.925</v>
      </c>
      <c r="J51" s="60">
        <v>3.22</v>
      </c>
      <c r="L51" s="78">
        <f t="shared" si="0"/>
        <v>7.2637589600291577</v>
      </c>
      <c r="M51" s="78">
        <f t="shared" si="1"/>
        <v>1.6893083182640143</v>
      </c>
      <c r="N51" s="89">
        <f t="shared" si="2"/>
        <v>5.4390822784810125E-2</v>
      </c>
      <c r="O51" s="78">
        <f t="shared" si="3"/>
        <v>0.68021201413427557</v>
      </c>
      <c r="P51" s="78">
        <f t="shared" si="4"/>
        <v>0.73079996448548346</v>
      </c>
      <c r="Q51" s="89">
        <f t="shared" si="5"/>
        <v>3.2197096407305816E-2</v>
      </c>
    </row>
    <row r="52" spans="1:17">
      <c r="A52" s="60" t="s">
        <v>31</v>
      </c>
      <c r="B52" s="60" t="s">
        <v>148</v>
      </c>
      <c r="C52" s="60">
        <v>18.742999999999999</v>
      </c>
      <c r="D52" s="60">
        <v>43.145000000000003</v>
      </c>
      <c r="E52" s="60">
        <v>9.3879999999999999</v>
      </c>
      <c r="F52" s="60">
        <v>3.95</v>
      </c>
      <c r="G52" s="60">
        <v>74.034999999999997</v>
      </c>
      <c r="H52" s="60">
        <v>11.635</v>
      </c>
      <c r="I52" s="60">
        <v>2.56</v>
      </c>
      <c r="J52" s="60">
        <v>3.4580000000000002</v>
      </c>
      <c r="L52" s="78">
        <f t="shared" si="0"/>
        <v>7.8861312313591814</v>
      </c>
      <c r="M52" s="78">
        <f t="shared" si="1"/>
        <v>1.7159578166647349</v>
      </c>
      <c r="N52" s="89">
        <f t="shared" si="2"/>
        <v>5.9334801251593461E-2</v>
      </c>
      <c r="O52" s="78">
        <f t="shared" si="3"/>
        <v>0.64810126582278482</v>
      </c>
      <c r="P52" s="78">
        <f t="shared" si="4"/>
        <v>0.80687580575848727</v>
      </c>
      <c r="Q52" s="89">
        <f t="shared" si="5"/>
        <v>3.4578240021611403E-2</v>
      </c>
    </row>
    <row r="53" spans="1:17">
      <c r="A53" s="60" t="s">
        <v>32</v>
      </c>
      <c r="B53" s="60" t="s">
        <v>149</v>
      </c>
      <c r="C53" s="60">
        <v>19.832000000000001</v>
      </c>
      <c r="D53" s="60">
        <v>21.04</v>
      </c>
      <c r="E53" s="60">
        <v>4.2809999999999997</v>
      </c>
      <c r="F53" s="60">
        <v>1.65</v>
      </c>
      <c r="G53" s="60">
        <v>32.722000000000001</v>
      </c>
      <c r="H53" s="60">
        <v>7.5339999999999998</v>
      </c>
      <c r="I53" s="60">
        <v>0.88</v>
      </c>
      <c r="J53" s="60">
        <v>2.6890000000000001</v>
      </c>
      <c r="L53" s="78">
        <f t="shared" si="0"/>
        <v>7.6435412286848878</v>
      </c>
      <c r="M53" s="78">
        <f t="shared" si="1"/>
        <v>1.5552281368821295</v>
      </c>
      <c r="N53" s="89">
        <f t="shared" si="2"/>
        <v>4.1825095057034224E-2</v>
      </c>
      <c r="O53" s="78">
        <f t="shared" si="3"/>
        <v>0.53333333333333333</v>
      </c>
      <c r="P53" s="78">
        <f t="shared" si="4"/>
        <v>0.5682240509689408</v>
      </c>
      <c r="Q53" s="89">
        <f t="shared" si="5"/>
        <v>2.6893221685716031E-2</v>
      </c>
    </row>
    <row r="54" spans="1:17">
      <c r="A54" s="60" t="s">
        <v>33</v>
      </c>
      <c r="B54" s="60" t="s">
        <v>150</v>
      </c>
      <c r="C54" s="60">
        <v>19.058</v>
      </c>
      <c r="D54" s="60">
        <v>26.353000000000002</v>
      </c>
      <c r="E54" s="60">
        <v>5.7789999999999999</v>
      </c>
      <c r="F54" s="60">
        <v>2.16</v>
      </c>
      <c r="G54" s="60">
        <v>41.164999999999999</v>
      </c>
      <c r="H54" s="60">
        <v>6.5659999999999998</v>
      </c>
      <c r="I54" s="60">
        <v>1.26</v>
      </c>
      <c r="J54" s="60">
        <v>3.0609999999999999</v>
      </c>
      <c r="L54" s="78">
        <f t="shared" si="0"/>
        <v>7.1232047066966606</v>
      </c>
      <c r="M54" s="78">
        <f t="shared" si="1"/>
        <v>1.5620612453990057</v>
      </c>
      <c r="N54" s="89">
        <f t="shared" si="2"/>
        <v>4.7812393275907861E-2</v>
      </c>
      <c r="O54" s="78">
        <f t="shared" si="3"/>
        <v>0.58333333333333326</v>
      </c>
      <c r="P54" s="78">
        <f t="shared" si="4"/>
        <v>0.88014011574779172</v>
      </c>
      <c r="Q54" s="89">
        <f t="shared" si="5"/>
        <v>3.0608526660998423E-2</v>
      </c>
    </row>
    <row r="55" spans="1:17">
      <c r="A55" s="60" t="s">
        <v>34</v>
      </c>
      <c r="B55" s="60" t="s">
        <v>151</v>
      </c>
      <c r="C55" s="60">
        <v>12.829000000000001</v>
      </c>
      <c r="D55" s="60">
        <v>14.563000000000001</v>
      </c>
      <c r="E55" s="60">
        <v>4.2779999999999996</v>
      </c>
      <c r="F55" s="60">
        <v>2.79</v>
      </c>
      <c r="G55" s="60">
        <v>35.793999999999997</v>
      </c>
      <c r="H55" s="60">
        <v>4.2960000000000003</v>
      </c>
      <c r="I55" s="60">
        <v>1.52</v>
      </c>
      <c r="J55" s="60">
        <v>4.2469999999999999</v>
      </c>
      <c r="L55" s="78">
        <f t="shared" si="0"/>
        <v>8.3669939223936414</v>
      </c>
      <c r="M55" s="78">
        <f t="shared" si="1"/>
        <v>2.457872691066401</v>
      </c>
      <c r="N55" s="89">
        <f t="shared" si="2"/>
        <v>0.10437409874339078</v>
      </c>
      <c r="O55" s="78">
        <f t="shared" si="3"/>
        <v>0.54480286738351258</v>
      </c>
      <c r="P55" s="78">
        <f t="shared" si="4"/>
        <v>0.99581005586592164</v>
      </c>
      <c r="Q55" s="89">
        <f t="shared" si="5"/>
        <v>4.2465217634240382E-2</v>
      </c>
    </row>
    <row r="56" spans="1:17">
      <c r="A56" s="60" t="s">
        <v>35</v>
      </c>
      <c r="B56" s="60" t="s">
        <v>152</v>
      </c>
      <c r="C56" s="60">
        <v>15.347</v>
      </c>
      <c r="D56" s="60">
        <v>26.007000000000001</v>
      </c>
      <c r="E56" s="60">
        <v>5.0709999999999997</v>
      </c>
      <c r="F56" s="60">
        <v>2.83</v>
      </c>
      <c r="G56" s="60">
        <v>43.433</v>
      </c>
      <c r="H56" s="60">
        <v>8.3170000000000002</v>
      </c>
      <c r="I56" s="60">
        <v>1.64</v>
      </c>
      <c r="J56" s="60">
        <v>3.7759999999999998</v>
      </c>
      <c r="L56" s="78">
        <f t="shared" si="0"/>
        <v>8.5649773220272145</v>
      </c>
      <c r="M56" s="78">
        <f t="shared" si="1"/>
        <v>1.6700503710539469</v>
      </c>
      <c r="N56" s="89">
        <f t="shared" si="2"/>
        <v>6.3059945399315559E-2</v>
      </c>
      <c r="O56" s="78">
        <f t="shared" si="3"/>
        <v>0.57950530035335679</v>
      </c>
      <c r="P56" s="78">
        <f t="shared" si="4"/>
        <v>0.60971504148130329</v>
      </c>
      <c r="Q56" s="89">
        <f t="shared" si="5"/>
        <v>3.7759307439044043E-2</v>
      </c>
    </row>
    <row r="57" spans="1:17">
      <c r="A57" s="60" t="s">
        <v>194</v>
      </c>
      <c r="B57" s="60" t="s">
        <v>193</v>
      </c>
      <c r="C57" s="60">
        <v>18.413</v>
      </c>
      <c r="D57" s="60">
        <v>7.7510000000000003</v>
      </c>
      <c r="E57" s="60">
        <v>1.6040000000000001</v>
      </c>
      <c r="F57" s="60">
        <v>0.81299999999999994</v>
      </c>
      <c r="G57" s="60">
        <v>14.97</v>
      </c>
      <c r="H57" s="60">
        <v>2.4990000000000001</v>
      </c>
      <c r="I57" s="60">
        <v>0.54</v>
      </c>
      <c r="J57" s="60">
        <v>3.6070000000000002</v>
      </c>
      <c r="L57" s="78">
        <f t="shared" si="0"/>
        <v>9.3329177057356603</v>
      </c>
      <c r="M57" s="78">
        <f t="shared" si="1"/>
        <v>1.9313636950070958</v>
      </c>
      <c r="N57" s="89">
        <f t="shared" si="2"/>
        <v>6.9668429880015481E-2</v>
      </c>
      <c r="O57" s="78">
        <f t="shared" si="3"/>
        <v>0.66420664206642077</v>
      </c>
      <c r="P57" s="78">
        <f t="shared" si="4"/>
        <v>0.64185674269707882</v>
      </c>
      <c r="Q57" s="89">
        <f t="shared" si="5"/>
        <v>3.6072144288577156E-2</v>
      </c>
    </row>
    <row r="58" spans="1:17">
      <c r="A58" s="60" t="s">
        <v>36</v>
      </c>
      <c r="B58" s="60" t="s">
        <v>153</v>
      </c>
      <c r="C58" s="60">
        <v>16.795999999999999</v>
      </c>
      <c r="D58" s="60">
        <v>40.063000000000002</v>
      </c>
      <c r="E58" s="60">
        <v>7.2850000000000001</v>
      </c>
      <c r="F58" s="60">
        <v>4.16</v>
      </c>
      <c r="G58" s="60">
        <v>69.870999999999995</v>
      </c>
      <c r="H58" s="60">
        <v>11.05</v>
      </c>
      <c r="I58" s="60">
        <v>2.2999999999999998</v>
      </c>
      <c r="J58" s="60">
        <v>3.2919999999999998</v>
      </c>
      <c r="L58" s="78">
        <f t="shared" si="0"/>
        <v>9.5910775566231976</v>
      </c>
      <c r="M58" s="78">
        <f t="shared" si="1"/>
        <v>1.7440281556548434</v>
      </c>
      <c r="N58" s="89">
        <f t="shared" si="2"/>
        <v>5.7409579911639162E-2</v>
      </c>
      <c r="O58" s="78">
        <f t="shared" si="3"/>
        <v>0.55288461538461531</v>
      </c>
      <c r="P58" s="78">
        <f t="shared" si="4"/>
        <v>0.6592760180995475</v>
      </c>
      <c r="Q58" s="89">
        <f t="shared" si="5"/>
        <v>3.2917805670449829E-2</v>
      </c>
    </row>
    <row r="59" spans="1:17">
      <c r="A59" s="60" t="s">
        <v>37</v>
      </c>
      <c r="B59" s="60" t="s">
        <v>154</v>
      </c>
      <c r="C59" s="60">
        <v>24.373000000000001</v>
      </c>
      <c r="D59" s="60">
        <v>51.771999999999998</v>
      </c>
      <c r="E59" s="60">
        <v>9.4979999999999993</v>
      </c>
      <c r="F59" s="60">
        <v>4.24</v>
      </c>
      <c r="G59" s="60">
        <v>103.34</v>
      </c>
      <c r="H59" s="60">
        <v>16.846</v>
      </c>
      <c r="I59" s="60">
        <v>3.02</v>
      </c>
      <c r="J59" s="60">
        <v>2.9220000000000002</v>
      </c>
      <c r="L59" s="78">
        <f t="shared" si="0"/>
        <v>10.880185302168879</v>
      </c>
      <c r="M59" s="78">
        <f t="shared" si="1"/>
        <v>1.9960596461407711</v>
      </c>
      <c r="N59" s="89">
        <f t="shared" si="2"/>
        <v>5.8332689484663525E-2</v>
      </c>
      <c r="O59" s="78">
        <f t="shared" si="3"/>
        <v>0.71226415094339623</v>
      </c>
      <c r="P59" s="78">
        <f t="shared" si="4"/>
        <v>0.56381336815861327</v>
      </c>
      <c r="Q59" s="89">
        <f t="shared" si="5"/>
        <v>2.9223921037352427E-2</v>
      </c>
    </row>
    <row r="60" spans="1:17">
      <c r="A60" s="60" t="s">
        <v>196</v>
      </c>
      <c r="B60" s="60" t="s">
        <v>195</v>
      </c>
      <c r="C60" s="60">
        <v>15.676</v>
      </c>
      <c r="D60" s="60">
        <v>20.611999999999998</v>
      </c>
      <c r="E60" s="60">
        <v>4.7649999999999997</v>
      </c>
      <c r="F60" s="60">
        <v>2.57</v>
      </c>
      <c r="G60" s="60">
        <v>40.286999999999999</v>
      </c>
      <c r="H60" s="60">
        <v>6.952</v>
      </c>
      <c r="I60" s="60">
        <v>0.81</v>
      </c>
      <c r="J60" s="60">
        <v>2.0110000000000001</v>
      </c>
      <c r="L60" s="78">
        <f t="shared" si="0"/>
        <v>8.4547743966421827</v>
      </c>
      <c r="M60" s="78">
        <f t="shared" si="1"/>
        <v>1.9545410440520086</v>
      </c>
      <c r="N60" s="89">
        <f t="shared" si="2"/>
        <v>3.9297496603920054E-2</v>
      </c>
      <c r="O60" s="78">
        <f t="shared" si="3"/>
        <v>0.31517509727626464</v>
      </c>
      <c r="P60" s="78">
        <f t="shared" si="4"/>
        <v>0.68541426927502869</v>
      </c>
      <c r="Q60" s="89">
        <f t="shared" si="5"/>
        <v>2.0105741306128529E-2</v>
      </c>
    </row>
    <row r="61" spans="1:17">
      <c r="A61" s="60" t="s">
        <v>198</v>
      </c>
      <c r="B61" s="60" t="s">
        <v>197</v>
      </c>
      <c r="C61" s="60">
        <v>21.713999999999999</v>
      </c>
      <c r="D61" s="60">
        <v>16.221</v>
      </c>
      <c r="E61" s="60">
        <v>2.6749999999999998</v>
      </c>
      <c r="F61" s="60">
        <v>1.34</v>
      </c>
      <c r="G61" s="60">
        <v>29.097000000000001</v>
      </c>
      <c r="H61" s="60">
        <v>3.4980000000000002</v>
      </c>
      <c r="I61" s="60">
        <v>1.06</v>
      </c>
      <c r="J61" s="60">
        <v>3.6429999999999998</v>
      </c>
      <c r="L61" s="78">
        <f t="shared" si="0"/>
        <v>10.877383177570096</v>
      </c>
      <c r="M61" s="78">
        <f t="shared" si="1"/>
        <v>1.7937858331792123</v>
      </c>
      <c r="N61" s="89">
        <f t="shared" si="2"/>
        <v>6.534738918685655E-2</v>
      </c>
      <c r="O61" s="78">
        <f t="shared" si="3"/>
        <v>0.79104477611940294</v>
      </c>
      <c r="P61" s="78">
        <f t="shared" si="4"/>
        <v>0.76472269868496279</v>
      </c>
      <c r="Q61" s="89">
        <f t="shared" si="5"/>
        <v>3.6429872495446269E-2</v>
      </c>
    </row>
    <row r="62" spans="1:17">
      <c r="A62" s="60" t="s">
        <v>38</v>
      </c>
      <c r="B62" s="60" t="s">
        <v>155</v>
      </c>
      <c r="C62" s="60">
        <v>17.757999999999999</v>
      </c>
      <c r="D62" s="60">
        <v>24.998000000000001</v>
      </c>
      <c r="E62" s="60">
        <v>5.69</v>
      </c>
      <c r="F62" s="60">
        <v>2.83</v>
      </c>
      <c r="G62" s="60">
        <v>50.256</v>
      </c>
      <c r="H62" s="60">
        <v>7.3810000000000002</v>
      </c>
      <c r="I62" s="60">
        <v>2.2229999999999999</v>
      </c>
      <c r="J62" s="60">
        <v>4.423</v>
      </c>
      <c r="L62" s="78">
        <f t="shared" si="0"/>
        <v>8.832337434094903</v>
      </c>
      <c r="M62" s="78">
        <f t="shared" si="1"/>
        <v>2.0104008320665652</v>
      </c>
      <c r="N62" s="89">
        <f t="shared" si="2"/>
        <v>8.8927114169133528E-2</v>
      </c>
      <c r="O62" s="78">
        <f t="shared" si="3"/>
        <v>0.78551236749116604</v>
      </c>
      <c r="P62" s="78">
        <f t="shared" si="4"/>
        <v>0.77089825226934028</v>
      </c>
      <c r="Q62" s="89">
        <f t="shared" si="5"/>
        <v>4.4233524355300854E-2</v>
      </c>
    </row>
    <row r="63" spans="1:17">
      <c r="A63" s="60" t="s">
        <v>200</v>
      </c>
      <c r="B63" s="60" t="s">
        <v>199</v>
      </c>
      <c r="C63" s="60">
        <v>21.643000000000001</v>
      </c>
      <c r="D63" s="60">
        <v>35.033999999999999</v>
      </c>
      <c r="E63" s="60">
        <v>9.2910000000000004</v>
      </c>
      <c r="F63" s="60">
        <v>3.18</v>
      </c>
      <c r="G63" s="60">
        <v>68.823999999999998</v>
      </c>
      <c r="H63" s="60">
        <v>11.151999999999999</v>
      </c>
      <c r="I63" s="60">
        <v>1.8</v>
      </c>
      <c r="J63" s="60">
        <v>2.6150000000000002</v>
      </c>
      <c r="L63" s="78">
        <f t="shared" si="0"/>
        <v>7.4075987514799264</v>
      </c>
      <c r="M63" s="78">
        <f t="shared" si="1"/>
        <v>1.9644916366957812</v>
      </c>
      <c r="N63" s="89">
        <f t="shared" si="2"/>
        <v>5.1378660729576982E-2</v>
      </c>
      <c r="O63" s="78">
        <f t="shared" si="3"/>
        <v>0.56603773584905659</v>
      </c>
      <c r="P63" s="78">
        <f t="shared" si="4"/>
        <v>0.83312410329985664</v>
      </c>
      <c r="Q63" s="89">
        <f t="shared" si="5"/>
        <v>2.6153667325351623E-2</v>
      </c>
    </row>
    <row r="64" spans="1:17">
      <c r="A64" s="60" t="s">
        <v>244</v>
      </c>
      <c r="B64" s="60" t="s">
        <v>243</v>
      </c>
      <c r="C64" s="60">
        <v>19.614000000000001</v>
      </c>
      <c r="D64" s="60">
        <v>38.732999999999997</v>
      </c>
      <c r="E64" s="60">
        <v>6.1580000000000004</v>
      </c>
      <c r="F64" s="60">
        <v>3.24</v>
      </c>
      <c r="G64" s="60">
        <v>63.55</v>
      </c>
      <c r="H64" s="60">
        <v>6.4249999999999998</v>
      </c>
      <c r="I64" s="60">
        <v>1.96</v>
      </c>
      <c r="J64" s="60">
        <v>3.0840000000000001</v>
      </c>
      <c r="L64" s="78">
        <f t="shared" si="0"/>
        <v>10.319909061383566</v>
      </c>
      <c r="M64" s="78">
        <f t="shared" si="1"/>
        <v>1.6407197996540419</v>
      </c>
      <c r="N64" s="89">
        <f t="shared" si="2"/>
        <v>5.0602845119149052E-2</v>
      </c>
      <c r="O64" s="78">
        <f t="shared" si="3"/>
        <v>0.60493827160493818</v>
      </c>
      <c r="P64" s="78">
        <f t="shared" si="4"/>
        <v>0.95844357976653705</v>
      </c>
      <c r="Q64" s="89">
        <f t="shared" si="5"/>
        <v>3.0841856805664831E-2</v>
      </c>
    </row>
    <row r="65" spans="1:17">
      <c r="A65" s="60" t="s">
        <v>202</v>
      </c>
      <c r="B65" s="60" t="s">
        <v>201</v>
      </c>
      <c r="C65" s="60">
        <v>11.840999999999999</v>
      </c>
      <c r="D65" s="60">
        <v>5.3630000000000004</v>
      </c>
      <c r="E65" s="60">
        <v>1.2709999999999999</v>
      </c>
      <c r="F65" s="60">
        <v>0.7</v>
      </c>
      <c r="G65" s="60">
        <v>8.2889999999999997</v>
      </c>
      <c r="H65" s="60">
        <v>0.18</v>
      </c>
      <c r="I65" s="60">
        <v>0.39500000000000002</v>
      </c>
      <c r="J65" s="60">
        <v>4.7649999999999997</v>
      </c>
      <c r="L65" s="78">
        <f t="shared" si="0"/>
        <v>6.5216365066876474</v>
      </c>
      <c r="M65" s="78">
        <f t="shared" si="1"/>
        <v>1.5455901547641244</v>
      </c>
      <c r="N65" s="89">
        <f t="shared" si="2"/>
        <v>7.3652806265150098E-2</v>
      </c>
      <c r="O65" s="78">
        <f t="shared" si="3"/>
        <v>0.56428571428571439</v>
      </c>
      <c r="P65" s="78">
        <f t="shared" si="4"/>
        <v>7.0611111111111109</v>
      </c>
      <c r="Q65" s="89">
        <f t="shared" si="5"/>
        <v>4.7653516708891307E-2</v>
      </c>
    </row>
    <row r="66" spans="1:17">
      <c r="A66" s="60" t="s">
        <v>204</v>
      </c>
      <c r="B66" s="60" t="s">
        <v>203</v>
      </c>
      <c r="C66" s="60">
        <v>19.327999999999999</v>
      </c>
      <c r="D66" s="60">
        <v>16.465</v>
      </c>
      <c r="E66" s="60">
        <v>4.3940000000000001</v>
      </c>
      <c r="F66" s="60">
        <v>2.0499999999999998</v>
      </c>
      <c r="G66" s="60">
        <v>39.622999999999998</v>
      </c>
      <c r="H66" s="60">
        <v>3.2559999999999998</v>
      </c>
      <c r="I66" s="60">
        <v>0.93</v>
      </c>
      <c r="J66" s="60">
        <v>2.347</v>
      </c>
      <c r="L66" s="78">
        <f t="shared" si="0"/>
        <v>9.0175238962221211</v>
      </c>
      <c r="M66" s="78">
        <f t="shared" si="1"/>
        <v>2.4064986334649254</v>
      </c>
      <c r="N66" s="89">
        <f t="shared" si="2"/>
        <v>5.6483449741876711E-2</v>
      </c>
      <c r="O66" s="78">
        <f t="shared" si="3"/>
        <v>0.45365853658536592</v>
      </c>
      <c r="P66" s="78">
        <f t="shared" si="4"/>
        <v>1.3495085995085996</v>
      </c>
      <c r="Q66" s="89">
        <f t="shared" si="5"/>
        <v>2.3471216212805696E-2</v>
      </c>
    </row>
    <row r="67" spans="1:17">
      <c r="A67" s="60" t="s">
        <v>83</v>
      </c>
      <c r="B67" s="60" t="s">
        <v>159</v>
      </c>
      <c r="C67" s="60">
        <v>20.963999999999999</v>
      </c>
      <c r="D67" s="60">
        <v>20.824999999999999</v>
      </c>
      <c r="E67" s="60">
        <v>5.24</v>
      </c>
      <c r="F67" s="60">
        <v>1.94</v>
      </c>
      <c r="G67" s="60">
        <v>40.67</v>
      </c>
      <c r="H67" s="60">
        <v>6.9749999999999996</v>
      </c>
      <c r="I67" s="60">
        <v>1.42</v>
      </c>
      <c r="J67" s="60">
        <v>3.492</v>
      </c>
      <c r="L67" s="78">
        <f t="shared" si="0"/>
        <v>7.7614503816793894</v>
      </c>
      <c r="M67" s="78">
        <f t="shared" si="1"/>
        <v>1.9529411764705884</v>
      </c>
      <c r="N67" s="89">
        <f t="shared" si="2"/>
        <v>6.8187274909963985E-2</v>
      </c>
      <c r="O67" s="78">
        <f t="shared" si="3"/>
        <v>0.73195876288659789</v>
      </c>
      <c r="P67" s="78">
        <f t="shared" si="4"/>
        <v>0.75125448028673847</v>
      </c>
      <c r="Q67" s="89">
        <f t="shared" si="5"/>
        <v>3.4915170887632158E-2</v>
      </c>
    </row>
    <row r="68" spans="1:17">
      <c r="A68" s="60" t="s">
        <v>42</v>
      </c>
      <c r="B68" s="60" t="s">
        <v>156</v>
      </c>
      <c r="C68" s="60">
        <v>19.178000000000001</v>
      </c>
      <c r="D68" s="60">
        <v>21.327999999999999</v>
      </c>
      <c r="E68" s="60">
        <v>5.6890000000000001</v>
      </c>
      <c r="F68" s="60">
        <v>2.5499999999999998</v>
      </c>
      <c r="G68" s="60">
        <v>48.904000000000003</v>
      </c>
      <c r="H68" s="60">
        <v>6.5380000000000003</v>
      </c>
      <c r="I68" s="60">
        <v>1.62</v>
      </c>
      <c r="J68" s="60">
        <v>3.3130000000000002</v>
      </c>
      <c r="L68" s="78">
        <f t="shared" si="0"/>
        <v>8.5962383547196346</v>
      </c>
      <c r="M68" s="78">
        <f t="shared" si="1"/>
        <v>2.2929482370592651</v>
      </c>
      <c r="N68" s="89">
        <f t="shared" si="2"/>
        <v>7.5956489122280577E-2</v>
      </c>
      <c r="O68" s="78">
        <f t="shared" si="3"/>
        <v>0.6352941176470589</v>
      </c>
      <c r="P68" s="78">
        <f t="shared" si="4"/>
        <v>0.87014377485469563</v>
      </c>
      <c r="Q68" s="89">
        <f t="shared" si="5"/>
        <v>3.3126124652380171E-2</v>
      </c>
    </row>
    <row r="69" spans="1:17">
      <c r="A69" s="60" t="s">
        <v>44</v>
      </c>
      <c r="B69" s="60" t="s">
        <v>217</v>
      </c>
      <c r="C69" s="60">
        <v>19.946999999999999</v>
      </c>
      <c r="D69" s="60">
        <v>28.292999999999999</v>
      </c>
      <c r="E69" s="60">
        <v>5.391</v>
      </c>
      <c r="F69" s="60">
        <v>2.96</v>
      </c>
      <c r="G69" s="60">
        <v>59.042000000000002</v>
      </c>
      <c r="H69" s="60">
        <v>4.5110000000000001</v>
      </c>
      <c r="I69" s="60">
        <v>1.98</v>
      </c>
      <c r="J69" s="60">
        <v>3.3540000000000001</v>
      </c>
      <c r="L69" s="78">
        <f t="shared" si="0"/>
        <v>10.951956965312558</v>
      </c>
      <c r="M69" s="78">
        <f t="shared" si="1"/>
        <v>2.0868059237267169</v>
      </c>
      <c r="N69" s="89">
        <f t="shared" si="2"/>
        <v>6.9981974339942743E-2</v>
      </c>
      <c r="O69" s="78">
        <f t="shared" si="3"/>
        <v>0.66891891891891897</v>
      </c>
      <c r="P69" s="78">
        <f t="shared" si="4"/>
        <v>1.1950786965196187</v>
      </c>
      <c r="Q69" s="89">
        <f t="shared" si="5"/>
        <v>3.3535449341146981E-2</v>
      </c>
    </row>
    <row r="70" spans="1:17">
      <c r="A70" s="60" t="s">
        <v>43</v>
      </c>
      <c r="B70" s="60" t="s">
        <v>157</v>
      </c>
      <c r="C70" s="60">
        <v>21.585999999999999</v>
      </c>
      <c r="D70" s="60">
        <v>26.841000000000001</v>
      </c>
      <c r="E70" s="60">
        <v>4.8319999999999999</v>
      </c>
      <c r="F70" s="60">
        <v>2.4300000000000002</v>
      </c>
      <c r="G70" s="60">
        <v>52.454000000000001</v>
      </c>
      <c r="H70" s="60">
        <v>7.6660000000000004</v>
      </c>
      <c r="I70" s="60">
        <v>1.52</v>
      </c>
      <c r="J70" s="60">
        <v>2.8980000000000001</v>
      </c>
      <c r="L70" s="78">
        <f t="shared" si="0"/>
        <v>10.855546357615895</v>
      </c>
      <c r="M70" s="78">
        <f t="shared" si="1"/>
        <v>1.9542490965314256</v>
      </c>
      <c r="N70" s="89">
        <f t="shared" si="2"/>
        <v>5.662978279497783E-2</v>
      </c>
      <c r="O70" s="78">
        <f t="shared" si="3"/>
        <v>0.625514403292181</v>
      </c>
      <c r="P70" s="78">
        <f t="shared" si="4"/>
        <v>0.63031567962431512</v>
      </c>
      <c r="Q70" s="89">
        <f t="shared" si="5"/>
        <v>2.8977770999351813E-2</v>
      </c>
    </row>
    <row r="71" spans="1:17">
      <c r="A71" s="60" t="s">
        <v>206</v>
      </c>
      <c r="B71" s="60" t="s">
        <v>205</v>
      </c>
      <c r="C71" s="60">
        <v>20.047999999999998</v>
      </c>
      <c r="D71" s="60">
        <v>26.777999999999999</v>
      </c>
      <c r="E71" s="60">
        <v>5.7690000000000001</v>
      </c>
      <c r="F71" s="60">
        <v>3.27</v>
      </c>
      <c r="G71" s="60">
        <v>65.558000000000007</v>
      </c>
      <c r="H71" s="60">
        <v>10.324999999999999</v>
      </c>
      <c r="I71" s="60">
        <v>1.93</v>
      </c>
      <c r="J71" s="60">
        <v>2.944</v>
      </c>
      <c r="L71" s="78">
        <f t="shared" ref="L71:L72" si="6">IFERROR(G71/E71,"")</f>
        <v>11.36384122031548</v>
      </c>
      <c r="M71" s="78">
        <f t="shared" ref="M71:M72" si="7">IFERROR(G71/D71,"")</f>
        <v>2.448203749346479</v>
      </c>
      <c r="N71" s="89">
        <f t="shared" ref="N71:N72" si="8">IFERROR(I71/D71,"")</f>
        <v>7.2074090671446711E-2</v>
      </c>
      <c r="O71" s="78">
        <f t="shared" ref="O71:O72" si="9">IFERROR(I71/F71,"")</f>
        <v>0.5902140672782874</v>
      </c>
      <c r="P71" s="78">
        <f t="shared" ref="P71:P72" si="10">IFERROR(E71/H71,"")</f>
        <v>0.55874092009685239</v>
      </c>
      <c r="Q71" s="89">
        <f t="shared" ref="Q71:Q73" si="11">IFERROR(I71/G71,"")</f>
        <v>2.9439580219042676E-2</v>
      </c>
    </row>
    <row r="72" spans="1:17">
      <c r="A72" s="60" t="s">
        <v>45</v>
      </c>
      <c r="B72" s="60" t="s">
        <v>158</v>
      </c>
      <c r="C72" s="60">
        <v>18.475000000000001</v>
      </c>
      <c r="D72" s="60">
        <v>21.728000000000002</v>
      </c>
      <c r="E72" s="60">
        <v>5.0430000000000001</v>
      </c>
      <c r="F72" s="60">
        <v>2.21</v>
      </c>
      <c r="G72" s="60">
        <v>40.829000000000001</v>
      </c>
      <c r="H72" s="60">
        <v>6.4180000000000001</v>
      </c>
      <c r="I72" s="60">
        <v>1.36</v>
      </c>
      <c r="J72" s="60">
        <v>3.331</v>
      </c>
      <c r="L72" s="78">
        <f t="shared" si="6"/>
        <v>8.0961729129486422</v>
      </c>
      <c r="M72" s="78">
        <f t="shared" si="7"/>
        <v>1.8790960972017672</v>
      </c>
      <c r="N72" s="89">
        <f t="shared" si="8"/>
        <v>6.2592047128129602E-2</v>
      </c>
      <c r="O72" s="78">
        <f t="shared" si="9"/>
        <v>0.61538461538461542</v>
      </c>
      <c r="P72" s="78">
        <f t="shared" si="10"/>
        <v>0.78575880336553439</v>
      </c>
      <c r="Q72" s="89">
        <f t="shared" si="11"/>
        <v>3.3309657351392394E-2</v>
      </c>
    </row>
    <row r="73" spans="1:17">
      <c r="A73" s="60" t="s">
        <v>208</v>
      </c>
      <c r="B73" s="60" t="s">
        <v>207</v>
      </c>
      <c r="C73" s="60">
        <v>32.770000000000003</v>
      </c>
      <c r="D73" s="60">
        <v>8.875</v>
      </c>
      <c r="E73" s="60">
        <v>1.421</v>
      </c>
      <c r="F73" s="60">
        <v>0.92</v>
      </c>
      <c r="G73" s="60">
        <v>30.148</v>
      </c>
      <c r="H73" s="60">
        <v>1.028</v>
      </c>
      <c r="I73" s="60">
        <v>0.63</v>
      </c>
      <c r="J73" s="60">
        <v>2.09</v>
      </c>
      <c r="L73" s="78">
        <f t="shared" ref="L73" si="12">IFERROR(G73/E73,"")</f>
        <v>21.216045038705136</v>
      </c>
      <c r="M73" s="78">
        <f t="shared" ref="M73" si="13">IFERROR(G73/D73,"")</f>
        <v>3.3969577464788734</v>
      </c>
      <c r="N73" s="89">
        <f t="shared" ref="N73" si="14">IFERROR(I73/D73,"")</f>
        <v>7.0985915492957741E-2</v>
      </c>
      <c r="O73" s="78">
        <f t="shared" ref="O73" si="15">IFERROR(I73/F73,"")</f>
        <v>0.68478260869565211</v>
      </c>
      <c r="P73" s="78">
        <f t="shared" ref="P73" si="16">IFERROR(E73/H73,"")</f>
        <v>1.382295719844358</v>
      </c>
      <c r="Q73" s="89">
        <f t="shared" si="11"/>
        <v>2.0896908584317368E-2</v>
      </c>
    </row>
  </sheetData>
  <pageMargins left="0.7" right="0.7" top="0.75" bottom="0.75" header="0.3" footer="0.3"/>
  <pageSetup scale="93" fitToHeight="0" orientation="landscape" r:id="rId1"/>
  <headerFooter>
    <oddHeader>&amp;R&amp;A
&amp;P/&amp;N</oddHeader>
    <oddFooter>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7"/>
  <dimension ref="A1:N73"/>
  <sheetViews>
    <sheetView zoomScale="111" zoomScaleNormal="111" workbookViewId="0">
      <pane xSplit="2" ySplit="3" topLeftCell="C4" activePane="bottomRight" state="frozen"/>
      <selection activeCell="C1" sqref="C1:C1048576"/>
      <selection pane="topRight" activeCell="C1" sqref="C1:C1048576"/>
      <selection pane="bottomLeft" activeCell="C1" sqref="C1:C1048576"/>
      <selection pane="bottomRight"/>
    </sheetView>
  </sheetViews>
  <sheetFormatPr defaultColWidth="8.75" defaultRowHeight="11.25"/>
  <cols>
    <col min="1" max="1" width="18.375" style="60" bestFit="1" customWidth="1"/>
    <col min="2" max="2" width="5.375" style="60" bestFit="1" customWidth="1"/>
    <col min="3" max="3" width="6.375" style="60" bestFit="1" customWidth="1"/>
    <col min="4" max="13" width="7.125" style="60" bestFit="1" customWidth="1"/>
    <col min="14" max="16384" width="8.75" style="60"/>
  </cols>
  <sheetData>
    <row r="1" spans="1:14" ht="45">
      <c r="A1" s="59" t="s">
        <v>218</v>
      </c>
      <c r="C1" s="61">
        <v>2016</v>
      </c>
      <c r="D1" s="61">
        <f t="shared" ref="D1:M1" si="0">VALUE(RIGHT(D3,4))</f>
        <v>2015</v>
      </c>
      <c r="E1" s="61">
        <f t="shared" si="0"/>
        <v>2014</v>
      </c>
      <c r="F1" s="61">
        <f t="shared" si="0"/>
        <v>2013</v>
      </c>
      <c r="G1" s="61">
        <f t="shared" si="0"/>
        <v>2012</v>
      </c>
      <c r="H1" s="61">
        <f t="shared" si="0"/>
        <v>2011</v>
      </c>
      <c r="I1" s="61">
        <f t="shared" si="0"/>
        <v>2010</v>
      </c>
      <c r="J1" s="61">
        <f t="shared" si="0"/>
        <v>2009</v>
      </c>
      <c r="K1" s="61">
        <f t="shared" si="0"/>
        <v>2008</v>
      </c>
      <c r="L1" s="61">
        <f t="shared" si="0"/>
        <v>2007</v>
      </c>
      <c r="M1" s="61">
        <f t="shared" si="0"/>
        <v>2006</v>
      </c>
    </row>
    <row r="2" spans="1:14">
      <c r="A2" s="60" t="s">
        <v>316</v>
      </c>
      <c r="B2" s="62"/>
      <c r="C2" s="71">
        <f>'2016'!$A$1</f>
        <v>42907</v>
      </c>
      <c r="D2" s="71">
        <v>42718</v>
      </c>
      <c r="E2" s="71">
        <v>42718</v>
      </c>
      <c r="F2" s="71">
        <v>42718</v>
      </c>
      <c r="G2" s="71">
        <v>42718</v>
      </c>
      <c r="H2" s="71">
        <v>42718</v>
      </c>
      <c r="I2" s="71">
        <v>42718</v>
      </c>
      <c r="J2" s="71">
        <v>42718</v>
      </c>
      <c r="K2" s="71">
        <v>42718</v>
      </c>
      <c r="L2" s="71">
        <v>42718</v>
      </c>
      <c r="M2" s="71">
        <v>42718</v>
      </c>
      <c r="N2" s="60" t="s">
        <v>355</v>
      </c>
    </row>
    <row r="3" spans="1:14">
      <c r="A3" s="60" t="s">
        <v>117</v>
      </c>
      <c r="B3" s="60" t="s">
        <v>99</v>
      </c>
      <c r="D3" s="60" t="s">
        <v>231</v>
      </c>
      <c r="E3" s="60" t="s">
        <v>232</v>
      </c>
      <c r="F3" s="60" t="s">
        <v>233</v>
      </c>
      <c r="G3" s="60" t="s">
        <v>234</v>
      </c>
      <c r="H3" s="60" t="s">
        <v>235</v>
      </c>
      <c r="I3" s="60" t="s">
        <v>236</v>
      </c>
      <c r="J3" s="60" t="s">
        <v>237</v>
      </c>
      <c r="K3" s="60" t="s">
        <v>238</v>
      </c>
      <c r="L3" s="60" t="s">
        <v>239</v>
      </c>
      <c r="M3" s="60" t="s">
        <v>240</v>
      </c>
    </row>
    <row r="4" spans="1:14">
      <c r="A4" s="60" t="s">
        <v>162</v>
      </c>
      <c r="B4" s="60" t="s">
        <v>163</v>
      </c>
      <c r="C4" s="69">
        <f>IF(IFERROR(INDEX('2016'!$G$5:$G$72,MATCH(B4,'2016'!$A$5:$A$72,0)),0)=0,"N/A",INDEX('2016'!$G$5:$G$72,MATCH(B4,'2016'!$A$5:$A$72,0)))</f>
        <v>37.026000000000003</v>
      </c>
      <c r="D4" s="60">
        <v>49.274000000000001</v>
      </c>
      <c r="E4" s="60">
        <v>61.976999999999997</v>
      </c>
      <c r="F4" s="60">
        <v>54.917000000000002</v>
      </c>
      <c r="G4" s="60">
        <v>40.618000000000002</v>
      </c>
      <c r="H4" s="60">
        <v>25.192</v>
      </c>
      <c r="I4" s="60">
        <v>19.861000000000001</v>
      </c>
      <c r="J4" s="60">
        <v>17.91</v>
      </c>
      <c r="K4" s="60">
        <v>25.855</v>
      </c>
      <c r="L4" s="60">
        <v>29.949000000000002</v>
      </c>
      <c r="M4" s="60">
        <v>32.863</v>
      </c>
    </row>
    <row r="5" spans="1:14">
      <c r="A5" s="60" t="s">
        <v>119</v>
      </c>
      <c r="B5" s="60" t="s">
        <v>0</v>
      </c>
      <c r="C5" s="69">
        <f>IF(IFERROR(INDEX('2016'!$G$5:$G$72,MATCH(B5,'2016'!$A$5:$A$72,0)),0)=0,"N/A",INDEX('2016'!$G$5:$G$72,MATCH(B5,'2016'!$A$5:$A$72,0)))</f>
        <v>58.503999999999998</v>
      </c>
      <c r="D5" s="60">
        <v>50.89</v>
      </c>
      <c r="E5" s="60">
        <v>49.963999999999999</v>
      </c>
      <c r="F5" s="60">
        <v>48.902999999999999</v>
      </c>
      <c r="G5" s="60">
        <v>40.973999999999997</v>
      </c>
      <c r="H5" s="60">
        <v>38.854999999999997</v>
      </c>
      <c r="I5" s="60">
        <v>34.987000000000002</v>
      </c>
      <c r="J5" s="60">
        <v>30.391999999999999</v>
      </c>
      <c r="K5" s="60">
        <v>39.332000000000001</v>
      </c>
      <c r="L5" s="60">
        <v>45.526000000000003</v>
      </c>
      <c r="M5" s="60">
        <v>45.83</v>
      </c>
    </row>
    <row r="6" spans="1:14">
      <c r="A6" s="60" t="s">
        <v>120</v>
      </c>
      <c r="B6" s="60" t="s">
        <v>1</v>
      </c>
      <c r="C6" s="69">
        <f>IF(IFERROR(INDEX('2016'!$G$5:$G$72,MATCH(B6,'2016'!$A$5:$A$72,0)),0)=0,"N/A",INDEX('2016'!$G$5:$G$72,MATCH(B6,'2016'!$A$5:$A$72,0)))</f>
        <v>36.801000000000002</v>
      </c>
      <c r="D6" s="60">
        <v>30.541</v>
      </c>
      <c r="E6" s="60">
        <v>28.89</v>
      </c>
      <c r="F6" s="60">
        <v>25.129000000000001</v>
      </c>
      <c r="G6" s="60">
        <v>22.109000000000002</v>
      </c>
      <c r="H6" s="60">
        <v>19.87</v>
      </c>
      <c r="I6" s="60">
        <v>17.149999999999999</v>
      </c>
      <c r="J6" s="60">
        <v>13.099</v>
      </c>
      <c r="K6" s="60">
        <v>17.059999999999999</v>
      </c>
      <c r="L6" s="60">
        <v>20.279</v>
      </c>
      <c r="M6" s="60">
        <v>17.324999999999999</v>
      </c>
    </row>
    <row r="7" spans="1:14">
      <c r="A7" s="60" t="s">
        <v>121</v>
      </c>
      <c r="B7" s="60" t="s">
        <v>2</v>
      </c>
      <c r="C7" s="69">
        <f>IF(IFERROR(INDEX('2016'!$G$5:$G$72,MATCH(B7,'2016'!$A$5:$A$72,0)),0)=0,"N/A",INDEX('2016'!$G$5:$G$72,MATCH(B7,'2016'!$A$5:$A$72,0)))</f>
        <v>64.116</v>
      </c>
      <c r="D7" s="60">
        <v>56.610999999999997</v>
      </c>
      <c r="E7" s="60">
        <v>53.024999999999999</v>
      </c>
      <c r="F7" s="60">
        <v>46.091000000000001</v>
      </c>
      <c r="G7" s="60">
        <v>41.026000000000003</v>
      </c>
      <c r="H7" s="60">
        <v>37.302999999999997</v>
      </c>
      <c r="I7" s="60">
        <v>34.881999999999998</v>
      </c>
      <c r="J7" s="60">
        <v>29.795000000000002</v>
      </c>
      <c r="K7" s="60">
        <v>39.051000000000002</v>
      </c>
      <c r="L7" s="60">
        <v>46.526000000000003</v>
      </c>
      <c r="M7" s="60">
        <v>36.911000000000001</v>
      </c>
    </row>
    <row r="8" spans="1:14">
      <c r="A8" s="60" t="s">
        <v>164</v>
      </c>
      <c r="B8" s="60" t="s">
        <v>165</v>
      </c>
      <c r="C8" s="69">
        <f>IF(IFERROR(INDEX('2016'!$G$5:$G$72,MATCH(B8,'2016'!$A$5:$A$72,0)),0)=0,"N/A",INDEX('2016'!$G$5:$G$72,MATCH(B8,'2016'!$A$5:$A$72,0)))</f>
        <v>41.460999999999999</v>
      </c>
      <c r="D8" s="60">
        <v>39.564999999999998</v>
      </c>
      <c r="E8" s="60">
        <v>31.548999999999999</v>
      </c>
      <c r="F8" s="60">
        <v>27.638000000000002</v>
      </c>
      <c r="G8" s="60">
        <v>20.164000000000001</v>
      </c>
      <c r="H8" s="60">
        <v>17.2</v>
      </c>
      <c r="I8" s="60">
        <v>17.462</v>
      </c>
      <c r="J8" s="60">
        <v>17.169</v>
      </c>
      <c r="K8" s="60">
        <v>17.503</v>
      </c>
      <c r="L8" s="60">
        <v>19.443000000000001</v>
      </c>
      <c r="M8" s="60">
        <v>18.440000000000001</v>
      </c>
    </row>
    <row r="9" spans="1:14">
      <c r="A9" s="60" t="s">
        <v>166</v>
      </c>
      <c r="B9" s="60" t="s">
        <v>167</v>
      </c>
      <c r="C9" s="69">
        <f>IF(IFERROR(INDEX('2016'!$G$5:$G$72,MATCH(B9,'2016'!$A$5:$A$72,0)),0)=0,"N/A",INDEX('2016'!$G$5:$G$72,MATCH(B9,'2016'!$A$5:$A$72,0)))</f>
        <v>72.603999999999999</v>
      </c>
      <c r="D9" s="60">
        <v>54.140999999999998</v>
      </c>
      <c r="E9" s="60">
        <v>47.841000000000001</v>
      </c>
      <c r="F9" s="60">
        <v>40.997</v>
      </c>
      <c r="G9" s="60">
        <v>35.252000000000002</v>
      </c>
      <c r="H9" s="60">
        <v>28.893000000000001</v>
      </c>
      <c r="I9" s="60">
        <v>22.358000000000001</v>
      </c>
      <c r="J9" s="60">
        <v>19.544</v>
      </c>
      <c r="K9" s="60">
        <v>20.809000000000001</v>
      </c>
      <c r="L9" s="69" t="s">
        <v>106</v>
      </c>
      <c r="M9" s="69" t="s">
        <v>106</v>
      </c>
    </row>
    <row r="10" spans="1:14">
      <c r="A10" s="60" t="s">
        <v>122</v>
      </c>
      <c r="B10" s="60" t="s">
        <v>3</v>
      </c>
      <c r="C10" s="69">
        <f>IF(IFERROR(INDEX('2016'!$G$5:$G$72,MATCH(B10,'2016'!$A$5:$A$72,0)),0)=0,"N/A",INDEX('2016'!$G$5:$G$72,MATCH(B10,'2016'!$A$5:$A$72,0)))</f>
        <v>49.027999999999999</v>
      </c>
      <c r="D10" s="60">
        <v>41.758000000000003</v>
      </c>
      <c r="E10" s="60">
        <v>40.094999999999999</v>
      </c>
      <c r="F10" s="60">
        <v>34.685000000000002</v>
      </c>
      <c r="G10" s="60">
        <v>32.177</v>
      </c>
      <c r="H10" s="60">
        <v>29.477</v>
      </c>
      <c r="I10" s="60">
        <v>26.742999999999999</v>
      </c>
      <c r="J10" s="60">
        <v>25.745000000000001</v>
      </c>
      <c r="K10" s="60">
        <v>40.911000000000001</v>
      </c>
      <c r="L10" s="60">
        <v>52</v>
      </c>
      <c r="M10" s="60">
        <v>51.564999999999998</v>
      </c>
    </row>
    <row r="11" spans="1:14">
      <c r="A11" s="60" t="s">
        <v>168</v>
      </c>
      <c r="B11" s="60" t="s">
        <v>169</v>
      </c>
      <c r="C11" s="69">
        <f>IF(IFERROR(INDEX('2016'!$G$5:$G$72,MATCH(B11,'2016'!$A$5:$A$72,0)),0)=0,"N/A",INDEX('2016'!$G$5:$G$72,MATCH(B11,'2016'!$A$5:$A$72,0)))</f>
        <v>42.222999999999999</v>
      </c>
      <c r="D11" s="60">
        <v>47.04</v>
      </c>
      <c r="E11" s="60">
        <v>44.317</v>
      </c>
      <c r="F11" s="60">
        <v>43.633000000000003</v>
      </c>
      <c r="G11" s="60">
        <v>42.305</v>
      </c>
      <c r="H11" s="60">
        <v>46.231000000000002</v>
      </c>
      <c r="I11" s="60">
        <v>40.701000000000001</v>
      </c>
      <c r="J11" s="60">
        <v>30.943000000000001</v>
      </c>
      <c r="K11" s="60">
        <v>33.209000000000003</v>
      </c>
      <c r="L11" s="60">
        <v>33.975000000000001</v>
      </c>
      <c r="M11" s="60">
        <v>29.739000000000001</v>
      </c>
    </row>
    <row r="12" spans="1:14">
      <c r="A12" s="60" t="s">
        <v>170</v>
      </c>
      <c r="B12" s="60" t="s">
        <v>171</v>
      </c>
      <c r="C12" s="69">
        <f>IF(IFERROR(INDEX('2016'!$G$5:$G$72,MATCH(B12,'2016'!$A$5:$A$72,0)),0)=0,"N/A",INDEX('2016'!$G$5:$G$72,MATCH(B12,'2016'!$A$5:$A$72,0)))</f>
        <v>31.498999999999999</v>
      </c>
      <c r="D12" s="60">
        <v>26.8</v>
      </c>
      <c r="E12" s="60">
        <v>24.913</v>
      </c>
      <c r="F12" s="60">
        <v>24.568999999999999</v>
      </c>
      <c r="G12" s="60">
        <v>19.129000000000001</v>
      </c>
      <c r="H12" s="60">
        <v>17.686</v>
      </c>
      <c r="I12" s="60">
        <v>15.176</v>
      </c>
      <c r="J12" s="60">
        <v>14.226000000000001</v>
      </c>
      <c r="K12" s="60">
        <v>14.558</v>
      </c>
      <c r="L12" s="60">
        <v>18.158000000000001</v>
      </c>
      <c r="M12" s="60">
        <v>19.434000000000001</v>
      </c>
    </row>
    <row r="13" spans="1:14">
      <c r="A13" s="60" t="s">
        <v>172</v>
      </c>
      <c r="B13" s="60" t="s">
        <v>173</v>
      </c>
      <c r="C13" s="69">
        <f>IF(IFERROR(INDEX('2016'!$G$5:$G$72,MATCH(B13,'2016'!$A$5:$A$72,0)),0)=0,"N/A",INDEX('2016'!$G$5:$G$72,MATCH(B13,'2016'!$A$5:$A$72,0)))</f>
        <v>29.407</v>
      </c>
      <c r="D13" s="60">
        <v>22.716999999999999</v>
      </c>
      <c r="E13" s="60">
        <v>21.899000000000001</v>
      </c>
      <c r="F13" s="60">
        <v>22.491</v>
      </c>
      <c r="G13" s="60">
        <v>20.689</v>
      </c>
      <c r="H13" s="60">
        <v>18.657</v>
      </c>
      <c r="I13" s="60">
        <v>18.244</v>
      </c>
      <c r="J13" s="60">
        <v>15.926</v>
      </c>
      <c r="K13" s="60">
        <v>17.260000000000002</v>
      </c>
      <c r="L13" s="60">
        <v>19.324999999999999</v>
      </c>
      <c r="M13" s="60">
        <v>19.681000000000001</v>
      </c>
    </row>
    <row r="14" spans="1:14">
      <c r="A14" s="60" t="s">
        <v>174</v>
      </c>
      <c r="B14" s="60" t="s">
        <v>175</v>
      </c>
      <c r="C14" s="69">
        <f>IF(IFERROR(INDEX('2016'!$G$5:$G$72,MATCH(B14,'2016'!$A$5:$A$72,0)),0)=0,"N/A",INDEX('2016'!$G$5:$G$72,MATCH(B14,'2016'!$A$5:$A$72,0)))</f>
        <v>70.305000000000007</v>
      </c>
      <c r="D14" s="60">
        <v>54.079000000000001</v>
      </c>
      <c r="E14" s="60">
        <v>47.633000000000003</v>
      </c>
      <c r="F14" s="60">
        <v>39.683</v>
      </c>
      <c r="G14" s="60">
        <v>33.451999999999998</v>
      </c>
      <c r="H14" s="60">
        <v>32.442</v>
      </c>
      <c r="I14" s="60">
        <v>28.533000000000001</v>
      </c>
      <c r="J14" s="60">
        <v>24.7</v>
      </c>
      <c r="K14" s="60">
        <v>27.169</v>
      </c>
      <c r="L14" s="60">
        <v>30.78</v>
      </c>
      <c r="M14" s="60">
        <v>27.047999999999998</v>
      </c>
    </row>
    <row r="15" spans="1:14">
      <c r="A15" s="60" t="s">
        <v>264</v>
      </c>
      <c r="B15" s="60" t="s">
        <v>261</v>
      </c>
      <c r="C15" s="69">
        <f>IF(IFERROR(INDEX('2016'!$G$5:$G$72,MATCH(B15,'2016'!$A$5:$A$72,0)),0)=0,"N/A",INDEX('2016'!$G$5:$G$72,MATCH(B15,'2016'!$A$5:$A$72,0)))</f>
        <v>40.575000000000003</v>
      </c>
      <c r="D15" s="60">
        <v>35.204999999999998</v>
      </c>
      <c r="E15" s="69" t="s">
        <v>106</v>
      </c>
      <c r="F15" s="69" t="s">
        <v>106</v>
      </c>
      <c r="G15" s="69" t="s">
        <v>106</v>
      </c>
      <c r="H15" s="69" t="s">
        <v>106</v>
      </c>
      <c r="I15" s="69" t="s">
        <v>106</v>
      </c>
      <c r="J15" s="69" t="s">
        <v>106</v>
      </c>
      <c r="K15" s="69" t="s">
        <v>106</v>
      </c>
      <c r="L15" s="69" t="s">
        <v>106</v>
      </c>
      <c r="M15" s="69" t="s">
        <v>106</v>
      </c>
    </row>
    <row r="16" spans="1:14">
      <c r="A16" s="60" t="s">
        <v>123</v>
      </c>
      <c r="B16" s="60" t="s">
        <v>4</v>
      </c>
      <c r="C16" s="69">
        <f>IF(IFERROR(INDEX('2016'!$G$5:$G$72,MATCH(B16,'2016'!$A$5:$A$72,0)),0)=0,"N/A",INDEX('2016'!$G$5:$G$72,MATCH(B16,'2016'!$A$5:$A$72,0)))</f>
        <v>40.408999999999999</v>
      </c>
      <c r="D16" s="60">
        <v>33.270000000000003</v>
      </c>
      <c r="E16" s="60">
        <v>31.798999999999999</v>
      </c>
      <c r="F16" s="60">
        <v>27.074000000000002</v>
      </c>
      <c r="G16" s="60">
        <v>25.472000000000001</v>
      </c>
      <c r="H16" s="60">
        <v>24.213999999999999</v>
      </c>
      <c r="I16" s="60">
        <v>21.02</v>
      </c>
      <c r="J16" s="60">
        <v>18.036999999999999</v>
      </c>
      <c r="K16" s="60">
        <v>20.361999999999998</v>
      </c>
      <c r="L16" s="60">
        <v>22.23</v>
      </c>
      <c r="M16" s="60">
        <v>22.623999999999999</v>
      </c>
    </row>
    <row r="17" spans="1:13">
      <c r="A17" s="60" t="s">
        <v>124</v>
      </c>
      <c r="B17" s="60" t="s">
        <v>5</v>
      </c>
      <c r="C17" s="69">
        <f>IF(IFERROR(INDEX('2016'!$G$5:$G$72,MATCH(B17,'2016'!$A$5:$A$72,0)),0)=0,"N/A",INDEX('2016'!$G$5:$G$72,MATCH(B17,'2016'!$A$5:$A$72,0)))</f>
        <v>58.619</v>
      </c>
      <c r="D17" s="60">
        <v>45.667999999999999</v>
      </c>
      <c r="E17" s="60">
        <v>54.994999999999997</v>
      </c>
      <c r="F17" s="60">
        <v>47.6</v>
      </c>
      <c r="G17" s="60">
        <v>33.749000000000002</v>
      </c>
      <c r="H17" s="60">
        <v>31.44</v>
      </c>
      <c r="I17" s="60">
        <v>30.04</v>
      </c>
      <c r="J17" s="60">
        <v>23.027999999999999</v>
      </c>
      <c r="K17" s="60">
        <v>33.241999999999997</v>
      </c>
      <c r="L17" s="60">
        <v>40.261000000000003</v>
      </c>
      <c r="M17" s="60">
        <v>34.845999999999997</v>
      </c>
    </row>
    <row r="18" spans="1:13">
      <c r="A18" s="60" t="s">
        <v>176</v>
      </c>
      <c r="B18" s="60" t="s">
        <v>177</v>
      </c>
      <c r="C18" s="69">
        <f>IF(IFERROR(INDEX('2016'!$G$5:$G$72,MATCH(B18,'2016'!$A$5:$A$72,0)),0)=0,"N/A",INDEX('2016'!$G$5:$G$72,MATCH(B18,'2016'!$A$5:$A$72,0)))</f>
        <v>29.946000000000002</v>
      </c>
      <c r="D18" s="60">
        <v>23.286999999999999</v>
      </c>
      <c r="E18" s="60">
        <v>23.431999999999999</v>
      </c>
      <c r="F18" s="60">
        <v>20.527999999999999</v>
      </c>
      <c r="G18" s="60">
        <v>18.236000000000001</v>
      </c>
      <c r="H18" s="60">
        <v>18.297999999999998</v>
      </c>
      <c r="I18" s="60">
        <v>18.367000000000001</v>
      </c>
      <c r="J18" s="60">
        <v>19.193999999999999</v>
      </c>
      <c r="K18" s="60">
        <v>18.777999999999999</v>
      </c>
      <c r="L18" s="60">
        <v>19.542999999999999</v>
      </c>
      <c r="M18" s="60">
        <v>19.59</v>
      </c>
    </row>
    <row r="19" spans="1:13">
      <c r="A19" s="60" t="s">
        <v>125</v>
      </c>
      <c r="B19" s="60" t="s">
        <v>6</v>
      </c>
      <c r="C19" s="69">
        <f>IF(IFERROR(INDEX('2016'!$G$5:$G$72,MATCH(B19,'2016'!$A$5:$A$72,0)),0)=0,"N/A",INDEX('2016'!$G$5:$G$72,MATCH(B19,'2016'!$A$5:$A$72,0)))</f>
        <v>21.91</v>
      </c>
      <c r="D19" s="60">
        <v>19.545999999999999</v>
      </c>
      <c r="E19" s="60">
        <v>24.082999999999998</v>
      </c>
      <c r="F19" s="60">
        <v>23.245999999999999</v>
      </c>
      <c r="G19" s="60">
        <v>20.042999999999999</v>
      </c>
      <c r="H19" s="60">
        <v>18.510000000000002</v>
      </c>
      <c r="I19" s="60">
        <v>14.746</v>
      </c>
      <c r="J19" s="60">
        <v>11.925000000000001</v>
      </c>
      <c r="K19" s="60">
        <v>14.654</v>
      </c>
      <c r="L19" s="60">
        <v>17.552</v>
      </c>
      <c r="M19" s="60">
        <v>13.651999999999999</v>
      </c>
    </row>
    <row r="20" spans="1:13">
      <c r="A20" s="60" t="s">
        <v>215</v>
      </c>
      <c r="B20" s="60" t="s">
        <v>178</v>
      </c>
      <c r="C20" s="69">
        <f>IF(IFERROR(INDEX('2016'!$G$5:$G$72,MATCH(B20,'2016'!$A$5:$A$72,0)),0)=0,"N/A",INDEX('2016'!$G$5:$G$72,MATCH(B20,'2016'!$A$5:$A$72,0)))</f>
        <v>62.274999999999999</v>
      </c>
      <c r="D20" s="60">
        <v>51.308999999999997</v>
      </c>
      <c r="E20" s="60">
        <v>43.722999999999999</v>
      </c>
      <c r="F20" s="60">
        <v>35.305999999999997</v>
      </c>
      <c r="G20" s="60">
        <v>29.513000000000002</v>
      </c>
      <c r="H20" s="60">
        <v>27.088000000000001</v>
      </c>
      <c r="I20" s="60">
        <v>22.228999999999999</v>
      </c>
      <c r="J20" s="60">
        <v>20.353000000000002</v>
      </c>
      <c r="K20" s="60">
        <v>19.702000000000002</v>
      </c>
      <c r="L20" s="60">
        <v>21.617000000000001</v>
      </c>
      <c r="M20" s="60">
        <v>20.478000000000002</v>
      </c>
    </row>
    <row r="21" spans="1:13">
      <c r="A21" s="60" t="s">
        <v>126</v>
      </c>
      <c r="B21" s="60" t="s">
        <v>9</v>
      </c>
      <c r="C21" s="69">
        <f>IF(IFERROR(INDEX('2016'!$G$5:$G$72,MATCH(B21,'2016'!$A$5:$A$72,0)),0)=0,"N/A",INDEX('2016'!$G$5:$G$72,MATCH(B21,'2016'!$A$5:$A$72,0)))</f>
        <v>41.466999999999999</v>
      </c>
      <c r="D21" s="60">
        <v>34.57</v>
      </c>
      <c r="E21" s="60">
        <v>30.1</v>
      </c>
      <c r="F21" s="60">
        <v>27.096</v>
      </c>
      <c r="G21" s="60">
        <v>23.056000000000001</v>
      </c>
      <c r="H21" s="60">
        <v>19.742000000000001</v>
      </c>
      <c r="I21" s="60">
        <v>16.567</v>
      </c>
      <c r="J21" s="60">
        <v>12.606999999999999</v>
      </c>
      <c r="K21" s="60">
        <v>13.365</v>
      </c>
      <c r="L21" s="60">
        <v>17.175999999999998</v>
      </c>
      <c r="M21" s="60">
        <v>14.196</v>
      </c>
    </row>
    <row r="22" spans="1:13">
      <c r="A22" s="60" t="s">
        <v>179</v>
      </c>
      <c r="B22" s="60" t="s">
        <v>180</v>
      </c>
      <c r="C22" s="69">
        <f>IF(IFERROR(INDEX('2016'!$G$5:$G$72,MATCH(B22,'2016'!$A$5:$A$72,0)),0)=0,"N/A",INDEX('2016'!$G$5:$G$72,MATCH(B22,'2016'!$A$5:$A$72,0)))</f>
        <v>48.433</v>
      </c>
      <c r="D22" s="60">
        <v>35.856999999999999</v>
      </c>
      <c r="E22" s="60">
        <v>33.640999999999998</v>
      </c>
      <c r="F22" s="60">
        <v>30.489000000000001</v>
      </c>
      <c r="G22" s="60">
        <v>29.658999999999999</v>
      </c>
      <c r="H22" s="60">
        <v>25.984999999999999</v>
      </c>
      <c r="I22" s="60">
        <v>23.356000000000002</v>
      </c>
      <c r="J22" s="60">
        <v>21.902000000000001</v>
      </c>
      <c r="K22" s="60">
        <v>24.606000000000002</v>
      </c>
      <c r="L22" s="60">
        <v>24.151</v>
      </c>
      <c r="M22" s="60">
        <v>23.471</v>
      </c>
    </row>
    <row r="23" spans="1:13">
      <c r="A23" s="60" t="s">
        <v>127</v>
      </c>
      <c r="B23" s="60" t="s">
        <v>10</v>
      </c>
      <c r="C23" s="69">
        <f>IF(IFERROR(INDEX('2016'!$G$5:$G$72,MATCH(B23,'2016'!$A$5:$A$72,0)),0)=0,"N/A",INDEX('2016'!$G$5:$G$72,MATCH(B23,'2016'!$A$5:$A$72,0)))</f>
        <v>74.078999999999994</v>
      </c>
      <c r="D23" s="60">
        <v>63.134999999999998</v>
      </c>
      <c r="E23" s="60">
        <v>57.563000000000002</v>
      </c>
      <c r="F23" s="60">
        <v>57.860999999999997</v>
      </c>
      <c r="G23" s="60">
        <v>59.405999999999999</v>
      </c>
      <c r="H23" s="60">
        <v>53.819000000000003</v>
      </c>
      <c r="I23" s="60">
        <v>46.140999999999998</v>
      </c>
      <c r="J23" s="60">
        <v>39.393000000000001</v>
      </c>
      <c r="K23" s="60">
        <v>41.279000000000003</v>
      </c>
      <c r="L23" s="60">
        <v>47.963000000000001</v>
      </c>
      <c r="M23" s="60">
        <v>45.68</v>
      </c>
    </row>
    <row r="24" spans="1:13">
      <c r="A24" s="60" t="s">
        <v>181</v>
      </c>
      <c r="B24" s="60" t="s">
        <v>182</v>
      </c>
      <c r="C24" s="69">
        <f>IF(IFERROR(INDEX('2016'!$G$5:$G$72,MATCH(B24,'2016'!$A$5:$A$72,0)),0)=0,"N/A",INDEX('2016'!$G$5:$G$72,MATCH(B24,'2016'!$A$5:$A$72,0)))</f>
        <v>12.098000000000001</v>
      </c>
      <c r="D24" s="60">
        <v>11.573</v>
      </c>
      <c r="E24" s="60">
        <v>11.881</v>
      </c>
      <c r="F24" s="60">
        <v>11.613</v>
      </c>
      <c r="G24" s="60">
        <v>7.9450000000000003</v>
      </c>
      <c r="H24" s="60">
        <v>9.4049999999999994</v>
      </c>
      <c r="I24" s="60">
        <v>11.553000000000001</v>
      </c>
      <c r="J24" s="60">
        <v>14.083</v>
      </c>
      <c r="K24" s="60">
        <v>18.895</v>
      </c>
      <c r="L24" s="60">
        <v>27.957999999999998</v>
      </c>
      <c r="M24" s="60">
        <v>25.399000000000001</v>
      </c>
    </row>
    <row r="25" spans="1:13">
      <c r="A25" s="60" t="s">
        <v>183</v>
      </c>
      <c r="B25" s="60" t="s">
        <v>184</v>
      </c>
      <c r="C25" s="69">
        <f>IF(IFERROR(INDEX('2016'!$G$5:$G$72,MATCH(B25,'2016'!$A$5:$A$72,0)),0)=0,"N/A",INDEX('2016'!$G$5:$G$72,MATCH(B25,'2016'!$A$5:$A$72,0)))</f>
        <v>21.96</v>
      </c>
      <c r="D25" s="60">
        <v>20.297000000000001</v>
      </c>
      <c r="E25" s="60">
        <v>21.018999999999998</v>
      </c>
      <c r="F25" s="60">
        <v>20.677</v>
      </c>
      <c r="G25" s="60">
        <v>17.611000000000001</v>
      </c>
      <c r="H25" s="60">
        <v>15.372999999999999</v>
      </c>
      <c r="I25" s="60">
        <v>13.842000000000001</v>
      </c>
      <c r="J25" s="60">
        <v>11.829000000000001</v>
      </c>
      <c r="K25" s="60">
        <v>12.77</v>
      </c>
      <c r="L25" s="60">
        <v>12.555999999999999</v>
      </c>
      <c r="M25" s="60">
        <v>13.119</v>
      </c>
    </row>
    <row r="26" spans="1:13">
      <c r="A26" s="60" t="s">
        <v>128</v>
      </c>
      <c r="B26" s="60" t="s">
        <v>11</v>
      </c>
      <c r="C26" s="69">
        <f>IF(IFERROR(INDEX('2016'!$G$5:$G$72,MATCH(B26,'2016'!$A$5:$A$72,0)),0)=0,"N/A",INDEX('2016'!$G$5:$G$72,MATCH(B26,'2016'!$A$5:$A$72,0)))</f>
        <v>73.358000000000004</v>
      </c>
      <c r="D26" s="60">
        <v>70.837000000000003</v>
      </c>
      <c r="E26" s="60">
        <v>70.066000000000003</v>
      </c>
      <c r="F26" s="60">
        <v>59.466000000000001</v>
      </c>
      <c r="G26" s="60">
        <v>52.008000000000003</v>
      </c>
      <c r="H26" s="60">
        <v>47.665999999999997</v>
      </c>
      <c r="I26" s="60">
        <v>41.466999999999999</v>
      </c>
      <c r="J26" s="60">
        <v>33.639000000000003</v>
      </c>
      <c r="K26" s="60">
        <v>41.89</v>
      </c>
      <c r="L26" s="60">
        <v>43.933</v>
      </c>
      <c r="M26" s="60">
        <v>38.343000000000004</v>
      </c>
    </row>
    <row r="27" spans="1:13">
      <c r="A27" s="60" t="s">
        <v>129</v>
      </c>
      <c r="B27" s="60" t="s">
        <v>12</v>
      </c>
      <c r="C27" s="69">
        <f>IF(IFERROR(INDEX('2016'!$G$5:$G$72,MATCH(B27,'2016'!$A$5:$A$72,0)),0)=0,"N/A",INDEX('2016'!$G$5:$G$72,MATCH(B27,'2016'!$A$5:$A$72,0)))</f>
        <v>91.605999999999995</v>
      </c>
      <c r="D27" s="60">
        <v>80.423000000000002</v>
      </c>
      <c r="E27" s="60">
        <v>76.052999999999997</v>
      </c>
      <c r="F27" s="60">
        <v>67.361000000000004</v>
      </c>
      <c r="G27" s="60">
        <v>57.771000000000001</v>
      </c>
      <c r="H27" s="60">
        <v>49.579000000000001</v>
      </c>
      <c r="I27" s="60">
        <v>45.874000000000002</v>
      </c>
      <c r="J27" s="60">
        <v>33.728000000000002</v>
      </c>
      <c r="K27" s="60">
        <v>40.433999999999997</v>
      </c>
      <c r="L27" s="60">
        <v>48.585000000000001</v>
      </c>
      <c r="M27" s="60">
        <v>42.707000000000001</v>
      </c>
    </row>
    <row r="28" spans="1:13">
      <c r="A28" s="60" t="s">
        <v>130</v>
      </c>
      <c r="B28" s="60" t="s">
        <v>13</v>
      </c>
      <c r="C28" s="69">
        <f>IF(IFERROR(INDEX('2016'!$G$5:$G$72,MATCH(B28,'2016'!$A$5:$A$72,0)),0)=0,"N/A",INDEX('2016'!$G$5:$G$72,MATCH(B28,'2016'!$A$5:$A$72,0)))</f>
        <v>78.843000000000004</v>
      </c>
      <c r="D28" s="60">
        <v>74.694000000000003</v>
      </c>
      <c r="E28" s="60">
        <v>73.978999999999999</v>
      </c>
      <c r="F28" s="60">
        <v>69.447000000000003</v>
      </c>
      <c r="G28" s="60">
        <v>64.790000000000006</v>
      </c>
      <c r="H28" s="60">
        <v>56.978999999999999</v>
      </c>
      <c r="I28" s="60">
        <v>50.993000000000002</v>
      </c>
      <c r="J28" s="60">
        <v>45.143000000000001</v>
      </c>
      <c r="K28" s="60">
        <v>52.366999999999997</v>
      </c>
      <c r="L28" s="60">
        <v>58.064999999999998</v>
      </c>
      <c r="M28" s="69" t="s">
        <v>106</v>
      </c>
    </row>
    <row r="29" spans="1:13">
      <c r="A29" s="60" t="s">
        <v>131</v>
      </c>
      <c r="B29" s="60" t="s">
        <v>14</v>
      </c>
      <c r="C29" s="69">
        <f>IF(IFERROR(INDEX('2016'!$G$5:$G$72,MATCH(B29,'2016'!$A$5:$A$72,0)),0)=0,"N/A",INDEX('2016'!$G$5:$G$72,MATCH(B29,'2016'!$A$5:$A$72,0)))</f>
        <v>70.603999999999999</v>
      </c>
      <c r="D29" s="60">
        <v>61.281999999999996</v>
      </c>
      <c r="E29" s="60">
        <v>56.506</v>
      </c>
      <c r="F29" s="60">
        <v>48.003999999999998</v>
      </c>
      <c r="G29" s="60">
        <v>44.164999999999999</v>
      </c>
      <c r="H29" s="60">
        <v>38.139000000000003</v>
      </c>
      <c r="I29" s="60">
        <v>34.569000000000003</v>
      </c>
      <c r="J29" s="60">
        <v>31.486999999999998</v>
      </c>
      <c r="K29" s="60">
        <v>45.475000000000001</v>
      </c>
      <c r="L29" s="60">
        <v>53.213999999999999</v>
      </c>
      <c r="M29" s="60">
        <v>42.598999999999997</v>
      </c>
    </row>
    <row r="30" spans="1:13">
      <c r="A30" s="60" t="s">
        <v>132</v>
      </c>
      <c r="B30" s="60" t="s">
        <v>15</v>
      </c>
      <c r="C30" s="69">
        <f>IF(IFERROR(INDEX('2016'!$G$5:$G$72,MATCH(B30,'2016'!$A$5:$A$72,0)),0)=0,"N/A",INDEX('2016'!$G$5:$G$72,MATCH(B30,'2016'!$A$5:$A$72,0)))</f>
        <v>44.59</v>
      </c>
      <c r="D30" s="60">
        <v>37.207000000000001</v>
      </c>
      <c r="E30" s="60">
        <v>37.19</v>
      </c>
      <c r="F30" s="60">
        <v>34.933</v>
      </c>
      <c r="G30" s="60">
        <v>32.71</v>
      </c>
      <c r="H30" s="60">
        <v>31.236000000000001</v>
      </c>
      <c r="I30" s="60">
        <v>22.19</v>
      </c>
      <c r="J30" s="60">
        <v>16.190000000000001</v>
      </c>
      <c r="K30" s="60">
        <v>20.577000000000002</v>
      </c>
      <c r="L30" s="60">
        <v>24.873999999999999</v>
      </c>
      <c r="M30" s="60">
        <v>21.489000000000001</v>
      </c>
    </row>
    <row r="31" spans="1:13">
      <c r="A31" s="60" t="s">
        <v>133</v>
      </c>
      <c r="B31" s="60" t="s">
        <v>16</v>
      </c>
      <c r="C31" s="69" t="str">
        <f>IF(IFERROR(INDEX('2016'!$G$5:$G$72,MATCH(B31,'2016'!$A$5:$A$72,0)),0)=0,"N/A",INDEX('2016'!$G$5:$G$72,MATCH(B31,'2016'!$A$5:$A$72,0)))</f>
        <v>N/A</v>
      </c>
      <c r="D31" s="60">
        <v>24.135999999999999</v>
      </c>
      <c r="E31" s="60">
        <v>25.129000000000001</v>
      </c>
      <c r="F31" s="60">
        <v>22.195</v>
      </c>
      <c r="G31" s="60">
        <v>20.800999999999998</v>
      </c>
      <c r="H31" s="60">
        <v>20.649000000000001</v>
      </c>
      <c r="I31" s="60">
        <v>19.600000000000001</v>
      </c>
      <c r="J31" s="60">
        <v>16.919</v>
      </c>
      <c r="K31" s="60">
        <v>20.187999999999999</v>
      </c>
      <c r="L31" s="60">
        <v>23.655000000000001</v>
      </c>
      <c r="M31" s="60">
        <v>22.442</v>
      </c>
    </row>
    <row r="32" spans="1:13">
      <c r="A32" s="60" t="s">
        <v>134</v>
      </c>
      <c r="B32" s="60" t="s">
        <v>17</v>
      </c>
      <c r="C32" s="69">
        <f>IF(IFERROR(INDEX('2016'!$G$5:$G$72,MATCH(B32,'2016'!$A$5:$A$72,0)),0)=0,"N/A",INDEX('2016'!$G$5:$G$72,MATCH(B32,'2016'!$A$5:$A$72,0)))</f>
        <v>75.143000000000001</v>
      </c>
      <c r="D32" s="60">
        <v>72.795000000000002</v>
      </c>
      <c r="E32" s="60">
        <v>74.349999999999994</v>
      </c>
      <c r="F32" s="60">
        <v>65.540000000000006</v>
      </c>
      <c r="G32" s="60">
        <v>67.567999999999998</v>
      </c>
      <c r="H32" s="60">
        <v>68.417000000000002</v>
      </c>
      <c r="I32" s="60">
        <v>77.06</v>
      </c>
      <c r="J32" s="60">
        <v>75.480999999999995</v>
      </c>
      <c r="K32" s="60">
        <v>102.649</v>
      </c>
      <c r="L32" s="60">
        <v>108.095</v>
      </c>
      <c r="M32" s="60">
        <v>76.521000000000001</v>
      </c>
    </row>
    <row r="33" spans="1:13">
      <c r="A33" s="60" t="s">
        <v>210</v>
      </c>
      <c r="B33" s="60" t="s">
        <v>211</v>
      </c>
      <c r="C33" s="69">
        <f>IF(IFERROR(INDEX('2016'!$G$5:$G$72,MATCH(B33,'2016'!$A$5:$A$72,0)),0)=0,"N/A",INDEX('2016'!$G$5:$G$72,MATCH(B33,'2016'!$A$5:$A$72,0)))</f>
        <v>55.326999999999998</v>
      </c>
      <c r="D33" s="60">
        <v>49.982999999999997</v>
      </c>
      <c r="E33" s="60">
        <v>46.232999999999997</v>
      </c>
      <c r="F33" s="60">
        <v>42.183</v>
      </c>
      <c r="G33" s="60">
        <v>37.526000000000003</v>
      </c>
      <c r="H33" s="60">
        <v>34.076999999999998</v>
      </c>
      <c r="I33" s="60">
        <v>28.189</v>
      </c>
      <c r="J33" s="60">
        <v>22.844000000000001</v>
      </c>
      <c r="K33" s="60">
        <v>25.411999999999999</v>
      </c>
      <c r="L33" s="60">
        <v>29.806000000000001</v>
      </c>
      <c r="M33" s="60">
        <v>22.193000000000001</v>
      </c>
    </row>
    <row r="34" spans="1:13">
      <c r="A34" s="60" t="s">
        <v>135</v>
      </c>
      <c r="B34" s="60" t="s">
        <v>18</v>
      </c>
      <c r="C34" s="69">
        <f>IF(IFERROR(INDEX('2016'!$G$5:$G$72,MATCH(B34,'2016'!$A$5:$A$72,0)),0)=0,"N/A",INDEX('2016'!$G$5:$G$72,MATCH(B34,'2016'!$A$5:$A$72,0)))</f>
        <v>33.625999999999998</v>
      </c>
      <c r="D34" s="60">
        <v>31.943000000000001</v>
      </c>
      <c r="E34" s="60">
        <v>33.637999999999998</v>
      </c>
      <c r="F34" s="60">
        <v>31.03</v>
      </c>
      <c r="G34" s="60">
        <v>36.630000000000003</v>
      </c>
      <c r="H34" s="60">
        <v>42.38</v>
      </c>
      <c r="I34" s="60">
        <v>42.453000000000003</v>
      </c>
      <c r="J34" s="60">
        <v>49.283999999999999</v>
      </c>
      <c r="K34" s="60">
        <v>73.686000000000007</v>
      </c>
      <c r="L34" s="60">
        <v>73.433999999999997</v>
      </c>
      <c r="M34" s="60">
        <v>57.85</v>
      </c>
    </row>
    <row r="35" spans="1:13">
      <c r="A35" s="60" t="s">
        <v>136</v>
      </c>
      <c r="B35" s="60" t="s">
        <v>19</v>
      </c>
      <c r="C35" s="69">
        <f>IF(IFERROR(INDEX('2016'!$G$5:$G$72,MATCH(B35,'2016'!$A$5:$A$72,0)),0)=0,"N/A",INDEX('2016'!$G$5:$G$72,MATCH(B35,'2016'!$A$5:$A$72,0)))</f>
        <v>33.418999999999997</v>
      </c>
      <c r="D35" s="60">
        <v>34.045000000000002</v>
      </c>
      <c r="E35" s="60">
        <v>33.820999999999998</v>
      </c>
      <c r="F35" s="60">
        <v>38.771999999999998</v>
      </c>
      <c r="G35" s="60">
        <v>44.932000000000002</v>
      </c>
      <c r="H35" s="60">
        <v>42.094000000000001</v>
      </c>
      <c r="I35" s="60">
        <v>38.18</v>
      </c>
      <c r="J35" s="60">
        <v>43.24</v>
      </c>
      <c r="K35" s="60">
        <v>68.518000000000001</v>
      </c>
      <c r="L35" s="60">
        <v>65.777000000000001</v>
      </c>
      <c r="M35" s="60">
        <v>54.353999999999999</v>
      </c>
    </row>
    <row r="36" spans="1:13">
      <c r="A36" s="60" t="s">
        <v>266</v>
      </c>
      <c r="B36" s="60" t="s">
        <v>267</v>
      </c>
      <c r="C36" s="69">
        <f>IF(IFERROR(INDEX('2016'!$G$5:$G$72,MATCH(B36,'2016'!$A$5:$A$72,0)),0)=0,"N/A",INDEX('2016'!$G$5:$G$72,MATCH(B36,'2016'!$A$5:$A$72,0)))</f>
        <v>40.829000000000001</v>
      </c>
      <c r="D36" s="60">
        <v>37.984999999999999</v>
      </c>
      <c r="E36" s="60">
        <v>33.515000000000001</v>
      </c>
      <c r="F36" s="60">
        <v>32.551000000000002</v>
      </c>
      <c r="G36" s="60">
        <v>33.201999999999998</v>
      </c>
      <c r="H36" s="60">
        <v>32.698999999999998</v>
      </c>
      <c r="I36" s="60">
        <v>29.507999999999999</v>
      </c>
      <c r="J36" s="60">
        <v>24.71</v>
      </c>
      <c r="K36" s="60">
        <v>26.573</v>
      </c>
      <c r="L36" s="60">
        <v>27.212</v>
      </c>
      <c r="M36" s="60">
        <v>24.033000000000001</v>
      </c>
    </row>
    <row r="37" spans="1:13">
      <c r="A37" s="60" t="s">
        <v>185</v>
      </c>
      <c r="B37" s="60" t="s">
        <v>186</v>
      </c>
      <c r="C37" s="69">
        <f>IF(IFERROR(INDEX('2016'!$G$5:$G$72,MATCH(B37,'2016'!$A$5:$A$72,0)),0)=0,"N/A",INDEX('2016'!$G$5:$G$72,MATCH(B37,'2016'!$A$5:$A$72,0)))</f>
        <v>8.6920000000000002</v>
      </c>
      <c r="D37" s="60">
        <v>9.4740000000000002</v>
      </c>
      <c r="E37" s="60">
        <v>10.760999999999999</v>
      </c>
      <c r="F37" s="60">
        <v>9.968</v>
      </c>
      <c r="G37" s="60">
        <v>10.432</v>
      </c>
      <c r="H37" s="60">
        <v>11.112</v>
      </c>
      <c r="I37" s="60">
        <v>10.814</v>
      </c>
      <c r="J37" s="60">
        <v>8.5739999999999998</v>
      </c>
      <c r="K37" s="60">
        <v>9.42</v>
      </c>
      <c r="L37" s="60">
        <v>8.1549999999999994</v>
      </c>
      <c r="M37" s="60">
        <v>6.4859999999999998</v>
      </c>
    </row>
    <row r="38" spans="1:13">
      <c r="A38" s="60" t="s">
        <v>137</v>
      </c>
      <c r="B38" s="60" t="s">
        <v>20</v>
      </c>
      <c r="C38" s="69">
        <f>IF(IFERROR(INDEX('2016'!$G$5:$G$72,MATCH(B38,'2016'!$A$5:$A$72,0)),0)=0,"N/A",INDEX('2016'!$G$5:$G$72,MATCH(B38,'2016'!$A$5:$A$72,0)))</f>
        <v>28.949000000000002</v>
      </c>
      <c r="D38" s="60">
        <v>26.530999999999999</v>
      </c>
      <c r="E38" s="60">
        <v>25.858000000000001</v>
      </c>
      <c r="F38" s="60">
        <v>22.981999999999999</v>
      </c>
      <c r="G38" s="60">
        <v>20.971</v>
      </c>
      <c r="H38" s="60">
        <v>20.131</v>
      </c>
      <c r="I38" s="60">
        <v>18.504999999999999</v>
      </c>
      <c r="J38" s="60">
        <v>16.513999999999999</v>
      </c>
      <c r="K38" s="60">
        <v>23.834</v>
      </c>
      <c r="L38" s="60">
        <v>30.242999999999999</v>
      </c>
      <c r="M38" s="60">
        <v>29.643999999999998</v>
      </c>
    </row>
    <row r="39" spans="1:13">
      <c r="A39" s="60" t="s">
        <v>138</v>
      </c>
      <c r="B39" s="60" t="s">
        <v>21</v>
      </c>
      <c r="C39" s="69">
        <f>IF(IFERROR(INDEX('2016'!$G$5:$G$72,MATCH(B39,'2016'!$A$5:$A$72,0)),0)=0,"N/A",INDEX('2016'!$G$5:$G$72,MATCH(B39,'2016'!$A$5:$A$72,0)))</f>
        <v>31.044</v>
      </c>
      <c r="D39" s="60">
        <v>30.603999999999999</v>
      </c>
      <c r="E39" s="60">
        <v>26.045000000000002</v>
      </c>
      <c r="F39" s="60">
        <v>26.265000000000001</v>
      </c>
      <c r="G39" s="60">
        <v>26.408000000000001</v>
      </c>
      <c r="H39" s="60">
        <v>24.609000000000002</v>
      </c>
      <c r="I39" s="60">
        <v>22.491</v>
      </c>
      <c r="J39" s="60">
        <v>18.004999999999999</v>
      </c>
      <c r="K39" s="60">
        <v>24.782</v>
      </c>
      <c r="L39" s="60">
        <v>23.946999999999999</v>
      </c>
      <c r="M39" s="60">
        <v>27.038</v>
      </c>
    </row>
    <row r="40" spans="1:13">
      <c r="A40" s="60" t="s">
        <v>216</v>
      </c>
      <c r="B40" s="60" t="s">
        <v>22</v>
      </c>
      <c r="C40" s="69">
        <f>IF(IFERROR(INDEX('2016'!$G$5:$G$72,MATCH(B40,'2016'!$A$5:$A$72,0)),0)=0,"N/A",INDEX('2016'!$G$5:$G$72,MATCH(B40,'2016'!$A$5:$A$72,0)))</f>
        <v>75.097999999999999</v>
      </c>
      <c r="D40" s="60">
        <v>62.764000000000003</v>
      </c>
      <c r="E40" s="60">
        <v>56.459000000000003</v>
      </c>
      <c r="F40" s="60">
        <v>48.957000000000001</v>
      </c>
      <c r="G40" s="60">
        <v>41.82</v>
      </c>
      <c r="H40" s="60">
        <v>38.758000000000003</v>
      </c>
      <c r="I40" s="60">
        <v>34.89</v>
      </c>
      <c r="J40" s="60">
        <v>26.920999999999999</v>
      </c>
      <c r="K40" s="60">
        <v>30.356999999999999</v>
      </c>
      <c r="L40" s="60">
        <v>33.840000000000003</v>
      </c>
      <c r="M40" s="60">
        <v>35.414000000000001</v>
      </c>
    </row>
    <row r="41" spans="1:13">
      <c r="A41" s="60" t="s">
        <v>139</v>
      </c>
      <c r="B41" s="60" t="s">
        <v>25</v>
      </c>
      <c r="C41" s="69">
        <f>IF(IFERROR(INDEX('2016'!$G$5:$G$72,MATCH(B41,'2016'!$A$5:$A$72,0)),0)=0,"N/A",INDEX('2016'!$G$5:$G$72,MATCH(B41,'2016'!$A$5:$A$72,0)))</f>
        <v>54.29</v>
      </c>
      <c r="D41" s="60">
        <v>41.774999999999999</v>
      </c>
      <c r="E41" s="60">
        <v>39.883000000000003</v>
      </c>
      <c r="F41" s="60">
        <v>36.750999999999998</v>
      </c>
      <c r="G41" s="60">
        <v>32.048999999999999</v>
      </c>
      <c r="H41" s="60">
        <v>27.849</v>
      </c>
      <c r="I41" s="60">
        <v>24.966999999999999</v>
      </c>
      <c r="J41" s="60">
        <v>22.3</v>
      </c>
      <c r="K41" s="60">
        <v>22.568000000000001</v>
      </c>
      <c r="L41" s="60">
        <v>22.706</v>
      </c>
      <c r="M41" s="60">
        <v>21.802</v>
      </c>
    </row>
    <row r="42" spans="1:13">
      <c r="A42" s="60" t="s">
        <v>187</v>
      </c>
      <c r="B42" s="60" t="s">
        <v>188</v>
      </c>
      <c r="C42" s="69">
        <f>IF(IFERROR(INDEX('2016'!$G$5:$G$72,MATCH(B42,'2016'!$A$5:$A$72,0)),0)=0,"N/A",INDEX('2016'!$G$5:$G$72,MATCH(B42,'2016'!$A$5:$A$72,0)))</f>
        <v>35.39</v>
      </c>
      <c r="D42" s="60">
        <v>23.314</v>
      </c>
      <c r="E42" s="60">
        <v>20.89</v>
      </c>
      <c r="F42" s="60">
        <v>20.295000000000002</v>
      </c>
      <c r="G42" s="60">
        <v>18.745999999999999</v>
      </c>
      <c r="H42" s="60">
        <v>18.25</v>
      </c>
      <c r="I42" s="60">
        <v>17.097000000000001</v>
      </c>
      <c r="J42" s="60">
        <v>15.132</v>
      </c>
      <c r="K42" s="60">
        <v>17.620999999999999</v>
      </c>
      <c r="L42" s="60">
        <v>18.782</v>
      </c>
      <c r="M42" s="60">
        <v>18.629000000000001</v>
      </c>
    </row>
    <row r="43" spans="1:13">
      <c r="A43" s="60" t="s">
        <v>189</v>
      </c>
      <c r="B43" s="60" t="s">
        <v>190</v>
      </c>
      <c r="C43" s="69">
        <f>IF(IFERROR(INDEX('2016'!$G$5:$G$72,MATCH(B43,'2016'!$A$5:$A$72,0)),0)=0,"N/A",INDEX('2016'!$G$5:$G$72,MATCH(B43,'2016'!$A$5:$A$72,0)))</f>
        <v>34.213000000000001</v>
      </c>
      <c r="D43" s="60">
        <v>29.571000000000002</v>
      </c>
      <c r="E43" s="60">
        <v>24.402999999999999</v>
      </c>
      <c r="F43" s="60">
        <v>21.817</v>
      </c>
      <c r="G43" s="60">
        <v>22.803000000000001</v>
      </c>
      <c r="H43" s="60">
        <v>21.614000000000001</v>
      </c>
      <c r="I43" s="60">
        <v>18.43</v>
      </c>
      <c r="J43" s="60">
        <v>17.91</v>
      </c>
      <c r="K43" s="60">
        <v>16.57</v>
      </c>
      <c r="L43" s="60">
        <v>16.792000000000002</v>
      </c>
      <c r="M43" s="60">
        <v>15.045</v>
      </c>
    </row>
    <row r="44" spans="1:13">
      <c r="A44" s="60" t="s">
        <v>140</v>
      </c>
      <c r="B44" s="60" t="s">
        <v>141</v>
      </c>
      <c r="C44" s="69">
        <f>IF(IFERROR(INDEX('2016'!$G$5:$G$72,MATCH(B44,'2016'!$A$5:$A$72,0)),0)=0,"N/A",INDEX('2016'!$G$5:$G$72,MATCH(B44,'2016'!$A$5:$A$72,0)))</f>
        <v>119.712</v>
      </c>
      <c r="D44" s="60">
        <v>102.38</v>
      </c>
      <c r="E44" s="60">
        <v>96.625</v>
      </c>
      <c r="F44" s="60">
        <v>80.039000000000001</v>
      </c>
      <c r="G44" s="60">
        <v>65.816999999999993</v>
      </c>
      <c r="H44" s="60">
        <v>55.601999999999997</v>
      </c>
      <c r="I44" s="60">
        <v>51.326999999999998</v>
      </c>
      <c r="J44" s="60">
        <v>53.26</v>
      </c>
      <c r="K44" s="60">
        <v>58.942999999999998</v>
      </c>
      <c r="L44" s="60">
        <v>61.792999999999999</v>
      </c>
      <c r="M44" s="60">
        <v>44.097000000000001</v>
      </c>
    </row>
    <row r="45" spans="1:13">
      <c r="A45" s="60" t="s">
        <v>142</v>
      </c>
      <c r="B45" s="60" t="s">
        <v>26</v>
      </c>
      <c r="C45" s="69">
        <f>IF(IFERROR(INDEX('2016'!$G$5:$G$72,MATCH(B45,'2016'!$A$5:$A$72,0)),0)=0,"N/A",INDEX('2016'!$G$5:$G$72,MATCH(B45,'2016'!$A$5:$A$72,0)))</f>
        <v>23.183</v>
      </c>
      <c r="D45" s="60">
        <v>23.524000000000001</v>
      </c>
      <c r="E45" s="60">
        <v>37.978999999999999</v>
      </c>
      <c r="F45" s="60">
        <v>29.655000000000001</v>
      </c>
      <c r="G45" s="60">
        <v>24.481999999999999</v>
      </c>
      <c r="H45" s="60">
        <v>20.331</v>
      </c>
      <c r="I45" s="60">
        <v>16.247</v>
      </c>
      <c r="J45" s="60">
        <v>12.041</v>
      </c>
      <c r="K45" s="60">
        <v>16.167000000000002</v>
      </c>
      <c r="L45" s="60">
        <v>21.45</v>
      </c>
      <c r="M45" s="60">
        <v>21.841999999999999</v>
      </c>
    </row>
    <row r="46" spans="1:13">
      <c r="A46" s="60" t="s">
        <v>191</v>
      </c>
      <c r="B46" s="60" t="s">
        <v>192</v>
      </c>
      <c r="C46" s="69">
        <f>IF(IFERROR(INDEX('2016'!$G$5:$G$72,MATCH(B46,'2016'!$A$5:$A$72,0)),0)=0,"N/A",INDEX('2016'!$G$5:$G$72,MATCH(B46,'2016'!$A$5:$A$72,0)))</f>
        <v>57.076000000000001</v>
      </c>
      <c r="D46" s="60">
        <v>46.436</v>
      </c>
      <c r="E46" s="60">
        <v>44.691000000000003</v>
      </c>
      <c r="F46" s="60">
        <v>43.41</v>
      </c>
      <c r="G46" s="60">
        <v>46.789000000000001</v>
      </c>
      <c r="H46" s="60">
        <v>45.454000000000001</v>
      </c>
      <c r="I46" s="60">
        <v>46.332000000000001</v>
      </c>
      <c r="J46" s="60">
        <v>42.94</v>
      </c>
      <c r="K46" s="60">
        <v>46.453000000000003</v>
      </c>
      <c r="L46" s="60">
        <v>46.198</v>
      </c>
      <c r="M46" s="60">
        <v>37.247999999999998</v>
      </c>
    </row>
    <row r="47" spans="1:13">
      <c r="A47" s="60" t="s">
        <v>143</v>
      </c>
      <c r="B47" s="60" t="s">
        <v>144</v>
      </c>
      <c r="C47" s="69">
        <f>IF(IFERROR(INDEX('2016'!$G$5:$G$72,MATCH(B47,'2016'!$A$5:$A$72,0)),0)=0,"N/A",INDEX('2016'!$G$5:$G$72,MATCH(B47,'2016'!$A$5:$A$72,0)))</f>
        <v>58.261000000000003</v>
      </c>
      <c r="D47" s="60">
        <v>53.249000000000002</v>
      </c>
      <c r="E47" s="60">
        <v>48.543999999999997</v>
      </c>
      <c r="F47" s="60">
        <v>41.475000000000001</v>
      </c>
      <c r="G47" s="60">
        <v>35.521000000000001</v>
      </c>
      <c r="H47" s="60">
        <v>31.934999999999999</v>
      </c>
      <c r="I47" s="60">
        <v>27.596</v>
      </c>
      <c r="J47" s="60">
        <v>23.306999999999999</v>
      </c>
      <c r="K47" s="60">
        <v>24.542999999999999</v>
      </c>
      <c r="L47" s="60">
        <v>31.297999999999998</v>
      </c>
      <c r="M47" s="60">
        <v>33.997999999999998</v>
      </c>
    </row>
    <row r="48" spans="1:13">
      <c r="A48" s="60" t="s">
        <v>145</v>
      </c>
      <c r="B48" s="60" t="s">
        <v>27</v>
      </c>
      <c r="C48" s="69">
        <f>IF(IFERROR(INDEX('2016'!$G$5:$G$72,MATCH(B48,'2016'!$A$5:$A$72,0)),0)=0,"N/A",INDEX('2016'!$G$5:$G$72,MATCH(B48,'2016'!$A$5:$A$72,0)))</f>
        <v>29.88</v>
      </c>
      <c r="D48" s="60">
        <v>29.895</v>
      </c>
      <c r="E48" s="60">
        <v>36.165999999999997</v>
      </c>
      <c r="F48" s="60">
        <v>34.323999999999998</v>
      </c>
      <c r="G48" s="60">
        <v>27.129000000000001</v>
      </c>
      <c r="H48" s="60">
        <v>24.782</v>
      </c>
      <c r="I48" s="60">
        <v>19.904</v>
      </c>
      <c r="J48" s="60">
        <v>14.409000000000001</v>
      </c>
      <c r="K48" s="60">
        <v>15.448</v>
      </c>
      <c r="L48" s="60">
        <v>18.151</v>
      </c>
      <c r="M48" s="60">
        <v>16.751999999999999</v>
      </c>
    </row>
    <row r="49" spans="1:13">
      <c r="A49" s="60" t="s">
        <v>356</v>
      </c>
      <c r="B49" s="60" t="s">
        <v>353</v>
      </c>
      <c r="C49" s="69">
        <v>60.256999999999998</v>
      </c>
      <c r="D49" s="60">
        <v>44.33</v>
      </c>
      <c r="E49" s="60">
        <v>36.902000000000001</v>
      </c>
    </row>
    <row r="50" spans="1:13">
      <c r="A50" s="60" t="s">
        <v>146</v>
      </c>
      <c r="B50" s="60" t="s">
        <v>28</v>
      </c>
      <c r="C50" s="69">
        <f>IF(IFERROR(INDEX('2016'!$G$5:$G$72,MATCH(B50,'2016'!$A$5:$A$72,0)),0)=0,"N/A",INDEX('2016'!$G$5:$G$72,MATCH(B50,'2016'!$A$5:$A$72,0)))</f>
        <v>32.308999999999997</v>
      </c>
      <c r="D50" s="60">
        <v>28.39</v>
      </c>
      <c r="E50" s="60">
        <v>29.199000000000002</v>
      </c>
      <c r="F50" s="60">
        <v>28.934000000000001</v>
      </c>
      <c r="G50" s="60">
        <v>22.837</v>
      </c>
      <c r="H50" s="60">
        <v>21.367000000000001</v>
      </c>
      <c r="I50" s="60">
        <v>20.937000000000001</v>
      </c>
      <c r="J50" s="60">
        <v>22.123000000000001</v>
      </c>
      <c r="K50" s="60">
        <v>32.761000000000003</v>
      </c>
      <c r="L50" s="60">
        <v>33.854999999999997</v>
      </c>
      <c r="M50" s="60">
        <v>29.318999999999999</v>
      </c>
    </row>
    <row r="51" spans="1:13">
      <c r="A51" s="60" t="s">
        <v>147</v>
      </c>
      <c r="B51" s="60" t="s">
        <v>30</v>
      </c>
      <c r="C51" s="69">
        <f>IF(IFERROR(INDEX('2016'!$G$5:$G$72,MATCH(B51,'2016'!$A$5:$A$72,0)),0)=0,"N/A",INDEX('2016'!$G$5:$G$72,MATCH(B51,'2016'!$A$5:$A$72,0)))</f>
        <v>59.787999999999997</v>
      </c>
      <c r="D51" s="60">
        <v>52.796999999999997</v>
      </c>
      <c r="E51" s="60">
        <v>45.908999999999999</v>
      </c>
      <c r="F51" s="60">
        <v>43.308999999999997</v>
      </c>
      <c r="G51" s="60">
        <v>42.853000000000002</v>
      </c>
      <c r="H51" s="60">
        <v>42.972999999999999</v>
      </c>
      <c r="I51" s="60">
        <v>44.564999999999998</v>
      </c>
      <c r="J51" s="60">
        <v>39.418999999999997</v>
      </c>
      <c r="K51" s="60">
        <v>38.911000000000001</v>
      </c>
      <c r="L51" s="60">
        <v>46.835999999999999</v>
      </c>
      <c r="M51" s="60">
        <v>40.963999999999999</v>
      </c>
    </row>
    <row r="52" spans="1:13">
      <c r="A52" s="60" t="s">
        <v>148</v>
      </c>
      <c r="B52" s="60" t="s">
        <v>31</v>
      </c>
      <c r="C52" s="69">
        <f>IF(IFERROR(INDEX('2016'!$G$5:$G$72,MATCH(B52,'2016'!$A$5:$A$72,0)),0)=0,"N/A",INDEX('2016'!$G$5:$G$72,MATCH(B52,'2016'!$A$5:$A$72,0)))</f>
        <v>74.034999999999997</v>
      </c>
      <c r="D52" s="60">
        <v>62.86</v>
      </c>
      <c r="E52" s="60">
        <v>56.872</v>
      </c>
      <c r="F52" s="60">
        <v>55.88</v>
      </c>
      <c r="G52" s="60">
        <v>50.21</v>
      </c>
      <c r="H52" s="60">
        <v>43.665999999999997</v>
      </c>
      <c r="I52" s="60">
        <v>38.698999999999998</v>
      </c>
      <c r="J52" s="60">
        <v>31.056000000000001</v>
      </c>
      <c r="K52" s="60">
        <v>34.06</v>
      </c>
      <c r="L52" s="60">
        <v>44.195999999999998</v>
      </c>
      <c r="M52" s="60">
        <v>43.399000000000001</v>
      </c>
    </row>
    <row r="53" spans="1:13">
      <c r="A53" s="60" t="s">
        <v>149</v>
      </c>
      <c r="B53" s="60" t="s">
        <v>32</v>
      </c>
      <c r="C53" s="69">
        <f>IF(IFERROR(INDEX('2016'!$G$5:$G$72,MATCH(B53,'2016'!$A$5:$A$72,0)),0)=0,"N/A",INDEX('2016'!$G$5:$G$72,MATCH(B53,'2016'!$A$5:$A$72,0)))</f>
        <v>32.722000000000001</v>
      </c>
      <c r="D53" s="60">
        <v>27.629000000000001</v>
      </c>
      <c r="E53" s="60">
        <v>27.08</v>
      </c>
      <c r="F53" s="60">
        <v>22.745000000000001</v>
      </c>
      <c r="G53" s="60">
        <v>19.611999999999998</v>
      </c>
      <c r="H53" s="60">
        <v>15.695</v>
      </c>
      <c r="I53" s="60">
        <v>12.218999999999999</v>
      </c>
      <c r="J53" s="60">
        <v>10.494</v>
      </c>
      <c r="K53" s="60">
        <v>12.468999999999999</v>
      </c>
      <c r="L53" s="60">
        <v>27.093</v>
      </c>
      <c r="M53" s="60">
        <v>26.786000000000001</v>
      </c>
    </row>
    <row r="54" spans="1:13">
      <c r="A54" s="60" t="s">
        <v>150</v>
      </c>
      <c r="B54" s="60" t="s">
        <v>33</v>
      </c>
      <c r="C54" s="69">
        <f>IF(IFERROR(INDEX('2016'!$G$5:$G$72,MATCH(B54,'2016'!$A$5:$A$72,0)),0)=0,"N/A",INDEX('2016'!$G$5:$G$72,MATCH(B54,'2016'!$A$5:$A$72,0)))</f>
        <v>41.164999999999999</v>
      </c>
      <c r="D54" s="60">
        <v>36.137</v>
      </c>
      <c r="E54" s="60">
        <v>33.393000000000001</v>
      </c>
      <c r="F54" s="60">
        <v>29.876999999999999</v>
      </c>
      <c r="G54" s="60">
        <v>26.14</v>
      </c>
      <c r="H54" s="60">
        <v>24.120999999999999</v>
      </c>
      <c r="I54" s="60">
        <v>19.920000000000002</v>
      </c>
      <c r="J54" s="60">
        <v>18.856999999999999</v>
      </c>
      <c r="K54" s="60">
        <v>22.651</v>
      </c>
      <c r="L54" s="60">
        <v>27.824000000000002</v>
      </c>
      <c r="M54" s="60">
        <v>26.619</v>
      </c>
    </row>
    <row r="55" spans="1:13">
      <c r="A55" s="60" t="s">
        <v>151</v>
      </c>
      <c r="B55" s="60" t="s">
        <v>34</v>
      </c>
      <c r="C55" s="69">
        <f>IF(IFERROR(INDEX('2016'!$G$5:$G$72,MATCH(B55,'2016'!$A$5:$A$72,0)),0)=0,"N/A",INDEX('2016'!$G$5:$G$72,MATCH(B55,'2016'!$A$5:$A$72,0)))</f>
        <v>35.793999999999997</v>
      </c>
      <c r="D55" s="60">
        <v>32.978999999999999</v>
      </c>
      <c r="E55" s="60">
        <v>33.502000000000002</v>
      </c>
      <c r="F55" s="60">
        <v>30.568000000000001</v>
      </c>
      <c r="G55" s="60">
        <v>28.401</v>
      </c>
      <c r="H55" s="60">
        <v>27.446000000000002</v>
      </c>
      <c r="I55" s="60">
        <v>27.318999999999999</v>
      </c>
      <c r="J55" s="60">
        <v>30.567</v>
      </c>
      <c r="K55" s="60">
        <v>43.213999999999999</v>
      </c>
      <c r="L55" s="60">
        <v>45.4</v>
      </c>
      <c r="M55" s="60">
        <v>32.289000000000001</v>
      </c>
    </row>
    <row r="56" spans="1:13">
      <c r="A56" s="60" t="s">
        <v>152</v>
      </c>
      <c r="B56" s="60" t="s">
        <v>35</v>
      </c>
      <c r="C56" s="69">
        <f>IF(IFERROR(INDEX('2016'!$G$5:$G$72,MATCH(B56,'2016'!$A$5:$A$72,0)),0)=0,"N/A",INDEX('2016'!$G$5:$G$72,MATCH(B56,'2016'!$A$5:$A$72,0)))</f>
        <v>43.433</v>
      </c>
      <c r="D56" s="60">
        <v>40.96</v>
      </c>
      <c r="E56" s="60">
        <v>37.715000000000003</v>
      </c>
      <c r="F56" s="60">
        <v>33.075000000000003</v>
      </c>
      <c r="G56" s="60">
        <v>31.202999999999999</v>
      </c>
      <c r="H56" s="60">
        <v>32.326999999999998</v>
      </c>
      <c r="I56" s="60">
        <v>31.832000000000001</v>
      </c>
      <c r="J56" s="60">
        <v>30.92</v>
      </c>
      <c r="K56" s="60">
        <v>39.573</v>
      </c>
      <c r="L56" s="60">
        <v>42.845999999999997</v>
      </c>
      <c r="M56" s="60">
        <v>32.856000000000002</v>
      </c>
    </row>
    <row r="57" spans="1:13">
      <c r="A57" s="60" t="s">
        <v>193</v>
      </c>
      <c r="B57" s="60" t="s">
        <v>194</v>
      </c>
      <c r="C57" s="69">
        <f>IF(IFERROR(INDEX('2016'!$G$5:$G$72,MATCH(B57,'2016'!$A$5:$A$72,0)),0)=0,"N/A",INDEX('2016'!$G$5:$G$72,MATCH(B57,'2016'!$A$5:$A$72,0)))</f>
        <v>14.97</v>
      </c>
      <c r="D57" s="60">
        <v>20.946999999999999</v>
      </c>
      <c r="E57" s="60">
        <v>19.355</v>
      </c>
      <c r="F57" s="60">
        <v>18.885999999999999</v>
      </c>
      <c r="G57" s="60">
        <v>17.975000000000001</v>
      </c>
      <c r="H57" s="60">
        <v>16.324999999999999</v>
      </c>
      <c r="I57" s="60">
        <v>15.202999999999999</v>
      </c>
      <c r="J57" s="60">
        <v>12.958</v>
      </c>
      <c r="K57" s="60">
        <v>14.269</v>
      </c>
      <c r="L57" s="60">
        <v>13.407999999999999</v>
      </c>
      <c r="M57" s="60">
        <v>12.746</v>
      </c>
    </row>
    <row r="58" spans="1:13">
      <c r="A58" s="60" t="s">
        <v>153</v>
      </c>
      <c r="B58" s="60" t="s">
        <v>36</v>
      </c>
      <c r="C58" s="69">
        <f>IF(IFERROR(INDEX('2016'!$G$5:$G$72,MATCH(B58,'2016'!$A$5:$A$72,0)),0)=0,"N/A",INDEX('2016'!$G$5:$G$72,MATCH(B58,'2016'!$A$5:$A$72,0)))</f>
        <v>69.870999999999995</v>
      </c>
      <c r="D58" s="60">
        <v>55.875</v>
      </c>
      <c r="E58" s="60">
        <v>51.834000000000003</v>
      </c>
      <c r="F58" s="60">
        <v>48.905999999999999</v>
      </c>
      <c r="G58" s="60">
        <v>46.616999999999997</v>
      </c>
      <c r="H58" s="60">
        <v>40.601999999999997</v>
      </c>
      <c r="I58" s="60">
        <v>38.542999999999999</v>
      </c>
      <c r="J58" s="60">
        <v>33.134999999999998</v>
      </c>
      <c r="K58" s="60">
        <v>37.369</v>
      </c>
      <c r="L58" s="60">
        <v>40.981000000000002</v>
      </c>
      <c r="M58" s="60">
        <v>39.936999999999998</v>
      </c>
    </row>
    <row r="59" spans="1:13">
      <c r="A59" s="60" t="s">
        <v>154</v>
      </c>
      <c r="B59" s="60" t="s">
        <v>37</v>
      </c>
      <c r="C59" s="69">
        <f>IF(IFERROR(INDEX('2016'!$G$5:$G$72,MATCH(B59,'2016'!$A$5:$A$72,0)),0)=0,"N/A",INDEX('2016'!$G$5:$G$72,MATCH(B59,'2016'!$A$5:$A$72,0)))</f>
        <v>103.34</v>
      </c>
      <c r="D59" s="60">
        <v>103.166</v>
      </c>
      <c r="E59" s="60">
        <v>101.265</v>
      </c>
      <c r="F59" s="60">
        <v>83.064999999999998</v>
      </c>
      <c r="G59" s="60">
        <v>64.763000000000005</v>
      </c>
      <c r="H59" s="60">
        <v>52.616</v>
      </c>
      <c r="I59" s="60">
        <v>50.631999999999998</v>
      </c>
      <c r="J59" s="60">
        <v>48.228999999999999</v>
      </c>
      <c r="K59" s="60">
        <v>52.271999999999998</v>
      </c>
      <c r="L59" s="60">
        <v>59.668999999999997</v>
      </c>
      <c r="M59" s="60">
        <v>48.648000000000003</v>
      </c>
    </row>
    <row r="60" spans="1:13">
      <c r="A60" s="60" t="s">
        <v>195</v>
      </c>
      <c r="B60" s="60" t="s">
        <v>196</v>
      </c>
      <c r="C60" s="69">
        <f>IF(IFERROR(INDEX('2016'!$G$5:$G$72,MATCH(B60,'2016'!$A$5:$A$72,0)),0)=0,"N/A",INDEX('2016'!$G$5:$G$72,MATCH(B60,'2016'!$A$5:$A$72,0)))</f>
        <v>40.286999999999999</v>
      </c>
      <c r="D60" s="60">
        <v>30.788</v>
      </c>
      <c r="E60" s="60">
        <v>28.417999999999999</v>
      </c>
      <c r="F60" s="60">
        <v>27.257999999999999</v>
      </c>
      <c r="G60" s="60">
        <v>24.032</v>
      </c>
      <c r="H60" s="60">
        <v>23.503</v>
      </c>
      <c r="I60" s="60">
        <v>24.463000000000001</v>
      </c>
      <c r="J60" s="60">
        <v>23.22</v>
      </c>
      <c r="K60" s="60">
        <v>28.442</v>
      </c>
      <c r="L60" s="60">
        <v>34.764000000000003</v>
      </c>
      <c r="M60" s="60">
        <v>27.975000000000001</v>
      </c>
    </row>
    <row r="61" spans="1:13">
      <c r="A61" s="60" t="s">
        <v>197</v>
      </c>
      <c r="B61" s="60" t="s">
        <v>198</v>
      </c>
      <c r="C61" s="69">
        <f>IF(IFERROR(INDEX('2016'!$G$5:$G$72,MATCH(B61,'2016'!$A$5:$A$72,0)),0)=0,"N/A",INDEX('2016'!$G$5:$G$72,MATCH(B61,'2016'!$A$5:$A$72,0)))</f>
        <v>29.097000000000001</v>
      </c>
      <c r="D61" s="60">
        <v>25.846</v>
      </c>
      <c r="E61" s="60">
        <v>28.222999999999999</v>
      </c>
      <c r="F61" s="60">
        <v>28.638000000000002</v>
      </c>
      <c r="G61" s="60">
        <v>25.655999999999999</v>
      </c>
      <c r="H61" s="60">
        <v>26.706</v>
      </c>
      <c r="I61" s="60">
        <v>22.69</v>
      </c>
      <c r="J61" s="60">
        <v>17.797000000000001</v>
      </c>
      <c r="K61" s="60">
        <v>18.042999999999999</v>
      </c>
      <c r="L61" s="60">
        <v>17.954000000000001</v>
      </c>
      <c r="M61" s="60">
        <v>14.585000000000001</v>
      </c>
    </row>
    <row r="62" spans="1:13">
      <c r="A62" s="60" t="s">
        <v>155</v>
      </c>
      <c r="B62" s="60" t="s">
        <v>38</v>
      </c>
      <c r="C62" s="69">
        <f>IF(IFERROR(INDEX('2016'!$G$5:$G$72,MATCH(B62,'2016'!$A$5:$A$72,0)),0)=0,"N/A",INDEX('2016'!$G$5:$G$72,MATCH(B62,'2016'!$A$5:$A$72,0)))</f>
        <v>50.256</v>
      </c>
      <c r="D62" s="60">
        <v>45.01</v>
      </c>
      <c r="E62" s="60">
        <v>44.442</v>
      </c>
      <c r="F62" s="60">
        <v>43.701999999999998</v>
      </c>
      <c r="G62" s="60">
        <v>45.304000000000002</v>
      </c>
      <c r="H62" s="60">
        <v>40.409999999999997</v>
      </c>
      <c r="I62" s="60">
        <v>35.156999999999996</v>
      </c>
      <c r="J62" s="60">
        <v>31.367999999999999</v>
      </c>
      <c r="K62" s="60">
        <v>36.286000000000001</v>
      </c>
      <c r="L62" s="60">
        <v>36.369999999999997</v>
      </c>
      <c r="M62" s="60">
        <v>33.996000000000002</v>
      </c>
    </row>
    <row r="63" spans="1:13">
      <c r="A63" s="60" t="s">
        <v>199</v>
      </c>
      <c r="B63" s="60" t="s">
        <v>200</v>
      </c>
      <c r="C63" s="69">
        <f>IF(IFERROR(INDEX('2016'!$G$5:$G$72,MATCH(B63,'2016'!$A$5:$A$72,0)),0)=0,"N/A",INDEX('2016'!$G$5:$G$72,MATCH(B63,'2016'!$A$5:$A$72,0)))</f>
        <v>68.823999999999998</v>
      </c>
      <c r="D63" s="60">
        <v>56.515000000000001</v>
      </c>
      <c r="E63" s="60">
        <v>53.759</v>
      </c>
      <c r="F63" s="60">
        <v>49.005000000000003</v>
      </c>
      <c r="G63" s="60">
        <v>42.906999999999996</v>
      </c>
      <c r="H63" s="60">
        <v>38.121000000000002</v>
      </c>
      <c r="I63" s="60">
        <v>31.71</v>
      </c>
      <c r="J63" s="60">
        <v>23.666</v>
      </c>
      <c r="K63" s="60">
        <v>28.173999999999999</v>
      </c>
      <c r="L63" s="60">
        <v>33.658000000000001</v>
      </c>
      <c r="M63" s="60">
        <v>31.556000000000001</v>
      </c>
    </row>
    <row r="64" spans="1:13">
      <c r="A64" s="60" t="s">
        <v>243</v>
      </c>
      <c r="B64" s="60" t="s">
        <v>244</v>
      </c>
      <c r="C64" s="69">
        <f>IF(IFERROR(INDEX('2016'!$G$5:$G$72,MATCH(B64,'2016'!$A$5:$A$72,0)),0)=0,"N/A",INDEX('2016'!$G$5:$G$72,MATCH(B64,'2016'!$A$5:$A$72,0)))</f>
        <v>63.55</v>
      </c>
      <c r="D64" s="60">
        <v>52.097999999999999</v>
      </c>
      <c r="E64" s="60">
        <v>46.524999999999999</v>
      </c>
      <c r="F64" s="60">
        <v>42.932000000000002</v>
      </c>
      <c r="G64" s="60">
        <v>40.344000000000001</v>
      </c>
      <c r="H64" s="60">
        <v>37.313000000000002</v>
      </c>
      <c r="I64" s="60">
        <v>33.384999999999998</v>
      </c>
      <c r="J64" s="60">
        <v>39.095999999999997</v>
      </c>
      <c r="K64" s="60">
        <v>37.787999999999997</v>
      </c>
      <c r="L64" s="60">
        <v>32.767000000000003</v>
      </c>
      <c r="M64" s="60">
        <v>32.231000000000002</v>
      </c>
    </row>
    <row r="65" spans="1:13">
      <c r="A65" s="60" t="s">
        <v>201</v>
      </c>
      <c r="B65" s="60" t="s">
        <v>202</v>
      </c>
      <c r="C65" s="69">
        <f>IF(IFERROR(INDEX('2016'!$G$5:$G$72,MATCH(B65,'2016'!$A$5:$A$72,0)),0)=0,"N/A",INDEX('2016'!$G$5:$G$72,MATCH(B65,'2016'!$A$5:$A$72,0)))</f>
        <v>8.2889999999999997</v>
      </c>
      <c r="D65" s="60">
        <v>7.5670000000000002</v>
      </c>
      <c r="E65" s="60">
        <v>5.8380000000000001</v>
      </c>
      <c r="F65" s="60">
        <v>4.5910000000000002</v>
      </c>
      <c r="G65" s="60">
        <v>4.4260000000000002</v>
      </c>
      <c r="H65" s="60">
        <v>5.2859999999999996</v>
      </c>
      <c r="I65" s="60">
        <v>4.2370000000000001</v>
      </c>
      <c r="J65" s="60">
        <v>2.8370000000000002</v>
      </c>
      <c r="K65" s="60">
        <v>3.2229999999999999</v>
      </c>
      <c r="L65" s="60">
        <v>3.7919999999999998</v>
      </c>
      <c r="M65" s="60">
        <v>2.27</v>
      </c>
    </row>
    <row r="66" spans="1:13">
      <c r="A66" s="60" t="s">
        <v>203</v>
      </c>
      <c r="B66" s="60" t="s">
        <v>204</v>
      </c>
      <c r="C66" s="69">
        <f>IF(IFERROR(INDEX('2016'!$G$5:$G$72,MATCH(B66,'2016'!$A$5:$A$72,0)),0)=0,"N/A",INDEX('2016'!$G$5:$G$72,MATCH(B66,'2016'!$A$5:$A$72,0)))</f>
        <v>39.622999999999998</v>
      </c>
      <c r="D66" s="60">
        <v>35.604999999999997</v>
      </c>
      <c r="E66" s="60">
        <v>30.346</v>
      </c>
      <c r="F66" s="60">
        <v>24.588000000000001</v>
      </c>
      <c r="G66" s="60">
        <v>19.210999999999999</v>
      </c>
      <c r="H66" s="60">
        <v>20.632999999999999</v>
      </c>
      <c r="I66" s="60">
        <v>17.239000000000001</v>
      </c>
      <c r="J66" s="60">
        <v>16.193999999999999</v>
      </c>
      <c r="K66" s="60">
        <v>17.651</v>
      </c>
      <c r="L66" s="60">
        <v>17.87</v>
      </c>
      <c r="M66" s="60">
        <v>15.362</v>
      </c>
    </row>
    <row r="67" spans="1:13">
      <c r="A67" s="60" t="s">
        <v>159</v>
      </c>
      <c r="B67" s="60" t="s">
        <v>83</v>
      </c>
      <c r="C67" s="69">
        <f>IF(IFERROR(INDEX('2016'!$G$5:$G$72,MATCH(B67,'2016'!$A$5:$A$72,0)),0)=0,"N/A",INDEX('2016'!$G$5:$G$72,MATCH(B67,'2016'!$A$5:$A$72,0)))</f>
        <v>40.67</v>
      </c>
      <c r="D67" s="60">
        <v>35.021999999999998</v>
      </c>
      <c r="E67" s="60">
        <v>32.920999999999999</v>
      </c>
      <c r="F67" s="60">
        <v>29.036999999999999</v>
      </c>
      <c r="G67" s="60">
        <v>26.72</v>
      </c>
      <c r="H67" s="60">
        <v>25.177</v>
      </c>
      <c r="I67" s="60">
        <v>22.091999999999999</v>
      </c>
      <c r="J67" s="60">
        <v>20.919</v>
      </c>
      <c r="K67" s="60">
        <v>26.099</v>
      </c>
      <c r="L67" s="60">
        <v>27.931000000000001</v>
      </c>
      <c r="M67" s="60">
        <v>24.841999999999999</v>
      </c>
    </row>
    <row r="68" spans="1:13">
      <c r="A68" s="60" t="s">
        <v>156</v>
      </c>
      <c r="B68" s="60" t="s">
        <v>42</v>
      </c>
      <c r="C68" s="69">
        <f>IF(IFERROR(INDEX('2016'!$G$5:$G$72,MATCH(B68,'2016'!$A$5:$A$72,0)),0)=0,"N/A",INDEX('2016'!$G$5:$G$72,MATCH(B68,'2016'!$A$5:$A$72,0)))</f>
        <v>48.904000000000003</v>
      </c>
      <c r="D68" s="60">
        <v>42.834000000000003</v>
      </c>
      <c r="E68" s="60">
        <v>40.365000000000002</v>
      </c>
      <c r="F68" s="60">
        <v>34.302999999999997</v>
      </c>
      <c r="G68" s="60">
        <v>29.135000000000002</v>
      </c>
      <c r="H68" s="60">
        <v>27.379000000000001</v>
      </c>
      <c r="I68" s="60">
        <v>24.768000000000001</v>
      </c>
      <c r="J68" s="60">
        <v>23.074000000000002</v>
      </c>
      <c r="K68" s="60">
        <v>27.364999999999998</v>
      </c>
      <c r="L68" s="60">
        <v>28.061</v>
      </c>
      <c r="M68" s="60">
        <v>27.241</v>
      </c>
    </row>
    <row r="69" spans="1:13">
      <c r="A69" s="60" t="s">
        <v>217</v>
      </c>
      <c r="B69" s="60" t="s">
        <v>44</v>
      </c>
      <c r="C69" s="69">
        <f>IF(IFERROR(INDEX('2016'!$G$5:$G$72,MATCH(B69,'2016'!$A$5:$A$72,0)),0)=0,"N/A",INDEX('2016'!$G$5:$G$72,MATCH(B69,'2016'!$A$5:$A$72,0)))</f>
        <v>59.042000000000002</v>
      </c>
      <c r="D69" s="60">
        <v>49.920999999999999</v>
      </c>
      <c r="E69" s="60">
        <v>45.869</v>
      </c>
      <c r="F69" s="60">
        <v>41.426000000000002</v>
      </c>
      <c r="G69" s="60">
        <v>37.027999999999999</v>
      </c>
      <c r="H69" s="60">
        <v>31.062000000000001</v>
      </c>
      <c r="I69" s="60">
        <v>26.9</v>
      </c>
      <c r="J69" s="60">
        <v>21.353999999999999</v>
      </c>
      <c r="K69" s="60">
        <v>22.379000000000001</v>
      </c>
      <c r="L69" s="60">
        <v>23.39</v>
      </c>
      <c r="M69" s="60">
        <v>21.076000000000001</v>
      </c>
    </row>
    <row r="70" spans="1:13">
      <c r="A70" s="60" t="s">
        <v>157</v>
      </c>
      <c r="B70" s="60" t="s">
        <v>43</v>
      </c>
      <c r="C70" s="69">
        <f>IF(IFERROR(INDEX('2016'!$G$5:$G$72,MATCH(B70,'2016'!$A$5:$A$72,0)),0)=0,"N/A",INDEX('2016'!$G$5:$G$72,MATCH(B70,'2016'!$A$5:$A$72,0)))</f>
        <v>52.454000000000001</v>
      </c>
      <c r="D70" s="60">
        <v>38.569000000000003</v>
      </c>
      <c r="E70" s="60">
        <v>36.091000000000001</v>
      </c>
      <c r="F70" s="60">
        <v>31.864000000000001</v>
      </c>
      <c r="G70" s="60">
        <v>28.873999999999999</v>
      </c>
      <c r="H70" s="60">
        <v>26.452999999999999</v>
      </c>
      <c r="I70" s="60">
        <v>23.321999999999999</v>
      </c>
      <c r="J70" s="60">
        <v>19.132000000000001</v>
      </c>
      <c r="K70" s="60">
        <v>22.221</v>
      </c>
      <c r="L70" s="60">
        <v>25.95</v>
      </c>
      <c r="M70" s="60">
        <v>22.893000000000001</v>
      </c>
    </row>
    <row r="71" spans="1:13">
      <c r="A71" s="60" t="s">
        <v>205</v>
      </c>
      <c r="B71" s="60" t="s">
        <v>206</v>
      </c>
      <c r="C71" s="69">
        <f>IF(IFERROR(INDEX('2016'!$G$5:$G$72,MATCH(B71,'2016'!$A$5:$A$72,0)),0)=0,"N/A",INDEX('2016'!$G$5:$G$72,MATCH(B71,'2016'!$A$5:$A$72,0)))</f>
        <v>65.558000000000007</v>
      </c>
      <c r="D71" s="60">
        <v>53.697000000000003</v>
      </c>
      <c r="E71" s="60">
        <v>40.604999999999997</v>
      </c>
      <c r="F71" s="60">
        <v>42.145000000000003</v>
      </c>
      <c r="G71" s="60">
        <v>40.918999999999997</v>
      </c>
      <c r="H71" s="60">
        <v>38.188000000000002</v>
      </c>
      <c r="I71" s="60">
        <v>34.302</v>
      </c>
      <c r="J71" s="60">
        <v>31.838000000000001</v>
      </c>
      <c r="K71" s="60">
        <v>33.332999999999998</v>
      </c>
      <c r="L71" s="60">
        <v>32.612000000000002</v>
      </c>
      <c r="M71" s="60">
        <v>29.992000000000001</v>
      </c>
    </row>
    <row r="72" spans="1:13">
      <c r="A72" s="60" t="s">
        <v>158</v>
      </c>
      <c r="B72" s="60" t="s">
        <v>45</v>
      </c>
      <c r="C72" s="69">
        <f>IF(IFERROR(INDEX('2016'!$G$5:$G$72,MATCH(B72,'2016'!$A$5:$A$72,0)),0)=0,"N/A",INDEX('2016'!$G$5:$G$72,MATCH(B72,'2016'!$A$5:$A$72,0)))</f>
        <v>40.829000000000001</v>
      </c>
      <c r="D72" s="60">
        <v>34.728999999999999</v>
      </c>
      <c r="E72" s="60">
        <v>31.344000000000001</v>
      </c>
      <c r="F72" s="60">
        <v>28.725000000000001</v>
      </c>
      <c r="G72" s="60">
        <v>27.42</v>
      </c>
      <c r="H72" s="60">
        <v>24.497</v>
      </c>
      <c r="I72" s="60">
        <v>22.041</v>
      </c>
      <c r="J72" s="60">
        <v>18.87</v>
      </c>
      <c r="K72" s="60">
        <v>19.981999999999999</v>
      </c>
      <c r="L72" s="60">
        <v>22.481999999999999</v>
      </c>
      <c r="M72" s="60">
        <v>19.981999999999999</v>
      </c>
    </row>
    <row r="73" spans="1:13">
      <c r="A73" s="60" t="s">
        <v>207</v>
      </c>
      <c r="B73" s="60" t="s">
        <v>208</v>
      </c>
      <c r="C73" s="69" t="str">
        <f>IF(IFERROR(INDEX('2016'!$G$5:$G$72,MATCH(B73,'2016'!$A$5:$A$72,0)),0)=0,"N/A",INDEX('2016'!$G$5:$G$72,MATCH(B73,'2016'!$A$5:$A$72,0)))</f>
        <v>N/A</v>
      </c>
      <c r="D73" s="60">
        <v>22.817</v>
      </c>
      <c r="E73" s="60">
        <v>20.529</v>
      </c>
      <c r="F73" s="60">
        <v>19.696999999999999</v>
      </c>
      <c r="G73" s="60">
        <v>17.600000000000001</v>
      </c>
      <c r="H73" s="60">
        <v>16.972999999999999</v>
      </c>
      <c r="I73" s="60">
        <v>14.711</v>
      </c>
      <c r="J73" s="60">
        <v>13.994999999999999</v>
      </c>
      <c r="K73" s="60">
        <v>14.007999999999999</v>
      </c>
      <c r="L73" s="60">
        <v>17.25</v>
      </c>
      <c r="M73" s="60">
        <v>18.123999999999999</v>
      </c>
    </row>
  </sheetData>
  <sortState ref="A2:M90">
    <sortCondition ref="B2:B90"/>
  </sortState>
  <printOptions headings="1"/>
  <pageMargins left="0.3" right="0.3" top="0.75" bottom="0.75" header="0.3" footer="0.3"/>
  <pageSetup fitToHeight="0" orientation="landscape" r:id="rId1"/>
  <headerFooter>
    <oddHeader>&amp;R&amp;A
&amp;P/&amp;N</oddHeader>
    <oddFooter>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5"/>
  <dimension ref="A1:N73"/>
  <sheetViews>
    <sheetView zoomScale="105" zoomScaleNormal="105" workbookViewId="0">
      <pane xSplit="1" ySplit="3" topLeftCell="B4" activePane="bottomRight" state="frozen"/>
      <selection activeCell="C1" sqref="C1:C1048576"/>
      <selection pane="topRight" activeCell="C1" sqref="C1:C1048576"/>
      <selection pane="bottomLeft" activeCell="C1" sqref="C1:C1048576"/>
      <selection pane="bottomRight"/>
    </sheetView>
  </sheetViews>
  <sheetFormatPr defaultColWidth="8.75" defaultRowHeight="11.25"/>
  <cols>
    <col min="1" max="1" width="18.75" style="60" bestFit="1" customWidth="1"/>
    <col min="2" max="2" width="5.5" style="60" bestFit="1" customWidth="1"/>
    <col min="3" max="3" width="6.75" style="60" bestFit="1" customWidth="1"/>
    <col min="4" max="13" width="7.625" style="60" bestFit="1" customWidth="1"/>
    <col min="14" max="16384" width="8.75" style="60"/>
  </cols>
  <sheetData>
    <row r="1" spans="1:14" ht="45">
      <c r="A1" s="59" t="s">
        <v>218</v>
      </c>
      <c r="B1" s="65">
        <f>COUNTA(B4:B86)</f>
        <v>70</v>
      </c>
      <c r="C1" s="61">
        <f>VALUE(RIGHT(C3,4))</f>
        <v>2016</v>
      </c>
      <c r="D1" s="61">
        <f t="shared" ref="D1:M1" si="0">VALUE(RIGHT(D3,4))</f>
        <v>2015</v>
      </c>
      <c r="E1" s="61">
        <f t="shared" si="0"/>
        <v>2014</v>
      </c>
      <c r="F1" s="61">
        <f t="shared" si="0"/>
        <v>2013</v>
      </c>
      <c r="G1" s="61">
        <f t="shared" si="0"/>
        <v>2012</v>
      </c>
      <c r="H1" s="61">
        <f t="shared" si="0"/>
        <v>2011</v>
      </c>
      <c r="I1" s="61">
        <f t="shared" si="0"/>
        <v>2010</v>
      </c>
      <c r="J1" s="61">
        <f t="shared" si="0"/>
        <v>2009</v>
      </c>
      <c r="K1" s="61">
        <f t="shared" si="0"/>
        <v>2008</v>
      </c>
      <c r="L1" s="61">
        <f t="shared" si="0"/>
        <v>2007</v>
      </c>
      <c r="M1" s="61">
        <f t="shared" si="0"/>
        <v>2006</v>
      </c>
    </row>
    <row r="2" spans="1:14">
      <c r="A2" s="69" t="s">
        <v>316</v>
      </c>
      <c r="B2" s="62"/>
      <c r="C2" s="71">
        <f>'2016'!$A$1</f>
        <v>42907</v>
      </c>
      <c r="D2" s="71">
        <v>42718</v>
      </c>
      <c r="E2" s="71">
        <v>42718</v>
      </c>
      <c r="F2" s="71">
        <v>42718</v>
      </c>
      <c r="G2" s="71">
        <v>42718</v>
      </c>
      <c r="H2" s="71">
        <v>42718</v>
      </c>
      <c r="I2" s="71">
        <v>42718</v>
      </c>
      <c r="J2" s="71">
        <v>42718</v>
      </c>
      <c r="K2" s="71">
        <v>42718</v>
      </c>
      <c r="L2" s="71">
        <v>42718</v>
      </c>
      <c r="M2" s="71">
        <v>42718</v>
      </c>
      <c r="N2" s="60" t="s">
        <v>355</v>
      </c>
    </row>
    <row r="3" spans="1:14">
      <c r="A3" s="60" t="s">
        <v>117</v>
      </c>
      <c r="B3" s="60" t="s">
        <v>99</v>
      </c>
      <c r="C3" s="60" t="s">
        <v>263</v>
      </c>
      <c r="D3" s="60" t="s">
        <v>221</v>
      </c>
      <c r="E3" s="60" t="s">
        <v>222</v>
      </c>
      <c r="F3" s="60" t="s">
        <v>223</v>
      </c>
      <c r="G3" s="60" t="s">
        <v>224</v>
      </c>
      <c r="H3" s="60" t="s">
        <v>225</v>
      </c>
      <c r="I3" s="60" t="s">
        <v>226</v>
      </c>
      <c r="J3" s="60" t="s">
        <v>227</v>
      </c>
      <c r="K3" s="60" t="s">
        <v>228</v>
      </c>
      <c r="L3" s="60" t="s">
        <v>229</v>
      </c>
      <c r="M3" s="60" t="s">
        <v>230</v>
      </c>
    </row>
    <row r="4" spans="1:14">
      <c r="A4" s="60" t="s">
        <v>162</v>
      </c>
      <c r="B4" s="60" t="s">
        <v>163</v>
      </c>
      <c r="C4" s="69">
        <f>IF(IFERROR(INDEX('2016'!$E$5:$E$72,MATCH(B4,'2016'!$A$5:$A$72,0)),0)=0,"N/A",INDEX('2016'!$E$5:$E$72,MATCH(B4,'2016'!$A$5:$A$72,0)))</f>
        <v>5.0510000000000002</v>
      </c>
      <c r="D4" s="60">
        <v>5.3209999999999997</v>
      </c>
      <c r="E4" s="60">
        <v>7.3109999999999999</v>
      </c>
      <c r="F4" s="60">
        <v>10.526</v>
      </c>
      <c r="G4" s="60">
        <v>11.439</v>
      </c>
      <c r="H4" s="60">
        <v>8.8420000000000005</v>
      </c>
      <c r="I4" s="60">
        <v>4.8490000000000002</v>
      </c>
      <c r="J4" s="60">
        <v>3.431</v>
      </c>
      <c r="K4" s="60">
        <v>1.85</v>
      </c>
      <c r="L4" s="60">
        <v>4.8819999999999997</v>
      </c>
      <c r="M4" s="60">
        <v>4.734</v>
      </c>
    </row>
    <row r="5" spans="1:14">
      <c r="A5" s="60" t="s">
        <v>119</v>
      </c>
      <c r="B5" s="60" t="s">
        <v>0</v>
      </c>
      <c r="C5" s="69">
        <f>IF(IFERROR(INDEX('2016'!$E$5:$E$72,MATCH(B5,'2016'!$A$5:$A$72,0)),0)=0,"N/A",INDEX('2016'!$E$5:$E$72,MATCH(B5,'2016'!$A$5:$A$72,0)))</f>
        <v>7.0789999999999997</v>
      </c>
      <c r="D5" s="60">
        <v>6.79</v>
      </c>
      <c r="E5" s="60">
        <v>5.6749999999999998</v>
      </c>
      <c r="F5" s="60">
        <v>5.3449999999999998</v>
      </c>
      <c r="G5" s="60">
        <v>5.008</v>
      </c>
      <c r="H5" s="60">
        <v>4.9119999999999999</v>
      </c>
      <c r="I5" s="60">
        <v>4.3520000000000003</v>
      </c>
      <c r="J5" s="60">
        <v>3.5710000000000002</v>
      </c>
      <c r="K5" s="60">
        <v>4.2329999999999997</v>
      </c>
      <c r="L5" s="60">
        <v>4.4189999999999996</v>
      </c>
      <c r="M5" s="60">
        <v>4.1449999999999996</v>
      </c>
    </row>
    <row r="6" spans="1:14">
      <c r="A6" s="60" t="s">
        <v>120</v>
      </c>
      <c r="B6" s="60" t="s">
        <v>1</v>
      </c>
      <c r="C6" s="69">
        <f>IF(IFERROR(INDEX('2016'!$E$5:$E$72,MATCH(B6,'2016'!$A$5:$A$72,0)),0)=0,"N/A",INDEX('2016'!$E$5:$E$72,MATCH(B6,'2016'!$A$5:$A$72,0)))</f>
        <v>3.45</v>
      </c>
      <c r="D6" s="60">
        <v>3.4460000000000002</v>
      </c>
      <c r="E6" s="60">
        <v>3.4409999999999998</v>
      </c>
      <c r="F6" s="60">
        <v>3.3420000000000001</v>
      </c>
      <c r="G6" s="60">
        <v>2.948</v>
      </c>
      <c r="H6" s="60">
        <v>2.754</v>
      </c>
      <c r="I6" s="60">
        <v>2.6040000000000001</v>
      </c>
      <c r="J6" s="60">
        <v>2.1030000000000002</v>
      </c>
      <c r="K6" s="60">
        <v>2.278</v>
      </c>
      <c r="L6" s="60">
        <v>2.5590000000000002</v>
      </c>
      <c r="M6" s="60">
        <v>2.165</v>
      </c>
    </row>
    <row r="7" spans="1:14">
      <c r="A7" s="60" t="s">
        <v>121</v>
      </c>
      <c r="B7" s="60" t="s">
        <v>2</v>
      </c>
      <c r="C7" s="69">
        <f>IF(IFERROR(INDEX('2016'!$E$5:$E$72,MATCH(B7,'2016'!$A$5:$A$72,0)),0)=0,"N/A",INDEX('2016'!$E$5:$E$72,MATCH(B7,'2016'!$A$5:$A$72,0)))</f>
        <v>8.4689999999999994</v>
      </c>
      <c r="D7" s="60">
        <v>7.9790000000000001</v>
      </c>
      <c r="E7" s="60">
        <v>7.5750000000000002</v>
      </c>
      <c r="F7" s="60">
        <v>7.0179999999999998</v>
      </c>
      <c r="G7" s="60">
        <v>6.92</v>
      </c>
      <c r="H7" s="60">
        <v>6.8259999999999996</v>
      </c>
      <c r="I7" s="60">
        <v>6.2919999999999998</v>
      </c>
      <c r="J7" s="60">
        <v>6.3209999999999997</v>
      </c>
      <c r="K7" s="60">
        <v>6.8360000000000003</v>
      </c>
      <c r="L7" s="60">
        <v>6.798</v>
      </c>
      <c r="M7" s="60">
        <v>6.6680000000000001</v>
      </c>
    </row>
    <row r="8" spans="1:14">
      <c r="A8" s="60" t="s">
        <v>164</v>
      </c>
      <c r="B8" s="60" t="s">
        <v>165</v>
      </c>
      <c r="C8" s="69">
        <f>IF(IFERROR(INDEX('2016'!$E$5:$E$72,MATCH(B8,'2016'!$A$5:$A$72,0)),0)=0,"N/A",INDEX('2016'!$E$5:$E$72,MATCH(B8,'2016'!$A$5:$A$72,0)))</f>
        <v>2.7029999999999998</v>
      </c>
      <c r="D8" s="60">
        <v>2.8090000000000002</v>
      </c>
      <c r="E8" s="60">
        <v>2.6680000000000001</v>
      </c>
      <c r="F8" s="60">
        <v>2.6539999999999999</v>
      </c>
      <c r="G8" s="60">
        <v>2.48</v>
      </c>
      <c r="H8" s="60">
        <v>2.1320000000000001</v>
      </c>
      <c r="I8" s="60">
        <v>2.1150000000000002</v>
      </c>
      <c r="J8" s="60">
        <v>1.702</v>
      </c>
      <c r="K8" s="60">
        <v>1.6859999999999999</v>
      </c>
      <c r="L8" s="60">
        <v>1.653</v>
      </c>
      <c r="M8" s="60">
        <v>1.4470000000000001</v>
      </c>
    </row>
    <row r="9" spans="1:14">
      <c r="A9" s="60" t="s">
        <v>166</v>
      </c>
      <c r="B9" s="60" t="s">
        <v>167</v>
      </c>
      <c r="C9" s="69">
        <f>IF(IFERROR(INDEX('2016'!$E$5:$E$72,MATCH(B9,'2016'!$A$5:$A$72,0)),0)=0,"N/A",INDEX('2016'!$E$5:$E$72,MATCH(B9,'2016'!$A$5:$A$72,0)))</f>
        <v>5.2610000000000001</v>
      </c>
      <c r="D9" s="60">
        <v>5.1319999999999997</v>
      </c>
      <c r="E9" s="60">
        <v>4.7530000000000001</v>
      </c>
      <c r="F9" s="60">
        <v>4.359</v>
      </c>
      <c r="G9" s="60">
        <v>4.2699999999999996</v>
      </c>
      <c r="H9" s="60">
        <v>3.7349999999999999</v>
      </c>
      <c r="I9" s="60">
        <v>3.5569999999999999</v>
      </c>
      <c r="J9" s="60">
        <v>2.887</v>
      </c>
      <c r="K9" s="60">
        <v>2.8650000000000002</v>
      </c>
      <c r="L9" s="60">
        <v>-0.46800000000000003</v>
      </c>
      <c r="M9" s="60">
        <v>0.64600000000000002</v>
      </c>
    </row>
    <row r="10" spans="1:14">
      <c r="A10" s="60" t="s">
        <v>122</v>
      </c>
      <c r="B10" s="60" t="s">
        <v>3</v>
      </c>
      <c r="C10" s="69">
        <f>IF(IFERROR(INDEX('2016'!$E$5:$E$72,MATCH(B10,'2016'!$A$5:$A$72,0)),0)=0,"N/A",INDEX('2016'!$E$5:$E$72,MATCH(B10,'2016'!$A$5:$A$72,0)))</f>
        <v>6.5860000000000003</v>
      </c>
      <c r="D10" s="60">
        <v>6.0789999999999997</v>
      </c>
      <c r="E10" s="60">
        <v>5.77</v>
      </c>
      <c r="F10" s="60">
        <v>5.2469999999999999</v>
      </c>
      <c r="G10" s="60">
        <v>5.8730000000000002</v>
      </c>
      <c r="H10" s="60">
        <v>5.8739999999999997</v>
      </c>
      <c r="I10" s="60">
        <v>6.327</v>
      </c>
      <c r="J10" s="60">
        <v>6.0570000000000004</v>
      </c>
      <c r="K10" s="60">
        <v>6.4390000000000001</v>
      </c>
      <c r="L10" s="60">
        <v>6.7640000000000002</v>
      </c>
      <c r="M10" s="60">
        <v>6.016</v>
      </c>
    </row>
    <row r="11" spans="1:14">
      <c r="A11" s="60" t="s">
        <v>168</v>
      </c>
      <c r="B11" s="60" t="s">
        <v>169</v>
      </c>
      <c r="C11" s="69">
        <f>IF(IFERROR(INDEX('2016'!$E$5:$E$72,MATCH(B11,'2016'!$A$5:$A$72,0)),0)=0,"N/A",INDEX('2016'!$E$5:$E$72,MATCH(B11,'2016'!$A$5:$A$72,0)))</f>
        <v>4.2720000000000002</v>
      </c>
      <c r="D11" s="60">
        <v>4.3719999999999999</v>
      </c>
      <c r="E11" s="60">
        <v>4.9569999999999999</v>
      </c>
      <c r="F11" s="60">
        <v>4.3369999999999997</v>
      </c>
      <c r="G11" s="60">
        <v>2.0350000000000001</v>
      </c>
      <c r="H11" s="60">
        <v>4.5170000000000003</v>
      </c>
      <c r="I11" s="60">
        <v>4.343</v>
      </c>
      <c r="J11" s="60">
        <v>4.8440000000000003</v>
      </c>
      <c r="K11" s="60">
        <v>4.1420000000000003</v>
      </c>
      <c r="L11" s="60">
        <v>4.0620000000000003</v>
      </c>
      <c r="M11" s="60">
        <v>2.8809999999999998</v>
      </c>
    </row>
    <row r="12" spans="1:14">
      <c r="A12" s="60" t="s">
        <v>170</v>
      </c>
      <c r="B12" s="60" t="s">
        <v>171</v>
      </c>
      <c r="C12" s="69">
        <f>IF(IFERROR(INDEX('2016'!$E$5:$E$72,MATCH(B12,'2016'!$A$5:$A$72,0)),0)=0,"N/A",INDEX('2016'!$E$5:$E$72,MATCH(B12,'2016'!$A$5:$A$72,0)))</f>
        <v>2.0699999999999998</v>
      </c>
      <c r="D12" s="60">
        <v>1.8720000000000001</v>
      </c>
      <c r="E12" s="60">
        <v>1.887</v>
      </c>
      <c r="F12" s="60">
        <v>1.8220000000000001</v>
      </c>
      <c r="G12" s="60">
        <v>1.51</v>
      </c>
      <c r="H12" s="60">
        <v>1.448</v>
      </c>
      <c r="I12" s="60">
        <v>1.421</v>
      </c>
      <c r="J12" s="60">
        <v>1.2849999999999999</v>
      </c>
      <c r="K12" s="60">
        <v>1.1359999999999999</v>
      </c>
      <c r="L12" s="60">
        <v>1.0980000000000001</v>
      </c>
      <c r="M12" s="60">
        <v>1.01</v>
      </c>
    </row>
    <row r="13" spans="1:14">
      <c r="A13" s="60" t="s">
        <v>172</v>
      </c>
      <c r="B13" s="60" t="s">
        <v>173</v>
      </c>
      <c r="C13" s="69">
        <f>IF(IFERROR(INDEX('2016'!$E$5:$E$72,MATCH(B13,'2016'!$A$5:$A$72,0)),0)=0,"N/A",INDEX('2016'!$E$5:$E$72,MATCH(B13,'2016'!$A$5:$A$72,0)))</f>
        <v>2.4260000000000002</v>
      </c>
      <c r="D13" s="60">
        <v>2.2240000000000002</v>
      </c>
      <c r="E13" s="60">
        <v>2.04</v>
      </c>
      <c r="F13" s="60">
        <v>1.875</v>
      </c>
      <c r="G13" s="60">
        <v>2.0409999999999999</v>
      </c>
      <c r="H13" s="60">
        <v>1.6439999999999999</v>
      </c>
      <c r="I13" s="60">
        <v>1.915</v>
      </c>
      <c r="J13" s="60">
        <v>1.841</v>
      </c>
      <c r="K13" s="60">
        <v>1.6479999999999999</v>
      </c>
      <c r="L13" s="60">
        <v>1.5649999999999999</v>
      </c>
      <c r="M13" s="60">
        <v>1.7549999999999999</v>
      </c>
    </row>
    <row r="14" spans="1:14">
      <c r="A14" s="60" t="s">
        <v>174</v>
      </c>
      <c r="B14" s="60" t="s">
        <v>175</v>
      </c>
      <c r="C14" s="69">
        <f>IF(IFERROR(INDEX('2016'!$E$5:$E$72,MATCH(B14,'2016'!$A$5:$A$72,0)),0)=0,"N/A",INDEX('2016'!$E$5:$E$72,MATCH(B14,'2016'!$A$5:$A$72,0)))</f>
        <v>6.1890000000000001</v>
      </c>
      <c r="D14" s="60">
        <v>5.8129999999999997</v>
      </c>
      <c r="E14" s="60">
        <v>5.4169999999999998</v>
      </c>
      <c r="F14" s="60">
        <v>5.1390000000000002</v>
      </c>
      <c r="G14" s="60">
        <v>4.7619999999999996</v>
      </c>
      <c r="H14" s="60">
        <v>4.7220000000000004</v>
      </c>
      <c r="I14" s="60">
        <v>4.6379999999999999</v>
      </c>
      <c r="J14" s="60">
        <v>4.2880000000000003</v>
      </c>
      <c r="K14" s="60">
        <v>4.1929999999999996</v>
      </c>
      <c r="L14" s="60">
        <v>4.1349999999999998</v>
      </c>
      <c r="M14" s="60">
        <v>4.2560000000000002</v>
      </c>
    </row>
    <row r="15" spans="1:14">
      <c r="A15" s="60" t="s">
        <v>264</v>
      </c>
      <c r="B15" s="60" t="s">
        <v>261</v>
      </c>
      <c r="C15" s="69">
        <f>IF(IFERROR(INDEX('2016'!$E$5:$E$72,MATCH(B15,'2016'!$A$5:$A$72,0)),0)=0,"N/A",INDEX('2016'!$E$5:$E$72,MATCH(B15,'2016'!$A$5:$A$72,0)))</f>
        <v>4.7380000000000004</v>
      </c>
      <c r="D15" s="60">
        <v>3.1150000000000002</v>
      </c>
      <c r="E15" s="69" t="s">
        <v>106</v>
      </c>
      <c r="F15" s="69" t="s">
        <v>106</v>
      </c>
      <c r="G15" s="69" t="s">
        <v>106</v>
      </c>
      <c r="H15" s="69" t="s">
        <v>106</v>
      </c>
      <c r="I15" s="69" t="s">
        <v>106</v>
      </c>
      <c r="J15" s="69" t="s">
        <v>106</v>
      </c>
      <c r="K15" s="69" t="s">
        <v>106</v>
      </c>
      <c r="L15" s="69" t="s">
        <v>106</v>
      </c>
      <c r="M15" s="69" t="s">
        <v>106</v>
      </c>
    </row>
    <row r="16" spans="1:14">
      <c r="A16" s="60" t="s">
        <v>123</v>
      </c>
      <c r="B16" s="60" t="s">
        <v>4</v>
      </c>
      <c r="C16" s="69">
        <f>IF(IFERROR(INDEX('2016'!$E$5:$E$72,MATCH(B16,'2016'!$A$5:$A$72,0)),0)=0,"N/A",INDEX('2016'!$E$5:$E$72,MATCH(B16,'2016'!$A$5:$A$72,0)))</f>
        <v>5.2949999999999999</v>
      </c>
      <c r="D16" s="60">
        <v>4.923</v>
      </c>
      <c r="E16" s="60">
        <v>4.3559999999999999</v>
      </c>
      <c r="F16" s="60">
        <v>4.3600000000000003</v>
      </c>
      <c r="G16" s="60">
        <v>3.7010000000000001</v>
      </c>
      <c r="H16" s="60">
        <v>3.7810000000000001</v>
      </c>
      <c r="I16" s="60">
        <v>3.6219999999999999</v>
      </c>
      <c r="J16" s="60">
        <v>4.4470000000000001</v>
      </c>
      <c r="K16" s="60">
        <v>3.9780000000000002</v>
      </c>
      <c r="L16" s="60">
        <v>2.931</v>
      </c>
      <c r="M16" s="60">
        <v>4.2709999999999999</v>
      </c>
    </row>
    <row r="17" spans="1:13">
      <c r="A17" s="60" t="s">
        <v>124</v>
      </c>
      <c r="B17" s="60" t="s">
        <v>5</v>
      </c>
      <c r="C17" s="69">
        <f>IF(IFERROR(INDEX('2016'!$E$5:$E$72,MATCH(B17,'2016'!$A$5:$A$72,0)),0)=0,"N/A",INDEX('2016'!$E$5:$E$72,MATCH(B17,'2016'!$A$5:$A$72,0)))</f>
        <v>6.2850000000000001</v>
      </c>
      <c r="D17" s="60">
        <v>5.665</v>
      </c>
      <c r="E17" s="60">
        <v>6.2450000000000001</v>
      </c>
      <c r="F17" s="60">
        <v>5.9290000000000003</v>
      </c>
      <c r="G17" s="60">
        <v>5.59</v>
      </c>
      <c r="H17" s="60">
        <v>4.0060000000000002</v>
      </c>
      <c r="I17" s="60">
        <v>4.8760000000000003</v>
      </c>
      <c r="J17" s="60">
        <v>5.4130000000000003</v>
      </c>
      <c r="K17" s="60">
        <v>2.9529999999999998</v>
      </c>
      <c r="L17" s="60">
        <v>5.2869999999999999</v>
      </c>
      <c r="M17" s="60">
        <v>5.0380000000000003</v>
      </c>
    </row>
    <row r="18" spans="1:13">
      <c r="A18" s="60" t="s">
        <v>176</v>
      </c>
      <c r="B18" s="60" t="s">
        <v>177</v>
      </c>
      <c r="C18" s="69">
        <f>IF(IFERROR(INDEX('2016'!$E$5:$E$72,MATCH(B18,'2016'!$A$5:$A$72,0)),0)=0,"N/A",INDEX('2016'!$E$5:$E$72,MATCH(B18,'2016'!$A$5:$A$72,0)))</f>
        <v>2.3410000000000002</v>
      </c>
      <c r="D18" s="60">
        <v>2.2200000000000002</v>
      </c>
      <c r="E18" s="60">
        <v>2.4670000000000001</v>
      </c>
      <c r="F18" s="60">
        <v>2.2109999999999999</v>
      </c>
      <c r="G18" s="60">
        <v>2.3180000000000001</v>
      </c>
      <c r="H18" s="60">
        <v>2.0680000000000001</v>
      </c>
      <c r="I18" s="60">
        <v>1.9319999999999999</v>
      </c>
      <c r="J18" s="60">
        <v>1.9339999999999999</v>
      </c>
      <c r="K18" s="60">
        <v>1.861</v>
      </c>
      <c r="L18" s="60">
        <v>1.5620000000000001</v>
      </c>
      <c r="M18" s="60">
        <v>1.357</v>
      </c>
    </row>
    <row r="19" spans="1:13">
      <c r="A19" s="60" t="s">
        <v>125</v>
      </c>
      <c r="B19" s="60" t="s">
        <v>6</v>
      </c>
      <c r="C19" s="69">
        <f>IF(IFERROR(INDEX('2016'!$E$5:$E$72,MATCH(B19,'2016'!$A$5:$A$72,0)),0)=0,"N/A",INDEX('2016'!$E$5:$E$72,MATCH(B19,'2016'!$A$5:$A$72,0)))</f>
        <v>3.6779999999999999</v>
      </c>
      <c r="D19" s="60">
        <v>3.4</v>
      </c>
      <c r="E19" s="60">
        <v>3.851</v>
      </c>
      <c r="F19" s="60">
        <v>3.5430000000000001</v>
      </c>
      <c r="G19" s="60">
        <v>3.891</v>
      </c>
      <c r="H19" s="60">
        <v>3.4319999999999999</v>
      </c>
      <c r="I19" s="60">
        <v>3.1389999999999998</v>
      </c>
      <c r="J19" s="60">
        <v>2.9409999999999998</v>
      </c>
      <c r="K19" s="60">
        <v>3.4180000000000001</v>
      </c>
      <c r="L19" s="60">
        <v>3.3929999999999998</v>
      </c>
      <c r="M19" s="60">
        <v>3.4660000000000002</v>
      </c>
    </row>
    <row r="20" spans="1:13">
      <c r="A20" s="60" t="s">
        <v>215</v>
      </c>
      <c r="B20" s="60" t="s">
        <v>178</v>
      </c>
      <c r="C20" s="69">
        <f>IF(IFERROR(INDEX('2016'!$E$5:$E$72,MATCH(B20,'2016'!$A$5:$A$72,0)),0)=0,"N/A",INDEX('2016'!$E$5:$E$72,MATCH(B20,'2016'!$A$5:$A$72,0)))</f>
        <v>5.1630000000000003</v>
      </c>
      <c r="D20" s="60">
        <v>5.0519999999999996</v>
      </c>
      <c r="E20" s="60">
        <v>4.7290000000000001</v>
      </c>
      <c r="F20" s="60">
        <v>4.3490000000000002</v>
      </c>
      <c r="G20" s="60">
        <v>3.9540000000000002</v>
      </c>
      <c r="H20" s="60">
        <v>3.6859999999999999</v>
      </c>
      <c r="I20" s="60">
        <v>3.496</v>
      </c>
      <c r="J20" s="60">
        <v>2.1480000000000001</v>
      </c>
      <c r="K20" s="60">
        <v>2.5</v>
      </c>
      <c r="L20" s="60">
        <v>2.52</v>
      </c>
      <c r="M20" s="60">
        <v>2.1779999999999999</v>
      </c>
    </row>
    <row r="21" spans="1:13">
      <c r="A21" s="60" t="s">
        <v>126</v>
      </c>
      <c r="B21" s="60" t="s">
        <v>9</v>
      </c>
      <c r="C21" s="69">
        <f>IF(IFERROR(INDEX('2016'!$E$5:$E$72,MATCH(B21,'2016'!$A$5:$A$72,0)),0)=0,"N/A",INDEX('2016'!$E$5:$E$72,MATCH(B21,'2016'!$A$5:$A$72,0)))</f>
        <v>4.8780000000000001</v>
      </c>
      <c r="D21" s="60">
        <v>4.593</v>
      </c>
      <c r="E21" s="60">
        <v>4.2220000000000004</v>
      </c>
      <c r="F21" s="60">
        <v>4.0590000000000002</v>
      </c>
      <c r="G21" s="60">
        <v>3.8210000000000002</v>
      </c>
      <c r="H21" s="60">
        <v>3.6520000000000001</v>
      </c>
      <c r="I21" s="60">
        <v>3.702</v>
      </c>
      <c r="J21" s="60">
        <v>3.4670000000000001</v>
      </c>
      <c r="K21" s="60">
        <v>3.8780000000000001</v>
      </c>
      <c r="L21" s="60">
        <v>3.0819999999999999</v>
      </c>
      <c r="M21" s="60">
        <v>3.2229999999999999</v>
      </c>
    </row>
    <row r="22" spans="1:13">
      <c r="A22" s="60" t="s">
        <v>179</v>
      </c>
      <c r="B22" s="60" t="s">
        <v>180</v>
      </c>
      <c r="C22" s="69">
        <f>IF(IFERROR(INDEX('2016'!$E$5:$E$72,MATCH(B22,'2016'!$A$5:$A$72,0)),0)=0,"N/A",INDEX('2016'!$E$5:$E$72,MATCH(B22,'2016'!$A$5:$A$72,0)))</f>
        <v>3.3119999999999998</v>
      </c>
      <c r="D22" s="60">
        <v>3.18</v>
      </c>
      <c r="E22" s="60">
        <v>2.972</v>
      </c>
      <c r="F22" s="60">
        <v>2.629</v>
      </c>
      <c r="G22" s="60">
        <v>2.6429999999999998</v>
      </c>
      <c r="H22" s="60">
        <v>2.105</v>
      </c>
      <c r="I22" s="60">
        <v>2.0390000000000001</v>
      </c>
      <c r="J22" s="60">
        <v>1.9330000000000001</v>
      </c>
      <c r="K22" s="60">
        <v>1.946</v>
      </c>
      <c r="L22" s="60">
        <v>1.899</v>
      </c>
      <c r="M22" s="60">
        <v>1.518</v>
      </c>
    </row>
    <row r="23" spans="1:13">
      <c r="A23" s="60" t="s">
        <v>127</v>
      </c>
      <c r="B23" s="60" t="s">
        <v>10</v>
      </c>
      <c r="C23" s="69">
        <f>IF(IFERROR(INDEX('2016'!$E$5:$E$72,MATCH(B23,'2016'!$A$5:$A$72,0)),0)=0,"N/A",INDEX('2016'!$E$5:$E$72,MATCH(B23,'2016'!$A$5:$A$72,0)))</f>
        <v>7.8849999999999998</v>
      </c>
      <c r="D23" s="60">
        <v>7.9279999999999999</v>
      </c>
      <c r="E23" s="60">
        <v>7.2969999999999997</v>
      </c>
      <c r="F23" s="60">
        <v>7.4470000000000001</v>
      </c>
      <c r="G23" s="60">
        <v>7.1459999999999999</v>
      </c>
      <c r="H23" s="60">
        <v>6.6070000000000002</v>
      </c>
      <c r="I23" s="60">
        <v>6.2450000000000001</v>
      </c>
      <c r="J23" s="60">
        <v>5.8620000000000001</v>
      </c>
      <c r="K23" s="60">
        <v>5.9880000000000004</v>
      </c>
      <c r="L23" s="60">
        <v>5.7720000000000002</v>
      </c>
      <c r="M23" s="60">
        <v>5.2789999999999999</v>
      </c>
    </row>
    <row r="24" spans="1:13">
      <c r="A24" s="60" t="s">
        <v>181</v>
      </c>
      <c r="B24" s="60" t="s">
        <v>182</v>
      </c>
      <c r="C24" s="69">
        <f>IF(IFERROR(INDEX('2016'!$E$5:$E$72,MATCH(B24,'2016'!$A$5:$A$72,0)),0)=0,"N/A",INDEX('2016'!$E$5:$E$72,MATCH(B24,'2016'!$A$5:$A$72,0)))</f>
        <v>0.95399999999999996</v>
      </c>
      <c r="D24" s="60">
        <v>0.89100000000000001</v>
      </c>
      <c r="E24" s="60">
        <v>0.8</v>
      </c>
      <c r="F24" s="60">
        <v>0.95699999999999996</v>
      </c>
      <c r="G24" s="60">
        <v>1.167</v>
      </c>
      <c r="H24" s="60">
        <v>0.83099999999999996</v>
      </c>
      <c r="I24" s="60">
        <v>0.86399999999999999</v>
      </c>
      <c r="J24" s="60">
        <v>1.18</v>
      </c>
      <c r="K24" s="60">
        <v>0.94899999999999995</v>
      </c>
      <c r="L24" s="60">
        <v>1.202</v>
      </c>
      <c r="M24" s="60">
        <v>0.87</v>
      </c>
    </row>
    <row r="25" spans="1:13">
      <c r="A25" s="60" t="s">
        <v>183</v>
      </c>
      <c r="B25" s="60" t="s">
        <v>184</v>
      </c>
      <c r="C25" s="69">
        <f>IF(IFERROR(INDEX('2016'!$E$5:$E$72,MATCH(B25,'2016'!$A$5:$A$72,0)),0)=0,"N/A",INDEX('2016'!$E$5:$E$72,MATCH(B25,'2016'!$A$5:$A$72,0)))</f>
        <v>1.718</v>
      </c>
      <c r="D25" s="60">
        <v>1.8660000000000001</v>
      </c>
      <c r="E25" s="60">
        <v>2.117</v>
      </c>
      <c r="F25" s="60">
        <v>1.9359999999999999</v>
      </c>
      <c r="G25" s="60">
        <v>1.7210000000000001</v>
      </c>
      <c r="H25" s="60">
        <v>1.7110000000000001</v>
      </c>
      <c r="I25" s="60">
        <v>1.514</v>
      </c>
      <c r="J25" s="60">
        <v>1.4430000000000001</v>
      </c>
      <c r="K25" s="60">
        <v>1.7430000000000001</v>
      </c>
      <c r="L25" s="60">
        <v>1.595</v>
      </c>
      <c r="M25" s="60">
        <v>1.47</v>
      </c>
    </row>
    <row r="26" spans="1:13">
      <c r="A26" s="60" t="s">
        <v>128</v>
      </c>
      <c r="B26" s="60" t="s">
        <v>11</v>
      </c>
      <c r="C26" s="69">
        <f>IF(IFERROR(INDEX('2016'!$E$5:$E$72,MATCH(B26,'2016'!$A$5:$A$72,0)),0)=0,"N/A",INDEX('2016'!$E$5:$E$72,MATCH(B26,'2016'!$A$5:$A$72,0)))</f>
        <v>6.327</v>
      </c>
      <c r="D26" s="60">
        <v>5.984</v>
      </c>
      <c r="E26" s="60">
        <v>5.71</v>
      </c>
      <c r="F26" s="60">
        <v>5.4669999999999996</v>
      </c>
      <c r="G26" s="60">
        <v>5.2439999999999998</v>
      </c>
      <c r="H26" s="60">
        <v>5.0449999999999999</v>
      </c>
      <c r="I26" s="60">
        <v>5.1050000000000004</v>
      </c>
      <c r="J26" s="60">
        <v>4.8159999999999998</v>
      </c>
      <c r="K26" s="60">
        <v>5.0670000000000002</v>
      </c>
      <c r="L26" s="60">
        <v>5.0810000000000004</v>
      </c>
      <c r="M26" s="60">
        <v>4.91</v>
      </c>
    </row>
    <row r="27" spans="1:13">
      <c r="A27" s="60" t="s">
        <v>129</v>
      </c>
      <c r="B27" s="60" t="s">
        <v>12</v>
      </c>
      <c r="C27" s="69">
        <f>IF(IFERROR(INDEX('2016'!$E$5:$E$72,MATCH(B27,'2016'!$A$5:$A$72,0)),0)=0,"N/A",INDEX('2016'!$E$5:$E$72,MATCH(B27,'2016'!$A$5:$A$72,0)))</f>
        <v>10.6</v>
      </c>
      <c r="D27" s="60">
        <v>9.4390000000000001</v>
      </c>
      <c r="E27" s="60">
        <v>11.853999999999999</v>
      </c>
      <c r="F27" s="60">
        <v>10.125</v>
      </c>
      <c r="G27" s="60">
        <v>9.7710000000000008</v>
      </c>
      <c r="H27" s="60">
        <v>9.5660000000000007</v>
      </c>
      <c r="I27" s="60">
        <v>9.7799999999999994</v>
      </c>
      <c r="J27" s="60">
        <v>9.3829999999999991</v>
      </c>
      <c r="K27" s="60">
        <v>8.2569999999999997</v>
      </c>
      <c r="L27" s="60">
        <v>8.4849999999999994</v>
      </c>
      <c r="M27" s="60">
        <v>8.1910000000000007</v>
      </c>
    </row>
    <row r="28" spans="1:13">
      <c r="A28" s="60" t="s">
        <v>130</v>
      </c>
      <c r="B28" s="60" t="s">
        <v>13</v>
      </c>
      <c r="C28" s="69">
        <f>IF(IFERROR(INDEX('2016'!$E$5:$E$72,MATCH(B28,'2016'!$A$5:$A$72,0)),0)=0,"N/A",INDEX('2016'!$E$5:$E$72,MATCH(B28,'2016'!$A$5:$A$72,0)))</f>
        <v>9.1999999999999993</v>
      </c>
      <c r="D28" s="60">
        <v>9.4</v>
      </c>
      <c r="E28" s="60">
        <v>9.11</v>
      </c>
      <c r="F28" s="60">
        <v>8.5579999999999998</v>
      </c>
      <c r="G28" s="60">
        <v>6.798</v>
      </c>
      <c r="H28" s="60">
        <v>8.68</v>
      </c>
      <c r="I28" s="60">
        <v>8.4860000000000007</v>
      </c>
      <c r="J28" s="60">
        <v>7.58</v>
      </c>
      <c r="K28" s="60">
        <v>7.343</v>
      </c>
      <c r="L28" s="60">
        <v>8.1069999999999993</v>
      </c>
      <c r="M28" s="60">
        <v>7.8650000000000002</v>
      </c>
    </row>
    <row r="29" spans="1:13">
      <c r="A29" s="60" t="s">
        <v>131</v>
      </c>
      <c r="B29" s="60" t="s">
        <v>14</v>
      </c>
      <c r="C29" s="69">
        <f>IF(IFERROR(INDEX('2016'!$E$5:$E$72,MATCH(B29,'2016'!$A$5:$A$72,0)),0)=0,"N/A",INDEX('2016'!$E$5:$E$72,MATCH(B29,'2016'!$A$5:$A$72,0)))</f>
        <v>10.426</v>
      </c>
      <c r="D29" s="60">
        <v>10.35</v>
      </c>
      <c r="E29" s="60">
        <v>9.9510000000000005</v>
      </c>
      <c r="F29" s="60">
        <v>8.7970000000000006</v>
      </c>
      <c r="G29" s="60">
        <v>9.6280000000000001</v>
      </c>
      <c r="H29" s="60">
        <v>9.0299999999999994</v>
      </c>
      <c r="I29" s="60">
        <v>8.4130000000000003</v>
      </c>
      <c r="J29" s="60">
        <v>7.9649999999999999</v>
      </c>
      <c r="K29" s="60">
        <v>8.0839999999999996</v>
      </c>
      <c r="L29" s="60">
        <v>7.5960000000000001</v>
      </c>
      <c r="M29" s="60">
        <v>7.2530000000000001</v>
      </c>
    </row>
    <row r="30" spans="1:13">
      <c r="A30" s="60" t="s">
        <v>132</v>
      </c>
      <c r="B30" s="60" t="s">
        <v>15</v>
      </c>
      <c r="C30" s="69">
        <f>IF(IFERROR(INDEX('2016'!$E$5:$E$72,MATCH(B30,'2016'!$A$5:$A$72,0)),0)=0,"N/A",INDEX('2016'!$E$5:$E$72,MATCH(B30,'2016'!$A$5:$A$72,0)))</f>
        <v>5.976</v>
      </c>
      <c r="D30" s="60">
        <v>5.75</v>
      </c>
      <c r="E30" s="60">
        <v>5.8730000000000002</v>
      </c>
      <c r="F30" s="60">
        <v>5.6449999999999996</v>
      </c>
      <c r="G30" s="60">
        <v>5.6609999999999996</v>
      </c>
      <c r="H30" s="60">
        <v>6.05</v>
      </c>
      <c r="I30" s="60">
        <v>5.1529999999999996</v>
      </c>
      <c r="J30" s="60">
        <v>4.0670000000000002</v>
      </c>
      <c r="K30" s="60">
        <v>4.1589999999999998</v>
      </c>
      <c r="L30" s="60">
        <v>3.8650000000000002</v>
      </c>
      <c r="M30" s="60">
        <v>3.4390000000000001</v>
      </c>
    </row>
    <row r="31" spans="1:13">
      <c r="A31" s="60" t="s">
        <v>133</v>
      </c>
      <c r="B31" s="60" t="s">
        <v>16</v>
      </c>
      <c r="C31" s="69" t="str">
        <f>IF(IFERROR(INDEX('2016'!$E$5:$E$72,MATCH(B31,'2016'!$A$5:$A$72,0)),0)=0,"N/A",INDEX('2016'!$E$5:$E$72,MATCH(B31,'2016'!$A$5:$A$72,0)))</f>
        <v>N/A</v>
      </c>
      <c r="D31" s="60">
        <v>3.3180000000000001</v>
      </c>
      <c r="E31" s="60">
        <v>3.4470000000000001</v>
      </c>
      <c r="F31" s="60">
        <v>3.14</v>
      </c>
      <c r="G31" s="60">
        <v>2.9860000000000002</v>
      </c>
      <c r="H31" s="60">
        <v>3.2090000000000001</v>
      </c>
      <c r="I31" s="60">
        <v>2.8490000000000002</v>
      </c>
      <c r="J31" s="60">
        <v>2.7170000000000001</v>
      </c>
      <c r="K31" s="60">
        <v>2.907</v>
      </c>
      <c r="L31" s="60">
        <v>2.6930000000000001</v>
      </c>
      <c r="M31" s="60">
        <v>2.7480000000000002</v>
      </c>
    </row>
    <row r="32" spans="1:13">
      <c r="A32" s="60" t="s">
        <v>134</v>
      </c>
      <c r="B32" s="60" t="s">
        <v>17</v>
      </c>
      <c r="C32" s="69">
        <f>IF(IFERROR(INDEX('2016'!$E$5:$E$72,MATCH(B32,'2016'!$A$5:$A$72,0)),0)=0,"N/A",INDEX('2016'!$E$5:$E$72,MATCH(B32,'2016'!$A$5:$A$72,0)))</f>
        <v>18.724</v>
      </c>
      <c r="D32" s="60">
        <v>17.706</v>
      </c>
      <c r="E32" s="60">
        <v>17.675999999999998</v>
      </c>
      <c r="F32" s="60">
        <v>16.245999999999999</v>
      </c>
      <c r="G32" s="60">
        <v>15.978999999999999</v>
      </c>
      <c r="H32" s="60">
        <v>17.532</v>
      </c>
      <c r="I32" s="60">
        <v>16.535</v>
      </c>
      <c r="J32" s="60">
        <v>13.288</v>
      </c>
      <c r="K32" s="60">
        <v>12.89</v>
      </c>
      <c r="L32" s="60">
        <v>11.731999999999999</v>
      </c>
      <c r="M32" s="60">
        <v>10.693</v>
      </c>
    </row>
    <row r="33" spans="1:13">
      <c r="A33" s="60" t="s">
        <v>210</v>
      </c>
      <c r="B33" s="60" t="s">
        <v>211</v>
      </c>
      <c r="C33" s="69">
        <f>IF(IFERROR(INDEX('2016'!$E$5:$E$72,MATCH(B33,'2016'!$A$5:$A$72,0)),0)=0,"N/A",INDEX('2016'!$E$5:$E$72,MATCH(B33,'2016'!$A$5:$A$72,0)))</f>
        <v>5.4580000000000002</v>
      </c>
      <c r="D33" s="60">
        <v>4.9390000000000001</v>
      </c>
      <c r="E33" s="60">
        <v>4.5579999999999998</v>
      </c>
      <c r="F33" s="60">
        <v>5.22</v>
      </c>
      <c r="G33" s="60">
        <v>4.0339999999999998</v>
      </c>
      <c r="H33" s="60">
        <v>4.8760000000000003</v>
      </c>
      <c r="I33" s="60">
        <v>5.6760000000000002</v>
      </c>
      <c r="J33" s="60">
        <v>4.9589999999999996</v>
      </c>
      <c r="K33" s="60">
        <v>6.1630000000000003</v>
      </c>
      <c r="L33" s="60">
        <v>4.82</v>
      </c>
      <c r="M33" s="60">
        <v>3.6890000000000001</v>
      </c>
    </row>
    <row r="34" spans="1:13">
      <c r="A34" s="60" t="s">
        <v>135</v>
      </c>
      <c r="B34" s="60" t="s">
        <v>18</v>
      </c>
      <c r="C34" s="69">
        <f>IF(IFERROR(INDEX('2016'!$E$5:$E$72,MATCH(B34,'2016'!$A$5:$A$72,0)),0)=0,"N/A",INDEX('2016'!$E$5:$E$72,MATCH(B34,'2016'!$A$5:$A$72,0)))</f>
        <v>7.0049999999999999</v>
      </c>
      <c r="D34" s="60">
        <v>6.8010000000000002</v>
      </c>
      <c r="E34" s="60">
        <v>6.6070000000000002</v>
      </c>
      <c r="F34" s="60">
        <v>6.7249999999999996</v>
      </c>
      <c r="G34" s="60">
        <v>6.6059999999999999</v>
      </c>
      <c r="H34" s="60">
        <v>7.234</v>
      </c>
      <c r="I34" s="60">
        <v>8.3190000000000008</v>
      </c>
      <c r="J34" s="60">
        <v>8.2469999999999999</v>
      </c>
      <c r="K34" s="60">
        <v>7.6349999999999998</v>
      </c>
      <c r="L34" s="60">
        <v>7.4279999999999999</v>
      </c>
      <c r="M34" s="60">
        <v>6.7149999999999999</v>
      </c>
    </row>
    <row r="35" spans="1:13">
      <c r="A35" s="60" t="s">
        <v>136</v>
      </c>
      <c r="B35" s="60" t="s">
        <v>19</v>
      </c>
      <c r="C35" s="69">
        <f>IF(IFERROR(INDEX('2016'!$E$5:$E$72,MATCH(B35,'2016'!$A$5:$A$72,0)),0)=0,"N/A",INDEX('2016'!$E$5:$E$72,MATCH(B35,'2016'!$A$5:$A$72,0)))</f>
        <v>6.5309999999999997</v>
      </c>
      <c r="D35" s="60">
        <v>6.327</v>
      </c>
      <c r="E35" s="60">
        <v>4.55</v>
      </c>
      <c r="F35" s="60">
        <v>6.3019999999999996</v>
      </c>
      <c r="G35" s="60">
        <v>6.0540000000000003</v>
      </c>
      <c r="H35" s="60">
        <v>5.7460000000000004</v>
      </c>
      <c r="I35" s="60">
        <v>8.5030000000000001</v>
      </c>
      <c r="J35" s="60">
        <v>8.798</v>
      </c>
      <c r="K35" s="60">
        <v>9.0410000000000004</v>
      </c>
      <c r="L35" s="60">
        <v>8.3420000000000005</v>
      </c>
      <c r="M35" s="60">
        <v>7.2210000000000001</v>
      </c>
    </row>
    <row r="36" spans="1:13">
      <c r="A36" s="60" t="s">
        <v>266</v>
      </c>
      <c r="B36" s="60" t="s">
        <v>267</v>
      </c>
      <c r="C36" s="69">
        <f>IF(IFERROR(INDEX('2016'!$E$5:$E$72,MATCH(B36,'2016'!$A$5:$A$72,0)),0)=0,"N/A",INDEX('2016'!$E$5:$E$72,MATCH(B36,'2016'!$A$5:$A$72,0)))</f>
        <v>3.9049999999999998</v>
      </c>
      <c r="D36" s="60">
        <v>5.2140000000000004</v>
      </c>
      <c r="E36" s="60">
        <v>3.6230000000000002</v>
      </c>
      <c r="F36" s="60">
        <v>4.1050000000000004</v>
      </c>
      <c r="G36" s="60">
        <v>4.1029999999999998</v>
      </c>
      <c r="H36" s="60">
        <v>3.903</v>
      </c>
      <c r="I36" s="60">
        <v>3.9849999999999999</v>
      </c>
      <c r="J36" s="60">
        <v>3.6549999999999998</v>
      </c>
      <c r="K36" s="60">
        <v>3.5049999999999999</v>
      </c>
      <c r="L36" s="60">
        <v>2.9630000000000001</v>
      </c>
      <c r="M36" s="60">
        <v>3.0449999999999999</v>
      </c>
    </row>
    <row r="37" spans="1:13">
      <c r="A37" s="60" t="s">
        <v>185</v>
      </c>
      <c r="B37" s="60" t="s">
        <v>186</v>
      </c>
      <c r="C37" s="69">
        <f>IF(IFERROR(INDEX('2016'!$E$5:$E$72,MATCH(B37,'2016'!$A$5:$A$72,0)),0)=0,"N/A",INDEX('2016'!$E$5:$E$72,MATCH(B37,'2016'!$A$5:$A$72,0)))</f>
        <v>0.81399999999999995</v>
      </c>
      <c r="D37" s="60">
        <v>0.86299999999999999</v>
      </c>
      <c r="E37" s="60">
        <v>0.88800000000000001</v>
      </c>
      <c r="F37" s="60">
        <v>1.2769999999999999</v>
      </c>
      <c r="G37" s="60">
        <v>1.1000000000000001</v>
      </c>
      <c r="H37" s="60">
        <v>1.224</v>
      </c>
      <c r="I37" s="60">
        <v>1.2170000000000001</v>
      </c>
      <c r="J37" s="60">
        <v>2.0710000000000002</v>
      </c>
      <c r="K37" s="60">
        <v>1.19</v>
      </c>
      <c r="L37" s="60">
        <v>0.92100000000000004</v>
      </c>
      <c r="M37" s="60">
        <v>1.0229999999999999</v>
      </c>
    </row>
    <row r="38" spans="1:13">
      <c r="A38" s="60" t="s">
        <v>137</v>
      </c>
      <c r="B38" s="60" t="s">
        <v>20</v>
      </c>
      <c r="C38" s="69">
        <f>IF(IFERROR(INDEX('2016'!$E$5:$E$72,MATCH(B38,'2016'!$A$5:$A$72,0)),0)=0,"N/A",INDEX('2016'!$E$5:$E$72,MATCH(B38,'2016'!$A$5:$A$72,0)))</f>
        <v>3.355</v>
      </c>
      <c r="D38" s="60">
        <v>3.9820000000000002</v>
      </c>
      <c r="E38" s="60">
        <v>4.0090000000000003</v>
      </c>
      <c r="F38" s="60">
        <v>4.0090000000000003</v>
      </c>
      <c r="G38" s="60">
        <v>3.4449999999999998</v>
      </c>
      <c r="H38" s="60">
        <v>3.51</v>
      </c>
      <c r="I38" s="60">
        <v>4.12</v>
      </c>
      <c r="J38" s="60">
        <v>3.2650000000000001</v>
      </c>
      <c r="K38" s="60">
        <v>3.093</v>
      </c>
      <c r="L38" s="60">
        <v>4.24</v>
      </c>
      <c r="M38" s="60">
        <v>3.86</v>
      </c>
    </row>
    <row r="39" spans="1:13">
      <c r="A39" s="60" t="s">
        <v>138</v>
      </c>
      <c r="B39" s="60" t="s">
        <v>21</v>
      </c>
      <c r="C39" s="69">
        <f>IF(IFERROR(INDEX('2016'!$E$5:$E$72,MATCH(B39,'2016'!$A$5:$A$72,0)),0)=0,"N/A",INDEX('2016'!$E$5:$E$72,MATCH(B39,'2016'!$A$5:$A$72,0)))</f>
        <v>4.1719999999999997</v>
      </c>
      <c r="D39" s="60">
        <v>3.3079999999999998</v>
      </c>
      <c r="E39" s="60">
        <v>3.4079999999999999</v>
      </c>
      <c r="F39" s="60">
        <v>3.222</v>
      </c>
      <c r="G39" s="60">
        <v>3.282</v>
      </c>
      <c r="H39" s="60">
        <v>3.1829999999999998</v>
      </c>
      <c r="I39" s="60">
        <v>2.88</v>
      </c>
      <c r="J39" s="60">
        <v>2.5910000000000002</v>
      </c>
      <c r="K39" s="60">
        <v>2.722</v>
      </c>
      <c r="L39" s="60">
        <v>3.0139999999999998</v>
      </c>
      <c r="M39" s="60">
        <v>3.1909999999999998</v>
      </c>
    </row>
    <row r="40" spans="1:13">
      <c r="A40" s="60" t="s">
        <v>216</v>
      </c>
      <c r="B40" s="60" t="s">
        <v>22</v>
      </c>
      <c r="C40" s="69">
        <f>IF(IFERROR(INDEX('2016'!$E$5:$E$72,MATCH(B40,'2016'!$A$5:$A$72,0)),0)=0,"N/A",INDEX('2016'!$E$5:$E$72,MATCH(B40,'2016'!$A$5:$A$72,0)))</f>
        <v>6.8570000000000002</v>
      </c>
      <c r="D40" s="60">
        <v>6.7</v>
      </c>
      <c r="E40" s="60">
        <v>6.5759999999999996</v>
      </c>
      <c r="F40" s="60">
        <v>6.2949999999999999</v>
      </c>
      <c r="G40" s="60">
        <v>5.9320000000000004</v>
      </c>
      <c r="H40" s="60">
        <v>5.8360000000000003</v>
      </c>
      <c r="I40" s="60">
        <v>5.35</v>
      </c>
      <c r="J40" s="60">
        <v>5.0730000000000004</v>
      </c>
      <c r="K40" s="60">
        <v>4.2729999999999997</v>
      </c>
      <c r="L40" s="60">
        <v>4.1130000000000004</v>
      </c>
      <c r="M40" s="60">
        <v>4.5819999999999999</v>
      </c>
    </row>
    <row r="41" spans="1:13">
      <c r="A41" s="60" t="s">
        <v>139</v>
      </c>
      <c r="B41" s="60" t="s">
        <v>25</v>
      </c>
      <c r="C41" s="69">
        <f>IF(IFERROR(INDEX('2016'!$E$5:$E$72,MATCH(B41,'2016'!$A$5:$A$72,0)),0)=0,"N/A",INDEX('2016'!$E$5:$E$72,MATCH(B41,'2016'!$A$5:$A$72,0)))</f>
        <v>3.4670000000000001</v>
      </c>
      <c r="D41" s="60">
        <v>3.3340000000000001</v>
      </c>
      <c r="E41" s="60">
        <v>3.4910000000000001</v>
      </c>
      <c r="F41" s="60">
        <v>3.2810000000000001</v>
      </c>
      <c r="G41" s="60">
        <v>2.9750000000000001</v>
      </c>
      <c r="H41" s="60">
        <v>2.9380000000000002</v>
      </c>
      <c r="I41" s="60">
        <v>2.7589999999999999</v>
      </c>
      <c r="J41" s="60">
        <v>2.6560000000000001</v>
      </c>
      <c r="K41" s="60">
        <v>2.6789999999999998</v>
      </c>
      <c r="L41" s="60">
        <v>2.4609999999999999</v>
      </c>
      <c r="M41" s="60">
        <v>2.3439999999999999</v>
      </c>
    </row>
    <row r="42" spans="1:13">
      <c r="A42" s="60" t="s">
        <v>187</v>
      </c>
      <c r="B42" s="60" t="s">
        <v>188</v>
      </c>
      <c r="C42" s="69">
        <f>IF(IFERROR(INDEX('2016'!$E$5:$E$72,MATCH(B42,'2016'!$A$5:$A$72,0)),0)=0,"N/A",INDEX('2016'!$E$5:$E$72,MATCH(B42,'2016'!$A$5:$A$72,0)))</f>
        <v>2.1720000000000002</v>
      </c>
      <c r="D42" s="60">
        <v>1.968</v>
      </c>
      <c r="E42" s="60">
        <v>1.8440000000000001</v>
      </c>
      <c r="F42" s="60">
        <v>1.718</v>
      </c>
      <c r="G42" s="60">
        <v>1.5549999999999999</v>
      </c>
      <c r="H42" s="60">
        <v>1.464</v>
      </c>
      <c r="I42" s="60">
        <v>1.5469999999999999</v>
      </c>
      <c r="J42" s="60">
        <v>1.4039999999999999</v>
      </c>
      <c r="K42" s="60">
        <v>1.5309999999999999</v>
      </c>
      <c r="L42" s="60">
        <v>1.4930000000000001</v>
      </c>
      <c r="M42" s="60">
        <v>1.333</v>
      </c>
    </row>
    <row r="43" spans="1:13">
      <c r="A43" s="60" t="s">
        <v>189</v>
      </c>
      <c r="B43" s="60" t="s">
        <v>190</v>
      </c>
      <c r="C43" s="69">
        <f>IF(IFERROR(INDEX('2016'!$E$5:$E$72,MATCH(B43,'2016'!$A$5:$A$72,0)),0)=0,"N/A",INDEX('2016'!$E$5:$E$72,MATCH(B43,'2016'!$A$5:$A$72,0)))</f>
        <v>2.4550000000000001</v>
      </c>
      <c r="D43" s="60">
        <v>2.5249999999999999</v>
      </c>
      <c r="E43" s="60">
        <v>2.7269999999999999</v>
      </c>
      <c r="F43" s="60">
        <v>1.9330000000000001</v>
      </c>
      <c r="G43" s="60">
        <v>1.855</v>
      </c>
      <c r="H43" s="60">
        <v>1.7</v>
      </c>
      <c r="I43" s="60">
        <v>1.6279999999999999</v>
      </c>
      <c r="J43" s="60">
        <v>1.579</v>
      </c>
      <c r="K43" s="60">
        <v>1.8109999999999999</v>
      </c>
      <c r="L43" s="60">
        <v>1.22</v>
      </c>
      <c r="M43" s="60">
        <v>1.367</v>
      </c>
    </row>
    <row r="44" spans="1:13">
      <c r="A44" s="60" t="s">
        <v>140</v>
      </c>
      <c r="B44" s="60" t="s">
        <v>141</v>
      </c>
      <c r="C44" s="69">
        <f>IF(IFERROR(INDEX('2016'!$E$5:$E$72,MATCH(B44,'2016'!$A$5:$A$72,0)),0)=0,"N/A",INDEX('2016'!$E$5:$E$72,MATCH(B44,'2016'!$A$5:$A$72,0)))</f>
        <v>12.97</v>
      </c>
      <c r="D44" s="60">
        <v>12.917999999999999</v>
      </c>
      <c r="E44" s="60">
        <v>12.102</v>
      </c>
      <c r="F44" s="60">
        <v>10.536</v>
      </c>
      <c r="G44" s="60">
        <v>8.6859999999999999</v>
      </c>
      <c r="H44" s="60">
        <v>9.2910000000000004</v>
      </c>
      <c r="I44" s="60">
        <v>9.6210000000000004</v>
      </c>
      <c r="J44" s="60">
        <v>8.75</v>
      </c>
      <c r="K44" s="60">
        <v>8.0259999999999998</v>
      </c>
      <c r="L44" s="60">
        <v>6.8520000000000003</v>
      </c>
      <c r="M44" s="60">
        <v>6.7690000000000001</v>
      </c>
    </row>
    <row r="45" spans="1:13">
      <c r="A45" s="60" t="s">
        <v>142</v>
      </c>
      <c r="B45" s="60" t="s">
        <v>26</v>
      </c>
      <c r="C45" s="69">
        <f>IF(IFERROR(INDEX('2016'!$E$5:$E$72,MATCH(B45,'2016'!$A$5:$A$72,0)),0)=0,"N/A",INDEX('2016'!$E$5:$E$72,MATCH(B45,'2016'!$A$5:$A$72,0)))</f>
        <v>2.7080000000000002</v>
      </c>
      <c r="D45" s="60">
        <v>2.266</v>
      </c>
      <c r="E45" s="60">
        <v>3.5950000000000002</v>
      </c>
      <c r="F45" s="60">
        <v>3.4049999999999998</v>
      </c>
      <c r="G45" s="60">
        <v>3.1339999999999999</v>
      </c>
      <c r="H45" s="60">
        <v>2.984</v>
      </c>
      <c r="I45" s="60">
        <v>3.19</v>
      </c>
      <c r="J45" s="60">
        <v>2.9630000000000001</v>
      </c>
      <c r="K45" s="60">
        <v>3.3180000000000001</v>
      </c>
      <c r="L45" s="60">
        <v>3.2040000000000002</v>
      </c>
      <c r="M45" s="60">
        <v>3.181</v>
      </c>
    </row>
    <row r="46" spans="1:13">
      <c r="A46" s="60" t="s">
        <v>191</v>
      </c>
      <c r="B46" s="60" t="s">
        <v>192</v>
      </c>
      <c r="C46" s="69">
        <f>IF(IFERROR(INDEX('2016'!$E$5:$E$72,MATCH(B46,'2016'!$A$5:$A$72,0)),0)=0,"N/A",INDEX('2016'!$E$5:$E$72,MATCH(B46,'2016'!$A$5:$A$72,0)))</f>
        <v>4.931</v>
      </c>
      <c r="D46" s="60">
        <v>4.9089999999999998</v>
      </c>
      <c r="E46" s="60">
        <v>5.0540000000000003</v>
      </c>
      <c r="F46" s="60">
        <v>5.0389999999999997</v>
      </c>
      <c r="G46" s="60">
        <v>4.9359999999999999</v>
      </c>
      <c r="H46" s="60">
        <v>5.0049999999999999</v>
      </c>
      <c r="I46" s="60">
        <v>5.1849999999999996</v>
      </c>
      <c r="J46" s="60">
        <v>5.1989999999999998</v>
      </c>
      <c r="K46" s="60">
        <v>5.3070000000000004</v>
      </c>
      <c r="L46" s="60">
        <v>5.4089999999999998</v>
      </c>
      <c r="M46" s="60">
        <v>4.76</v>
      </c>
    </row>
    <row r="47" spans="1:13">
      <c r="A47" s="60" t="s">
        <v>143</v>
      </c>
      <c r="B47" s="60" t="s">
        <v>144</v>
      </c>
      <c r="C47" s="69">
        <f>IF(IFERROR(INDEX('2016'!$E$5:$E$72,MATCH(B47,'2016'!$A$5:$A$72,0)),0)=0,"N/A",INDEX('2016'!$E$5:$E$72,MATCH(B47,'2016'!$A$5:$A$72,0)))</f>
        <v>6.7370000000000001</v>
      </c>
      <c r="D47" s="60">
        <v>5.9240000000000004</v>
      </c>
      <c r="E47" s="60">
        <v>5.3879999999999999</v>
      </c>
      <c r="F47" s="60">
        <v>5.452</v>
      </c>
      <c r="G47" s="60">
        <v>5.1820000000000004</v>
      </c>
      <c r="H47" s="60">
        <v>5.4210000000000003</v>
      </c>
      <c r="I47" s="60">
        <v>4.7640000000000002</v>
      </c>
      <c r="J47" s="60">
        <v>4.6180000000000003</v>
      </c>
      <c r="K47" s="60">
        <v>4.4029999999999996</v>
      </c>
      <c r="L47" s="60">
        <v>3.7040000000000002</v>
      </c>
      <c r="M47" s="60">
        <v>3.6190000000000002</v>
      </c>
    </row>
    <row r="48" spans="1:13">
      <c r="A48" s="60" t="s">
        <v>145</v>
      </c>
      <c r="B48" s="60" t="s">
        <v>27</v>
      </c>
      <c r="C48" s="69">
        <f>IF(IFERROR(INDEX('2016'!$E$5:$E$72,MATCH(B48,'2016'!$A$5:$A$72,0)),0)=0,"N/A",INDEX('2016'!$E$5:$E$72,MATCH(B48,'2016'!$A$5:$A$72,0)))</f>
        <v>3.3090000000000002</v>
      </c>
      <c r="D48" s="60">
        <v>3.2320000000000002</v>
      </c>
      <c r="E48" s="60">
        <v>3.3959999999999999</v>
      </c>
      <c r="F48" s="60">
        <v>3.4569999999999999</v>
      </c>
      <c r="G48" s="60">
        <v>3.6930000000000001</v>
      </c>
      <c r="H48" s="60">
        <v>3.3130000000000002</v>
      </c>
      <c r="I48" s="60">
        <v>3.0110000000000001</v>
      </c>
      <c r="J48" s="60">
        <v>2.6850000000000001</v>
      </c>
      <c r="K48" s="60">
        <v>2.4009999999999998</v>
      </c>
      <c r="L48" s="60">
        <v>2.3940000000000001</v>
      </c>
      <c r="M48" s="60">
        <v>2.234</v>
      </c>
    </row>
    <row r="49" spans="1:13">
      <c r="A49" s="60" t="s">
        <v>356</v>
      </c>
      <c r="B49" s="60" t="s">
        <v>353</v>
      </c>
      <c r="C49" s="69">
        <v>5.431</v>
      </c>
      <c r="D49" s="60">
        <v>4.8230000000000004</v>
      </c>
      <c r="E49" s="60">
        <v>4.5220000000000002</v>
      </c>
    </row>
    <row r="50" spans="1:13">
      <c r="A50" s="60" t="s">
        <v>146</v>
      </c>
      <c r="B50" s="60" t="s">
        <v>28</v>
      </c>
      <c r="C50" s="69">
        <f>IF(IFERROR(INDEX('2016'!$E$5:$E$72,MATCH(B50,'2016'!$A$5:$A$72,0)),0)=0,"N/A",INDEX('2016'!$E$5:$E$72,MATCH(B50,'2016'!$A$5:$A$72,0)))</f>
        <v>3.4430000000000001</v>
      </c>
      <c r="D50" s="60">
        <v>3.1419999999999999</v>
      </c>
      <c r="E50" s="60">
        <v>3.089</v>
      </c>
      <c r="F50" s="60">
        <v>3.02</v>
      </c>
      <c r="G50" s="60">
        <v>2.7090000000000001</v>
      </c>
      <c r="H50" s="60">
        <v>2.3639999999999999</v>
      </c>
      <c r="I50" s="60">
        <v>2.5960000000000001</v>
      </c>
      <c r="J50" s="60">
        <v>2.762</v>
      </c>
      <c r="K50" s="60">
        <v>2.8109999999999999</v>
      </c>
      <c r="L50" s="60">
        <v>3.5529999999999999</v>
      </c>
      <c r="M50" s="60">
        <v>3.387</v>
      </c>
    </row>
    <row r="51" spans="1:13">
      <c r="A51" s="60" t="s">
        <v>147</v>
      </c>
      <c r="B51" s="60" t="s">
        <v>30</v>
      </c>
      <c r="C51" s="69">
        <f>IF(IFERROR(INDEX('2016'!$E$5:$E$72,MATCH(B51,'2016'!$A$5:$A$72,0)),0)=0,"N/A",INDEX('2016'!$E$5:$E$72,MATCH(B51,'2016'!$A$5:$A$72,0)))</f>
        <v>8.2309999999999999</v>
      </c>
      <c r="D51" s="60">
        <v>7.2880000000000003</v>
      </c>
      <c r="E51" s="60">
        <v>8.1300000000000008</v>
      </c>
      <c r="F51" s="60">
        <v>6.3310000000000004</v>
      </c>
      <c r="G51" s="60">
        <v>7.3159999999999998</v>
      </c>
      <c r="H51" s="60">
        <v>8.0850000000000009</v>
      </c>
      <c r="I51" s="60">
        <v>8.2230000000000008</v>
      </c>
      <c r="J51" s="60">
        <v>8.3670000000000009</v>
      </c>
      <c r="K51" s="60">
        <v>8.4390000000000001</v>
      </c>
      <c r="L51" s="60">
        <v>8.02</v>
      </c>
      <c r="M51" s="60">
        <v>7.7560000000000002</v>
      </c>
    </row>
    <row r="52" spans="1:13">
      <c r="A52" s="60" t="s">
        <v>148</v>
      </c>
      <c r="B52" s="60" t="s">
        <v>31</v>
      </c>
      <c r="C52" s="69">
        <f>IF(IFERROR(INDEX('2016'!$E$5:$E$72,MATCH(B52,'2016'!$A$5:$A$72,0)),0)=0,"N/A",INDEX('2016'!$E$5:$E$72,MATCH(B52,'2016'!$A$5:$A$72,0)))</f>
        <v>9.3879999999999999</v>
      </c>
      <c r="D52" s="60">
        <v>9.0909999999999993</v>
      </c>
      <c r="E52" s="60">
        <v>8.0860000000000003</v>
      </c>
      <c r="F52" s="60">
        <v>8.1539999999999999</v>
      </c>
      <c r="G52" s="60">
        <v>7.915</v>
      </c>
      <c r="H52" s="60">
        <v>7.524</v>
      </c>
      <c r="I52" s="60">
        <v>6.8490000000000002</v>
      </c>
      <c r="J52" s="60">
        <v>8.0779999999999994</v>
      </c>
      <c r="K52" s="60">
        <v>8.1340000000000003</v>
      </c>
      <c r="L52" s="60">
        <v>9.2929999999999993</v>
      </c>
      <c r="M52" s="60">
        <v>9.6959999999999997</v>
      </c>
    </row>
    <row r="53" spans="1:13">
      <c r="A53" s="60" t="s">
        <v>149</v>
      </c>
      <c r="B53" s="60" t="s">
        <v>32</v>
      </c>
      <c r="C53" s="69">
        <f>IF(IFERROR(INDEX('2016'!$E$5:$E$72,MATCH(B53,'2016'!$A$5:$A$72,0)),0)=0,"N/A",INDEX('2016'!$E$5:$E$72,MATCH(B53,'2016'!$A$5:$A$72,0)))</f>
        <v>4.2809999999999997</v>
      </c>
      <c r="D53" s="60">
        <v>3.9780000000000002</v>
      </c>
      <c r="E53" s="60">
        <v>3.62</v>
      </c>
      <c r="F53" s="60">
        <v>3.5129999999999999</v>
      </c>
      <c r="G53" s="60">
        <v>3.38</v>
      </c>
      <c r="H53" s="60">
        <v>3.1779999999999999</v>
      </c>
      <c r="I53" s="60">
        <v>2.6669999999999998</v>
      </c>
      <c r="J53" s="60">
        <v>2.3180000000000001</v>
      </c>
      <c r="K53" s="60">
        <v>1.756</v>
      </c>
      <c r="L53" s="60">
        <v>2.5390000000000001</v>
      </c>
      <c r="M53" s="60">
        <v>3.573</v>
      </c>
    </row>
    <row r="54" spans="1:13">
      <c r="A54" s="60" t="s">
        <v>150</v>
      </c>
      <c r="B54" s="60" t="s">
        <v>33</v>
      </c>
      <c r="C54" s="69">
        <f>IF(IFERROR(INDEX('2016'!$E$5:$E$72,MATCH(B54,'2016'!$A$5:$A$72,0)),0)=0,"N/A",INDEX('2016'!$E$5:$E$72,MATCH(B54,'2016'!$A$5:$A$72,0)))</f>
        <v>5.7789999999999999</v>
      </c>
      <c r="D54" s="60">
        <v>5.3719999999999999</v>
      </c>
      <c r="E54" s="60">
        <v>6.085</v>
      </c>
      <c r="F54" s="60">
        <v>4.93</v>
      </c>
      <c r="G54" s="60">
        <v>5.1479999999999997</v>
      </c>
      <c r="H54" s="60">
        <v>4.9630000000000001</v>
      </c>
      <c r="I54" s="60">
        <v>4.82</v>
      </c>
      <c r="J54" s="60">
        <v>4.069</v>
      </c>
      <c r="K54" s="60">
        <v>4.7140000000000004</v>
      </c>
      <c r="L54" s="60">
        <v>5.2140000000000004</v>
      </c>
      <c r="M54" s="60">
        <v>4.6399999999999997</v>
      </c>
    </row>
    <row r="55" spans="1:13">
      <c r="A55" s="60" t="s">
        <v>151</v>
      </c>
      <c r="B55" s="60" t="s">
        <v>34</v>
      </c>
      <c r="C55" s="69">
        <f>IF(IFERROR(INDEX('2016'!$E$5:$E$72,MATCH(B55,'2016'!$A$5:$A$72,0)),0)=0,"N/A",INDEX('2016'!$E$5:$E$72,MATCH(B55,'2016'!$A$5:$A$72,0)))</f>
        <v>4.2779999999999996</v>
      </c>
      <c r="D55" s="60">
        <v>3.7770000000000001</v>
      </c>
      <c r="E55" s="60">
        <v>4.5780000000000003</v>
      </c>
      <c r="F55" s="60">
        <v>4.6390000000000002</v>
      </c>
      <c r="G55" s="60">
        <v>4.8419999999999996</v>
      </c>
      <c r="H55" s="60">
        <v>4.59</v>
      </c>
      <c r="I55" s="60">
        <v>3.66</v>
      </c>
      <c r="J55" s="60">
        <v>3.4649999999999999</v>
      </c>
      <c r="K55" s="60">
        <v>4.7149999999999999</v>
      </c>
      <c r="L55" s="60">
        <v>5.101</v>
      </c>
      <c r="M55" s="60">
        <v>4.2590000000000003</v>
      </c>
    </row>
    <row r="56" spans="1:13">
      <c r="A56" s="60" t="s">
        <v>152</v>
      </c>
      <c r="B56" s="60" t="s">
        <v>35</v>
      </c>
      <c r="C56" s="69">
        <f>IF(IFERROR(INDEX('2016'!$E$5:$E$72,MATCH(B56,'2016'!$A$5:$A$72,0)),0)=0,"N/A",INDEX('2016'!$E$5:$E$72,MATCH(B56,'2016'!$A$5:$A$72,0)))</f>
        <v>5.0709999999999997</v>
      </c>
      <c r="D56" s="60">
        <v>6.1470000000000002</v>
      </c>
      <c r="E56" s="60">
        <v>5.8220000000000001</v>
      </c>
      <c r="F56" s="60">
        <v>5.165</v>
      </c>
      <c r="G56" s="60">
        <v>4.875</v>
      </c>
      <c r="H56" s="60">
        <v>5.36</v>
      </c>
      <c r="I56" s="60">
        <v>5.2709999999999999</v>
      </c>
      <c r="J56" s="60">
        <v>4.984</v>
      </c>
      <c r="K56" s="60">
        <v>4.6779999999999999</v>
      </c>
      <c r="L56" s="60">
        <v>4.3579999999999997</v>
      </c>
      <c r="M56" s="60">
        <v>3.907</v>
      </c>
    </row>
    <row r="57" spans="1:13">
      <c r="A57" s="60" t="s">
        <v>193</v>
      </c>
      <c r="B57" s="60" t="s">
        <v>194</v>
      </c>
      <c r="C57" s="69">
        <f>IF(IFERROR(INDEX('2016'!$E$5:$E$72,MATCH(B57,'2016'!$A$5:$A$72,0)),0)=0,"N/A",INDEX('2016'!$E$5:$E$72,MATCH(B57,'2016'!$A$5:$A$72,0)))</f>
        <v>1.6040000000000001</v>
      </c>
      <c r="D57" s="60">
        <v>2.1749999999999998</v>
      </c>
      <c r="E57" s="60">
        <v>1.9950000000000001</v>
      </c>
      <c r="F57" s="60">
        <v>1.8939999999999999</v>
      </c>
      <c r="G57" s="60">
        <v>1.859</v>
      </c>
      <c r="H57" s="60">
        <v>1.907</v>
      </c>
      <c r="I57" s="60">
        <v>1.8480000000000001</v>
      </c>
      <c r="J57" s="60">
        <v>1.9390000000000001</v>
      </c>
      <c r="K57" s="60">
        <v>1.988</v>
      </c>
      <c r="L57" s="60">
        <v>1.845</v>
      </c>
      <c r="M57" s="60">
        <v>1.8129999999999999</v>
      </c>
    </row>
    <row r="58" spans="1:13">
      <c r="A58" s="60" t="s">
        <v>153</v>
      </c>
      <c r="B58" s="60" t="s">
        <v>36</v>
      </c>
      <c r="C58" s="69">
        <f>IF(IFERROR(INDEX('2016'!$E$5:$E$72,MATCH(B58,'2016'!$A$5:$A$72,0)),0)=0,"N/A",INDEX('2016'!$E$5:$E$72,MATCH(B58,'2016'!$A$5:$A$72,0)))</f>
        <v>7.2850000000000001</v>
      </c>
      <c r="D58" s="60">
        <v>6.7039999999999997</v>
      </c>
      <c r="E58" s="60">
        <v>6.91</v>
      </c>
      <c r="F58" s="60">
        <v>6.532</v>
      </c>
      <c r="G58" s="60">
        <v>6.3029999999999999</v>
      </c>
      <c r="H58" s="60">
        <v>6.0129999999999999</v>
      </c>
      <c r="I58" s="60">
        <v>5.9080000000000004</v>
      </c>
      <c r="J58" s="60">
        <v>5.6349999999999998</v>
      </c>
      <c r="K58" s="60">
        <v>5.8579999999999997</v>
      </c>
      <c r="L58" s="60">
        <v>5.734</v>
      </c>
      <c r="M58" s="60">
        <v>5.6829999999999998</v>
      </c>
    </row>
    <row r="59" spans="1:13">
      <c r="A59" s="60" t="s">
        <v>154</v>
      </c>
      <c r="B59" s="60" t="s">
        <v>37</v>
      </c>
      <c r="C59" s="69">
        <f>IF(IFERROR(INDEX('2016'!$E$5:$E$72,MATCH(B59,'2016'!$A$5:$A$72,0)),0)=0,"N/A",INDEX('2016'!$E$5:$E$72,MATCH(B59,'2016'!$A$5:$A$72,0)))</f>
        <v>9.4979999999999993</v>
      </c>
      <c r="D59" s="60">
        <v>10.321999999999999</v>
      </c>
      <c r="E59" s="60">
        <v>9.4060000000000006</v>
      </c>
      <c r="F59" s="60">
        <v>8.8680000000000003</v>
      </c>
      <c r="G59" s="60">
        <v>8.9239999999999995</v>
      </c>
      <c r="H59" s="60">
        <v>8.577</v>
      </c>
      <c r="I59" s="60">
        <v>7.7560000000000002</v>
      </c>
      <c r="J59" s="60">
        <v>7.9429999999999996</v>
      </c>
      <c r="K59" s="60">
        <v>7.3979999999999997</v>
      </c>
      <c r="L59" s="60">
        <v>6.9329999999999998</v>
      </c>
      <c r="M59" s="60">
        <v>6.7359999999999998</v>
      </c>
    </row>
    <row r="60" spans="1:13">
      <c r="A60" s="60" t="s">
        <v>195</v>
      </c>
      <c r="B60" s="60" t="s">
        <v>196</v>
      </c>
      <c r="C60" s="69">
        <f>IF(IFERROR(INDEX('2016'!$E$5:$E$72,MATCH(B60,'2016'!$A$5:$A$72,0)),0)=0,"N/A",INDEX('2016'!$E$5:$E$72,MATCH(B60,'2016'!$A$5:$A$72,0)))</f>
        <v>4.7649999999999997</v>
      </c>
      <c r="D60" s="60">
        <v>3.8570000000000002</v>
      </c>
      <c r="E60" s="60">
        <v>4.4219999999999997</v>
      </c>
      <c r="F60" s="60">
        <v>2.9</v>
      </c>
      <c r="G60" s="60">
        <v>2.968</v>
      </c>
      <c r="H60" s="60">
        <v>2.8010000000000002</v>
      </c>
      <c r="I60" s="60">
        <v>2.3780000000000001</v>
      </c>
      <c r="J60" s="60">
        <v>2.206</v>
      </c>
      <c r="K60" s="60">
        <v>2.4359999999999999</v>
      </c>
      <c r="L60" s="60">
        <v>2.2970000000000002</v>
      </c>
      <c r="M60" s="60">
        <v>2.3809999999999998</v>
      </c>
    </row>
    <row r="61" spans="1:13">
      <c r="A61" s="60" t="s">
        <v>197</v>
      </c>
      <c r="B61" s="60" t="s">
        <v>198</v>
      </c>
      <c r="C61" s="69">
        <f>IF(IFERROR(INDEX('2016'!$E$5:$E$72,MATCH(B61,'2016'!$A$5:$A$72,0)),0)=0,"N/A",INDEX('2016'!$E$5:$E$72,MATCH(B61,'2016'!$A$5:$A$72,0)))</f>
        <v>2.6749999999999998</v>
      </c>
      <c r="D61" s="60">
        <v>2.4159999999999999</v>
      </c>
      <c r="E61" s="60">
        <v>2.6709999999999998</v>
      </c>
      <c r="F61" s="60">
        <v>2.476</v>
      </c>
      <c r="G61" s="60">
        <v>2.3439999999999999</v>
      </c>
      <c r="H61" s="60">
        <v>2.23</v>
      </c>
      <c r="I61" s="60">
        <v>2.1040000000000001</v>
      </c>
      <c r="J61" s="60">
        <v>1.859</v>
      </c>
      <c r="K61" s="60">
        <v>1.738</v>
      </c>
      <c r="L61" s="60">
        <v>1.599</v>
      </c>
      <c r="M61" s="60">
        <v>1.7529999999999999</v>
      </c>
    </row>
    <row r="62" spans="1:13">
      <c r="A62" s="60" t="s">
        <v>155</v>
      </c>
      <c r="B62" s="60" t="s">
        <v>38</v>
      </c>
      <c r="C62" s="69">
        <f>IF(IFERROR(INDEX('2016'!$E$5:$E$72,MATCH(B62,'2016'!$A$5:$A$72,0)),0)=0,"N/A",INDEX('2016'!$E$5:$E$72,MATCH(B62,'2016'!$A$5:$A$72,0)))</f>
        <v>5.69</v>
      </c>
      <c r="D62" s="60">
        <v>5.4710000000000001</v>
      </c>
      <c r="E62" s="60">
        <v>5.2789999999999999</v>
      </c>
      <c r="F62" s="60">
        <v>5.266</v>
      </c>
      <c r="G62" s="60">
        <v>5.18</v>
      </c>
      <c r="H62" s="60">
        <v>4.9139999999999997</v>
      </c>
      <c r="I62" s="60">
        <v>4.5129999999999999</v>
      </c>
      <c r="J62" s="60">
        <v>4.4320000000000004</v>
      </c>
      <c r="K62" s="60">
        <v>4.4340000000000002</v>
      </c>
      <c r="L62" s="60">
        <v>4.22</v>
      </c>
      <c r="M62" s="60">
        <v>4.0129999999999999</v>
      </c>
    </row>
    <row r="63" spans="1:13">
      <c r="A63" s="60" t="s">
        <v>199</v>
      </c>
      <c r="B63" s="60" t="s">
        <v>200</v>
      </c>
      <c r="C63" s="69">
        <f>IF(IFERROR(INDEX('2016'!$E$5:$E$72,MATCH(B63,'2016'!$A$5:$A$72,0)),0)=0,"N/A",INDEX('2016'!$E$5:$E$72,MATCH(B63,'2016'!$A$5:$A$72,0)))</f>
        <v>9.2910000000000004</v>
      </c>
      <c r="D63" s="60">
        <v>8.6210000000000004</v>
      </c>
      <c r="E63" s="60">
        <v>8.4719999999999995</v>
      </c>
      <c r="F63" s="60">
        <v>8.2439999999999998</v>
      </c>
      <c r="G63" s="60">
        <v>7.7309999999999999</v>
      </c>
      <c r="H63" s="60">
        <v>6.806</v>
      </c>
      <c r="I63" s="60">
        <v>6.4610000000000003</v>
      </c>
      <c r="J63" s="60">
        <v>6.1559999999999997</v>
      </c>
      <c r="K63" s="60">
        <v>5.7629999999999999</v>
      </c>
      <c r="L63" s="60">
        <v>6.2089999999999996</v>
      </c>
      <c r="M63" s="60">
        <v>5.9710000000000001</v>
      </c>
    </row>
    <row r="64" spans="1:13">
      <c r="A64" s="60" t="s">
        <v>243</v>
      </c>
      <c r="B64" s="60" t="s">
        <v>244</v>
      </c>
      <c r="C64" s="69">
        <f>IF(IFERROR(INDEX('2016'!$E$5:$E$72,MATCH(B64,'2016'!$A$5:$A$72,0)),0)=0,"N/A",INDEX('2016'!$E$5:$E$72,MATCH(B64,'2016'!$A$5:$A$72,0)))</f>
        <v>6.1580000000000004</v>
      </c>
      <c r="D64" s="60">
        <v>6.1539999999999999</v>
      </c>
      <c r="E64" s="60">
        <v>3.867</v>
      </c>
      <c r="F64" s="60">
        <v>3.121</v>
      </c>
      <c r="G64" s="60">
        <v>4.5839999999999996</v>
      </c>
      <c r="H64" s="60">
        <v>4.6180000000000003</v>
      </c>
      <c r="I64" s="60">
        <v>4.109</v>
      </c>
      <c r="J64" s="60">
        <v>4.5570000000000004</v>
      </c>
      <c r="K64" s="60">
        <v>4.2210000000000001</v>
      </c>
      <c r="L64" s="60">
        <v>3.8740000000000001</v>
      </c>
      <c r="M64" s="60">
        <v>3.8090000000000002</v>
      </c>
    </row>
    <row r="65" spans="1:13">
      <c r="A65" s="60" t="s">
        <v>201</v>
      </c>
      <c r="B65" s="60" t="s">
        <v>202</v>
      </c>
      <c r="C65" s="69">
        <f>IF(IFERROR(INDEX('2016'!$E$5:$E$72,MATCH(B65,'2016'!$A$5:$A$72,0)),0)=0,"N/A",INDEX('2016'!$E$5:$E$72,MATCH(B65,'2016'!$A$5:$A$72,0)))</f>
        <v>1.2709999999999999</v>
      </c>
      <c r="D65" s="60">
        <v>1.085</v>
      </c>
      <c r="E65" s="60">
        <v>1.0009999999999999</v>
      </c>
      <c r="F65" s="60">
        <v>0.84499999999999997</v>
      </c>
      <c r="G65" s="60">
        <v>0.71899999999999997</v>
      </c>
      <c r="H65" s="60">
        <v>0.65</v>
      </c>
      <c r="I65" s="60">
        <v>0.69699999999999995</v>
      </c>
      <c r="J65" s="60">
        <v>2.0379999999999998</v>
      </c>
      <c r="K65" s="60">
        <v>0.20699999999999999</v>
      </c>
      <c r="L65" s="60">
        <v>0.93100000000000005</v>
      </c>
      <c r="M65" s="60">
        <v>-0.252</v>
      </c>
    </row>
    <row r="66" spans="1:13">
      <c r="A66" s="60" t="s">
        <v>203</v>
      </c>
      <c r="B66" s="60" t="s">
        <v>204</v>
      </c>
      <c r="C66" s="69">
        <f>IF(IFERROR(INDEX('2016'!$E$5:$E$72,MATCH(B66,'2016'!$A$5:$A$72,0)),0)=0,"N/A",INDEX('2016'!$E$5:$E$72,MATCH(B66,'2016'!$A$5:$A$72,0)))</f>
        <v>4.3940000000000001</v>
      </c>
      <c r="D66" s="60">
        <v>4.2050000000000001</v>
      </c>
      <c r="E66" s="60">
        <v>4.0529999999999999</v>
      </c>
      <c r="F66" s="60">
        <v>3.7519999999999998</v>
      </c>
      <c r="G66" s="60">
        <v>3.0489999999999999</v>
      </c>
      <c r="H66" s="60">
        <v>2.7469999999999999</v>
      </c>
      <c r="I66" s="60">
        <v>2.8660000000000001</v>
      </c>
      <c r="J66" s="60">
        <v>2.8220000000000001</v>
      </c>
      <c r="K66" s="60">
        <v>2.4820000000000002</v>
      </c>
      <c r="L66" s="60">
        <v>2.2570000000000001</v>
      </c>
      <c r="M66" s="60">
        <v>2.0539999999999998</v>
      </c>
    </row>
    <row r="67" spans="1:13">
      <c r="A67" s="60" t="s">
        <v>159</v>
      </c>
      <c r="B67" s="60" t="s">
        <v>83</v>
      </c>
      <c r="C67" s="69">
        <f>IF(IFERROR(INDEX('2016'!$E$5:$E$72,MATCH(B67,'2016'!$A$5:$A$72,0)),0)=0,"N/A",INDEX('2016'!$E$5:$E$72,MATCH(B67,'2016'!$A$5:$A$72,0)))</f>
        <v>5.24</v>
      </c>
      <c r="D67" s="60">
        <v>5.1459999999999999</v>
      </c>
      <c r="E67" s="60">
        <v>4.8</v>
      </c>
      <c r="F67" s="60">
        <v>4.2839999999999998</v>
      </c>
      <c r="G67" s="60">
        <v>3.86</v>
      </c>
      <c r="H67" s="60">
        <v>4.16</v>
      </c>
      <c r="I67" s="60">
        <v>3.5230000000000001</v>
      </c>
      <c r="J67" s="60">
        <v>3.4420000000000002</v>
      </c>
      <c r="K67" s="60">
        <v>3.6829999999999998</v>
      </c>
      <c r="L67" s="60">
        <v>4.5990000000000002</v>
      </c>
      <c r="M67" s="60">
        <v>4.266</v>
      </c>
    </row>
    <row r="68" spans="1:13">
      <c r="A68" s="60" t="s">
        <v>156</v>
      </c>
      <c r="B68" s="60" t="s">
        <v>42</v>
      </c>
      <c r="C68" s="69">
        <f>IF(IFERROR(INDEX('2016'!$E$5:$E$72,MATCH(B68,'2016'!$A$5:$A$72,0)),0)=0,"N/A",INDEX('2016'!$E$5:$E$72,MATCH(B68,'2016'!$A$5:$A$72,0)))</f>
        <v>5.6890000000000001</v>
      </c>
      <c r="D68" s="60">
        <v>5.4779999999999998</v>
      </c>
      <c r="E68" s="60">
        <v>5.3310000000000004</v>
      </c>
      <c r="F68" s="60">
        <v>5.0289999999999999</v>
      </c>
      <c r="G68" s="60">
        <v>5.032</v>
      </c>
      <c r="H68" s="60">
        <v>4.7119999999999997</v>
      </c>
      <c r="I68" s="60">
        <v>4.4409999999999998</v>
      </c>
      <c r="J68" s="60">
        <v>4.4009999999999998</v>
      </c>
      <c r="K68" s="60">
        <v>3.9649999999999999</v>
      </c>
      <c r="L68" s="60">
        <v>4.2939999999999996</v>
      </c>
      <c r="M68" s="60">
        <v>3.694</v>
      </c>
    </row>
    <row r="69" spans="1:13">
      <c r="A69" s="60" t="s">
        <v>217</v>
      </c>
      <c r="B69" s="60" t="s">
        <v>44</v>
      </c>
      <c r="C69" s="69">
        <f>IF(IFERROR(INDEX('2016'!$E$5:$E$72,MATCH(B69,'2016'!$A$5:$A$72,0)),0)=0,"N/A",INDEX('2016'!$E$5:$E$72,MATCH(B69,'2016'!$A$5:$A$72,0)))</f>
        <v>5.391</v>
      </c>
      <c r="D69" s="60">
        <v>3.871</v>
      </c>
      <c r="E69" s="60">
        <v>4.468</v>
      </c>
      <c r="F69" s="60">
        <v>4.3259999999999996</v>
      </c>
      <c r="G69" s="60">
        <v>4.008</v>
      </c>
      <c r="H69" s="60">
        <v>3.6840000000000002</v>
      </c>
      <c r="I69" s="60">
        <v>3.302</v>
      </c>
      <c r="J69" s="60">
        <v>3.1080000000000001</v>
      </c>
      <c r="K69" s="60">
        <v>2.9550000000000001</v>
      </c>
      <c r="L69" s="60">
        <v>2.9830000000000001</v>
      </c>
      <c r="M69" s="60">
        <v>2.8980000000000001</v>
      </c>
    </row>
    <row r="70" spans="1:13">
      <c r="A70" s="60" t="s">
        <v>157</v>
      </c>
      <c r="B70" s="60" t="s">
        <v>43</v>
      </c>
      <c r="C70" s="69">
        <f>IF(IFERROR(INDEX('2016'!$E$5:$E$72,MATCH(B70,'2016'!$A$5:$A$72,0)),0)=0,"N/A",INDEX('2016'!$E$5:$E$72,MATCH(B70,'2016'!$A$5:$A$72,0)))</f>
        <v>4.8319999999999999</v>
      </c>
      <c r="D70" s="60">
        <v>4.2629999999999999</v>
      </c>
      <c r="E70" s="60">
        <v>4.5540000000000003</v>
      </c>
      <c r="F70" s="60">
        <v>4.4059999999999997</v>
      </c>
      <c r="G70" s="60">
        <v>4.3</v>
      </c>
      <c r="H70" s="60">
        <v>3.9649999999999999</v>
      </c>
      <c r="I70" s="60">
        <v>4.2350000000000003</v>
      </c>
      <c r="J70" s="60">
        <v>3.593</v>
      </c>
      <c r="K70" s="60">
        <v>3.1349999999999998</v>
      </c>
      <c r="L70" s="60">
        <v>3.774</v>
      </c>
      <c r="M70" s="60">
        <v>3.9420000000000002</v>
      </c>
    </row>
    <row r="71" spans="1:13">
      <c r="A71" s="60" t="s">
        <v>205</v>
      </c>
      <c r="B71" s="60" t="s">
        <v>206</v>
      </c>
      <c r="C71" s="69">
        <f>IF(IFERROR(INDEX('2016'!$E$5:$E$72,MATCH(B71,'2016'!$A$5:$A$72,0)),0)=0,"N/A",INDEX('2016'!$E$5:$E$72,MATCH(B71,'2016'!$A$5:$A$72,0)))</f>
        <v>5.7690000000000001</v>
      </c>
      <c r="D71" s="60">
        <v>5.601</v>
      </c>
      <c r="E71" s="60">
        <v>4.8</v>
      </c>
      <c r="F71" s="60">
        <v>4.2869999999999999</v>
      </c>
      <c r="G71" s="60">
        <v>4.5330000000000004</v>
      </c>
      <c r="H71" s="60">
        <v>4.0129999999999999</v>
      </c>
      <c r="I71" s="60">
        <v>4.1109999999999998</v>
      </c>
      <c r="J71" s="60">
        <v>4.4429999999999996</v>
      </c>
      <c r="K71" s="60">
        <v>4.3390000000000004</v>
      </c>
      <c r="L71" s="60">
        <v>3.887</v>
      </c>
      <c r="M71" s="60">
        <v>3.8410000000000002</v>
      </c>
    </row>
    <row r="72" spans="1:13">
      <c r="A72" s="60" t="s">
        <v>158</v>
      </c>
      <c r="B72" s="60" t="s">
        <v>45</v>
      </c>
      <c r="C72" s="69">
        <f>IF(IFERROR(INDEX('2016'!$E$5:$E$72,MATCH(B72,'2016'!$A$5:$A$72,0)),0)=0,"N/A",INDEX('2016'!$E$5:$E$72,MATCH(B72,'2016'!$A$5:$A$72,0)))</f>
        <v>5.0430000000000001</v>
      </c>
      <c r="D72" s="60">
        <v>4.5570000000000004</v>
      </c>
      <c r="E72" s="60">
        <v>4.2850000000000001</v>
      </c>
      <c r="F72" s="60">
        <v>4.101</v>
      </c>
      <c r="G72" s="60">
        <v>4.0010000000000003</v>
      </c>
      <c r="H72" s="60">
        <v>3.7850000000000001</v>
      </c>
      <c r="I72" s="60">
        <v>3.512</v>
      </c>
      <c r="J72" s="60">
        <v>3.4769999999999999</v>
      </c>
      <c r="K72" s="60">
        <v>3.5019999999999998</v>
      </c>
      <c r="L72" s="60">
        <v>3.4540000000000002</v>
      </c>
      <c r="M72" s="60">
        <v>3.6070000000000002</v>
      </c>
    </row>
    <row r="73" spans="1:13">
      <c r="A73" s="60" t="s">
        <v>207</v>
      </c>
      <c r="B73" s="60" t="s">
        <v>208</v>
      </c>
      <c r="C73" s="69" t="str">
        <f>IF(IFERROR(INDEX('2016'!$E$5:$E$72,MATCH(B73,'2016'!$A$5:$A$72,0)),0)=0,"N/A",INDEX('2016'!$E$5:$E$72,MATCH(B73,'2016'!$A$5:$A$72,0)))</f>
        <v>N/A</v>
      </c>
      <c r="D73" s="60">
        <v>1.4550000000000001</v>
      </c>
      <c r="E73" s="60">
        <v>1.357</v>
      </c>
      <c r="F73" s="60">
        <v>1.1859999999999999</v>
      </c>
      <c r="G73" s="60">
        <v>1.1200000000000001</v>
      </c>
      <c r="H73" s="60">
        <v>1.0940000000000001</v>
      </c>
      <c r="I73" s="60">
        <v>1.0649999999999999</v>
      </c>
      <c r="J73" s="60">
        <v>0.94899999999999995</v>
      </c>
      <c r="K73" s="60">
        <v>0.88400000000000001</v>
      </c>
      <c r="L73" s="60">
        <v>0.85599999999999998</v>
      </c>
      <c r="M73" s="60">
        <v>0.76900000000000002</v>
      </c>
    </row>
  </sheetData>
  <sortState ref="A2:T90">
    <sortCondition ref="B2:B90"/>
  </sortState>
  <printOptions headings="1"/>
  <pageMargins left="0.3" right="0.3" top="0.75" bottom="0.75" header="0.3" footer="0.3"/>
  <pageSetup fitToHeight="0" orientation="landscape" r:id="rId1"/>
  <headerFooter>
    <oddHeader>&amp;R&amp;A
&amp;P/&amp;N</oddHeader>
    <oddFooter>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5"/>
  <dimension ref="A1:N72"/>
  <sheetViews>
    <sheetView zoomScale="102" zoomScaleNormal="102" workbookViewId="0"/>
  </sheetViews>
  <sheetFormatPr defaultColWidth="8.75" defaultRowHeight="11.25"/>
  <cols>
    <col min="1" max="1" width="19.25" style="60" customWidth="1"/>
    <col min="2" max="2" width="5.75" style="60" bestFit="1" customWidth="1"/>
    <col min="3" max="13" width="7" style="60" bestFit="1" customWidth="1"/>
    <col min="14" max="16384" width="8.75" style="60"/>
  </cols>
  <sheetData>
    <row r="1" spans="1:14" ht="33.75">
      <c r="A1" s="59" t="s">
        <v>317</v>
      </c>
      <c r="C1" s="61">
        <v>2016</v>
      </c>
      <c r="D1" s="61">
        <v>2015</v>
      </c>
      <c r="E1" s="61">
        <v>2014</v>
      </c>
      <c r="F1" s="61">
        <v>2013</v>
      </c>
      <c r="G1" s="61">
        <v>2012</v>
      </c>
      <c r="H1" s="61">
        <v>2011</v>
      </c>
      <c r="I1" s="61">
        <v>2010</v>
      </c>
      <c r="J1" s="61">
        <v>2009</v>
      </c>
      <c r="K1" s="61">
        <v>2008</v>
      </c>
      <c r="L1" s="61">
        <v>2007</v>
      </c>
      <c r="M1" s="61">
        <v>2006</v>
      </c>
    </row>
    <row r="2" spans="1:14">
      <c r="A2" s="69" t="s">
        <v>316</v>
      </c>
      <c r="C2" s="71">
        <f>'2016'!$A$1</f>
        <v>42907</v>
      </c>
      <c r="D2" s="77">
        <v>42840</v>
      </c>
      <c r="E2" s="77">
        <v>42840</v>
      </c>
      <c r="F2" s="77">
        <v>42840</v>
      </c>
      <c r="G2" s="77">
        <v>42840</v>
      </c>
      <c r="H2" s="77">
        <v>42840</v>
      </c>
      <c r="I2" s="77">
        <v>42840</v>
      </c>
      <c r="J2" s="77">
        <v>42840</v>
      </c>
      <c r="K2" s="77">
        <v>42840</v>
      </c>
      <c r="L2" s="77">
        <v>42840</v>
      </c>
      <c r="M2" s="77">
        <v>42840</v>
      </c>
      <c r="N2" s="60" t="s">
        <v>355</v>
      </c>
    </row>
    <row r="3" spans="1:14">
      <c r="A3" s="60" t="s">
        <v>117</v>
      </c>
      <c r="B3" s="60" t="s">
        <v>99</v>
      </c>
      <c r="C3" s="60" t="s">
        <v>297</v>
      </c>
      <c r="D3" s="60" t="s">
        <v>296</v>
      </c>
      <c r="E3" s="60" t="s">
        <v>295</v>
      </c>
      <c r="F3" s="60" t="s">
        <v>294</v>
      </c>
      <c r="G3" s="60" t="s">
        <v>293</v>
      </c>
      <c r="H3" s="60" t="s">
        <v>292</v>
      </c>
      <c r="I3" s="60" t="s">
        <v>291</v>
      </c>
      <c r="J3" s="60" t="s">
        <v>290</v>
      </c>
      <c r="K3" s="60" t="s">
        <v>289</v>
      </c>
      <c r="L3" s="60" t="s">
        <v>288</v>
      </c>
      <c r="M3" s="60" t="s">
        <v>287</v>
      </c>
    </row>
    <row r="4" spans="1:14">
      <c r="A4" s="60" t="s">
        <v>162</v>
      </c>
      <c r="B4" s="60" t="s">
        <v>163</v>
      </c>
      <c r="C4" s="69">
        <f>IF(IFERROR(INDEX('2016'!$F$5:$F$72,MATCH(B4,'2016'!$A$5:$A$72,0)),0)=0,"N/A",INDEX('2016'!$F$5:$F$72,MATCH(B4,'2016'!$A$5:$A$72,0)))</f>
        <v>0.6</v>
      </c>
      <c r="D4" s="60">
        <v>-0.3</v>
      </c>
      <c r="E4" s="60">
        <v>1.48</v>
      </c>
      <c r="F4" s="60">
        <v>5.24</v>
      </c>
      <c r="G4" s="60">
        <v>6.53</v>
      </c>
      <c r="H4" s="60">
        <v>4.99</v>
      </c>
      <c r="I4" s="60">
        <v>2.0499999999999998</v>
      </c>
      <c r="J4" s="60">
        <v>0.98</v>
      </c>
      <c r="K4" s="60">
        <v>-1.32</v>
      </c>
      <c r="L4" s="60">
        <v>2.1789999999999998</v>
      </c>
      <c r="M4" s="60">
        <v>2.4900000000000002</v>
      </c>
    </row>
    <row r="5" spans="1:14">
      <c r="A5" s="60" t="s">
        <v>119</v>
      </c>
      <c r="B5" s="60" t="s">
        <v>0</v>
      </c>
      <c r="C5" s="69">
        <f>IF(IFERROR(INDEX('2016'!$F$5:$F$72,MATCH(B5,'2016'!$A$5:$A$72,0)),0)=0,"N/A",INDEX('2016'!$F$5:$F$72,MATCH(B5,'2016'!$A$5:$A$72,0)))</f>
        <v>3.14</v>
      </c>
      <c r="D5" s="60">
        <v>3.38</v>
      </c>
      <c r="E5" s="60">
        <v>2.9</v>
      </c>
      <c r="F5" s="60">
        <v>2.63</v>
      </c>
      <c r="G5" s="60">
        <v>2.58</v>
      </c>
      <c r="H5" s="60">
        <v>2.65</v>
      </c>
      <c r="I5" s="60">
        <v>2.19</v>
      </c>
      <c r="J5" s="60">
        <v>1.89</v>
      </c>
      <c r="K5" s="60">
        <v>2.82</v>
      </c>
      <c r="L5" s="60">
        <v>3.08</v>
      </c>
      <c r="M5" s="60">
        <v>2.77</v>
      </c>
    </row>
    <row r="6" spans="1:14">
      <c r="A6" s="60" t="s">
        <v>120</v>
      </c>
      <c r="B6" s="60" t="s">
        <v>1</v>
      </c>
      <c r="C6" s="69">
        <f>IF(IFERROR(INDEX('2016'!$F$5:$F$72,MATCH(B6,'2016'!$A$5:$A$72,0)),0)=0,"N/A",INDEX('2016'!$F$5:$F$72,MATCH(B6,'2016'!$A$5:$A$72,0)))</f>
        <v>1.65</v>
      </c>
      <c r="D6" s="60">
        <v>1.69</v>
      </c>
      <c r="E6" s="60">
        <v>1.74</v>
      </c>
      <c r="F6" s="60">
        <v>1.645</v>
      </c>
      <c r="G6" s="60">
        <v>1.5249999999999999</v>
      </c>
      <c r="H6" s="60">
        <v>1.375</v>
      </c>
      <c r="I6" s="60">
        <v>1.375</v>
      </c>
      <c r="J6" s="60">
        <v>0.94499999999999995</v>
      </c>
      <c r="K6" s="60">
        <v>1.27</v>
      </c>
      <c r="L6" s="60">
        <v>1.345</v>
      </c>
      <c r="M6" s="60">
        <v>1.03</v>
      </c>
    </row>
    <row r="7" spans="1:14">
      <c r="A7" s="60" t="s">
        <v>121</v>
      </c>
      <c r="B7" s="60" t="s">
        <v>2</v>
      </c>
      <c r="C7" s="69">
        <f>IF(IFERROR(INDEX('2016'!$F$5:$F$72,MATCH(B7,'2016'!$A$5:$A$72,0)),0)=0,"N/A",INDEX('2016'!$F$5:$F$72,MATCH(B7,'2016'!$A$5:$A$72,0)))</f>
        <v>4.2300000000000004</v>
      </c>
      <c r="D7" s="60">
        <v>3.59</v>
      </c>
      <c r="E7" s="60">
        <v>3.34</v>
      </c>
      <c r="F7" s="60">
        <v>3.18</v>
      </c>
      <c r="G7" s="60">
        <v>2.98</v>
      </c>
      <c r="H7" s="60">
        <v>3.13</v>
      </c>
      <c r="I7" s="60">
        <v>2.6</v>
      </c>
      <c r="J7" s="60">
        <v>2.97</v>
      </c>
      <c r="K7" s="60">
        <v>2.99</v>
      </c>
      <c r="L7" s="60">
        <v>2.86</v>
      </c>
      <c r="M7" s="60">
        <v>2.86</v>
      </c>
    </row>
    <row r="8" spans="1:14">
      <c r="A8" s="60" t="s">
        <v>164</v>
      </c>
      <c r="B8" s="60" t="s">
        <v>165</v>
      </c>
      <c r="C8" s="69">
        <f>IF(IFERROR(INDEX('2016'!$F$5:$F$72,MATCH(B8,'2016'!$A$5:$A$72,0)),0)=0,"N/A",INDEX('2016'!$F$5:$F$72,MATCH(B8,'2016'!$A$5:$A$72,0)))</f>
        <v>1.62</v>
      </c>
      <c r="D8" s="60">
        <v>1.6</v>
      </c>
      <c r="E8" s="60">
        <v>1.57</v>
      </c>
      <c r="F8" s="60">
        <v>1.61</v>
      </c>
      <c r="G8" s="60">
        <v>1.41</v>
      </c>
      <c r="H8" s="60">
        <v>1.1200000000000001</v>
      </c>
      <c r="I8" s="60">
        <v>1.1100000000000001</v>
      </c>
      <c r="J8" s="60">
        <v>0.81</v>
      </c>
      <c r="K8" s="60">
        <v>0.77500000000000002</v>
      </c>
      <c r="L8" s="60">
        <v>0.81</v>
      </c>
      <c r="M8" s="60">
        <v>0.66500000000000004</v>
      </c>
    </row>
    <row r="9" spans="1:14">
      <c r="A9" s="60" t="s">
        <v>166</v>
      </c>
      <c r="B9" s="60" t="s">
        <v>167</v>
      </c>
      <c r="C9" s="69">
        <f>IF(IFERROR(INDEX('2016'!$F$5:$F$72,MATCH(B9,'2016'!$A$5:$A$72,0)),0)=0,"N/A",INDEX('2016'!$F$5:$F$72,MATCH(B9,'2016'!$A$5:$A$72,0)))</f>
        <v>2.62</v>
      </c>
      <c r="D9" s="60">
        <v>2.64</v>
      </c>
      <c r="E9" s="60">
        <v>2.39</v>
      </c>
      <c r="F9" s="60">
        <v>2.06</v>
      </c>
      <c r="G9" s="60">
        <v>2.11</v>
      </c>
      <c r="H9" s="60">
        <v>1.72</v>
      </c>
      <c r="I9" s="60">
        <v>1.53</v>
      </c>
      <c r="J9" s="60">
        <v>1.25</v>
      </c>
      <c r="K9" s="60">
        <v>1.1000000000000001</v>
      </c>
      <c r="L9" s="60">
        <v>-2.14</v>
      </c>
      <c r="M9" s="60">
        <v>-0.97</v>
      </c>
    </row>
    <row r="10" spans="1:14">
      <c r="A10" s="60" t="s">
        <v>122</v>
      </c>
      <c r="B10" s="60" t="s">
        <v>3</v>
      </c>
      <c r="C10" s="69">
        <f>IF(IFERROR(INDEX('2016'!$F$5:$F$72,MATCH(B10,'2016'!$A$5:$A$72,0)),0)=0,"N/A",INDEX('2016'!$F$5:$F$72,MATCH(B10,'2016'!$A$5:$A$72,0)))</f>
        <v>2.68</v>
      </c>
      <c r="D10" s="60">
        <v>2.38</v>
      </c>
      <c r="E10" s="60">
        <v>2.4</v>
      </c>
      <c r="F10" s="60">
        <v>2.1</v>
      </c>
      <c r="G10" s="60">
        <v>2.41</v>
      </c>
      <c r="H10" s="60">
        <v>2.4700000000000002</v>
      </c>
      <c r="I10" s="60">
        <v>2.77</v>
      </c>
      <c r="J10" s="60">
        <v>2.78</v>
      </c>
      <c r="K10" s="60">
        <v>2.88</v>
      </c>
      <c r="L10" s="60">
        <v>2.98</v>
      </c>
      <c r="M10" s="60">
        <v>2.66</v>
      </c>
    </row>
    <row r="11" spans="1:14">
      <c r="A11" s="60" t="s">
        <v>168</v>
      </c>
      <c r="B11" s="60" t="s">
        <v>169</v>
      </c>
      <c r="C11" s="69">
        <f>IF(IFERROR(INDEX('2016'!$F$5:$F$72,MATCH(B11,'2016'!$A$5:$A$72,0)),0)=0,"N/A",INDEX('2016'!$F$5:$F$72,MATCH(B11,'2016'!$A$5:$A$72,0)))</f>
        <v>1.77</v>
      </c>
      <c r="D11" s="60">
        <v>1.91</v>
      </c>
      <c r="E11" s="60">
        <v>2.82</v>
      </c>
      <c r="F11" s="60">
        <v>2.14</v>
      </c>
      <c r="G11" s="60">
        <v>0.01</v>
      </c>
      <c r="H11" s="60">
        <v>2.73</v>
      </c>
      <c r="I11" s="60">
        <v>2.8</v>
      </c>
      <c r="J11" s="60">
        <v>3.14</v>
      </c>
      <c r="K11" s="60">
        <v>2.7</v>
      </c>
      <c r="L11" s="60">
        <v>2.62</v>
      </c>
      <c r="M11" s="60">
        <v>1.59</v>
      </c>
    </row>
    <row r="12" spans="1:14">
      <c r="A12" s="60" t="s">
        <v>170</v>
      </c>
      <c r="B12" s="60" t="s">
        <v>171</v>
      </c>
      <c r="C12" s="69">
        <f>IF(IFERROR(INDEX('2016'!$F$5:$F$72,MATCH(B12,'2016'!$A$5:$A$72,0)),0)=0,"N/A",INDEX('2016'!$F$5:$F$72,MATCH(B12,'2016'!$A$5:$A$72,0)))</f>
        <v>1.32</v>
      </c>
      <c r="D12" s="60">
        <v>1.1399999999999999</v>
      </c>
      <c r="E12" s="60">
        <v>1.2</v>
      </c>
      <c r="F12" s="60">
        <v>1.1599999999999999</v>
      </c>
      <c r="G12" s="60">
        <v>0.872</v>
      </c>
      <c r="H12" s="60">
        <v>0.83199999999999996</v>
      </c>
      <c r="I12" s="60">
        <v>0.72</v>
      </c>
      <c r="J12" s="60">
        <v>0.61599999999999999</v>
      </c>
      <c r="K12" s="60">
        <v>0.58399999999999996</v>
      </c>
      <c r="L12" s="60">
        <v>0.56799999999999995</v>
      </c>
      <c r="M12" s="60">
        <v>0.56000000000000005</v>
      </c>
    </row>
    <row r="13" spans="1:14">
      <c r="A13" s="60" t="s">
        <v>172</v>
      </c>
      <c r="B13" s="60" t="s">
        <v>173</v>
      </c>
      <c r="C13" s="69">
        <f>IF(IFERROR(INDEX('2016'!$F$5:$F$72,MATCH(B13,'2016'!$A$5:$A$72,0)),0)=0,"N/A",INDEX('2016'!$F$5:$F$72,MATCH(B13,'2016'!$A$5:$A$72,0)))</f>
        <v>1.41</v>
      </c>
      <c r="D13" s="60">
        <v>1.26</v>
      </c>
      <c r="E13" s="60">
        <v>1.07</v>
      </c>
      <c r="F13" s="60">
        <v>0.94</v>
      </c>
      <c r="G13" s="60">
        <v>1.1299999999999999</v>
      </c>
      <c r="H13" s="60">
        <v>0.83</v>
      </c>
      <c r="I13" s="60">
        <v>1</v>
      </c>
      <c r="J13" s="60">
        <v>0.97</v>
      </c>
      <c r="K13" s="60">
        <v>0.86</v>
      </c>
      <c r="L13" s="60">
        <v>0.9</v>
      </c>
      <c r="M13" s="60">
        <v>0.97</v>
      </c>
    </row>
    <row r="14" spans="1:14">
      <c r="A14" s="60" t="s">
        <v>174</v>
      </c>
      <c r="B14" s="60" t="s">
        <v>175</v>
      </c>
      <c r="C14" s="69">
        <f>IF(IFERROR(INDEX('2016'!$F$5:$F$72,MATCH(B14,'2016'!$A$5:$A$72,0)),0)=0,"N/A",INDEX('2016'!$F$5:$F$72,MATCH(B14,'2016'!$A$5:$A$72,0)))</f>
        <v>3.38</v>
      </c>
      <c r="D14" s="60">
        <v>3.09</v>
      </c>
      <c r="E14" s="60">
        <v>2.96</v>
      </c>
      <c r="F14" s="60">
        <v>2.5</v>
      </c>
      <c r="G14" s="60">
        <v>2.1</v>
      </c>
      <c r="H14" s="60">
        <v>2.2599999999999998</v>
      </c>
      <c r="I14" s="60">
        <v>2.16</v>
      </c>
      <c r="J14" s="60">
        <v>1.97</v>
      </c>
      <c r="K14" s="60">
        <v>2</v>
      </c>
      <c r="L14" s="60">
        <v>1.94</v>
      </c>
      <c r="M14" s="60">
        <v>2</v>
      </c>
    </row>
    <row r="15" spans="1:14">
      <c r="A15" s="60" t="s">
        <v>264</v>
      </c>
      <c r="B15" s="60" t="s">
        <v>261</v>
      </c>
      <c r="C15" s="69">
        <f>IF(IFERROR(INDEX('2016'!$F$5:$F$72,MATCH(B15,'2016'!$A$5:$A$72,0)),0)=0,"N/A",INDEX('2016'!$F$5:$F$72,MATCH(B15,'2016'!$A$5:$A$72,0)))</f>
        <v>1.98</v>
      </c>
      <c r="D15" s="60">
        <v>0.86</v>
      </c>
      <c r="E15" s="69" t="s">
        <v>106</v>
      </c>
      <c r="F15" s="69" t="s">
        <v>106</v>
      </c>
      <c r="G15" s="69" t="s">
        <v>106</v>
      </c>
      <c r="H15" s="69" t="s">
        <v>106</v>
      </c>
      <c r="I15" s="69" t="s">
        <v>106</v>
      </c>
      <c r="J15" s="69" t="s">
        <v>106</v>
      </c>
      <c r="K15" s="69" t="s">
        <v>106</v>
      </c>
      <c r="L15" s="69" t="s">
        <v>106</v>
      </c>
      <c r="M15" s="69" t="s">
        <v>106</v>
      </c>
    </row>
    <row r="16" spans="1:14">
      <c r="A16" s="60" t="s">
        <v>123</v>
      </c>
      <c r="B16" s="60" t="s">
        <v>4</v>
      </c>
      <c r="C16" s="69">
        <f>IF(IFERROR(INDEX('2016'!$F$5:$F$72,MATCH(B16,'2016'!$A$5:$A$72,0)),0)=0,"N/A",INDEX('2016'!$F$5:$F$72,MATCH(B16,'2016'!$A$5:$A$72,0)))</f>
        <v>2.15</v>
      </c>
      <c r="D16" s="60">
        <v>1.89</v>
      </c>
      <c r="E16" s="60">
        <v>1.84</v>
      </c>
      <c r="F16" s="60">
        <v>1.85</v>
      </c>
      <c r="G16" s="60">
        <v>1.32</v>
      </c>
      <c r="H16" s="60">
        <v>1.72</v>
      </c>
      <c r="I16" s="60">
        <v>1.65</v>
      </c>
      <c r="J16" s="60">
        <v>1.58</v>
      </c>
      <c r="K16" s="60">
        <v>1.36</v>
      </c>
      <c r="L16" s="60">
        <v>0.72</v>
      </c>
      <c r="M16" s="60">
        <v>1.47</v>
      </c>
    </row>
    <row r="17" spans="1:13">
      <c r="A17" s="60" t="s">
        <v>124</v>
      </c>
      <c r="B17" s="60" t="s">
        <v>5</v>
      </c>
      <c r="C17" s="69">
        <f>IF(IFERROR(INDEX('2016'!$F$5:$F$72,MATCH(B17,'2016'!$A$5:$A$72,0)),0)=0,"N/A",INDEX('2016'!$F$5:$F$72,MATCH(B17,'2016'!$A$5:$A$72,0)))</f>
        <v>2.63</v>
      </c>
      <c r="D17" s="60">
        <v>2.83</v>
      </c>
      <c r="E17" s="60">
        <v>2.89</v>
      </c>
      <c r="F17" s="60">
        <v>2.61</v>
      </c>
      <c r="G17" s="60">
        <v>1.97</v>
      </c>
      <c r="H17" s="60">
        <v>1.01</v>
      </c>
      <c r="I17" s="60">
        <v>1.66</v>
      </c>
      <c r="J17" s="60">
        <v>2.3199999999999998</v>
      </c>
      <c r="K17" s="60">
        <v>0.18</v>
      </c>
      <c r="L17" s="60">
        <v>2.68</v>
      </c>
      <c r="M17" s="60">
        <v>2.21</v>
      </c>
    </row>
    <row r="18" spans="1:13">
      <c r="A18" s="60" t="s">
        <v>176</v>
      </c>
      <c r="B18" s="60" t="s">
        <v>177</v>
      </c>
      <c r="C18" s="69">
        <f>IF(IFERROR(INDEX('2016'!$F$5:$F$72,MATCH(B18,'2016'!$A$5:$A$72,0)),0)=0,"N/A",INDEX('2016'!$F$5:$F$72,MATCH(B18,'2016'!$A$5:$A$72,0)))</f>
        <v>1.01</v>
      </c>
      <c r="D18" s="60">
        <v>0.94</v>
      </c>
      <c r="E18" s="60">
        <v>1.19</v>
      </c>
      <c r="F18" s="60">
        <v>1.02</v>
      </c>
      <c r="G18" s="60">
        <v>1.02</v>
      </c>
      <c r="H18" s="60">
        <v>0.86</v>
      </c>
      <c r="I18" s="60">
        <v>0.90500000000000003</v>
      </c>
      <c r="J18" s="60">
        <v>0.97499999999999998</v>
      </c>
      <c r="K18" s="60">
        <v>0.95</v>
      </c>
      <c r="L18" s="60">
        <v>0.75</v>
      </c>
      <c r="M18" s="60">
        <v>0.67</v>
      </c>
    </row>
    <row r="19" spans="1:13">
      <c r="A19" s="60" t="s">
        <v>125</v>
      </c>
      <c r="B19" s="60" t="s">
        <v>6</v>
      </c>
      <c r="C19" s="69">
        <f>IF(IFERROR(INDEX('2016'!$F$5:$F$72,MATCH(B19,'2016'!$A$5:$A$72,0)),0)=0,"N/A",INDEX('2016'!$F$5:$F$72,MATCH(B19,'2016'!$A$5:$A$72,0)))</f>
        <v>1</v>
      </c>
      <c r="D19" s="60">
        <v>1.08</v>
      </c>
      <c r="E19" s="60">
        <v>1.42</v>
      </c>
      <c r="F19" s="60">
        <v>1.24</v>
      </c>
      <c r="G19" s="60">
        <v>1.35</v>
      </c>
      <c r="H19" s="60">
        <v>1.27</v>
      </c>
      <c r="I19" s="60">
        <v>1.07</v>
      </c>
      <c r="J19" s="60">
        <v>1.01</v>
      </c>
      <c r="K19" s="60">
        <v>1.3</v>
      </c>
      <c r="L19" s="60">
        <v>1.17</v>
      </c>
      <c r="M19" s="60">
        <v>1.33</v>
      </c>
    </row>
    <row r="20" spans="1:13">
      <c r="A20" s="60" t="s">
        <v>215</v>
      </c>
      <c r="B20" s="60" t="s">
        <v>178</v>
      </c>
      <c r="C20" s="69">
        <f>IF(IFERROR(INDEX('2016'!$F$5:$F$72,MATCH(B20,'2016'!$A$5:$A$72,0)),0)=0,"N/A",INDEX('2016'!$F$5:$F$72,MATCH(B20,'2016'!$A$5:$A$72,0)))</f>
        <v>2.86</v>
      </c>
      <c r="D20" s="60">
        <v>2.68</v>
      </c>
      <c r="E20" s="60">
        <v>2.4700000000000002</v>
      </c>
      <c r="F20" s="60">
        <v>2.2599999999999998</v>
      </c>
      <c r="G20" s="60">
        <v>1.9930000000000001</v>
      </c>
      <c r="H20" s="60">
        <v>1.913</v>
      </c>
      <c r="I20" s="60">
        <v>1.82</v>
      </c>
      <c r="J20" s="60">
        <v>1.4330000000000001</v>
      </c>
      <c r="K20" s="60">
        <v>1.3919999999999999</v>
      </c>
      <c r="L20" s="60">
        <v>1.2929999999999999</v>
      </c>
      <c r="M20" s="60">
        <v>1.147</v>
      </c>
    </row>
    <row r="21" spans="1:13">
      <c r="A21" s="60" t="s">
        <v>126</v>
      </c>
      <c r="B21" s="60" t="s">
        <v>9</v>
      </c>
      <c r="C21" s="69">
        <f>IF(IFERROR(INDEX('2016'!$F$5:$F$72,MATCH(B21,'2016'!$A$5:$A$72,0)),0)=0,"N/A",INDEX('2016'!$F$5:$F$72,MATCH(B21,'2016'!$A$5:$A$72,0)))</f>
        <v>1.98</v>
      </c>
      <c r="D21" s="60">
        <v>1.89</v>
      </c>
      <c r="E21" s="60">
        <v>1.74</v>
      </c>
      <c r="F21" s="60">
        <v>1.66</v>
      </c>
      <c r="G21" s="60">
        <v>1.53</v>
      </c>
      <c r="H21" s="60">
        <v>1.45</v>
      </c>
      <c r="I21" s="60">
        <v>1.33</v>
      </c>
      <c r="J21" s="60">
        <v>0.93</v>
      </c>
      <c r="K21" s="60">
        <v>1.23</v>
      </c>
      <c r="L21" s="60">
        <v>0.64</v>
      </c>
      <c r="M21" s="60">
        <v>0.64</v>
      </c>
    </row>
    <row r="22" spans="1:13">
      <c r="A22" s="60" t="s">
        <v>179</v>
      </c>
      <c r="B22" s="60" t="s">
        <v>180</v>
      </c>
      <c r="C22" s="69">
        <f>IF(IFERROR(INDEX('2016'!$F$5:$F$72,MATCH(B22,'2016'!$A$5:$A$72,0)),0)=0,"N/A",INDEX('2016'!$F$5:$F$72,MATCH(B22,'2016'!$A$5:$A$72,0)))</f>
        <v>2.08</v>
      </c>
      <c r="D22" s="60">
        <v>2.04</v>
      </c>
      <c r="E22" s="60">
        <v>1.92</v>
      </c>
      <c r="F22" s="60">
        <v>1.66</v>
      </c>
      <c r="G22" s="60">
        <v>1.53</v>
      </c>
      <c r="H22" s="60">
        <v>1.1279999999999999</v>
      </c>
      <c r="I22" s="60">
        <v>1.1299999999999999</v>
      </c>
      <c r="J22" s="60">
        <v>1.19</v>
      </c>
      <c r="K22" s="60">
        <v>1.1100000000000001</v>
      </c>
      <c r="L22" s="60">
        <v>1.05</v>
      </c>
      <c r="M22" s="60">
        <v>0.81</v>
      </c>
    </row>
    <row r="23" spans="1:13">
      <c r="A23" s="60" t="s">
        <v>127</v>
      </c>
      <c r="B23" s="60" t="s">
        <v>10</v>
      </c>
      <c r="C23" s="69">
        <f>IF(IFERROR(INDEX('2016'!$F$5:$F$72,MATCH(B23,'2016'!$A$5:$A$72,0)),0)=0,"N/A",INDEX('2016'!$F$5:$F$72,MATCH(B23,'2016'!$A$5:$A$72,0)))</f>
        <v>3.94</v>
      </c>
      <c r="D23" s="60">
        <v>4.05</v>
      </c>
      <c r="E23" s="60">
        <v>3.62</v>
      </c>
      <c r="F23" s="60">
        <v>3.93</v>
      </c>
      <c r="G23" s="60">
        <v>3.86</v>
      </c>
      <c r="H23" s="60">
        <v>3.57</v>
      </c>
      <c r="I23" s="60">
        <v>3.47</v>
      </c>
      <c r="J23" s="60">
        <v>3.14</v>
      </c>
      <c r="K23" s="60">
        <v>3.36</v>
      </c>
      <c r="L23" s="60">
        <v>3.48</v>
      </c>
      <c r="M23" s="60">
        <v>2.95</v>
      </c>
    </row>
    <row r="24" spans="1:13">
      <c r="A24" s="60" t="s">
        <v>181</v>
      </c>
      <c r="B24" s="60" t="s">
        <v>182</v>
      </c>
      <c r="C24" s="69">
        <f>IF(IFERROR(INDEX('2016'!$F$5:$F$72,MATCH(B24,'2016'!$A$5:$A$72,0)),0)=0,"N/A",INDEX('2016'!$F$5:$F$72,MATCH(B24,'2016'!$A$5:$A$72,0)))</f>
        <v>0.27</v>
      </c>
      <c r="D24" s="60">
        <v>0.51</v>
      </c>
      <c r="E24" s="60">
        <v>0.42</v>
      </c>
      <c r="F24" s="60">
        <v>0.57999999999999996</v>
      </c>
      <c r="G24" s="60">
        <v>0.64</v>
      </c>
      <c r="H24" s="60">
        <v>0.42</v>
      </c>
      <c r="I24" s="60">
        <v>0.43</v>
      </c>
      <c r="J24" s="60">
        <v>0.74</v>
      </c>
      <c r="K24" s="60">
        <v>0.5</v>
      </c>
      <c r="L24" s="60">
        <v>0.79</v>
      </c>
      <c r="M24" s="60">
        <v>0.59</v>
      </c>
    </row>
    <row r="25" spans="1:13">
      <c r="A25" s="60" t="s">
        <v>183</v>
      </c>
      <c r="B25" s="60" t="s">
        <v>184</v>
      </c>
      <c r="C25" s="69">
        <f>IF(IFERROR(INDEX('2016'!$F$5:$F$72,MATCH(B25,'2016'!$A$5:$A$72,0)),0)=0,"N/A",INDEX('2016'!$F$5:$F$72,MATCH(B25,'2016'!$A$5:$A$72,0)))</f>
        <v>0.78</v>
      </c>
      <c r="D25" s="60">
        <v>0.92</v>
      </c>
      <c r="E25" s="60">
        <v>1.19</v>
      </c>
      <c r="F25" s="60">
        <v>1.05</v>
      </c>
      <c r="G25" s="60">
        <v>0.85</v>
      </c>
      <c r="H25" s="60">
        <v>0.95</v>
      </c>
      <c r="I25" s="60">
        <v>0.85</v>
      </c>
      <c r="J25" s="60">
        <v>0.79</v>
      </c>
      <c r="K25" s="60">
        <v>1.04</v>
      </c>
      <c r="L25" s="60">
        <v>0.81</v>
      </c>
      <c r="M25" s="60">
        <v>0.77500000000000002</v>
      </c>
    </row>
    <row r="26" spans="1:13">
      <c r="A26" s="60" t="s">
        <v>128</v>
      </c>
      <c r="B26" s="60" t="s">
        <v>11</v>
      </c>
      <c r="C26" s="69">
        <f>IF(IFERROR(INDEX('2016'!$F$5:$F$72,MATCH(B26,'2016'!$A$5:$A$72,0)),0)=0,"N/A",INDEX('2016'!$F$5:$F$72,MATCH(B26,'2016'!$A$5:$A$72,0)))</f>
        <v>3.44</v>
      </c>
      <c r="D26" s="60">
        <v>3.2</v>
      </c>
      <c r="E26" s="60">
        <v>3.05</v>
      </c>
      <c r="F26" s="60">
        <v>3.09</v>
      </c>
      <c r="G26" s="60">
        <v>2.75</v>
      </c>
      <c r="H26" s="60">
        <v>2.76</v>
      </c>
      <c r="I26" s="60">
        <v>2.89</v>
      </c>
      <c r="J26" s="60">
        <v>2.64</v>
      </c>
      <c r="K26" s="60">
        <v>3.04</v>
      </c>
      <c r="L26" s="60">
        <v>2.13</v>
      </c>
      <c r="M26" s="60">
        <v>2.4</v>
      </c>
    </row>
    <row r="27" spans="1:13">
      <c r="A27" s="60" t="s">
        <v>129</v>
      </c>
      <c r="B27" s="60" t="s">
        <v>12</v>
      </c>
      <c r="C27" s="69">
        <f>IF(IFERROR(INDEX('2016'!$F$5:$F$72,MATCH(B27,'2016'!$A$5:$A$72,0)),0)=0,"N/A",INDEX('2016'!$F$5:$F$72,MATCH(B27,'2016'!$A$5:$A$72,0)))</f>
        <v>4.83</v>
      </c>
      <c r="D27" s="60">
        <v>4.4400000000000004</v>
      </c>
      <c r="E27" s="60">
        <v>5.0999999999999996</v>
      </c>
      <c r="F27" s="60">
        <v>3.76</v>
      </c>
      <c r="G27" s="60">
        <v>3.88</v>
      </c>
      <c r="H27" s="60">
        <v>3.67</v>
      </c>
      <c r="I27" s="60">
        <v>3.74</v>
      </c>
      <c r="J27" s="60">
        <v>3.24</v>
      </c>
      <c r="K27" s="60">
        <v>2.73</v>
      </c>
      <c r="L27" s="60">
        <v>2.66</v>
      </c>
      <c r="M27" s="60">
        <v>2.4500000000000002</v>
      </c>
    </row>
    <row r="28" spans="1:13">
      <c r="A28" s="60" t="s">
        <v>130</v>
      </c>
      <c r="B28" s="60" t="s">
        <v>13</v>
      </c>
      <c r="C28" s="69">
        <f>IF(IFERROR(INDEX('2016'!$F$5:$F$72,MATCH(B28,'2016'!$A$5:$A$72,0)),0)=0,"N/A",INDEX('2016'!$F$5:$F$72,MATCH(B28,'2016'!$A$5:$A$72,0)))</f>
        <v>3.71</v>
      </c>
      <c r="D28" s="60">
        <v>4.0999999999999996</v>
      </c>
      <c r="E28" s="60">
        <v>4.13</v>
      </c>
      <c r="F28" s="60">
        <v>3.98</v>
      </c>
      <c r="G28" s="60">
        <v>3.71</v>
      </c>
      <c r="H28" s="60">
        <v>4.1399999999999997</v>
      </c>
      <c r="I28" s="60">
        <v>4.0199999999999996</v>
      </c>
      <c r="J28" s="60">
        <v>3.39</v>
      </c>
      <c r="K28" s="60">
        <v>3.03</v>
      </c>
      <c r="L28" s="60">
        <v>3.6</v>
      </c>
      <c r="M28" s="60">
        <v>2.73</v>
      </c>
    </row>
    <row r="29" spans="1:13">
      <c r="A29" s="60" t="s">
        <v>131</v>
      </c>
      <c r="B29" s="60" t="s">
        <v>14</v>
      </c>
      <c r="C29" s="69">
        <f>IF(IFERROR(INDEX('2016'!$F$5:$F$72,MATCH(B29,'2016'!$A$5:$A$72,0)),0)=0,"N/A",INDEX('2016'!$F$5:$F$72,MATCH(B29,'2016'!$A$5:$A$72,0)))</f>
        <v>3.94</v>
      </c>
      <c r="D29" s="60">
        <v>4.1500000000000004</v>
      </c>
      <c r="E29" s="60">
        <v>4.33</v>
      </c>
      <c r="F29" s="60">
        <v>3.78</v>
      </c>
      <c r="G29" s="60">
        <v>4.55</v>
      </c>
      <c r="H29" s="60">
        <v>3.23</v>
      </c>
      <c r="I29" s="60">
        <v>3.35</v>
      </c>
      <c r="J29" s="60">
        <v>3.24</v>
      </c>
      <c r="K29" s="60">
        <v>3.68</v>
      </c>
      <c r="L29" s="60">
        <v>3.32</v>
      </c>
      <c r="M29" s="60">
        <v>3.28</v>
      </c>
    </row>
    <row r="30" spans="1:13">
      <c r="A30" s="60" t="s">
        <v>132</v>
      </c>
      <c r="B30" s="60" t="s">
        <v>15</v>
      </c>
      <c r="C30" s="69">
        <f>IF(IFERROR(INDEX('2016'!$F$5:$F$72,MATCH(B30,'2016'!$A$5:$A$72,0)),0)=0,"N/A",INDEX('2016'!$F$5:$F$72,MATCH(B30,'2016'!$A$5:$A$72,0)))</f>
        <v>2.39</v>
      </c>
      <c r="D30" s="60">
        <v>2.0299999999999998</v>
      </c>
      <c r="E30" s="60">
        <v>2.27</v>
      </c>
      <c r="F30" s="60">
        <v>2.2000000000000002</v>
      </c>
      <c r="G30" s="60">
        <v>2.2599999999999998</v>
      </c>
      <c r="H30" s="60">
        <v>2.48</v>
      </c>
      <c r="I30" s="60">
        <v>2.0699999999999998</v>
      </c>
      <c r="J30" s="60">
        <v>1.5</v>
      </c>
      <c r="K30" s="60">
        <v>1.73</v>
      </c>
      <c r="L30" s="60">
        <v>1.63</v>
      </c>
      <c r="M30" s="60">
        <v>1.27</v>
      </c>
    </row>
    <row r="31" spans="1:13">
      <c r="A31" s="60" t="s">
        <v>134</v>
      </c>
      <c r="B31" s="60" t="s">
        <v>17</v>
      </c>
      <c r="C31" s="69">
        <f>IF(IFERROR(INDEX('2016'!$F$5:$F$72,MATCH(B31,'2016'!$A$5:$A$72,0)),0)=0,"N/A",INDEX('2016'!$F$5:$F$72,MATCH(B31,'2016'!$A$5:$A$72,0)))</f>
        <v>6.88</v>
      </c>
      <c r="D31" s="60">
        <v>5.81</v>
      </c>
      <c r="E31" s="60">
        <v>5.77</v>
      </c>
      <c r="F31" s="60">
        <v>4.96</v>
      </c>
      <c r="G31" s="60">
        <v>6.02</v>
      </c>
      <c r="H31" s="60">
        <v>7.55</v>
      </c>
      <c r="I31" s="60">
        <v>6.66</v>
      </c>
      <c r="J31" s="60">
        <v>6.3</v>
      </c>
      <c r="K31" s="60">
        <v>6.2</v>
      </c>
      <c r="L31" s="60">
        <v>5.6</v>
      </c>
      <c r="M31" s="60">
        <v>5.36</v>
      </c>
    </row>
    <row r="32" spans="1:13">
      <c r="A32" s="60" t="s">
        <v>210</v>
      </c>
      <c r="B32" s="60" t="s">
        <v>211</v>
      </c>
      <c r="C32" s="69">
        <f>IF(IFERROR(INDEX('2016'!$F$5:$F$72,MATCH(B32,'2016'!$A$5:$A$72,0)),0)=0,"N/A",INDEX('2016'!$F$5:$F$72,MATCH(B32,'2016'!$A$5:$A$72,0)))</f>
        <v>2.96</v>
      </c>
      <c r="D32" s="60">
        <v>2.76</v>
      </c>
      <c r="E32" s="60">
        <v>2.58</v>
      </c>
      <c r="F32" s="60">
        <v>2.4900000000000002</v>
      </c>
      <c r="G32" s="60">
        <v>1.89</v>
      </c>
      <c r="H32" s="60">
        <v>2.2200000000000002</v>
      </c>
      <c r="I32" s="60">
        <v>2.1</v>
      </c>
      <c r="J32" s="60">
        <v>1.91</v>
      </c>
      <c r="K32" s="60">
        <v>1.86</v>
      </c>
      <c r="L32" s="60">
        <v>1.59</v>
      </c>
      <c r="M32" s="60">
        <v>0.82</v>
      </c>
    </row>
    <row r="33" spans="1:13">
      <c r="A33" s="60" t="s">
        <v>135</v>
      </c>
      <c r="B33" s="60" t="s">
        <v>18</v>
      </c>
      <c r="C33" s="69">
        <f>IF(IFERROR(INDEX('2016'!$F$5:$F$72,MATCH(B33,'2016'!$A$5:$A$72,0)),0)=0,"N/A",INDEX('2016'!$F$5:$F$72,MATCH(B33,'2016'!$A$5:$A$72,0)))</f>
        <v>1.8</v>
      </c>
      <c r="D33" s="60">
        <v>2.54</v>
      </c>
      <c r="E33" s="60">
        <v>2.1</v>
      </c>
      <c r="F33" s="60">
        <v>2.31</v>
      </c>
      <c r="G33" s="60">
        <v>1.92</v>
      </c>
      <c r="H33" s="60">
        <v>3.75</v>
      </c>
      <c r="I33" s="60">
        <v>3.87</v>
      </c>
      <c r="J33" s="60">
        <v>4.29</v>
      </c>
      <c r="K33" s="60">
        <v>4.0999999999999996</v>
      </c>
      <c r="L33" s="60">
        <v>4.03</v>
      </c>
      <c r="M33" s="60">
        <v>3.5</v>
      </c>
    </row>
    <row r="34" spans="1:13">
      <c r="A34" s="60" t="s">
        <v>136</v>
      </c>
      <c r="B34" s="60" t="s">
        <v>19</v>
      </c>
      <c r="C34" s="69">
        <f>IF(IFERROR(INDEX('2016'!$F$5:$F$72,MATCH(B34,'2016'!$A$5:$A$72,0)),0)=0,"N/A",INDEX('2016'!$F$5:$F$72,MATCH(B34,'2016'!$A$5:$A$72,0)))</f>
        <v>2.1</v>
      </c>
      <c r="D34" s="60">
        <v>2</v>
      </c>
      <c r="E34" s="60">
        <v>0.85</v>
      </c>
      <c r="F34" s="60">
        <v>2.97</v>
      </c>
      <c r="G34" s="60">
        <v>2.13</v>
      </c>
      <c r="H34" s="60">
        <v>1.88</v>
      </c>
      <c r="I34" s="60">
        <v>3.25</v>
      </c>
      <c r="J34" s="60">
        <v>3.32</v>
      </c>
      <c r="K34" s="60">
        <v>4.38</v>
      </c>
      <c r="L34" s="60">
        <v>4.22</v>
      </c>
      <c r="M34" s="60">
        <v>3.82</v>
      </c>
    </row>
    <row r="35" spans="1:13">
      <c r="A35" s="60" t="s">
        <v>266</v>
      </c>
      <c r="B35" s="60" t="s">
        <v>267</v>
      </c>
      <c r="C35" s="69">
        <f>IF(IFERROR(INDEX('2016'!$F$5:$F$72,MATCH(B35,'2016'!$A$5:$A$72,0)),0)=0,"N/A",INDEX('2016'!$F$5:$F$72,MATCH(B35,'2016'!$A$5:$A$72,0)))</f>
        <v>1.89</v>
      </c>
      <c r="D35" s="60">
        <v>2.11</v>
      </c>
      <c r="E35" s="60">
        <v>1.38</v>
      </c>
      <c r="F35" s="60">
        <v>1.63</v>
      </c>
      <c r="G35" s="60">
        <v>1.65</v>
      </c>
      <c r="H35" s="60">
        <v>1.74</v>
      </c>
      <c r="I35" s="60">
        <v>1.62</v>
      </c>
      <c r="J35" s="60">
        <v>1.51</v>
      </c>
      <c r="K35" s="60">
        <v>1.52</v>
      </c>
      <c r="L35" s="60">
        <v>1.2869999999999999</v>
      </c>
      <c r="M35" s="60">
        <v>1.359</v>
      </c>
    </row>
    <row r="36" spans="1:13">
      <c r="A36" s="60" t="s">
        <v>185</v>
      </c>
      <c r="B36" s="60" t="s">
        <v>186</v>
      </c>
      <c r="C36" s="69">
        <f>IF(IFERROR(INDEX('2016'!$F$5:$F$72,MATCH(B36,'2016'!$A$5:$A$72,0)),0)=0,"N/A",INDEX('2016'!$F$5:$F$72,MATCH(B36,'2016'!$A$5:$A$72,0)))</f>
        <v>5.0999999999999997E-2</v>
      </c>
      <c r="D36" s="60">
        <v>0.11</v>
      </c>
      <c r="E36" s="60">
        <v>0.253</v>
      </c>
      <c r="F36" s="60">
        <v>0.75</v>
      </c>
      <c r="G36" s="60">
        <v>0.46</v>
      </c>
      <c r="H36" s="60">
        <v>0.66</v>
      </c>
      <c r="I36" s="60">
        <v>0.92</v>
      </c>
      <c r="J36" s="60">
        <v>1.58</v>
      </c>
      <c r="K36" s="60">
        <v>0.77</v>
      </c>
      <c r="L36" s="60">
        <v>0.50700000000000001</v>
      </c>
      <c r="M36" s="60">
        <v>0.52700000000000002</v>
      </c>
    </row>
    <row r="37" spans="1:13">
      <c r="A37" s="60" t="s">
        <v>137</v>
      </c>
      <c r="B37" s="60" t="s">
        <v>20</v>
      </c>
      <c r="C37" s="69">
        <f>IF(IFERROR(INDEX('2016'!$F$5:$F$72,MATCH(B37,'2016'!$A$5:$A$72,0)),0)=0,"N/A",INDEX('2016'!$F$5:$F$72,MATCH(B37,'2016'!$A$5:$A$72,0)))</f>
        <v>1.61</v>
      </c>
      <c r="D37" s="60">
        <v>1.37</v>
      </c>
      <c r="E37" s="60">
        <v>1.57</v>
      </c>
      <c r="F37" s="60">
        <v>1.62</v>
      </c>
      <c r="G37" s="60">
        <v>1.35</v>
      </c>
      <c r="H37" s="60">
        <v>1.25</v>
      </c>
      <c r="I37" s="60">
        <v>1.53</v>
      </c>
      <c r="J37" s="60">
        <v>1.03</v>
      </c>
      <c r="K37" s="60">
        <v>1.1599999999999999</v>
      </c>
      <c r="L37" s="60">
        <v>1.85</v>
      </c>
      <c r="M37" s="60">
        <v>1.62</v>
      </c>
    </row>
    <row r="38" spans="1:13">
      <c r="A38" s="60" t="s">
        <v>138</v>
      </c>
      <c r="B38" s="60" t="s">
        <v>21</v>
      </c>
      <c r="C38" s="69">
        <f>IF(IFERROR(INDEX('2016'!$F$5:$F$72,MATCH(B38,'2016'!$A$5:$A$72,0)),0)=0,"N/A",INDEX('2016'!$F$5:$F$72,MATCH(B38,'2016'!$A$5:$A$72,0)))</f>
        <v>2.29</v>
      </c>
      <c r="D38" s="60">
        <v>1.5</v>
      </c>
      <c r="E38" s="60">
        <v>1.64</v>
      </c>
      <c r="F38" s="60">
        <v>1.62</v>
      </c>
      <c r="G38" s="60">
        <v>1.67</v>
      </c>
      <c r="H38" s="60">
        <v>1.44</v>
      </c>
      <c r="I38" s="60">
        <v>1.21</v>
      </c>
      <c r="J38" s="60">
        <v>0.91</v>
      </c>
      <c r="K38" s="60">
        <v>1.07</v>
      </c>
      <c r="L38" s="60">
        <v>1.1100000000000001</v>
      </c>
      <c r="M38" s="60">
        <v>1.33</v>
      </c>
    </row>
    <row r="39" spans="1:13">
      <c r="A39" s="60" t="s">
        <v>216</v>
      </c>
      <c r="B39" s="60" t="s">
        <v>22</v>
      </c>
      <c r="C39" s="69">
        <f>IF(IFERROR(INDEX('2016'!$F$5:$F$72,MATCH(B39,'2016'!$A$5:$A$72,0)),0)=0,"N/A",INDEX('2016'!$F$5:$F$72,MATCH(B39,'2016'!$A$5:$A$72,0)))</f>
        <v>3.94</v>
      </c>
      <c r="D39" s="60">
        <v>3.87</v>
      </c>
      <c r="E39" s="60">
        <v>3.85</v>
      </c>
      <c r="F39" s="60">
        <v>3.64</v>
      </c>
      <c r="G39" s="60">
        <v>3.37</v>
      </c>
      <c r="H39" s="60">
        <v>3.36</v>
      </c>
      <c r="I39" s="60">
        <v>2.95</v>
      </c>
      <c r="J39" s="60">
        <v>2.64</v>
      </c>
      <c r="K39" s="60">
        <v>2.1800000000000002</v>
      </c>
      <c r="L39" s="60">
        <v>1.86</v>
      </c>
      <c r="M39" s="60">
        <v>2.35</v>
      </c>
    </row>
    <row r="40" spans="1:13">
      <c r="A40" s="60" t="s">
        <v>139</v>
      </c>
      <c r="B40" s="60" t="s">
        <v>25</v>
      </c>
      <c r="C40" s="69">
        <f>IF(IFERROR(INDEX('2016'!$F$5:$F$72,MATCH(B40,'2016'!$A$5:$A$72,0)),0)=0,"N/A",INDEX('2016'!$F$5:$F$72,MATCH(B40,'2016'!$A$5:$A$72,0)))</f>
        <v>2.1800000000000002</v>
      </c>
      <c r="D40" s="60">
        <v>2.06</v>
      </c>
      <c r="E40" s="60">
        <v>2.3199999999999998</v>
      </c>
      <c r="F40" s="60">
        <v>2.16</v>
      </c>
      <c r="G40" s="60">
        <v>1.86</v>
      </c>
      <c r="H40" s="60">
        <v>1.76</v>
      </c>
      <c r="I40" s="60">
        <v>1.667</v>
      </c>
      <c r="J40" s="60">
        <v>1.4730000000000001</v>
      </c>
      <c r="K40" s="60">
        <v>1.587</v>
      </c>
      <c r="L40" s="60">
        <v>1.5129999999999999</v>
      </c>
      <c r="M40" s="60">
        <v>1.373</v>
      </c>
    </row>
    <row r="41" spans="1:13">
      <c r="A41" s="60" t="s">
        <v>187</v>
      </c>
      <c r="B41" s="60" t="s">
        <v>188</v>
      </c>
      <c r="C41" s="69">
        <f>IF(IFERROR(INDEX('2016'!$F$5:$F$72,MATCH(B41,'2016'!$A$5:$A$72,0)),0)=0,"N/A",INDEX('2016'!$F$5:$F$72,MATCH(B41,'2016'!$A$5:$A$72,0)))</f>
        <v>1.38</v>
      </c>
      <c r="D41" s="60">
        <v>1.22</v>
      </c>
      <c r="E41" s="60">
        <v>1.1299999999999999</v>
      </c>
      <c r="F41" s="60">
        <v>1.03</v>
      </c>
      <c r="G41" s="60">
        <v>0.9</v>
      </c>
      <c r="H41" s="60">
        <v>0.84</v>
      </c>
      <c r="I41" s="60">
        <v>0.96</v>
      </c>
      <c r="J41" s="60">
        <v>0.72</v>
      </c>
      <c r="K41" s="60">
        <v>0.89</v>
      </c>
      <c r="L41" s="60">
        <v>0.87</v>
      </c>
      <c r="M41" s="60">
        <v>0.82</v>
      </c>
    </row>
    <row r="42" spans="1:13">
      <c r="A42" s="60" t="s">
        <v>189</v>
      </c>
      <c r="B42" s="60" t="s">
        <v>190</v>
      </c>
      <c r="C42" s="69">
        <f>IF(IFERROR(INDEX('2016'!$F$5:$F$72,MATCH(B42,'2016'!$A$5:$A$72,0)),0)=0,"N/A",INDEX('2016'!$F$5:$F$72,MATCH(B42,'2016'!$A$5:$A$72,0)))</f>
        <v>1.61</v>
      </c>
      <c r="D42" s="60">
        <v>1.78</v>
      </c>
      <c r="E42" s="60">
        <v>2.08</v>
      </c>
      <c r="F42" s="60">
        <v>1.365</v>
      </c>
      <c r="G42" s="60">
        <v>1.355</v>
      </c>
      <c r="H42" s="60">
        <v>1.29</v>
      </c>
      <c r="I42" s="60">
        <v>1.23</v>
      </c>
      <c r="J42" s="60">
        <v>1.2</v>
      </c>
      <c r="K42" s="60">
        <v>1.35</v>
      </c>
      <c r="L42" s="60">
        <v>0.77700000000000002</v>
      </c>
      <c r="M42" s="60">
        <v>0.93300000000000005</v>
      </c>
    </row>
    <row r="43" spans="1:13">
      <c r="A43" s="60" t="s">
        <v>140</v>
      </c>
      <c r="B43" s="60" t="s">
        <v>141</v>
      </c>
      <c r="C43" s="69">
        <f>IF(IFERROR(INDEX('2016'!$F$5:$F$72,MATCH(B43,'2016'!$A$5:$A$72,0)),0)=0,"N/A",INDEX('2016'!$F$5:$F$72,MATCH(B43,'2016'!$A$5:$A$72,0)))</f>
        <v>5.78</v>
      </c>
      <c r="D43" s="60">
        <v>6.06</v>
      </c>
      <c r="E43" s="60">
        <v>5.6</v>
      </c>
      <c r="F43" s="60">
        <v>4.83</v>
      </c>
      <c r="G43" s="60">
        <v>4.5599999999999996</v>
      </c>
      <c r="H43" s="60">
        <v>4.82</v>
      </c>
      <c r="I43" s="60">
        <v>4.74</v>
      </c>
      <c r="J43" s="60">
        <v>3.97</v>
      </c>
      <c r="K43" s="60">
        <v>4.07</v>
      </c>
      <c r="L43" s="60">
        <v>3.27</v>
      </c>
      <c r="M43" s="60">
        <v>3.23</v>
      </c>
    </row>
    <row r="44" spans="1:13">
      <c r="A44" s="60" t="s">
        <v>142</v>
      </c>
      <c r="B44" s="60" t="s">
        <v>26</v>
      </c>
      <c r="C44" s="69">
        <f>IF(IFERROR(INDEX('2016'!$F$5:$F$72,MATCH(B44,'2016'!$A$5:$A$72,0)),0)=0,"N/A",INDEX('2016'!$F$5:$F$72,MATCH(B44,'2016'!$A$5:$A$72,0)))</f>
        <v>1</v>
      </c>
      <c r="D44" s="60">
        <v>0.63</v>
      </c>
      <c r="E44" s="60">
        <v>1.67</v>
      </c>
      <c r="F44" s="60">
        <v>1.57</v>
      </c>
      <c r="G44" s="60">
        <v>1.37</v>
      </c>
      <c r="H44" s="60">
        <v>1.05</v>
      </c>
      <c r="I44" s="60">
        <v>1.06</v>
      </c>
      <c r="J44" s="60">
        <v>0.84</v>
      </c>
      <c r="K44" s="60">
        <v>1.34</v>
      </c>
      <c r="L44" s="60">
        <v>1.1399999999999999</v>
      </c>
      <c r="M44" s="60">
        <v>1.1399999999999999</v>
      </c>
    </row>
    <row r="45" spans="1:13">
      <c r="A45" s="60" t="s">
        <v>191</v>
      </c>
      <c r="B45" s="60" t="s">
        <v>192</v>
      </c>
      <c r="C45" s="69">
        <f>IF(IFERROR(INDEX('2016'!$F$5:$F$72,MATCH(B45,'2016'!$A$5:$A$72,0)),0)=0,"N/A",INDEX('2016'!$F$5:$F$72,MATCH(B45,'2016'!$A$5:$A$72,0)))</f>
        <v>2.12</v>
      </c>
      <c r="D45" s="60">
        <v>1.96</v>
      </c>
      <c r="E45" s="60">
        <v>2.16</v>
      </c>
      <c r="F45" s="60">
        <v>2.2400000000000002</v>
      </c>
      <c r="G45" s="60">
        <v>2.2200000000000002</v>
      </c>
      <c r="H45" s="60">
        <v>2.39</v>
      </c>
      <c r="I45" s="60">
        <v>2.73</v>
      </c>
      <c r="J45" s="60">
        <v>2.83</v>
      </c>
      <c r="K45" s="60">
        <v>2.57</v>
      </c>
      <c r="L45" s="60">
        <v>2.76</v>
      </c>
      <c r="M45" s="60">
        <v>2.35</v>
      </c>
    </row>
    <row r="46" spans="1:13">
      <c r="A46" s="60" t="s">
        <v>143</v>
      </c>
      <c r="B46" s="60" t="s">
        <v>144</v>
      </c>
      <c r="C46" s="69">
        <f>IF(IFERROR(INDEX('2016'!$F$5:$F$72,MATCH(B46,'2016'!$A$5:$A$72,0)),0)=0,"N/A",INDEX('2016'!$F$5:$F$72,MATCH(B46,'2016'!$A$5:$A$72,0)))</f>
        <v>3.39</v>
      </c>
      <c r="D46" s="60">
        <v>2.9</v>
      </c>
      <c r="E46" s="60">
        <v>2.99</v>
      </c>
      <c r="F46" s="60">
        <v>2.46</v>
      </c>
      <c r="G46" s="60">
        <v>2.2599999999999998</v>
      </c>
      <c r="H46" s="60">
        <v>2.5299999999999998</v>
      </c>
      <c r="I46" s="60">
        <v>2.14</v>
      </c>
      <c r="J46" s="60">
        <v>2.02</v>
      </c>
      <c r="K46" s="60">
        <v>1.77</v>
      </c>
      <c r="L46" s="60">
        <v>1.44</v>
      </c>
      <c r="M46" s="60">
        <v>1.31</v>
      </c>
    </row>
    <row r="47" spans="1:13">
      <c r="A47" s="60" t="s">
        <v>145</v>
      </c>
      <c r="B47" s="60" t="s">
        <v>27</v>
      </c>
      <c r="C47" s="69">
        <f>IF(IFERROR(INDEX('2016'!$F$5:$F$72,MATCH(B47,'2016'!$A$5:$A$72,0)),0)=0,"N/A",INDEX('2016'!$F$5:$F$72,MATCH(B47,'2016'!$A$5:$A$72,0)))</f>
        <v>1.69</v>
      </c>
      <c r="D47" s="60">
        <v>1.69</v>
      </c>
      <c r="E47" s="60">
        <v>1.98</v>
      </c>
      <c r="F47" s="60">
        <v>1.94</v>
      </c>
      <c r="G47" s="60">
        <v>1.79</v>
      </c>
      <c r="H47" s="60">
        <v>1.7250000000000001</v>
      </c>
      <c r="I47" s="60">
        <v>1.4950000000000001</v>
      </c>
      <c r="J47" s="60">
        <v>1.33</v>
      </c>
      <c r="K47" s="60">
        <v>1.2450000000000001</v>
      </c>
      <c r="L47" s="60">
        <v>1.32</v>
      </c>
      <c r="M47" s="60">
        <v>1.2250000000000001</v>
      </c>
    </row>
    <row r="48" spans="1:13">
      <c r="A48" s="60" t="s">
        <v>356</v>
      </c>
      <c r="B48" s="60" t="s">
        <v>353</v>
      </c>
      <c r="C48" s="69">
        <v>2.65</v>
      </c>
      <c r="D48" s="60">
        <v>2.2400000000000002</v>
      </c>
      <c r="E48" s="60">
        <v>2.0699999999999998</v>
      </c>
    </row>
    <row r="49" spans="1:13">
      <c r="A49" s="60" t="s">
        <v>146</v>
      </c>
      <c r="B49" s="60" t="s">
        <v>28</v>
      </c>
      <c r="C49" s="69">
        <f>IF(IFERROR(INDEX('2016'!$F$5:$F$72,MATCH(B49,'2016'!$A$5:$A$72,0)),0)=0,"N/A",INDEX('2016'!$F$5:$F$72,MATCH(B49,'2016'!$A$5:$A$72,0)))</f>
        <v>1.6</v>
      </c>
      <c r="D49" s="60">
        <v>1.56</v>
      </c>
      <c r="E49" s="60">
        <v>1.55</v>
      </c>
      <c r="F49" s="60">
        <v>1.37</v>
      </c>
      <c r="G49" s="60">
        <v>1.05</v>
      </c>
      <c r="H49" s="60">
        <v>0.45</v>
      </c>
      <c r="I49" s="60">
        <v>0.38</v>
      </c>
      <c r="J49" s="60">
        <v>0.71</v>
      </c>
      <c r="K49" s="60">
        <v>1.0900000000000001</v>
      </c>
      <c r="L49" s="60">
        <v>1.78</v>
      </c>
      <c r="M49" s="60">
        <v>1.69</v>
      </c>
    </row>
    <row r="50" spans="1:13">
      <c r="A50" s="60" t="s">
        <v>147</v>
      </c>
      <c r="B50" s="60" t="s">
        <v>30</v>
      </c>
      <c r="C50" s="69">
        <f>IF(IFERROR(INDEX('2016'!$F$5:$F$72,MATCH(B50,'2016'!$A$5:$A$72,0)),0)=0,"N/A",INDEX('2016'!$F$5:$F$72,MATCH(B50,'2016'!$A$5:$A$72,0)))</f>
        <v>2.83</v>
      </c>
      <c r="D50" s="60">
        <v>2</v>
      </c>
      <c r="E50" s="60">
        <v>3.06</v>
      </c>
      <c r="F50" s="60">
        <v>1.83</v>
      </c>
      <c r="G50" s="60">
        <v>2.0699999999999998</v>
      </c>
      <c r="H50" s="60">
        <v>2.78</v>
      </c>
      <c r="I50" s="60">
        <v>2.82</v>
      </c>
      <c r="J50" s="60">
        <v>3.03</v>
      </c>
      <c r="K50" s="60">
        <v>3.22</v>
      </c>
      <c r="L50" s="60">
        <v>2.78</v>
      </c>
      <c r="M50" s="60">
        <v>2.76</v>
      </c>
    </row>
    <row r="51" spans="1:13">
      <c r="A51" s="60" t="s">
        <v>148</v>
      </c>
      <c r="B51" s="60" t="s">
        <v>31</v>
      </c>
      <c r="C51" s="69">
        <f>IF(IFERROR(INDEX('2016'!$F$5:$F$72,MATCH(B51,'2016'!$A$5:$A$72,0)),0)=0,"N/A",INDEX('2016'!$F$5:$F$72,MATCH(B51,'2016'!$A$5:$A$72,0)))</f>
        <v>3.95</v>
      </c>
      <c r="D51" s="60">
        <v>3.92</v>
      </c>
      <c r="E51" s="60">
        <v>3.58</v>
      </c>
      <c r="F51" s="60">
        <v>3.66</v>
      </c>
      <c r="G51" s="60">
        <v>3.5</v>
      </c>
      <c r="H51" s="60">
        <v>2.99</v>
      </c>
      <c r="I51" s="60">
        <v>3.08</v>
      </c>
      <c r="J51" s="60">
        <v>2.2599999999999998</v>
      </c>
      <c r="K51" s="60">
        <v>2.12</v>
      </c>
      <c r="L51" s="60">
        <v>2.96</v>
      </c>
      <c r="M51" s="60">
        <v>3.17</v>
      </c>
    </row>
    <row r="52" spans="1:13">
      <c r="A52" s="60" t="s">
        <v>149</v>
      </c>
      <c r="B52" s="60" t="s">
        <v>32</v>
      </c>
      <c r="C52" s="69">
        <f>IF(IFERROR(INDEX('2016'!$F$5:$F$72,MATCH(B52,'2016'!$A$5:$A$72,0)),0)=0,"N/A",INDEX('2016'!$F$5:$F$72,MATCH(B52,'2016'!$A$5:$A$72,0)))</f>
        <v>1.65</v>
      </c>
      <c r="D52" s="60">
        <v>1.64</v>
      </c>
      <c r="E52" s="60">
        <v>1.45</v>
      </c>
      <c r="F52" s="60">
        <v>1.41</v>
      </c>
      <c r="G52" s="60">
        <v>1.31</v>
      </c>
      <c r="H52" s="60">
        <v>1.08</v>
      </c>
      <c r="I52" s="60">
        <v>0.87</v>
      </c>
      <c r="J52" s="60">
        <v>0.57999999999999996</v>
      </c>
      <c r="K52" s="60">
        <v>0.11</v>
      </c>
      <c r="L52" s="60">
        <v>0.76</v>
      </c>
      <c r="M52" s="60">
        <v>1.72</v>
      </c>
    </row>
    <row r="53" spans="1:13">
      <c r="A53" s="60" t="s">
        <v>150</v>
      </c>
      <c r="B53" s="60" t="s">
        <v>33</v>
      </c>
      <c r="C53" s="69">
        <f>IF(IFERROR(INDEX('2016'!$F$5:$F$72,MATCH(B53,'2016'!$A$5:$A$72,0)),0)=0,"N/A",INDEX('2016'!$F$5:$F$72,MATCH(B53,'2016'!$A$5:$A$72,0)))</f>
        <v>2.16</v>
      </c>
      <c r="D53" s="60">
        <v>2.04</v>
      </c>
      <c r="E53" s="60">
        <v>2.1800000000000002</v>
      </c>
      <c r="F53" s="60">
        <v>1.77</v>
      </c>
      <c r="G53" s="60">
        <v>1.87</v>
      </c>
      <c r="H53" s="60">
        <v>1.95</v>
      </c>
      <c r="I53" s="60">
        <v>1.66</v>
      </c>
      <c r="J53" s="60">
        <v>1.31</v>
      </c>
      <c r="K53" s="60">
        <v>1.39</v>
      </c>
      <c r="L53" s="60">
        <v>2.33</v>
      </c>
      <c r="M53" s="60">
        <v>1.1399999999999999</v>
      </c>
    </row>
    <row r="54" spans="1:13">
      <c r="A54" s="60" t="s">
        <v>151</v>
      </c>
      <c r="B54" s="60" t="s">
        <v>34</v>
      </c>
      <c r="C54" s="69">
        <f>IF(IFERROR(INDEX('2016'!$F$5:$F$72,MATCH(B54,'2016'!$A$5:$A$72,0)),0)=0,"N/A",INDEX('2016'!$F$5:$F$72,MATCH(B54,'2016'!$A$5:$A$72,0)))</f>
        <v>2.79</v>
      </c>
      <c r="D54" s="60">
        <v>2.37</v>
      </c>
      <c r="E54" s="60">
        <v>2.38</v>
      </c>
      <c r="F54" s="60">
        <v>2.38</v>
      </c>
      <c r="G54" s="60">
        <v>2.61</v>
      </c>
      <c r="H54" s="60">
        <v>2.61</v>
      </c>
      <c r="I54" s="60">
        <v>2.29</v>
      </c>
      <c r="J54" s="60">
        <v>1.19</v>
      </c>
      <c r="K54" s="60">
        <v>2.4500000000000002</v>
      </c>
      <c r="L54" s="60">
        <v>2.63</v>
      </c>
      <c r="M54" s="60">
        <v>2.29</v>
      </c>
    </row>
    <row r="55" spans="1:13">
      <c r="A55" s="60" t="s">
        <v>152</v>
      </c>
      <c r="B55" s="60" t="s">
        <v>35</v>
      </c>
      <c r="C55" s="69">
        <f>IF(IFERROR(INDEX('2016'!$F$5:$F$72,MATCH(B55,'2016'!$A$5:$A$72,0)),0)=0,"N/A",INDEX('2016'!$F$5:$F$72,MATCH(B55,'2016'!$A$5:$A$72,0)))</f>
        <v>2.83</v>
      </c>
      <c r="D55" s="60">
        <v>3.3</v>
      </c>
      <c r="E55" s="60">
        <v>2.99</v>
      </c>
      <c r="F55" s="60">
        <v>2.4500000000000002</v>
      </c>
      <c r="G55" s="60">
        <v>2.44</v>
      </c>
      <c r="H55" s="60">
        <v>3.11</v>
      </c>
      <c r="I55" s="60">
        <v>3.07</v>
      </c>
      <c r="J55" s="60">
        <v>3.08</v>
      </c>
      <c r="K55" s="60">
        <v>2.9</v>
      </c>
      <c r="L55" s="60">
        <v>2.59</v>
      </c>
      <c r="M55" s="60">
        <v>1.845</v>
      </c>
    </row>
    <row r="56" spans="1:13">
      <c r="A56" s="60" t="s">
        <v>193</v>
      </c>
      <c r="B56" s="60" t="s">
        <v>194</v>
      </c>
      <c r="C56" s="69">
        <f>IF(IFERROR(INDEX('2016'!$F$5:$F$72,MATCH(B56,'2016'!$A$5:$A$72,0)),0)=0,"N/A",INDEX('2016'!$F$5:$F$72,MATCH(B56,'2016'!$A$5:$A$72,0)))</f>
        <v>0.81299999999999994</v>
      </c>
      <c r="D56" s="60">
        <v>0.72</v>
      </c>
      <c r="E56" s="60">
        <v>0.66700000000000004</v>
      </c>
      <c r="F56" s="60">
        <v>0.60699999999999998</v>
      </c>
      <c r="G56" s="60">
        <v>0.61299999999999999</v>
      </c>
      <c r="H56" s="60">
        <v>0.67300000000000004</v>
      </c>
      <c r="I56" s="60">
        <v>0.65300000000000002</v>
      </c>
      <c r="J56" s="60">
        <v>0.72699999999999998</v>
      </c>
      <c r="K56" s="60">
        <v>0.64300000000000002</v>
      </c>
      <c r="L56" s="60">
        <v>0.57699999999999996</v>
      </c>
      <c r="M56" s="60">
        <v>0.51300000000000001</v>
      </c>
    </row>
    <row r="57" spans="1:13">
      <c r="A57" s="60" t="s">
        <v>153</v>
      </c>
      <c r="B57" s="60" t="s">
        <v>36</v>
      </c>
      <c r="C57" s="69">
        <f>IF(IFERROR(INDEX('2016'!$F$5:$F$72,MATCH(B57,'2016'!$A$5:$A$72,0)),0)=0,"N/A",INDEX('2016'!$F$5:$F$72,MATCH(B57,'2016'!$A$5:$A$72,0)))</f>
        <v>4.16</v>
      </c>
      <c r="D57" s="60">
        <v>3.81</v>
      </c>
      <c r="E57" s="60">
        <v>3.79</v>
      </c>
      <c r="F57" s="60">
        <v>3.39</v>
      </c>
      <c r="G57" s="60">
        <v>3.15</v>
      </c>
      <c r="H57" s="60">
        <v>2.97</v>
      </c>
      <c r="I57" s="60">
        <v>2.98</v>
      </c>
      <c r="J57" s="60">
        <v>2.85</v>
      </c>
      <c r="K57" s="60">
        <v>2.95</v>
      </c>
      <c r="L57" s="60">
        <v>2.74</v>
      </c>
      <c r="M57" s="60">
        <v>2.59</v>
      </c>
    </row>
    <row r="58" spans="1:13">
      <c r="A58" s="60" t="s">
        <v>154</v>
      </c>
      <c r="B58" s="60" t="s">
        <v>37</v>
      </c>
      <c r="C58" s="69">
        <f>IF(IFERROR(INDEX('2016'!$F$5:$F$72,MATCH(B58,'2016'!$A$5:$A$72,0)),0)=0,"N/A",INDEX('2016'!$F$5:$F$72,MATCH(B58,'2016'!$A$5:$A$72,0)))</f>
        <v>4.24</v>
      </c>
      <c r="D58" s="60">
        <v>5.23</v>
      </c>
      <c r="E58" s="60">
        <v>4.63</v>
      </c>
      <c r="F58" s="60">
        <v>4.22</v>
      </c>
      <c r="G58" s="60">
        <v>4.3499999999999996</v>
      </c>
      <c r="H58" s="60">
        <v>4.47</v>
      </c>
      <c r="I58" s="60">
        <v>4.0199999999999996</v>
      </c>
      <c r="J58" s="60">
        <v>4.78</v>
      </c>
      <c r="K58" s="60">
        <v>4.43</v>
      </c>
      <c r="L58" s="60">
        <v>4.26</v>
      </c>
      <c r="M58" s="60">
        <v>4.2300000000000004</v>
      </c>
    </row>
    <row r="59" spans="1:13">
      <c r="A59" s="60" t="s">
        <v>195</v>
      </c>
      <c r="B59" s="60" t="s">
        <v>196</v>
      </c>
      <c r="C59" s="69">
        <f>IF(IFERROR(INDEX('2016'!$F$5:$F$72,MATCH(B59,'2016'!$A$5:$A$72,0)),0)=0,"N/A",INDEX('2016'!$F$5:$F$72,MATCH(B59,'2016'!$A$5:$A$72,0)))</f>
        <v>2.57</v>
      </c>
      <c r="D59" s="60">
        <v>1.85</v>
      </c>
      <c r="E59" s="60">
        <v>2.54</v>
      </c>
      <c r="F59" s="60">
        <v>1.1200000000000001</v>
      </c>
      <c r="G59" s="60">
        <v>1.18</v>
      </c>
      <c r="H59" s="60">
        <v>1.1100000000000001</v>
      </c>
      <c r="I59" s="60">
        <v>0.84</v>
      </c>
      <c r="J59" s="60">
        <v>0.81</v>
      </c>
      <c r="K59" s="60">
        <v>1.0840000000000001</v>
      </c>
      <c r="L59" s="60">
        <v>1.04</v>
      </c>
      <c r="M59" s="60">
        <v>1.19</v>
      </c>
    </row>
    <row r="60" spans="1:13">
      <c r="A60" s="60" t="s">
        <v>197</v>
      </c>
      <c r="B60" s="60" t="s">
        <v>198</v>
      </c>
      <c r="C60" s="69">
        <f>IF(IFERROR(INDEX('2016'!$F$5:$F$72,MATCH(B60,'2016'!$A$5:$A$72,0)),0)=0,"N/A",INDEX('2016'!$F$5:$F$72,MATCH(B60,'2016'!$A$5:$A$72,0)))</f>
        <v>1.34</v>
      </c>
      <c r="D60" s="60">
        <v>1.44</v>
      </c>
      <c r="E60" s="60">
        <v>1.5649999999999999</v>
      </c>
      <c r="F60" s="60">
        <v>1.5149999999999999</v>
      </c>
      <c r="G60" s="60">
        <v>1.5149999999999999</v>
      </c>
      <c r="H60" s="60">
        <v>1.4450000000000001</v>
      </c>
      <c r="I60" s="60">
        <v>1.35</v>
      </c>
      <c r="J60" s="60">
        <v>1.19</v>
      </c>
      <c r="K60" s="60">
        <v>1.135</v>
      </c>
      <c r="L60" s="60">
        <v>1.0449999999999999</v>
      </c>
      <c r="M60" s="60">
        <v>1.23</v>
      </c>
    </row>
    <row r="61" spans="1:13">
      <c r="A61" s="60" t="s">
        <v>155</v>
      </c>
      <c r="B61" s="60" t="s">
        <v>38</v>
      </c>
      <c r="C61" s="69">
        <f>IF(IFERROR(INDEX('2016'!$F$5:$F$72,MATCH(B61,'2016'!$A$5:$A$72,0)),0)=0,"N/A",INDEX('2016'!$F$5:$F$72,MATCH(B61,'2016'!$A$5:$A$72,0)))</f>
        <v>2.83</v>
      </c>
      <c r="D61" s="60">
        <v>2.84</v>
      </c>
      <c r="E61" s="60">
        <v>2.77</v>
      </c>
      <c r="F61" s="60">
        <v>2.7</v>
      </c>
      <c r="G61" s="60">
        <v>2.67</v>
      </c>
      <c r="H61" s="60">
        <v>2.5499999999999998</v>
      </c>
      <c r="I61" s="60">
        <v>2.36</v>
      </c>
      <c r="J61" s="60">
        <v>2.3199999999999998</v>
      </c>
      <c r="K61" s="60">
        <v>2.25</v>
      </c>
      <c r="L61" s="60">
        <v>2.2799999999999998</v>
      </c>
      <c r="M61" s="60">
        <v>2.1</v>
      </c>
    </row>
    <row r="62" spans="1:13">
      <c r="A62" s="60" t="s">
        <v>199</v>
      </c>
      <c r="B62" s="60" t="s">
        <v>200</v>
      </c>
      <c r="C62" s="69">
        <f>IF(IFERROR(INDEX('2016'!$F$5:$F$72,MATCH(B62,'2016'!$A$5:$A$72,0)),0)=0,"N/A",INDEX('2016'!$F$5:$F$72,MATCH(B62,'2016'!$A$5:$A$72,0)))</f>
        <v>3.18</v>
      </c>
      <c r="D62" s="60">
        <v>2.92</v>
      </c>
      <c r="E62" s="60">
        <v>3.01</v>
      </c>
      <c r="F62" s="60">
        <v>3.11</v>
      </c>
      <c r="G62" s="60">
        <v>2.86</v>
      </c>
      <c r="H62" s="60">
        <v>2.4300000000000002</v>
      </c>
      <c r="I62" s="60">
        <v>2.27</v>
      </c>
      <c r="J62" s="60">
        <v>1.94</v>
      </c>
      <c r="K62" s="60">
        <v>1.39</v>
      </c>
      <c r="L62" s="60">
        <v>1.95</v>
      </c>
      <c r="M62" s="60">
        <v>1.98</v>
      </c>
    </row>
    <row r="63" spans="1:13">
      <c r="A63" s="60" t="s">
        <v>243</v>
      </c>
      <c r="B63" s="60" t="s">
        <v>244</v>
      </c>
      <c r="C63" s="69">
        <f>IF(IFERROR(INDEX('2016'!$F$5:$F$72,MATCH(B63,'2016'!$A$5:$A$72,0)),0)=0,"N/A",INDEX('2016'!$F$5:$F$72,MATCH(B63,'2016'!$A$5:$A$72,0)))</f>
        <v>3.24</v>
      </c>
      <c r="D63" s="60">
        <v>3.16</v>
      </c>
      <c r="E63" s="60">
        <v>2.35</v>
      </c>
      <c r="F63" s="60">
        <v>2.02</v>
      </c>
      <c r="G63" s="60">
        <v>2.79</v>
      </c>
      <c r="H63" s="60">
        <v>2.86</v>
      </c>
      <c r="I63" s="60">
        <v>2.4300000000000002</v>
      </c>
      <c r="J63" s="60">
        <v>2.92</v>
      </c>
      <c r="K63" s="60">
        <v>2.64</v>
      </c>
      <c r="L63" s="60">
        <v>2.31</v>
      </c>
      <c r="M63" s="60">
        <v>2.37</v>
      </c>
    </row>
    <row r="64" spans="1:13">
      <c r="A64" s="60" t="s">
        <v>201</v>
      </c>
      <c r="B64" s="60" t="s">
        <v>202</v>
      </c>
      <c r="C64" s="69">
        <f>IF(IFERROR(INDEX('2016'!$F$5:$F$72,MATCH(B64,'2016'!$A$5:$A$72,0)),0)=0,"N/A",INDEX('2016'!$F$5:$F$72,MATCH(B64,'2016'!$A$5:$A$72,0)))</f>
        <v>0.7</v>
      </c>
      <c r="D64" s="60">
        <v>0.59</v>
      </c>
      <c r="E64" s="60">
        <v>0.56999999999999995</v>
      </c>
      <c r="F64" s="60">
        <v>0.47</v>
      </c>
      <c r="G64" s="60">
        <v>0.4</v>
      </c>
      <c r="H64" s="60">
        <v>0.36</v>
      </c>
      <c r="I64" s="60">
        <v>0.38</v>
      </c>
      <c r="J64" s="60">
        <v>1.43</v>
      </c>
      <c r="K64" s="60">
        <v>-0.18</v>
      </c>
      <c r="L64" s="60">
        <v>0.51400000000000001</v>
      </c>
      <c r="M64" s="60">
        <v>-1.01</v>
      </c>
    </row>
    <row r="65" spans="1:13">
      <c r="A65" s="60" t="s">
        <v>203</v>
      </c>
      <c r="B65" s="60" t="s">
        <v>204</v>
      </c>
      <c r="C65" s="69">
        <f>IF(IFERROR(INDEX('2016'!$F$5:$F$72,MATCH(B65,'2016'!$A$5:$A$72,0)),0)=0,"N/A",INDEX('2016'!$F$5:$F$72,MATCH(B65,'2016'!$A$5:$A$72,0)))</f>
        <v>2.0499999999999998</v>
      </c>
      <c r="D65" s="60">
        <v>2.0099999999999998</v>
      </c>
      <c r="E65" s="60">
        <v>1.92</v>
      </c>
      <c r="F65" s="60">
        <v>1.593</v>
      </c>
      <c r="G65" s="60">
        <v>1.173</v>
      </c>
      <c r="H65" s="60">
        <v>1.373</v>
      </c>
      <c r="I65" s="60">
        <v>1.587</v>
      </c>
      <c r="J65" s="60">
        <v>1.573</v>
      </c>
      <c r="K65" s="60">
        <v>1.327</v>
      </c>
      <c r="L65" s="60">
        <v>1.18</v>
      </c>
      <c r="M65" s="60">
        <v>1.1000000000000001</v>
      </c>
    </row>
    <row r="66" spans="1:13">
      <c r="A66" s="60" t="s">
        <v>159</v>
      </c>
      <c r="B66" s="60" t="s">
        <v>83</v>
      </c>
      <c r="C66" s="69">
        <f>IF(IFERROR(INDEX('2016'!$F$5:$F$72,MATCH(B66,'2016'!$A$5:$A$72,0)),0)=0,"N/A",INDEX('2016'!$F$5:$F$72,MATCH(B66,'2016'!$A$5:$A$72,0)))</f>
        <v>1.94</v>
      </c>
      <c r="D66" s="60">
        <v>1.89</v>
      </c>
      <c r="E66" s="60">
        <v>1.79</v>
      </c>
      <c r="F66" s="60">
        <v>1.57</v>
      </c>
      <c r="G66" s="60">
        <v>1.43</v>
      </c>
      <c r="H66" s="60">
        <v>1.5</v>
      </c>
      <c r="I66" s="60">
        <v>0.88</v>
      </c>
      <c r="J66" s="60">
        <v>1.03</v>
      </c>
      <c r="K66" s="60">
        <v>1.65</v>
      </c>
      <c r="L66" s="60">
        <v>1.52</v>
      </c>
      <c r="M66" s="60">
        <v>1.41</v>
      </c>
    </row>
    <row r="67" spans="1:13">
      <c r="A67" s="60" t="s">
        <v>156</v>
      </c>
      <c r="B67" s="60" t="s">
        <v>42</v>
      </c>
      <c r="C67" s="69">
        <f>IF(IFERROR(INDEX('2016'!$F$5:$F$72,MATCH(B67,'2016'!$A$5:$A$72,0)),0)=0,"N/A",INDEX('2016'!$F$5:$F$72,MATCH(B67,'2016'!$A$5:$A$72,0)))</f>
        <v>2.5499999999999998</v>
      </c>
      <c r="D67" s="60">
        <v>2.39</v>
      </c>
      <c r="E67" s="60">
        <v>2.02</v>
      </c>
      <c r="F67" s="60">
        <v>1.66</v>
      </c>
      <c r="G67" s="60">
        <v>1.94</v>
      </c>
      <c r="H67" s="60">
        <v>1.73</v>
      </c>
      <c r="I67" s="60">
        <v>1.64</v>
      </c>
      <c r="J67" s="60">
        <v>1.79</v>
      </c>
      <c r="K67" s="60">
        <v>1.63</v>
      </c>
      <c r="L67" s="60">
        <v>1.83</v>
      </c>
      <c r="M67" s="60">
        <v>1.44</v>
      </c>
    </row>
    <row r="68" spans="1:13">
      <c r="A68" s="60" t="s">
        <v>217</v>
      </c>
      <c r="B68" s="60" t="s">
        <v>44</v>
      </c>
      <c r="C68" s="69">
        <f>IF(IFERROR(INDEX('2016'!$F$5:$F$72,MATCH(B68,'2016'!$A$5:$A$72,0)),0)=0,"N/A",INDEX('2016'!$F$5:$F$72,MATCH(B68,'2016'!$A$5:$A$72,0)))</f>
        <v>2.96</v>
      </c>
      <c r="D68" s="60">
        <v>2.34</v>
      </c>
      <c r="E68" s="60">
        <v>2.59</v>
      </c>
      <c r="F68" s="60">
        <v>2.5099999999999998</v>
      </c>
      <c r="G68" s="60">
        <v>2.35</v>
      </c>
      <c r="H68" s="60">
        <v>2.1800000000000002</v>
      </c>
      <c r="I68" s="60">
        <v>1.92</v>
      </c>
      <c r="J68" s="60">
        <v>1.6</v>
      </c>
      <c r="K68" s="60">
        <v>1.5149999999999999</v>
      </c>
      <c r="L68" s="60">
        <v>1.42</v>
      </c>
      <c r="M68" s="60">
        <v>1.32</v>
      </c>
    </row>
    <row r="69" spans="1:13">
      <c r="A69" s="60" t="s">
        <v>157</v>
      </c>
      <c r="B69" s="60" t="s">
        <v>43</v>
      </c>
      <c r="C69" s="69">
        <f>IF(IFERROR(INDEX('2016'!$F$5:$F$72,MATCH(B69,'2016'!$A$5:$A$72,0)),0)=0,"N/A",INDEX('2016'!$F$5:$F$72,MATCH(B69,'2016'!$A$5:$A$72,0)))</f>
        <v>2.4300000000000002</v>
      </c>
      <c r="D69" s="60">
        <v>2.09</v>
      </c>
      <c r="E69" s="60">
        <v>2.35</v>
      </c>
      <c r="F69" s="60">
        <v>2.27</v>
      </c>
      <c r="G69" s="60">
        <v>2.15</v>
      </c>
      <c r="H69" s="60">
        <v>1.79</v>
      </c>
      <c r="I69" s="60">
        <v>1.8</v>
      </c>
      <c r="J69" s="60">
        <v>1.28</v>
      </c>
      <c r="K69" s="60">
        <v>1.31</v>
      </c>
      <c r="L69" s="60">
        <v>1.84</v>
      </c>
      <c r="M69" s="60">
        <v>1.88</v>
      </c>
    </row>
    <row r="70" spans="1:13">
      <c r="A70" s="60" t="s">
        <v>205</v>
      </c>
      <c r="B70" s="60" t="s">
        <v>206</v>
      </c>
      <c r="C70" s="69">
        <f>IF(IFERROR(INDEX('2016'!$F$5:$F$72,MATCH(B70,'2016'!$A$5:$A$72,0)),0)=0,"N/A",INDEX('2016'!$F$5:$F$72,MATCH(B70,'2016'!$A$5:$A$72,0)))</f>
        <v>3.27</v>
      </c>
      <c r="D70" s="60">
        <v>3.16</v>
      </c>
      <c r="E70" s="60">
        <v>2.68</v>
      </c>
      <c r="F70" s="60">
        <v>2.31</v>
      </c>
      <c r="G70" s="60">
        <v>2.68</v>
      </c>
      <c r="H70" s="60">
        <v>2.25</v>
      </c>
      <c r="I70" s="60">
        <v>2.27</v>
      </c>
      <c r="J70" s="60">
        <v>2.5299999999999998</v>
      </c>
      <c r="K70" s="60">
        <v>2.44</v>
      </c>
      <c r="L70" s="60">
        <v>2.09</v>
      </c>
      <c r="M70" s="60">
        <v>1.94</v>
      </c>
    </row>
    <row r="71" spans="1:13">
      <c r="A71" s="60" t="s">
        <v>158</v>
      </c>
      <c r="B71" s="60" t="s">
        <v>45</v>
      </c>
      <c r="C71" s="69">
        <f>IF(IFERROR(INDEX('2016'!$F$5:$F$72,MATCH(B71,'2016'!$A$5:$A$72,0)),0)=0,"N/A",INDEX('2016'!$F$5:$F$72,MATCH(B71,'2016'!$A$5:$A$72,0)))</f>
        <v>2.21</v>
      </c>
      <c r="D71" s="60">
        <v>2.1</v>
      </c>
      <c r="E71" s="60">
        <v>2.0299999999999998</v>
      </c>
      <c r="F71" s="60">
        <v>1.91</v>
      </c>
      <c r="G71" s="60">
        <v>1.85</v>
      </c>
      <c r="H71" s="60">
        <v>1.72</v>
      </c>
      <c r="I71" s="60">
        <v>1.56</v>
      </c>
      <c r="J71" s="60">
        <v>1.49</v>
      </c>
      <c r="K71" s="60">
        <v>1.46</v>
      </c>
      <c r="L71" s="60">
        <v>1.35</v>
      </c>
      <c r="M71" s="60">
        <v>1.35</v>
      </c>
    </row>
    <row r="72" spans="1:13">
      <c r="A72" s="60" t="s">
        <v>207</v>
      </c>
      <c r="B72" s="60" t="s">
        <v>208</v>
      </c>
      <c r="C72" s="69" t="str">
        <f>IF(IFERROR(INDEX('2016'!$F$5:$F$72,MATCH(B72,'2016'!$A$5:$A$72,0)),0)=0,"N/A",INDEX('2016'!$F$5:$F$72,MATCH(B72,'2016'!$A$5:$A$72,0)))</f>
        <v>N/A</v>
      </c>
      <c r="D72" s="60">
        <v>0.97</v>
      </c>
      <c r="E72" s="60">
        <v>0.89</v>
      </c>
      <c r="F72" s="60">
        <v>0.75</v>
      </c>
      <c r="G72" s="60">
        <v>0.72</v>
      </c>
      <c r="H72" s="60">
        <v>0.71</v>
      </c>
      <c r="I72" s="60">
        <v>0.71</v>
      </c>
      <c r="J72" s="60">
        <v>0.64</v>
      </c>
      <c r="K72" s="60">
        <v>0.56999999999999995</v>
      </c>
      <c r="L72" s="60">
        <v>0.56999999999999995</v>
      </c>
      <c r="M72" s="60">
        <v>0.57999999999999996</v>
      </c>
    </row>
  </sheetData>
  <printOptions headings="1"/>
  <pageMargins left="0.3" right="0.3" top="0.75" bottom="0.75" header="0.3" footer="0.3"/>
  <pageSetup fitToHeight="0" orientation="landscape" r:id="rId1"/>
  <headerFooter>
    <oddHeader>&amp;R&amp;A
&amp;P/&amp;N</oddHeader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6"/>
  <dimension ref="A1:N72"/>
  <sheetViews>
    <sheetView topLeftCell="A64" workbookViewId="0">
      <selection activeCell="I10" sqref="I10"/>
    </sheetView>
  </sheetViews>
  <sheetFormatPr defaultColWidth="8.75" defaultRowHeight="11.25"/>
  <cols>
    <col min="1" max="1" width="18" style="60" bestFit="1" customWidth="1"/>
    <col min="2" max="2" width="5.25" style="60" bestFit="1" customWidth="1"/>
    <col min="3" max="13" width="7.125" style="60" customWidth="1"/>
    <col min="14" max="16384" width="8.75" style="60"/>
  </cols>
  <sheetData>
    <row r="1" spans="1:14" ht="45">
      <c r="A1" s="59" t="s">
        <v>317</v>
      </c>
      <c r="C1" s="61">
        <v>2016</v>
      </c>
      <c r="D1" s="61">
        <v>2015</v>
      </c>
      <c r="E1" s="61">
        <v>2014</v>
      </c>
      <c r="F1" s="61">
        <v>2013</v>
      </c>
      <c r="G1" s="61">
        <v>2012</v>
      </c>
      <c r="H1" s="61">
        <v>2011</v>
      </c>
      <c r="I1" s="61">
        <v>2010</v>
      </c>
      <c r="J1" s="61">
        <v>2009</v>
      </c>
      <c r="K1" s="61">
        <v>2008</v>
      </c>
      <c r="L1" s="61">
        <v>2007</v>
      </c>
      <c r="M1" s="61">
        <v>2006</v>
      </c>
    </row>
    <row r="2" spans="1:14">
      <c r="A2" s="69" t="s">
        <v>316</v>
      </c>
      <c r="C2" s="71">
        <f>'2016'!$A$1</f>
        <v>42907</v>
      </c>
      <c r="D2" s="77">
        <v>42840</v>
      </c>
      <c r="E2" s="77">
        <v>42840</v>
      </c>
      <c r="F2" s="77">
        <v>42840</v>
      </c>
      <c r="G2" s="77">
        <v>42840</v>
      </c>
      <c r="H2" s="77">
        <v>42840</v>
      </c>
      <c r="I2" s="77">
        <v>42840</v>
      </c>
      <c r="J2" s="77">
        <v>42840</v>
      </c>
      <c r="K2" s="77">
        <v>42840</v>
      </c>
      <c r="L2" s="77">
        <v>42840</v>
      </c>
      <c r="M2" s="77">
        <v>42840</v>
      </c>
      <c r="N2" s="60" t="s">
        <v>355</v>
      </c>
    </row>
    <row r="3" spans="1:14" ht="33.75">
      <c r="A3" s="60" t="s">
        <v>117</v>
      </c>
      <c r="B3" s="60" t="s">
        <v>99</v>
      </c>
      <c r="C3" s="59" t="s">
        <v>276</v>
      </c>
      <c r="D3" s="59" t="s">
        <v>277</v>
      </c>
      <c r="E3" s="59" t="s">
        <v>278</v>
      </c>
      <c r="F3" s="59" t="s">
        <v>279</v>
      </c>
      <c r="G3" s="59" t="s">
        <v>280</v>
      </c>
      <c r="H3" s="59" t="s">
        <v>281</v>
      </c>
      <c r="I3" s="59" t="s">
        <v>282</v>
      </c>
      <c r="J3" s="59" t="s">
        <v>283</v>
      </c>
      <c r="K3" s="59" t="s">
        <v>284</v>
      </c>
      <c r="L3" s="59" t="s">
        <v>285</v>
      </c>
      <c r="M3" s="59" t="s">
        <v>286</v>
      </c>
    </row>
    <row r="4" spans="1:14">
      <c r="A4" s="60" t="s">
        <v>162</v>
      </c>
      <c r="B4" s="60" t="s">
        <v>163</v>
      </c>
      <c r="C4" s="69">
        <f>IF(ISNUMBER(INDEX('2016'!$I$5:$I$72,MATCH(B4,'2016'!$A$5:$A$72,0))),INDEX('2016'!$I$5:$I$72,MATCH(B4,'2016'!$A$5:$A$72,0)),"N/A")</f>
        <v>0.88</v>
      </c>
      <c r="D4" s="60">
        <v>0.88</v>
      </c>
      <c r="E4" s="60">
        <v>0.88</v>
      </c>
      <c r="F4" s="60">
        <v>0.66</v>
      </c>
      <c r="G4" s="60">
        <v>0.62</v>
      </c>
      <c r="H4" s="60">
        <v>0.56999999999999995</v>
      </c>
      <c r="I4" s="60">
        <v>0.54</v>
      </c>
      <c r="J4" s="60">
        <v>0.5</v>
      </c>
      <c r="K4" s="60">
        <v>0.5</v>
      </c>
      <c r="L4" s="60">
        <v>0.47</v>
      </c>
      <c r="M4" s="60">
        <v>0.42</v>
      </c>
    </row>
    <row r="5" spans="1:14">
      <c r="A5" s="60" t="s">
        <v>119</v>
      </c>
      <c r="B5" s="60" t="s">
        <v>0</v>
      </c>
      <c r="C5" s="69">
        <f>IF(ISNUMBER(INDEX('2016'!$I$5:$I$72,MATCH(B5,'2016'!$A$5:$A$72,0))),INDEX('2016'!$I$5:$I$72,MATCH(B5,'2016'!$A$5:$A$72,0)),"N/A")</f>
        <v>2.08</v>
      </c>
      <c r="D5" s="60">
        <v>2.02</v>
      </c>
      <c r="E5" s="60">
        <v>1.96</v>
      </c>
      <c r="F5" s="60">
        <v>1.9</v>
      </c>
      <c r="G5" s="60">
        <v>1.84</v>
      </c>
      <c r="H5" s="60">
        <v>1.78</v>
      </c>
      <c r="I5" s="60">
        <v>1.76</v>
      </c>
      <c r="J5" s="60">
        <v>1.76</v>
      </c>
      <c r="K5" s="60">
        <v>1.72</v>
      </c>
      <c r="L5" s="60">
        <v>1.64</v>
      </c>
      <c r="M5" s="60">
        <v>1.45</v>
      </c>
    </row>
    <row r="6" spans="1:14">
      <c r="A6" s="60" t="s">
        <v>120</v>
      </c>
      <c r="B6" s="60" t="s">
        <v>1</v>
      </c>
      <c r="C6" s="69">
        <f>IF(ISNUMBER(INDEX('2016'!$I$5:$I$72,MATCH(B6,'2016'!$A$5:$A$72,0))),INDEX('2016'!$I$5:$I$72,MATCH(B6,'2016'!$A$5:$A$72,0)),"N/A")</f>
        <v>1.18</v>
      </c>
      <c r="D6" s="60">
        <v>1.1000000000000001</v>
      </c>
      <c r="E6" s="60">
        <v>1.02</v>
      </c>
      <c r="F6" s="60">
        <v>0.94</v>
      </c>
      <c r="G6" s="60">
        <v>0.9</v>
      </c>
      <c r="H6" s="60">
        <v>0.85</v>
      </c>
      <c r="I6" s="60">
        <v>0.79</v>
      </c>
      <c r="J6" s="60">
        <v>0.75</v>
      </c>
      <c r="K6" s="60">
        <v>0.7</v>
      </c>
      <c r="L6" s="60">
        <v>0.63500000000000001</v>
      </c>
      <c r="M6" s="60">
        <v>0.57499999999999996</v>
      </c>
    </row>
    <row r="7" spans="1:14">
      <c r="A7" s="60" t="s">
        <v>121</v>
      </c>
      <c r="B7" s="60" t="s">
        <v>2</v>
      </c>
      <c r="C7" s="69">
        <f>IF(ISNUMBER(INDEX('2016'!$I$5:$I$72,MATCH(B7,'2016'!$A$5:$A$72,0))),INDEX('2016'!$I$5:$I$72,MATCH(B7,'2016'!$A$5:$A$72,0)),"N/A")</f>
        <v>2.27</v>
      </c>
      <c r="D7" s="60">
        <v>2.15</v>
      </c>
      <c r="E7" s="60">
        <v>2.0299999999999998</v>
      </c>
      <c r="F7" s="60">
        <v>1.95</v>
      </c>
      <c r="G7" s="60">
        <v>1.88</v>
      </c>
      <c r="H7" s="60">
        <v>1.85</v>
      </c>
      <c r="I7" s="60">
        <v>1.71</v>
      </c>
      <c r="J7" s="60">
        <v>1.64</v>
      </c>
      <c r="K7" s="60">
        <v>1.64</v>
      </c>
      <c r="L7" s="60">
        <v>1.58</v>
      </c>
      <c r="M7" s="60">
        <v>1.5</v>
      </c>
    </row>
    <row r="8" spans="1:14">
      <c r="A8" s="60" t="s">
        <v>164</v>
      </c>
      <c r="B8" s="60" t="s">
        <v>165</v>
      </c>
      <c r="C8" s="69">
        <f>IF(ISNUMBER(INDEX('2016'!$I$5:$I$72,MATCH(B8,'2016'!$A$5:$A$72,0))),INDEX('2016'!$I$5:$I$72,MATCH(B8,'2016'!$A$5:$A$72,0)),"N/A")</f>
        <v>0.91400000000000003</v>
      </c>
      <c r="D8" s="60">
        <v>0.874</v>
      </c>
      <c r="E8" s="60">
        <v>0.83099999999999996</v>
      </c>
      <c r="F8" s="60">
        <v>0.76</v>
      </c>
      <c r="G8" s="60">
        <v>0.63500000000000001</v>
      </c>
      <c r="H8" s="60">
        <v>0.55000000000000004</v>
      </c>
      <c r="I8" s="60">
        <v>0.52</v>
      </c>
      <c r="J8" s="60">
        <v>0.505</v>
      </c>
      <c r="K8" s="60">
        <v>0.5</v>
      </c>
      <c r="L8" s="60">
        <v>0.47799999999999998</v>
      </c>
      <c r="M8" s="60">
        <v>0.45500000000000002</v>
      </c>
    </row>
    <row r="9" spans="1:14">
      <c r="A9" s="60" t="s">
        <v>166</v>
      </c>
      <c r="B9" s="60" t="s">
        <v>167</v>
      </c>
      <c r="C9" s="69">
        <f>IF(ISNUMBER(INDEX('2016'!$I$5:$I$72,MATCH(B9,'2016'!$A$5:$A$72,0))),INDEX('2016'!$I$5:$I$72,MATCH(B9,'2016'!$A$5:$A$72,0)),"N/A")</f>
        <v>1.47</v>
      </c>
      <c r="D9" s="60">
        <v>1.33</v>
      </c>
      <c r="E9" s="60">
        <v>1.21</v>
      </c>
      <c r="F9" s="60">
        <v>0.84</v>
      </c>
      <c r="G9" s="60">
        <v>1.21</v>
      </c>
      <c r="H9" s="60">
        <v>0.9</v>
      </c>
      <c r="I9" s="60">
        <v>0.86</v>
      </c>
      <c r="J9" s="60">
        <v>0.82</v>
      </c>
      <c r="K9" s="60">
        <v>0.4</v>
      </c>
      <c r="L9" s="60">
        <v>0</v>
      </c>
      <c r="M9" s="60">
        <v>0</v>
      </c>
    </row>
    <row r="10" spans="1:14">
      <c r="A10" s="60" t="s">
        <v>122</v>
      </c>
      <c r="B10" s="60" t="s">
        <v>3</v>
      </c>
      <c r="C10" s="69">
        <f>IF(ISNUMBER(INDEX('2016'!$I$5:$I$72,MATCH(B10,'2016'!$A$5:$A$72,0))),INDEX('2016'!$I$5:$I$72,MATCH(B10,'2016'!$A$5:$A$72,0)),"N/A")</f>
        <v>1.7150000000000001</v>
      </c>
      <c r="D10" s="60">
        <v>1.655</v>
      </c>
      <c r="E10" s="60">
        <v>1.61</v>
      </c>
      <c r="F10" s="60">
        <v>1.6</v>
      </c>
      <c r="G10" s="60">
        <v>1.6</v>
      </c>
      <c r="H10" s="60">
        <v>1.5549999999999999</v>
      </c>
      <c r="I10" s="60">
        <v>1.54</v>
      </c>
      <c r="J10" s="60">
        <v>1.54</v>
      </c>
      <c r="K10" s="60">
        <v>2.54</v>
      </c>
      <c r="L10" s="60">
        <v>2.54</v>
      </c>
      <c r="M10" s="60">
        <v>2.54</v>
      </c>
    </row>
    <row r="11" spans="1:14">
      <c r="A11" s="60" t="s">
        <v>168</v>
      </c>
      <c r="B11" s="60" t="s">
        <v>169</v>
      </c>
      <c r="C11" s="69">
        <f>IF(ISNUMBER(INDEX('2016'!$I$5:$I$72,MATCH(B11,'2016'!$A$5:$A$72,0))),INDEX('2016'!$I$5:$I$72,MATCH(B11,'2016'!$A$5:$A$72,0)),"N/A")</f>
        <v>3.72</v>
      </c>
      <c r="D11" s="60">
        <v>3.6</v>
      </c>
      <c r="E11" s="60">
        <v>3.44</v>
      </c>
      <c r="F11" s="60">
        <v>3.28</v>
      </c>
      <c r="G11" s="60">
        <v>3.1</v>
      </c>
      <c r="H11" s="60">
        <v>2.9249999999999998</v>
      </c>
      <c r="I11" s="60">
        <v>2.7850000000000001</v>
      </c>
      <c r="J11" s="60">
        <v>2.62</v>
      </c>
      <c r="K11" s="60">
        <v>2.5299999999999998</v>
      </c>
      <c r="L11" s="60">
        <v>2.66</v>
      </c>
      <c r="M11" s="60">
        <v>2.2799999999999998</v>
      </c>
    </row>
    <row r="12" spans="1:14">
      <c r="A12" s="60" t="s">
        <v>170</v>
      </c>
      <c r="B12" s="60" t="s">
        <v>171</v>
      </c>
      <c r="C12" s="69">
        <f>IF(ISNUMBER(INDEX('2016'!$I$5:$I$72,MATCH(B12,'2016'!$A$5:$A$72,0))),INDEX('2016'!$I$5:$I$72,MATCH(B12,'2016'!$A$5:$A$72,0)),"N/A")</f>
        <v>0.74</v>
      </c>
      <c r="D12" s="60">
        <v>0.69</v>
      </c>
      <c r="E12" s="60">
        <v>0.63</v>
      </c>
      <c r="F12" s="60">
        <v>0.57999999999999996</v>
      </c>
      <c r="G12" s="60">
        <v>0.53600000000000003</v>
      </c>
      <c r="H12" s="60">
        <v>0.504</v>
      </c>
      <c r="I12" s="60">
        <v>0.47199999999999998</v>
      </c>
      <c r="J12" s="60">
        <v>0.44</v>
      </c>
      <c r="K12" s="60">
        <v>0.40799999999999997</v>
      </c>
      <c r="L12" s="60">
        <v>0.38400000000000001</v>
      </c>
      <c r="M12" s="60">
        <v>0.35199999999999998</v>
      </c>
    </row>
    <row r="13" spans="1:14">
      <c r="A13" s="60" t="s">
        <v>172</v>
      </c>
      <c r="B13" s="60" t="s">
        <v>173</v>
      </c>
      <c r="C13" s="69">
        <f>IF(ISNUMBER(INDEX('2016'!$I$5:$I$72,MATCH(B13,'2016'!$A$5:$A$72,0))),INDEX('2016'!$I$5:$I$72,MATCH(B13,'2016'!$A$5:$A$72,0)),"N/A")</f>
        <v>0.9</v>
      </c>
      <c r="D13" s="60">
        <v>0.873</v>
      </c>
      <c r="E13" s="60">
        <v>0.84799999999999998</v>
      </c>
      <c r="F13" s="60">
        <v>0.82399999999999995</v>
      </c>
      <c r="G13" s="60">
        <v>0.79200000000000004</v>
      </c>
      <c r="H13" s="60">
        <v>0.76300000000000001</v>
      </c>
      <c r="I13" s="60">
        <v>0.752</v>
      </c>
      <c r="J13" s="60">
        <v>0.72099999999999997</v>
      </c>
      <c r="K13" s="60">
        <v>0.70599999999999996</v>
      </c>
      <c r="L13" s="60">
        <v>0.66400000000000003</v>
      </c>
      <c r="M13" s="60">
        <v>0.61</v>
      </c>
    </row>
    <row r="14" spans="1:14">
      <c r="A14" s="60" t="s">
        <v>174</v>
      </c>
      <c r="B14" s="60" t="s">
        <v>175</v>
      </c>
      <c r="C14" s="69">
        <f>IF(ISNUMBER(INDEX('2016'!$I$5:$I$72,MATCH(B14,'2016'!$A$5:$A$72,0))),INDEX('2016'!$I$5:$I$72,MATCH(B14,'2016'!$A$5:$A$72,0)),"N/A")</f>
        <v>1.68</v>
      </c>
      <c r="D14" s="60">
        <v>1.56</v>
      </c>
      <c r="E14" s="60">
        <v>1.48</v>
      </c>
      <c r="F14" s="60">
        <v>1.4</v>
      </c>
      <c r="G14" s="60">
        <v>1.38</v>
      </c>
      <c r="H14" s="60">
        <v>1.36</v>
      </c>
      <c r="I14" s="60">
        <v>1.34</v>
      </c>
      <c r="J14" s="60">
        <v>1.32</v>
      </c>
      <c r="K14" s="60">
        <v>1.3</v>
      </c>
      <c r="L14" s="60">
        <v>1.28</v>
      </c>
      <c r="M14" s="60">
        <v>1.26</v>
      </c>
    </row>
    <row r="15" spans="1:14">
      <c r="A15" s="60" t="s">
        <v>264</v>
      </c>
      <c r="B15" s="60" t="s">
        <v>261</v>
      </c>
      <c r="C15" s="69">
        <f>IF(ISNUMBER(INDEX('2016'!$I$5:$I$72,MATCH(B15,'2016'!$A$5:$A$72,0))),INDEX('2016'!$I$5:$I$72,MATCH(B15,'2016'!$A$5:$A$72,0)),"N/A")</f>
        <v>1.728</v>
      </c>
      <c r="D15" s="69">
        <v>0</v>
      </c>
      <c r="E15" s="69" t="str">
        <f>IF(IFERROR(INDEX('2016'!$G$5:$G$72,MATCH(D15,'2016'!$A$5:$A$72,0)),0)=0,"N/A",INDEX('2016'!$G$5:$G$72,MATCH(D15,'2016'!$A$5:$A$72,0)))</f>
        <v>N/A</v>
      </c>
      <c r="F15" s="69" t="str">
        <f>IF(IFERROR(INDEX('2016'!$G$5:$G$72,MATCH(E15,'2016'!$A$5:$A$72,0)),0)=0,"N/A",INDEX('2016'!$G$5:$G$72,MATCH(E15,'2016'!$A$5:$A$72,0)))</f>
        <v>N/A</v>
      </c>
      <c r="G15" s="69" t="str">
        <f>IF(IFERROR(INDEX('2016'!$G$5:$G$72,MATCH(F15,'2016'!$A$5:$A$72,0)),0)=0,"N/A",INDEX('2016'!$G$5:$G$72,MATCH(F15,'2016'!$A$5:$A$72,0)))</f>
        <v>N/A</v>
      </c>
      <c r="H15" s="69" t="str">
        <f>IF(IFERROR(INDEX('2016'!$G$5:$G$72,MATCH(G15,'2016'!$A$5:$A$72,0)),0)=0,"N/A",INDEX('2016'!$G$5:$G$72,MATCH(G15,'2016'!$A$5:$A$72,0)))</f>
        <v>N/A</v>
      </c>
      <c r="I15" s="69" t="str">
        <f>IF(IFERROR(INDEX('2016'!$G$5:$G$72,MATCH(H15,'2016'!$A$5:$A$72,0)),0)=0,"N/A",INDEX('2016'!$G$5:$G$72,MATCH(H15,'2016'!$A$5:$A$72,0)))</f>
        <v>N/A</v>
      </c>
      <c r="J15" s="69" t="str">
        <f>IF(IFERROR(INDEX('2016'!$G$5:$G$72,MATCH(I15,'2016'!$A$5:$A$72,0)),0)=0,"N/A",INDEX('2016'!$G$5:$G$72,MATCH(I15,'2016'!$A$5:$A$72,0)))</f>
        <v>N/A</v>
      </c>
      <c r="K15" s="69" t="str">
        <f>IF(IFERROR(INDEX('2016'!$G$5:$G$72,MATCH(J15,'2016'!$A$5:$A$72,0)),0)=0,"N/A",INDEX('2016'!$G$5:$G$72,MATCH(J15,'2016'!$A$5:$A$72,0)))</f>
        <v>N/A</v>
      </c>
      <c r="L15" s="69" t="str">
        <f>IF(IFERROR(INDEX('2016'!$G$5:$G$72,MATCH(K15,'2016'!$A$5:$A$72,0)),0)=0,"N/A",INDEX('2016'!$G$5:$G$72,MATCH(K15,'2016'!$A$5:$A$72,0)))</f>
        <v>N/A</v>
      </c>
      <c r="M15" s="69" t="str">
        <f>IF(IFERROR(INDEX('2016'!$G$5:$G$72,MATCH(L15,'2016'!$A$5:$A$72,0)),0)=0,"N/A",INDEX('2016'!$G$5:$G$72,MATCH(L15,'2016'!$A$5:$A$72,0)))</f>
        <v>N/A</v>
      </c>
    </row>
    <row r="16" spans="1:14">
      <c r="A16" s="60" t="s">
        <v>123</v>
      </c>
      <c r="B16" s="60" t="s">
        <v>4</v>
      </c>
      <c r="C16" s="69">
        <f>IF(ISNUMBER(INDEX('2016'!$I$5:$I$72,MATCH(B16,'2016'!$A$5:$A$72,0))),INDEX('2016'!$I$5:$I$72,MATCH(B16,'2016'!$A$5:$A$72,0)),"N/A")</f>
        <v>1.37</v>
      </c>
      <c r="D16" s="60">
        <v>1.32</v>
      </c>
      <c r="E16" s="60">
        <v>1.27</v>
      </c>
      <c r="F16" s="60">
        <v>1.22</v>
      </c>
      <c r="G16" s="60">
        <v>1.1599999999999999</v>
      </c>
      <c r="H16" s="60">
        <v>1.1000000000000001</v>
      </c>
      <c r="I16" s="60">
        <v>1</v>
      </c>
      <c r="J16" s="60">
        <v>0.81</v>
      </c>
      <c r="K16" s="60">
        <v>0.69</v>
      </c>
      <c r="L16" s="60">
        <v>0.59499999999999997</v>
      </c>
      <c r="M16" s="60">
        <v>0.56999999999999995</v>
      </c>
    </row>
    <row r="17" spans="1:13">
      <c r="A17" s="60" t="s">
        <v>124</v>
      </c>
      <c r="B17" s="60" t="s">
        <v>5</v>
      </c>
      <c r="C17" s="69">
        <f>IF(ISNUMBER(INDEX('2016'!$I$5:$I$72,MATCH(B17,'2016'!$A$5:$A$72,0))),INDEX('2016'!$I$5:$I$72,MATCH(B17,'2016'!$A$5:$A$72,0)),"N/A")</f>
        <v>1.68</v>
      </c>
      <c r="D17" s="60">
        <v>1.62</v>
      </c>
      <c r="E17" s="60">
        <v>1.56</v>
      </c>
      <c r="F17" s="60">
        <v>1.52</v>
      </c>
      <c r="G17" s="60">
        <v>1.48</v>
      </c>
      <c r="H17" s="60">
        <v>1.46</v>
      </c>
      <c r="I17" s="60">
        <v>1.44</v>
      </c>
      <c r="J17" s="60">
        <v>1.42</v>
      </c>
      <c r="K17" s="60">
        <v>1.4</v>
      </c>
      <c r="L17" s="60">
        <v>1.37</v>
      </c>
      <c r="M17" s="60">
        <v>1.32</v>
      </c>
    </row>
    <row r="18" spans="1:13">
      <c r="A18" s="60" t="s">
        <v>176</v>
      </c>
      <c r="B18" s="60" t="s">
        <v>177</v>
      </c>
      <c r="C18" s="69">
        <f>IF(ISNUMBER(INDEX('2016'!$I$5:$I$72,MATCH(B18,'2016'!$A$5:$A$72,0))),INDEX('2016'!$I$5:$I$72,MATCH(B18,'2016'!$A$5:$A$72,0)),"N/A")</f>
        <v>0.69</v>
      </c>
      <c r="D18" s="60">
        <v>0.67</v>
      </c>
      <c r="E18" s="60">
        <v>0.65</v>
      </c>
      <c r="F18" s="60">
        <v>0.64</v>
      </c>
      <c r="G18" s="60">
        <v>0.63</v>
      </c>
      <c r="H18" s="60">
        <v>0.61499999999999999</v>
      </c>
      <c r="I18" s="60">
        <v>0.59499999999999997</v>
      </c>
      <c r="J18" s="60">
        <v>0.59</v>
      </c>
      <c r="K18" s="60">
        <v>0.58499999999999996</v>
      </c>
      <c r="L18" s="60">
        <v>0.57999999999999996</v>
      </c>
      <c r="M18" s="60">
        <v>0.57499999999999996</v>
      </c>
    </row>
    <row r="19" spans="1:13">
      <c r="A19" s="60" t="s">
        <v>125</v>
      </c>
      <c r="B19" s="60" t="s">
        <v>6</v>
      </c>
      <c r="C19" s="69">
        <f>IF(ISNUMBER(INDEX('2016'!$I$5:$I$72,MATCH(B19,'2016'!$A$5:$A$72,0))),INDEX('2016'!$I$5:$I$72,MATCH(B19,'2016'!$A$5:$A$72,0)),"N/A")</f>
        <v>1.03</v>
      </c>
      <c r="D19" s="60">
        <v>0.99</v>
      </c>
      <c r="E19" s="60">
        <v>0.95</v>
      </c>
      <c r="F19" s="60">
        <v>0.83</v>
      </c>
      <c r="G19" s="60">
        <v>0.81</v>
      </c>
      <c r="H19" s="60">
        <v>0.79</v>
      </c>
      <c r="I19" s="60">
        <v>0.78</v>
      </c>
      <c r="J19" s="60">
        <v>0.76</v>
      </c>
      <c r="K19" s="60">
        <v>0.73</v>
      </c>
      <c r="L19" s="60">
        <v>0.68</v>
      </c>
      <c r="M19" s="60">
        <v>0.6</v>
      </c>
    </row>
    <row r="20" spans="1:13">
      <c r="A20" s="60" t="s">
        <v>215</v>
      </c>
      <c r="B20" s="60" t="s">
        <v>178</v>
      </c>
      <c r="C20" s="69">
        <f>IF(ISNUMBER(INDEX('2016'!$I$5:$I$72,MATCH(B20,'2016'!$A$5:$A$72,0))),INDEX('2016'!$I$5:$I$72,MATCH(B20,'2016'!$A$5:$A$72,0)),"N/A")</f>
        <v>1.19</v>
      </c>
      <c r="D20" s="60">
        <v>1.1200000000000001</v>
      </c>
      <c r="E20" s="60">
        <v>1.0669999999999999</v>
      </c>
      <c r="F20" s="60">
        <v>1.0129999999999999</v>
      </c>
      <c r="G20" s="60">
        <v>0.96</v>
      </c>
      <c r="H20" s="60">
        <v>0.91</v>
      </c>
      <c r="I20" s="60">
        <v>0.87</v>
      </c>
      <c r="J20" s="60">
        <v>0.83299999999999996</v>
      </c>
      <c r="K20" s="60">
        <v>0.80700000000000005</v>
      </c>
      <c r="L20" s="60">
        <v>0.78300000000000003</v>
      </c>
      <c r="M20" s="60">
        <v>0.77</v>
      </c>
    </row>
    <row r="21" spans="1:13">
      <c r="A21" s="60" t="s">
        <v>126</v>
      </c>
      <c r="B21" s="60" t="s">
        <v>9</v>
      </c>
      <c r="C21" s="69">
        <f>IF(ISNUMBER(INDEX('2016'!$I$5:$I$72,MATCH(B21,'2016'!$A$5:$A$72,0))),INDEX('2016'!$I$5:$I$72,MATCH(B21,'2016'!$A$5:$A$72,0)),"N/A")</f>
        <v>1.24</v>
      </c>
      <c r="D21" s="60">
        <v>1.1599999999999999</v>
      </c>
      <c r="E21" s="60">
        <v>1.08</v>
      </c>
      <c r="F21" s="60">
        <v>1.02</v>
      </c>
      <c r="G21" s="60">
        <v>0.96</v>
      </c>
      <c r="H21" s="60">
        <v>0.84</v>
      </c>
      <c r="I21" s="60">
        <v>0.66</v>
      </c>
      <c r="J21" s="60">
        <v>0.5</v>
      </c>
      <c r="K21" s="60">
        <v>0.36</v>
      </c>
      <c r="L21" s="60">
        <v>0.2</v>
      </c>
      <c r="M21" s="60">
        <v>0</v>
      </c>
    </row>
    <row r="22" spans="1:13">
      <c r="A22" s="60" t="s">
        <v>179</v>
      </c>
      <c r="B22" s="60" t="s">
        <v>180</v>
      </c>
      <c r="C22" s="69">
        <f>IF(ISNUMBER(INDEX('2016'!$I$5:$I$72,MATCH(B22,'2016'!$A$5:$A$72,0))),INDEX('2016'!$I$5:$I$72,MATCH(B22,'2016'!$A$5:$A$72,0)),"N/A")</f>
        <v>1.1200000000000001</v>
      </c>
      <c r="D22" s="60">
        <v>1.05</v>
      </c>
      <c r="E22" s="60">
        <v>1.01</v>
      </c>
      <c r="F22" s="60">
        <v>0.98</v>
      </c>
      <c r="G22" s="60">
        <v>0.96</v>
      </c>
      <c r="H22" s="60">
        <v>0.94</v>
      </c>
      <c r="I22" s="60">
        <v>0.92</v>
      </c>
      <c r="J22" s="60">
        <v>0.9</v>
      </c>
      <c r="K22" s="60">
        <v>0.88</v>
      </c>
      <c r="L22" s="60">
        <v>0.87</v>
      </c>
      <c r="M22" s="60">
        <v>0.85499999999999998</v>
      </c>
    </row>
    <row r="23" spans="1:13">
      <c r="A23" s="60" t="s">
        <v>127</v>
      </c>
      <c r="B23" s="60" t="s">
        <v>10</v>
      </c>
      <c r="C23" s="69">
        <f>IF(ISNUMBER(INDEX('2016'!$I$5:$I$72,MATCH(B23,'2016'!$A$5:$A$72,0))),INDEX('2016'!$I$5:$I$72,MATCH(B23,'2016'!$A$5:$A$72,0)),"N/A")</f>
        <v>2.68</v>
      </c>
      <c r="D23" s="60">
        <v>2.6</v>
      </c>
      <c r="E23" s="60">
        <v>2.52</v>
      </c>
      <c r="F23" s="60">
        <v>2.46</v>
      </c>
      <c r="G23" s="60">
        <v>2.42</v>
      </c>
      <c r="H23" s="60">
        <v>2.4</v>
      </c>
      <c r="I23" s="60">
        <v>2.38</v>
      </c>
      <c r="J23" s="60">
        <v>2.36</v>
      </c>
      <c r="K23" s="60">
        <v>2.34</v>
      </c>
      <c r="L23" s="60">
        <v>2.3199999999999998</v>
      </c>
      <c r="M23" s="60">
        <v>2.2999999999999998</v>
      </c>
    </row>
    <row r="24" spans="1:13">
      <c r="A24" s="60" t="s">
        <v>181</v>
      </c>
      <c r="B24" s="60" t="s">
        <v>182</v>
      </c>
      <c r="C24" s="69">
        <f>IF(ISNUMBER(INDEX('2016'!$I$5:$I$72,MATCH(B24,'2016'!$A$5:$A$72,0))),INDEX('2016'!$I$5:$I$72,MATCH(B24,'2016'!$A$5:$A$72,0)),"N/A")</f>
        <v>0.3</v>
      </c>
      <c r="D24" s="60">
        <v>0.3</v>
      </c>
      <c r="E24" s="60">
        <v>0.3</v>
      </c>
      <c r="F24" s="60">
        <v>0.3</v>
      </c>
      <c r="G24" s="60">
        <v>0.3</v>
      </c>
      <c r="H24" s="60">
        <v>0.3</v>
      </c>
      <c r="I24" s="60">
        <v>0.3</v>
      </c>
      <c r="J24" s="60">
        <v>0.28000000000000003</v>
      </c>
      <c r="K24" s="60">
        <v>0.32500000000000001</v>
      </c>
      <c r="L24" s="60">
        <v>0.19500000000000001</v>
      </c>
      <c r="M24" s="60">
        <v>0.24</v>
      </c>
    </row>
    <row r="25" spans="1:13">
      <c r="A25" s="60" t="s">
        <v>183</v>
      </c>
      <c r="B25" s="60" t="s">
        <v>184</v>
      </c>
      <c r="C25" s="69">
        <f>IF(ISNUMBER(INDEX('2016'!$I$5:$I$72,MATCH(B25,'2016'!$A$5:$A$72,0))),INDEX('2016'!$I$5:$I$72,MATCH(B25,'2016'!$A$5:$A$72,0)),"N/A")</f>
        <v>0.82</v>
      </c>
      <c r="D25" s="60">
        <v>0.8</v>
      </c>
      <c r="E25" s="60">
        <v>0.76</v>
      </c>
      <c r="F25" s="60">
        <v>0.72</v>
      </c>
      <c r="G25" s="60">
        <v>0.7</v>
      </c>
      <c r="H25" s="60">
        <v>0.68</v>
      </c>
      <c r="I25" s="60">
        <v>0.65</v>
      </c>
      <c r="J25" s="60">
        <v>0.64</v>
      </c>
      <c r="K25" s="60">
        <v>0.62</v>
      </c>
      <c r="L25" s="60">
        <v>0.61</v>
      </c>
      <c r="M25" s="60">
        <v>0.6</v>
      </c>
    </row>
    <row r="26" spans="1:13">
      <c r="A26" s="60" t="s">
        <v>128</v>
      </c>
      <c r="B26" s="60" t="s">
        <v>11</v>
      </c>
      <c r="C26" s="69">
        <f>IF(ISNUMBER(INDEX('2016'!$I$5:$I$72,MATCH(B26,'2016'!$A$5:$A$72,0))),INDEX('2016'!$I$5:$I$72,MATCH(B26,'2016'!$A$5:$A$72,0)),"N/A")</f>
        <v>2.8</v>
      </c>
      <c r="D26" s="60">
        <v>2.59</v>
      </c>
      <c r="E26" s="60">
        <v>2.4</v>
      </c>
      <c r="F26" s="60">
        <v>2.25</v>
      </c>
      <c r="G26" s="60">
        <v>2.11</v>
      </c>
      <c r="H26" s="60">
        <v>1.97</v>
      </c>
      <c r="I26" s="60">
        <v>1.83</v>
      </c>
      <c r="J26" s="60">
        <v>1.75</v>
      </c>
      <c r="K26" s="60">
        <v>1.58</v>
      </c>
      <c r="L26" s="60">
        <v>1.46</v>
      </c>
      <c r="M26" s="60">
        <v>1.38</v>
      </c>
    </row>
    <row r="27" spans="1:13">
      <c r="A27" s="60" t="s">
        <v>129</v>
      </c>
      <c r="B27" s="60" t="s">
        <v>12</v>
      </c>
      <c r="C27" s="69">
        <f>IF(ISNUMBER(INDEX('2016'!$I$5:$I$72,MATCH(B27,'2016'!$A$5:$A$72,0))),INDEX('2016'!$I$5:$I$72,MATCH(B27,'2016'!$A$5:$A$72,0)),"N/A")</f>
        <v>3.06</v>
      </c>
      <c r="D27" s="60">
        <v>2.84</v>
      </c>
      <c r="E27" s="60">
        <v>2.69</v>
      </c>
      <c r="F27" s="60">
        <v>2.59</v>
      </c>
      <c r="G27" s="60">
        <v>2.42</v>
      </c>
      <c r="H27" s="60">
        <v>2.3199999999999998</v>
      </c>
      <c r="I27" s="60">
        <v>2.1800000000000002</v>
      </c>
      <c r="J27" s="60">
        <v>2.12</v>
      </c>
      <c r="K27" s="60">
        <v>2.12</v>
      </c>
      <c r="L27" s="60">
        <v>2.12</v>
      </c>
      <c r="M27" s="60">
        <v>2.0750000000000002</v>
      </c>
    </row>
    <row r="28" spans="1:13">
      <c r="A28" s="60" t="s">
        <v>130</v>
      </c>
      <c r="B28" s="60" t="s">
        <v>13</v>
      </c>
      <c r="C28" s="69">
        <f>IF(ISNUMBER(INDEX('2016'!$I$5:$I$72,MATCH(B28,'2016'!$A$5:$A$72,0))),INDEX('2016'!$I$5:$I$72,MATCH(B28,'2016'!$A$5:$A$72,0)),"N/A")</f>
        <v>3.36</v>
      </c>
      <c r="D28" s="60">
        <v>3.24</v>
      </c>
      <c r="E28" s="60">
        <v>3.15</v>
      </c>
      <c r="F28" s="60">
        <v>3.09</v>
      </c>
      <c r="G28" s="60">
        <v>3.03</v>
      </c>
      <c r="H28" s="60">
        <v>2.97</v>
      </c>
      <c r="I28" s="60">
        <v>2.91</v>
      </c>
      <c r="J28" s="60">
        <v>2.82</v>
      </c>
      <c r="K28" s="60">
        <v>2.7</v>
      </c>
      <c r="L28" s="60">
        <v>2.58</v>
      </c>
      <c r="M28" s="60">
        <v>0</v>
      </c>
    </row>
    <row r="29" spans="1:13">
      <c r="A29" s="60" t="s">
        <v>131</v>
      </c>
      <c r="B29" s="60" t="s">
        <v>14</v>
      </c>
      <c r="C29" s="69">
        <f>IF(ISNUMBER(INDEX('2016'!$I$5:$I$72,MATCH(B29,'2016'!$A$5:$A$72,0))),INDEX('2016'!$I$5:$I$72,MATCH(B29,'2016'!$A$5:$A$72,0)),"N/A")</f>
        <v>1.9830000000000001</v>
      </c>
      <c r="D29" s="60">
        <v>1.7330000000000001</v>
      </c>
      <c r="E29" s="60">
        <v>1.4830000000000001</v>
      </c>
      <c r="F29" s="60">
        <v>1.3680000000000001</v>
      </c>
      <c r="G29" s="60">
        <v>1.3129999999999999</v>
      </c>
      <c r="H29" s="60">
        <v>1.2849999999999999</v>
      </c>
      <c r="I29" s="60">
        <v>1.2649999999999999</v>
      </c>
      <c r="J29" s="60">
        <v>1.2450000000000001</v>
      </c>
      <c r="K29" s="60">
        <v>1.2250000000000001</v>
      </c>
      <c r="L29" s="60">
        <v>1.175</v>
      </c>
      <c r="M29" s="60">
        <v>1.1000000000000001</v>
      </c>
    </row>
    <row r="30" spans="1:13">
      <c r="A30" s="60" t="s">
        <v>132</v>
      </c>
      <c r="B30" s="60" t="s">
        <v>15</v>
      </c>
      <c r="C30" s="69">
        <f>IF(ISNUMBER(INDEX('2016'!$I$5:$I$72,MATCH(B30,'2016'!$A$5:$A$72,0))),INDEX('2016'!$I$5:$I$72,MATCH(B30,'2016'!$A$5:$A$72,0)),"N/A")</f>
        <v>1.2250000000000001</v>
      </c>
      <c r="D30" s="60">
        <v>1.165</v>
      </c>
      <c r="E30" s="60">
        <v>1.105</v>
      </c>
      <c r="F30" s="60">
        <v>1.0449999999999999</v>
      </c>
      <c r="G30" s="60">
        <v>0.97</v>
      </c>
      <c r="H30" s="60">
        <v>0.66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</row>
    <row r="31" spans="1:13">
      <c r="A31" s="60" t="s">
        <v>134</v>
      </c>
      <c r="B31" s="60" t="s">
        <v>17</v>
      </c>
      <c r="C31" s="69">
        <f>IF(ISNUMBER(INDEX('2016'!$I$5:$I$72,MATCH(B31,'2016'!$A$5:$A$72,0))),INDEX('2016'!$I$5:$I$72,MATCH(B31,'2016'!$A$5:$A$72,0)),"N/A")</f>
        <v>3.42</v>
      </c>
      <c r="D31" s="60">
        <v>3.34</v>
      </c>
      <c r="E31" s="60">
        <v>3.32</v>
      </c>
      <c r="F31" s="60">
        <v>3.32</v>
      </c>
      <c r="G31" s="60">
        <v>3.32</v>
      </c>
      <c r="H31" s="60">
        <v>3.32</v>
      </c>
      <c r="I31" s="60">
        <v>3.24</v>
      </c>
      <c r="J31" s="60">
        <v>3</v>
      </c>
      <c r="K31" s="60">
        <v>3</v>
      </c>
      <c r="L31" s="60">
        <v>2.58</v>
      </c>
      <c r="M31" s="60">
        <v>2.16</v>
      </c>
    </row>
    <row r="32" spans="1:13">
      <c r="A32" s="60" t="s">
        <v>210</v>
      </c>
      <c r="B32" s="60" t="s">
        <v>211</v>
      </c>
      <c r="C32" s="69">
        <f>IF(ISNUMBER(INDEX('2016'!$I$5:$I$72,MATCH(B32,'2016'!$A$5:$A$72,0))),INDEX('2016'!$I$5:$I$72,MATCH(B32,'2016'!$A$5:$A$72,0)),"N/A")</f>
        <v>1.78</v>
      </c>
      <c r="D32" s="60">
        <v>1.67</v>
      </c>
      <c r="E32" s="60">
        <v>1.57</v>
      </c>
      <c r="F32" s="60">
        <v>1.47</v>
      </c>
      <c r="G32" s="60">
        <v>1.32</v>
      </c>
      <c r="H32" s="60">
        <v>1.1000000000000001</v>
      </c>
      <c r="I32" s="60">
        <v>1.0249999999999999</v>
      </c>
      <c r="J32" s="60">
        <v>0.95</v>
      </c>
      <c r="K32" s="60">
        <v>0.82499999999999996</v>
      </c>
      <c r="L32" s="60">
        <v>0.77500000000000002</v>
      </c>
      <c r="M32" s="60">
        <v>0.72499999999999998</v>
      </c>
    </row>
    <row r="33" spans="1:13">
      <c r="A33" s="60" t="s">
        <v>135</v>
      </c>
      <c r="B33" s="60" t="s">
        <v>18</v>
      </c>
      <c r="C33" s="69">
        <f>IF(ISNUMBER(INDEX('2016'!$I$5:$I$72,MATCH(B33,'2016'!$A$5:$A$72,0))),INDEX('2016'!$I$5:$I$72,MATCH(B33,'2016'!$A$5:$A$72,0)),"N/A")</f>
        <v>1.26</v>
      </c>
      <c r="D33" s="60">
        <v>1.24</v>
      </c>
      <c r="E33" s="60">
        <v>1.24</v>
      </c>
      <c r="F33" s="60">
        <v>1.4550000000000001</v>
      </c>
      <c r="G33" s="60">
        <v>2.1</v>
      </c>
      <c r="H33" s="60">
        <v>2.1</v>
      </c>
      <c r="I33" s="60">
        <v>2.1</v>
      </c>
      <c r="J33" s="60">
        <v>2.1</v>
      </c>
      <c r="K33" s="60">
        <v>2.0499999999999998</v>
      </c>
      <c r="L33" s="60">
        <v>1.82</v>
      </c>
      <c r="M33" s="60">
        <v>1.64</v>
      </c>
    </row>
    <row r="34" spans="1:13">
      <c r="A34" s="60" t="s">
        <v>136</v>
      </c>
      <c r="B34" s="60" t="s">
        <v>19</v>
      </c>
      <c r="C34" s="69">
        <f>IF(ISNUMBER(INDEX('2016'!$I$5:$I$72,MATCH(B34,'2016'!$A$5:$A$72,0))),INDEX('2016'!$I$5:$I$72,MATCH(B34,'2016'!$A$5:$A$72,0)),"N/A")</f>
        <v>1.44</v>
      </c>
      <c r="D34" s="60">
        <v>1.44</v>
      </c>
      <c r="E34" s="60">
        <v>1.44</v>
      </c>
      <c r="F34" s="60">
        <v>1.65</v>
      </c>
      <c r="G34" s="60">
        <v>2.2000000000000002</v>
      </c>
      <c r="H34" s="60">
        <v>2.2000000000000002</v>
      </c>
      <c r="I34" s="60">
        <v>2.2000000000000002</v>
      </c>
      <c r="J34" s="60">
        <v>2.2000000000000002</v>
      </c>
      <c r="K34" s="60">
        <v>2.2000000000000002</v>
      </c>
      <c r="L34" s="60">
        <v>2.0499999999999998</v>
      </c>
      <c r="M34" s="60">
        <v>1.85</v>
      </c>
    </row>
    <row r="35" spans="1:13">
      <c r="A35" s="60" t="s">
        <v>266</v>
      </c>
      <c r="B35" s="60" t="s">
        <v>267</v>
      </c>
      <c r="C35" s="69">
        <f>IF(ISNUMBER(INDEX('2016'!$I$5:$I$72,MATCH(B35,'2016'!$A$5:$A$72,0))),INDEX('2016'!$I$5:$I$72,MATCH(B35,'2016'!$A$5:$A$72,0)),"N/A")</f>
        <v>1.55</v>
      </c>
      <c r="D35" s="60">
        <v>1.43</v>
      </c>
      <c r="E35" s="60">
        <v>1.3</v>
      </c>
      <c r="F35" s="60">
        <v>1.25</v>
      </c>
      <c r="G35" s="60">
        <v>1.21</v>
      </c>
      <c r="H35" s="60">
        <v>1.17</v>
      </c>
      <c r="I35" s="60">
        <v>1.1200000000000001</v>
      </c>
      <c r="J35" s="60">
        <v>1.04</v>
      </c>
      <c r="K35" s="60">
        <v>1</v>
      </c>
      <c r="L35" s="60">
        <v>0.82</v>
      </c>
      <c r="M35" s="60">
        <v>0.67</v>
      </c>
    </row>
    <row r="36" spans="1:13">
      <c r="A36" s="60" t="s">
        <v>185</v>
      </c>
      <c r="B36" s="60" t="s">
        <v>186</v>
      </c>
      <c r="C36" s="69">
        <f>IF(ISNUMBER(INDEX('2016'!$I$5:$I$72,MATCH(B36,'2016'!$A$5:$A$72,0))),INDEX('2016'!$I$5:$I$72,MATCH(B36,'2016'!$A$5:$A$72,0)),"N/A")</f>
        <v>0.3</v>
      </c>
      <c r="D36" s="60">
        <v>0.54</v>
      </c>
      <c r="E36" s="60">
        <v>0.54</v>
      </c>
      <c r="F36" s="60">
        <v>0.54</v>
      </c>
      <c r="G36" s="60">
        <v>0.54</v>
      </c>
      <c r="H36" s="60">
        <v>0.54</v>
      </c>
      <c r="I36" s="60">
        <v>0.54</v>
      </c>
      <c r="J36" s="60">
        <v>0.52500000000000002</v>
      </c>
      <c r="K36" s="60">
        <v>0.215</v>
      </c>
      <c r="L36" s="60">
        <v>0.34</v>
      </c>
      <c r="M36" s="60">
        <v>0.113</v>
      </c>
    </row>
    <row r="37" spans="1:13">
      <c r="A37" s="60" t="s">
        <v>137</v>
      </c>
      <c r="B37" s="60" t="s">
        <v>20</v>
      </c>
      <c r="C37" s="69">
        <f>IF(ISNUMBER(INDEX('2016'!$I$5:$I$72,MATCH(B37,'2016'!$A$5:$A$72,0))),INDEX('2016'!$I$5:$I$72,MATCH(B37,'2016'!$A$5:$A$72,0)),"N/A")</f>
        <v>1.0549999999999999</v>
      </c>
      <c r="D37" s="60">
        <v>0.998</v>
      </c>
      <c r="E37" s="60">
        <v>0.93500000000000005</v>
      </c>
      <c r="F37" s="60">
        <v>0.88200000000000001</v>
      </c>
      <c r="G37" s="60">
        <v>0.85499999999999998</v>
      </c>
      <c r="H37" s="60">
        <v>0.83499999999999996</v>
      </c>
      <c r="I37" s="60">
        <v>0.83</v>
      </c>
      <c r="J37" s="60">
        <v>0.83</v>
      </c>
      <c r="K37" s="60">
        <v>1.66</v>
      </c>
      <c r="L37" s="60">
        <v>1.66</v>
      </c>
      <c r="M37" s="60">
        <v>1.66</v>
      </c>
    </row>
    <row r="38" spans="1:13">
      <c r="A38" s="60" t="s">
        <v>138</v>
      </c>
      <c r="B38" s="60" t="s">
        <v>21</v>
      </c>
      <c r="C38" s="69">
        <f>IF(ISNUMBER(INDEX('2016'!$I$5:$I$72,MATCH(B38,'2016'!$A$5:$A$72,0))),INDEX('2016'!$I$5:$I$72,MATCH(B38,'2016'!$A$5:$A$72,0)),"N/A")</f>
        <v>1.24</v>
      </c>
      <c r="D38" s="60">
        <v>1.24</v>
      </c>
      <c r="E38" s="60">
        <v>1.24</v>
      </c>
      <c r="F38" s="60">
        <v>1.24</v>
      </c>
      <c r="G38" s="60">
        <v>1.24</v>
      </c>
      <c r="H38" s="60">
        <v>1.24</v>
      </c>
      <c r="I38" s="60">
        <v>1.24</v>
      </c>
      <c r="J38" s="60">
        <v>1.24</v>
      </c>
      <c r="K38" s="60">
        <v>1.24</v>
      </c>
      <c r="L38" s="60">
        <v>1.24</v>
      </c>
      <c r="M38" s="60">
        <v>1.24</v>
      </c>
    </row>
    <row r="39" spans="1:13">
      <c r="A39" s="60" t="s">
        <v>216</v>
      </c>
      <c r="B39" s="60" t="s">
        <v>22</v>
      </c>
      <c r="C39" s="69">
        <f>IF(ISNUMBER(INDEX('2016'!$I$5:$I$72,MATCH(B39,'2016'!$A$5:$A$72,0))),INDEX('2016'!$I$5:$I$72,MATCH(B39,'2016'!$A$5:$A$72,0)),"N/A")</f>
        <v>2.08</v>
      </c>
      <c r="D39" s="60">
        <v>1.92</v>
      </c>
      <c r="E39" s="60">
        <v>1.76</v>
      </c>
      <c r="F39" s="60">
        <v>1.57</v>
      </c>
      <c r="G39" s="60">
        <v>1.37</v>
      </c>
      <c r="H39" s="60">
        <v>1.2</v>
      </c>
      <c r="I39" s="60">
        <v>1.2</v>
      </c>
      <c r="J39" s="60">
        <v>1.2</v>
      </c>
      <c r="K39" s="60">
        <v>1.2</v>
      </c>
      <c r="L39" s="60">
        <v>1.2</v>
      </c>
      <c r="M39" s="60">
        <v>1.2</v>
      </c>
    </row>
    <row r="40" spans="1:13">
      <c r="A40" s="60" t="s">
        <v>139</v>
      </c>
      <c r="B40" s="60" t="s">
        <v>25</v>
      </c>
      <c r="C40" s="69">
        <f>IF(ISNUMBER(INDEX('2016'!$I$5:$I$72,MATCH(B40,'2016'!$A$5:$A$72,0))),INDEX('2016'!$I$5:$I$72,MATCH(B40,'2016'!$A$5:$A$72,0)),"N/A")</f>
        <v>1.21</v>
      </c>
      <c r="D40" s="60">
        <v>1.1599999999999999</v>
      </c>
      <c r="E40" s="60">
        <v>1.1100000000000001</v>
      </c>
      <c r="F40" s="60">
        <v>1.07</v>
      </c>
      <c r="G40" s="60">
        <v>1.04</v>
      </c>
      <c r="H40" s="60">
        <v>1.0109999999999999</v>
      </c>
      <c r="I40" s="60">
        <v>0.99299999999999999</v>
      </c>
      <c r="J40" s="60">
        <v>0.97299999999999998</v>
      </c>
      <c r="K40" s="60">
        <v>0.95599999999999996</v>
      </c>
      <c r="L40" s="60">
        <v>0.94</v>
      </c>
      <c r="M40" s="60">
        <v>0.92700000000000005</v>
      </c>
    </row>
    <row r="41" spans="1:13">
      <c r="A41" s="60" t="s">
        <v>187</v>
      </c>
      <c r="B41" s="60" t="s">
        <v>188</v>
      </c>
      <c r="C41" s="69">
        <f>IF(ISNUMBER(INDEX('2016'!$I$5:$I$72,MATCH(B41,'2016'!$A$5:$A$72,0))),INDEX('2016'!$I$5:$I$72,MATCH(B41,'2016'!$A$5:$A$72,0)),"N/A")</f>
        <v>0.80800000000000005</v>
      </c>
      <c r="D41" s="60">
        <v>0.77600000000000002</v>
      </c>
      <c r="E41" s="60">
        <v>0.76300000000000001</v>
      </c>
      <c r="F41" s="60">
        <v>0.753</v>
      </c>
      <c r="G41" s="60">
        <v>0.74299999999999999</v>
      </c>
      <c r="H41" s="60">
        <v>0.73299999999999998</v>
      </c>
      <c r="I41" s="60">
        <v>0.72299999999999998</v>
      </c>
      <c r="J41" s="60">
        <v>0.71299999999999997</v>
      </c>
      <c r="K41" s="60">
        <v>0.70299999999999996</v>
      </c>
      <c r="L41" s="60">
        <v>0.69299999999999995</v>
      </c>
      <c r="M41" s="60">
        <v>0.68300000000000005</v>
      </c>
    </row>
    <row r="42" spans="1:13">
      <c r="A42" s="60" t="s">
        <v>189</v>
      </c>
      <c r="B42" s="60" t="s">
        <v>190</v>
      </c>
      <c r="C42" s="69">
        <f>IF(ISNUMBER(INDEX('2016'!$I$5:$I$72,MATCH(B42,'2016'!$A$5:$A$72,0))),INDEX('2016'!$I$5:$I$72,MATCH(B42,'2016'!$A$5:$A$72,0)),"N/A")</f>
        <v>0.98</v>
      </c>
      <c r="D42" s="60">
        <v>0.93</v>
      </c>
      <c r="E42" s="60">
        <v>0.85499999999999998</v>
      </c>
      <c r="F42" s="60">
        <v>0.81</v>
      </c>
      <c r="G42" s="60">
        <v>0.77</v>
      </c>
      <c r="H42" s="60">
        <v>0.72</v>
      </c>
      <c r="I42" s="60">
        <v>0.68</v>
      </c>
      <c r="J42" s="60">
        <v>0.62</v>
      </c>
      <c r="K42" s="60">
        <v>0.55500000000000005</v>
      </c>
      <c r="L42" s="60">
        <v>0.50700000000000001</v>
      </c>
      <c r="M42" s="60">
        <v>0.48</v>
      </c>
    </row>
    <row r="43" spans="1:13">
      <c r="A43" s="60" t="s">
        <v>140</v>
      </c>
      <c r="B43" s="60" t="s">
        <v>141</v>
      </c>
      <c r="C43" s="69">
        <f>IF(ISNUMBER(INDEX('2016'!$I$5:$I$72,MATCH(B43,'2016'!$A$5:$A$72,0))),INDEX('2016'!$I$5:$I$72,MATCH(B43,'2016'!$A$5:$A$72,0)),"N/A")</f>
        <v>3.48</v>
      </c>
      <c r="D43" s="60">
        <v>3.08</v>
      </c>
      <c r="E43" s="60">
        <v>2.9</v>
      </c>
      <c r="F43" s="60">
        <v>2.64</v>
      </c>
      <c r="G43" s="60">
        <v>2.4</v>
      </c>
      <c r="H43" s="60">
        <v>2.2000000000000002</v>
      </c>
      <c r="I43" s="60">
        <v>2</v>
      </c>
      <c r="J43" s="60">
        <v>1.89</v>
      </c>
      <c r="K43" s="60">
        <v>1.78</v>
      </c>
      <c r="L43" s="60">
        <v>1.64</v>
      </c>
      <c r="M43" s="60">
        <v>1.5</v>
      </c>
    </row>
    <row r="44" spans="1:13">
      <c r="A44" s="60" t="s">
        <v>142</v>
      </c>
      <c r="B44" s="60" t="s">
        <v>26</v>
      </c>
      <c r="C44" s="69">
        <f>IF(ISNUMBER(INDEX('2016'!$I$5:$I$72,MATCH(B44,'2016'!$A$5:$A$72,0))),INDEX('2016'!$I$5:$I$72,MATCH(B44,'2016'!$A$5:$A$72,0)),"N/A")</f>
        <v>0.64</v>
      </c>
      <c r="D44" s="60">
        <v>0.83</v>
      </c>
      <c r="E44" s="60">
        <v>1.02</v>
      </c>
      <c r="F44" s="60">
        <v>0.98</v>
      </c>
      <c r="G44" s="60">
        <v>0.94</v>
      </c>
      <c r="H44" s="60">
        <v>0.92</v>
      </c>
      <c r="I44" s="60">
        <v>0.92</v>
      </c>
      <c r="J44" s="60">
        <v>0.92</v>
      </c>
      <c r="K44" s="60">
        <v>0.92</v>
      </c>
      <c r="L44" s="60">
        <v>0.92</v>
      </c>
      <c r="M44" s="60">
        <v>0.92</v>
      </c>
    </row>
    <row r="45" spans="1:13">
      <c r="A45" s="60" t="s">
        <v>191</v>
      </c>
      <c r="B45" s="60" t="s">
        <v>192</v>
      </c>
      <c r="C45" s="69">
        <f>IF(ISNUMBER(INDEX('2016'!$I$5:$I$72,MATCH(B45,'2016'!$A$5:$A$72,0))),INDEX('2016'!$I$5:$I$72,MATCH(B45,'2016'!$A$5:$A$72,0)),"N/A")</f>
        <v>1.87</v>
      </c>
      <c r="D45" s="60">
        <v>1.86</v>
      </c>
      <c r="E45" s="60">
        <v>1.85</v>
      </c>
      <c r="F45" s="60">
        <v>1.83</v>
      </c>
      <c r="G45" s="60">
        <v>1.79</v>
      </c>
      <c r="H45" s="60">
        <v>1.75</v>
      </c>
      <c r="I45" s="60">
        <v>1.68</v>
      </c>
      <c r="J45" s="60">
        <v>1.6</v>
      </c>
      <c r="K45" s="60">
        <v>1.52</v>
      </c>
      <c r="L45" s="60">
        <v>1.44</v>
      </c>
      <c r="M45" s="60">
        <v>1.39</v>
      </c>
    </row>
    <row r="46" spans="1:13">
      <c r="A46" s="60" t="s">
        <v>143</v>
      </c>
      <c r="B46" s="60" t="s">
        <v>144</v>
      </c>
      <c r="C46" s="69">
        <f>IF(ISNUMBER(INDEX('2016'!$I$5:$I$72,MATCH(B46,'2016'!$A$5:$A$72,0))),INDEX('2016'!$I$5:$I$72,MATCH(B46,'2016'!$A$5:$A$72,0)),"N/A")</f>
        <v>2</v>
      </c>
      <c r="D46" s="60">
        <v>1.92</v>
      </c>
      <c r="E46" s="60">
        <v>1.6</v>
      </c>
      <c r="F46" s="60">
        <v>1.52</v>
      </c>
      <c r="G46" s="60">
        <v>1.48</v>
      </c>
      <c r="H46" s="60">
        <v>1.44</v>
      </c>
      <c r="I46" s="60">
        <v>1.36</v>
      </c>
      <c r="J46" s="60">
        <v>1.34</v>
      </c>
      <c r="K46" s="60">
        <v>1.32</v>
      </c>
      <c r="L46" s="60">
        <v>1.28</v>
      </c>
      <c r="M46" s="60">
        <v>1.24</v>
      </c>
    </row>
    <row r="47" spans="1:13">
      <c r="A47" s="60" t="s">
        <v>145</v>
      </c>
      <c r="B47" s="60" t="s">
        <v>27</v>
      </c>
      <c r="C47" s="69">
        <f>IF(ISNUMBER(INDEX('2016'!$I$5:$I$72,MATCH(B47,'2016'!$A$5:$A$72,0))),INDEX('2016'!$I$5:$I$72,MATCH(B47,'2016'!$A$5:$A$72,0)),"N/A")</f>
        <v>1.155</v>
      </c>
      <c r="D47" s="60">
        <v>1.05</v>
      </c>
      <c r="E47" s="60">
        <v>0.95</v>
      </c>
      <c r="F47" s="60">
        <v>0.85099999999999998</v>
      </c>
      <c r="G47" s="60">
        <v>0.79800000000000004</v>
      </c>
      <c r="H47" s="60">
        <v>0.75900000000000001</v>
      </c>
      <c r="I47" s="60">
        <v>0.73199999999999998</v>
      </c>
      <c r="J47" s="60">
        <v>0.71399999999999997</v>
      </c>
      <c r="K47" s="60">
        <v>0.69899999999999995</v>
      </c>
      <c r="L47" s="60">
        <v>0.68400000000000005</v>
      </c>
      <c r="M47" s="60">
        <v>0.66900000000000004</v>
      </c>
    </row>
    <row r="48" spans="1:13">
      <c r="A48" s="60" t="s">
        <v>356</v>
      </c>
      <c r="B48" s="60" t="s">
        <v>353</v>
      </c>
      <c r="C48" s="69">
        <v>1.4</v>
      </c>
      <c r="D48" s="60">
        <v>1.2</v>
      </c>
      <c r="E48" s="60">
        <v>0.84</v>
      </c>
    </row>
    <row r="49" spans="1:13">
      <c r="A49" s="60" t="s">
        <v>146</v>
      </c>
      <c r="B49" s="60" t="s">
        <v>28</v>
      </c>
      <c r="C49" s="69">
        <f>IF(ISNUMBER(INDEX('2016'!$I$5:$I$72,MATCH(B49,'2016'!$A$5:$A$72,0))),INDEX('2016'!$I$5:$I$72,MATCH(B49,'2016'!$A$5:$A$72,0)),"N/A")</f>
        <v>1.25</v>
      </c>
      <c r="D49" s="60">
        <v>1.23</v>
      </c>
      <c r="E49" s="60">
        <v>1.21</v>
      </c>
      <c r="F49" s="60">
        <v>1.19</v>
      </c>
      <c r="G49" s="60">
        <v>1.19</v>
      </c>
      <c r="H49" s="60">
        <v>1.19</v>
      </c>
      <c r="I49" s="60">
        <v>1.19</v>
      </c>
      <c r="J49" s="60">
        <v>1.19</v>
      </c>
      <c r="K49" s="60">
        <v>1.19</v>
      </c>
      <c r="L49" s="60">
        <v>1.17</v>
      </c>
      <c r="M49" s="60">
        <v>1.1499999999999999</v>
      </c>
    </row>
    <row r="50" spans="1:13">
      <c r="A50" s="60" t="s">
        <v>147</v>
      </c>
      <c r="B50" s="60" t="s">
        <v>30</v>
      </c>
      <c r="C50" s="69">
        <f>IF(ISNUMBER(INDEX('2016'!$I$5:$I$72,MATCH(B50,'2016'!$A$5:$A$72,0))),INDEX('2016'!$I$5:$I$72,MATCH(B50,'2016'!$A$5:$A$72,0)),"N/A")</f>
        <v>1.925</v>
      </c>
      <c r="D50" s="60">
        <v>1.82</v>
      </c>
      <c r="E50" s="60">
        <v>1.82</v>
      </c>
      <c r="F50" s="60">
        <v>1.82</v>
      </c>
      <c r="G50" s="60">
        <v>1.82</v>
      </c>
      <c r="H50" s="60">
        <v>1.82</v>
      </c>
      <c r="I50" s="60">
        <v>1.82</v>
      </c>
      <c r="J50" s="60">
        <v>1.68</v>
      </c>
      <c r="K50" s="60">
        <v>1.56</v>
      </c>
      <c r="L50" s="60">
        <v>1.44</v>
      </c>
      <c r="M50" s="60">
        <v>1.32</v>
      </c>
    </row>
    <row r="51" spans="1:13">
      <c r="A51" s="60" t="s">
        <v>148</v>
      </c>
      <c r="B51" s="60" t="s">
        <v>31</v>
      </c>
      <c r="C51" s="69">
        <f>IF(ISNUMBER(INDEX('2016'!$I$5:$I$72,MATCH(B51,'2016'!$A$5:$A$72,0))),INDEX('2016'!$I$5:$I$72,MATCH(B51,'2016'!$A$5:$A$72,0)),"N/A")</f>
        <v>2.56</v>
      </c>
      <c r="D51" s="60">
        <v>2.44</v>
      </c>
      <c r="E51" s="60">
        <v>2.3250000000000002</v>
      </c>
      <c r="F51" s="60">
        <v>2.2250000000000001</v>
      </c>
      <c r="G51" s="60">
        <v>2.67</v>
      </c>
      <c r="H51" s="60">
        <v>2.1</v>
      </c>
      <c r="I51" s="60">
        <v>2.1</v>
      </c>
      <c r="J51" s="60">
        <v>2.1</v>
      </c>
      <c r="K51" s="60">
        <v>2.1</v>
      </c>
      <c r="L51" s="60">
        <v>2.1</v>
      </c>
      <c r="M51" s="60">
        <v>2.0249999999999999</v>
      </c>
    </row>
    <row r="52" spans="1:13">
      <c r="A52" s="60" t="s">
        <v>149</v>
      </c>
      <c r="B52" s="60" t="s">
        <v>32</v>
      </c>
      <c r="C52" s="69">
        <f>IF(ISNUMBER(INDEX('2016'!$I$5:$I$72,MATCH(B52,'2016'!$A$5:$A$72,0))),INDEX('2016'!$I$5:$I$72,MATCH(B52,'2016'!$A$5:$A$72,0)),"N/A")</f>
        <v>0.88</v>
      </c>
      <c r="D52" s="60">
        <v>0.8</v>
      </c>
      <c r="E52" s="60">
        <v>0.755</v>
      </c>
      <c r="F52" s="60">
        <v>0.68</v>
      </c>
      <c r="G52" s="60">
        <v>0.57999999999999996</v>
      </c>
      <c r="H52" s="60">
        <v>0.5</v>
      </c>
      <c r="I52" s="60">
        <v>0.5</v>
      </c>
      <c r="J52" s="60">
        <v>0.5</v>
      </c>
      <c r="K52" s="60">
        <v>0.60499999999999998</v>
      </c>
      <c r="L52" s="60">
        <v>0.91</v>
      </c>
      <c r="M52" s="60">
        <v>0.86</v>
      </c>
    </row>
    <row r="53" spans="1:13">
      <c r="A53" s="60" t="s">
        <v>150</v>
      </c>
      <c r="B53" s="60" t="s">
        <v>33</v>
      </c>
      <c r="C53" s="69">
        <f>IF(ISNUMBER(INDEX('2016'!$I$5:$I$72,MATCH(B53,'2016'!$A$5:$A$72,0))),INDEX('2016'!$I$5:$I$72,MATCH(B53,'2016'!$A$5:$A$72,0)),"N/A")</f>
        <v>1.26</v>
      </c>
      <c r="D53" s="60">
        <v>1.18</v>
      </c>
      <c r="E53" s="60">
        <v>1.115</v>
      </c>
      <c r="F53" s="60">
        <v>1.095</v>
      </c>
      <c r="G53" s="60">
        <v>1.075</v>
      </c>
      <c r="H53" s="60">
        <v>1.0549999999999999</v>
      </c>
      <c r="I53" s="60">
        <v>1.0349999999999999</v>
      </c>
      <c r="J53" s="60">
        <v>1.01</v>
      </c>
      <c r="K53" s="60">
        <v>0.97</v>
      </c>
      <c r="L53" s="60">
        <v>0.93</v>
      </c>
      <c r="M53" s="60">
        <v>0.67500000000000004</v>
      </c>
    </row>
    <row r="54" spans="1:13">
      <c r="A54" s="60" t="s">
        <v>151</v>
      </c>
      <c r="B54" s="60" t="s">
        <v>34</v>
      </c>
      <c r="C54" s="69">
        <f>IF(ISNUMBER(INDEX('2016'!$I$5:$I$72,MATCH(B54,'2016'!$A$5:$A$72,0))),INDEX('2016'!$I$5:$I$72,MATCH(B54,'2016'!$A$5:$A$72,0)),"N/A")</f>
        <v>1.52</v>
      </c>
      <c r="D54" s="60">
        <v>1.5</v>
      </c>
      <c r="E54" s="60">
        <v>1.49</v>
      </c>
      <c r="F54" s="60">
        <v>1.47</v>
      </c>
      <c r="G54" s="60">
        <v>1.44</v>
      </c>
      <c r="H54" s="60">
        <v>1.4</v>
      </c>
      <c r="I54" s="60">
        <v>1.4</v>
      </c>
      <c r="J54" s="60">
        <v>1.38</v>
      </c>
      <c r="K54" s="60">
        <v>1.34</v>
      </c>
      <c r="L54" s="60">
        <v>1.22</v>
      </c>
      <c r="M54" s="60">
        <v>1.1000000000000001</v>
      </c>
    </row>
    <row r="55" spans="1:13">
      <c r="A55" s="60" t="s">
        <v>152</v>
      </c>
      <c r="B55" s="60" t="s">
        <v>35</v>
      </c>
      <c r="C55" s="69">
        <f>IF(ISNUMBER(INDEX('2016'!$I$5:$I$72,MATCH(B55,'2016'!$A$5:$A$72,0))),INDEX('2016'!$I$5:$I$72,MATCH(B55,'2016'!$A$5:$A$72,0)),"N/A")</f>
        <v>1.64</v>
      </c>
      <c r="D55" s="60">
        <v>1.56</v>
      </c>
      <c r="E55" s="60">
        <v>1.48</v>
      </c>
      <c r="F55" s="60">
        <v>1.44</v>
      </c>
      <c r="G55" s="60">
        <v>1.42</v>
      </c>
      <c r="H55" s="60">
        <v>1.37</v>
      </c>
      <c r="I55" s="60">
        <v>1.37</v>
      </c>
      <c r="J55" s="60">
        <v>1.33</v>
      </c>
      <c r="K55" s="60">
        <v>1.29</v>
      </c>
      <c r="L55" s="60">
        <v>1.17</v>
      </c>
      <c r="M55" s="60">
        <v>1.1399999999999999</v>
      </c>
    </row>
    <row r="56" spans="1:13">
      <c r="A56" s="60" t="s">
        <v>193</v>
      </c>
      <c r="B56" s="60" t="s">
        <v>194</v>
      </c>
      <c r="C56" s="69">
        <f>IF(ISNUMBER(INDEX('2016'!$I$5:$I$72,MATCH(B56,'2016'!$A$5:$A$72,0))),INDEX('2016'!$I$5:$I$72,MATCH(B56,'2016'!$A$5:$A$72,0)),"N/A")</f>
        <v>0.54</v>
      </c>
      <c r="D56" s="60">
        <v>0.51300000000000001</v>
      </c>
      <c r="E56" s="60">
        <v>0.49299999999999999</v>
      </c>
      <c r="F56" s="60">
        <v>0.48</v>
      </c>
      <c r="G56" s="60">
        <v>0.46700000000000003</v>
      </c>
      <c r="H56" s="60">
        <v>0.45300000000000001</v>
      </c>
      <c r="I56" s="60">
        <v>0.44</v>
      </c>
      <c r="J56" s="60">
        <v>0.42699999999999999</v>
      </c>
      <c r="K56" s="60">
        <v>0.41699999999999998</v>
      </c>
      <c r="L56" s="60">
        <v>0.40699999999999997</v>
      </c>
      <c r="M56" s="60">
        <v>0.4</v>
      </c>
    </row>
    <row r="57" spans="1:13">
      <c r="A57" s="60" t="s">
        <v>153</v>
      </c>
      <c r="B57" s="60" t="s">
        <v>36</v>
      </c>
      <c r="C57" s="69">
        <f>IF(ISNUMBER(INDEX('2016'!$I$5:$I$72,MATCH(B57,'2016'!$A$5:$A$72,0))),INDEX('2016'!$I$5:$I$72,MATCH(B57,'2016'!$A$5:$A$72,0)),"N/A")</f>
        <v>2.2999999999999998</v>
      </c>
      <c r="D57" s="60">
        <v>2.1800000000000002</v>
      </c>
      <c r="E57" s="60">
        <v>2.1</v>
      </c>
      <c r="F57" s="60">
        <v>2.0299999999999998</v>
      </c>
      <c r="G57" s="60">
        <v>1.98</v>
      </c>
      <c r="H57" s="60">
        <v>1.94</v>
      </c>
      <c r="I57" s="60">
        <v>1.9</v>
      </c>
      <c r="J57" s="60">
        <v>1.88</v>
      </c>
      <c r="K57" s="60">
        <v>1.84</v>
      </c>
      <c r="L57" s="60">
        <v>1.76</v>
      </c>
      <c r="M57" s="60">
        <v>1.68</v>
      </c>
    </row>
    <row r="58" spans="1:13">
      <c r="A58" s="60" t="s">
        <v>154</v>
      </c>
      <c r="B58" s="60" t="s">
        <v>37</v>
      </c>
      <c r="C58" s="69">
        <f>IF(ISNUMBER(INDEX('2016'!$I$5:$I$72,MATCH(B58,'2016'!$A$5:$A$72,0))),INDEX('2016'!$I$5:$I$72,MATCH(B58,'2016'!$A$5:$A$72,0)),"N/A")</f>
        <v>3.02</v>
      </c>
      <c r="D58" s="60">
        <v>2.8</v>
      </c>
      <c r="E58" s="60">
        <v>2.64</v>
      </c>
      <c r="F58" s="60">
        <v>2.52</v>
      </c>
      <c r="G58" s="60">
        <v>2.4</v>
      </c>
      <c r="H58" s="60">
        <v>1.92</v>
      </c>
      <c r="I58" s="60">
        <v>1.56</v>
      </c>
      <c r="J58" s="60">
        <v>1.56</v>
      </c>
      <c r="K58" s="60">
        <v>1.37</v>
      </c>
      <c r="L58" s="60">
        <v>1.24</v>
      </c>
      <c r="M58" s="60">
        <v>1.2</v>
      </c>
    </row>
    <row r="59" spans="1:13">
      <c r="A59" s="60" t="s">
        <v>195</v>
      </c>
      <c r="B59" s="60" t="s">
        <v>196</v>
      </c>
      <c r="C59" s="69">
        <f>IF(ISNUMBER(INDEX('2016'!$I$5:$I$72,MATCH(B59,'2016'!$A$5:$A$72,0))),INDEX('2016'!$I$5:$I$72,MATCH(B59,'2016'!$A$5:$A$72,0)),"N/A")</f>
        <v>0.81</v>
      </c>
      <c r="D59" s="60">
        <v>0.78</v>
      </c>
      <c r="E59" s="60">
        <v>0.75</v>
      </c>
      <c r="F59" s="60">
        <v>0.73</v>
      </c>
      <c r="G59" s="60">
        <v>0.71</v>
      </c>
      <c r="H59" s="60">
        <v>0.69</v>
      </c>
      <c r="I59" s="60">
        <v>0.68</v>
      </c>
      <c r="J59" s="60">
        <v>0.66</v>
      </c>
      <c r="K59" s="60">
        <v>0.64500000000000002</v>
      </c>
      <c r="L59" s="60">
        <v>0.60499999999999998</v>
      </c>
      <c r="M59" s="60">
        <v>0.56499999999999995</v>
      </c>
    </row>
    <row r="60" spans="1:13">
      <c r="A60" s="60" t="s">
        <v>197</v>
      </c>
      <c r="B60" s="60" t="s">
        <v>198</v>
      </c>
      <c r="C60" s="69">
        <f>IF(ISNUMBER(INDEX('2016'!$I$5:$I$72,MATCH(B60,'2016'!$A$5:$A$72,0))),INDEX('2016'!$I$5:$I$72,MATCH(B60,'2016'!$A$5:$A$72,0)),"N/A")</f>
        <v>1.06</v>
      </c>
      <c r="D60" s="60">
        <v>1.02</v>
      </c>
      <c r="E60" s="60">
        <v>0.96</v>
      </c>
      <c r="F60" s="60">
        <v>0.9</v>
      </c>
      <c r="G60" s="60">
        <v>0.82499999999999996</v>
      </c>
      <c r="H60" s="60">
        <v>0.75</v>
      </c>
      <c r="I60" s="60">
        <v>0.68</v>
      </c>
      <c r="J60" s="60">
        <v>0.61</v>
      </c>
      <c r="K60" s="60">
        <v>0.55500000000000005</v>
      </c>
      <c r="L60" s="60">
        <v>0.505</v>
      </c>
      <c r="M60" s="60">
        <v>0.46</v>
      </c>
    </row>
    <row r="61" spans="1:13">
      <c r="A61" s="60" t="s">
        <v>155</v>
      </c>
      <c r="B61" s="60" t="s">
        <v>38</v>
      </c>
      <c r="C61" s="69">
        <f>IF(ISNUMBER(INDEX('2016'!$I$5:$I$72,MATCH(B61,'2016'!$A$5:$A$72,0))),INDEX('2016'!$I$5:$I$72,MATCH(B61,'2016'!$A$5:$A$72,0)),"N/A")</f>
        <v>2.2229999999999999</v>
      </c>
      <c r="D61" s="60">
        <v>2.153</v>
      </c>
      <c r="E61" s="60">
        <v>2.0830000000000002</v>
      </c>
      <c r="F61" s="60">
        <v>2.0129999999999999</v>
      </c>
      <c r="G61" s="60">
        <v>1.9430000000000001</v>
      </c>
      <c r="H61" s="60">
        <v>1.873</v>
      </c>
      <c r="I61" s="60">
        <v>1.8029999999999999</v>
      </c>
      <c r="J61" s="60">
        <v>1.7330000000000001</v>
      </c>
      <c r="K61" s="60">
        <v>1.663</v>
      </c>
      <c r="L61" s="60">
        <v>1.595</v>
      </c>
      <c r="M61" s="60">
        <v>1.5349999999999999</v>
      </c>
    </row>
    <row r="62" spans="1:13">
      <c r="A62" s="60" t="s">
        <v>199</v>
      </c>
      <c r="B62" s="60" t="s">
        <v>200</v>
      </c>
      <c r="C62" s="69">
        <f>IF(ISNUMBER(INDEX('2016'!$I$5:$I$72,MATCH(B62,'2016'!$A$5:$A$72,0))),INDEX('2016'!$I$5:$I$72,MATCH(B62,'2016'!$A$5:$A$72,0)),"N/A")</f>
        <v>1.8</v>
      </c>
      <c r="D62" s="60">
        <v>1.62</v>
      </c>
      <c r="E62" s="60">
        <v>1.46</v>
      </c>
      <c r="F62" s="60">
        <v>1.32</v>
      </c>
      <c r="G62" s="60">
        <v>1.18</v>
      </c>
      <c r="H62" s="60">
        <v>1.06</v>
      </c>
      <c r="I62" s="60">
        <v>1</v>
      </c>
      <c r="J62" s="60">
        <v>0.95</v>
      </c>
      <c r="K62" s="60">
        <v>0.9</v>
      </c>
      <c r="L62" s="60">
        <v>0.86</v>
      </c>
      <c r="M62" s="60">
        <v>0.82</v>
      </c>
    </row>
    <row r="63" spans="1:13">
      <c r="A63" s="60" t="s">
        <v>243</v>
      </c>
      <c r="B63" s="60" t="s">
        <v>244</v>
      </c>
      <c r="C63" s="69">
        <f>IF(ISNUMBER(INDEX('2016'!$I$5:$I$72,MATCH(B63,'2016'!$A$5:$A$72,0))),INDEX('2016'!$I$5:$I$72,MATCH(B63,'2016'!$A$5:$A$72,0)),"N/A")</f>
        <v>1.96</v>
      </c>
      <c r="D63" s="60">
        <v>1.84</v>
      </c>
      <c r="E63" s="60">
        <v>1.76</v>
      </c>
      <c r="F63" s="60">
        <v>1.7</v>
      </c>
      <c r="G63" s="60">
        <v>1.66</v>
      </c>
      <c r="H63" s="60">
        <v>1.61</v>
      </c>
      <c r="I63" s="60">
        <v>1.57</v>
      </c>
      <c r="J63" s="60">
        <v>1.53</v>
      </c>
      <c r="K63" s="60">
        <v>1.49</v>
      </c>
      <c r="L63" s="60">
        <v>1.45</v>
      </c>
      <c r="M63" s="60">
        <v>1.4</v>
      </c>
    </row>
    <row r="64" spans="1:13">
      <c r="A64" s="60" t="s">
        <v>201</v>
      </c>
      <c r="B64" s="60" t="s">
        <v>202</v>
      </c>
      <c r="C64" s="69">
        <f>IF(ISNUMBER(INDEX('2016'!$I$5:$I$72,MATCH(B64,'2016'!$A$5:$A$72,0))),INDEX('2016'!$I$5:$I$72,MATCH(B64,'2016'!$A$5:$A$72,0)),"N/A")</f>
        <v>0.39500000000000002</v>
      </c>
      <c r="D64" s="60">
        <v>0.36499999999999999</v>
      </c>
      <c r="E64" s="60">
        <v>0.34499999999999997</v>
      </c>
      <c r="F64" s="60">
        <v>0.32500000000000001</v>
      </c>
      <c r="G64" s="60">
        <v>0.31</v>
      </c>
      <c r="H64" s="60">
        <v>0.31</v>
      </c>
      <c r="I64" s="60">
        <v>0.28999999999999998</v>
      </c>
      <c r="J64" s="60">
        <v>0.27</v>
      </c>
      <c r="K64" s="60">
        <v>0</v>
      </c>
      <c r="L64" s="60">
        <v>0</v>
      </c>
      <c r="M64" s="60">
        <v>0</v>
      </c>
    </row>
    <row r="65" spans="1:13">
      <c r="A65" s="60" t="s">
        <v>203</v>
      </c>
      <c r="B65" s="60" t="s">
        <v>204</v>
      </c>
      <c r="C65" s="69">
        <f>IF(ISNUMBER(INDEX('2016'!$I$5:$I$72,MATCH(B65,'2016'!$A$5:$A$72,0))),INDEX('2016'!$I$5:$I$72,MATCH(B65,'2016'!$A$5:$A$72,0)),"N/A")</f>
        <v>0.93</v>
      </c>
      <c r="D65" s="60">
        <v>0.89</v>
      </c>
      <c r="E65" s="60">
        <v>0.79100000000000004</v>
      </c>
      <c r="F65" s="60">
        <v>0.74</v>
      </c>
      <c r="G65" s="60">
        <v>0.70699999999999996</v>
      </c>
      <c r="H65" s="60">
        <v>0.68</v>
      </c>
      <c r="I65" s="60">
        <v>0.6</v>
      </c>
      <c r="J65" s="60">
        <v>0.52300000000000002</v>
      </c>
      <c r="K65" s="60">
        <v>0.503</v>
      </c>
      <c r="L65" s="60">
        <v>0.48099999999999998</v>
      </c>
      <c r="M65" s="60">
        <v>0.45500000000000002</v>
      </c>
    </row>
    <row r="66" spans="1:13">
      <c r="A66" s="60" t="s">
        <v>159</v>
      </c>
      <c r="B66" s="60" t="s">
        <v>83</v>
      </c>
      <c r="C66" s="69">
        <f>IF(ISNUMBER(INDEX('2016'!$I$5:$I$72,MATCH(B66,'2016'!$A$5:$A$72,0))),INDEX('2016'!$I$5:$I$72,MATCH(B66,'2016'!$A$5:$A$72,0)),"N/A")</f>
        <v>1.42</v>
      </c>
      <c r="D66" s="60">
        <v>1.4</v>
      </c>
      <c r="E66" s="60">
        <v>1.385</v>
      </c>
      <c r="F66" s="60">
        <v>1.38</v>
      </c>
      <c r="G66" s="60">
        <v>1.38</v>
      </c>
      <c r="H66" s="60">
        <v>1.38</v>
      </c>
      <c r="I66" s="60">
        <v>1.38</v>
      </c>
      <c r="J66" s="60">
        <v>1.38</v>
      </c>
      <c r="K66" s="60">
        <v>1.38</v>
      </c>
      <c r="L66" s="60">
        <v>1.38</v>
      </c>
      <c r="M66" s="60">
        <v>1.38</v>
      </c>
    </row>
    <row r="67" spans="1:13">
      <c r="A67" s="60" t="s">
        <v>156</v>
      </c>
      <c r="B67" s="60" t="s">
        <v>42</v>
      </c>
      <c r="C67" s="69">
        <f>IF(ISNUMBER(INDEX('2016'!$I$5:$I$72,MATCH(B67,'2016'!$A$5:$A$72,0))),INDEX('2016'!$I$5:$I$72,MATCH(B67,'2016'!$A$5:$A$72,0)),"N/A")</f>
        <v>1.62</v>
      </c>
      <c r="D67" s="60">
        <v>1.54</v>
      </c>
      <c r="E67" s="60">
        <v>1.46</v>
      </c>
      <c r="F67" s="60">
        <v>1.425</v>
      </c>
      <c r="G67" s="60">
        <v>1.405</v>
      </c>
      <c r="H67" s="60">
        <v>1.385</v>
      </c>
      <c r="I67" s="60">
        <v>1.37</v>
      </c>
      <c r="J67" s="60">
        <v>1.35</v>
      </c>
      <c r="K67" s="60">
        <v>1.31</v>
      </c>
      <c r="L67" s="60">
        <v>1.27</v>
      </c>
      <c r="M67" s="60">
        <v>1.23</v>
      </c>
    </row>
    <row r="68" spans="1:13">
      <c r="A68" s="60" t="s">
        <v>217</v>
      </c>
      <c r="B68" s="60" t="s">
        <v>44</v>
      </c>
      <c r="C68" s="69">
        <f>IF(ISNUMBER(INDEX('2016'!$I$5:$I$72,MATCH(B68,'2016'!$A$5:$A$72,0))),INDEX('2016'!$I$5:$I$72,MATCH(B68,'2016'!$A$5:$A$72,0)),"N/A")</f>
        <v>1.98</v>
      </c>
      <c r="D68" s="60">
        <v>1.74</v>
      </c>
      <c r="E68" s="60">
        <v>1.56</v>
      </c>
      <c r="F68" s="60">
        <v>1.4450000000000001</v>
      </c>
      <c r="G68" s="60">
        <v>1.2</v>
      </c>
      <c r="H68" s="60">
        <v>1.04</v>
      </c>
      <c r="I68" s="60">
        <v>0.8</v>
      </c>
      <c r="J68" s="60">
        <v>0.67500000000000004</v>
      </c>
      <c r="K68" s="60">
        <v>0.54</v>
      </c>
      <c r="L68" s="60">
        <v>0.5</v>
      </c>
      <c r="M68" s="60">
        <v>0.46</v>
      </c>
    </row>
    <row r="69" spans="1:13">
      <c r="A69" s="60" t="s">
        <v>157</v>
      </c>
      <c r="B69" s="60" t="s">
        <v>43</v>
      </c>
      <c r="C69" s="69">
        <f>IF(ISNUMBER(INDEX('2016'!$I$5:$I$72,MATCH(B69,'2016'!$A$5:$A$72,0))),INDEX('2016'!$I$5:$I$72,MATCH(B69,'2016'!$A$5:$A$72,0)),"N/A")</f>
        <v>1.52</v>
      </c>
      <c r="D69" s="60">
        <v>1.44</v>
      </c>
      <c r="E69" s="60">
        <v>1.4</v>
      </c>
      <c r="F69" s="60">
        <v>1.36</v>
      </c>
      <c r="G69" s="60">
        <v>1.32</v>
      </c>
      <c r="H69" s="60">
        <v>1.28</v>
      </c>
      <c r="I69" s="60">
        <v>1.24</v>
      </c>
      <c r="J69" s="60">
        <v>1.2</v>
      </c>
      <c r="K69" s="60">
        <v>1.1599999999999999</v>
      </c>
      <c r="L69" s="60">
        <v>1.08</v>
      </c>
      <c r="M69" s="60">
        <v>0.98</v>
      </c>
    </row>
    <row r="70" spans="1:13">
      <c r="A70" s="60" t="s">
        <v>205</v>
      </c>
      <c r="B70" s="60" t="s">
        <v>206</v>
      </c>
      <c r="C70" s="69">
        <f>IF(ISNUMBER(INDEX('2016'!$I$5:$I$72,MATCH(B70,'2016'!$A$5:$A$72,0))),INDEX('2016'!$I$5:$I$72,MATCH(B70,'2016'!$A$5:$A$72,0)),"N/A")</f>
        <v>1.93</v>
      </c>
      <c r="D70" s="60">
        <v>1.83</v>
      </c>
      <c r="E70" s="60">
        <v>1.72</v>
      </c>
      <c r="F70" s="60">
        <v>1.66</v>
      </c>
      <c r="G70" s="60">
        <v>1.59</v>
      </c>
      <c r="H70" s="60">
        <v>1.55</v>
      </c>
      <c r="I70" s="60">
        <v>1.5</v>
      </c>
      <c r="J70" s="60">
        <v>1.47</v>
      </c>
      <c r="K70" s="60">
        <v>1.4079999999999999</v>
      </c>
      <c r="L70" s="60">
        <v>1.365</v>
      </c>
      <c r="M70" s="60">
        <v>1.345</v>
      </c>
    </row>
    <row r="71" spans="1:13">
      <c r="A71" s="60" t="s">
        <v>158</v>
      </c>
      <c r="B71" s="60" t="s">
        <v>45</v>
      </c>
      <c r="C71" s="69">
        <f>IF(ISNUMBER(INDEX('2016'!$I$5:$I$72,MATCH(B71,'2016'!$A$5:$A$72,0))),INDEX('2016'!$I$5:$I$72,MATCH(B71,'2016'!$A$5:$A$72,0)),"N/A")</f>
        <v>1.36</v>
      </c>
      <c r="D71" s="60">
        <v>1.28</v>
      </c>
      <c r="E71" s="60">
        <v>1.2</v>
      </c>
      <c r="F71" s="60">
        <v>1.1100000000000001</v>
      </c>
      <c r="G71" s="60">
        <v>1.07</v>
      </c>
      <c r="H71" s="60">
        <v>1.03</v>
      </c>
      <c r="I71" s="60">
        <v>1</v>
      </c>
      <c r="J71" s="60">
        <v>0.97</v>
      </c>
      <c r="K71" s="60">
        <v>0.94</v>
      </c>
      <c r="L71" s="60">
        <v>0.91</v>
      </c>
      <c r="M71" s="60">
        <v>0.88</v>
      </c>
    </row>
    <row r="72" spans="1:13">
      <c r="A72" s="60" t="s">
        <v>207</v>
      </c>
      <c r="B72" s="60" t="s">
        <v>208</v>
      </c>
      <c r="C72" s="69" t="str">
        <f>IF(ISNUMBER(INDEX('2016'!$I$5:$I$72,MATCH(B72,'2016'!$A$5:$A$72,0))),INDEX('2016'!$I$5:$I$72,MATCH(B72,'2016'!$A$5:$A$72,0)),"N/A")</f>
        <v>N/A</v>
      </c>
      <c r="D72" s="60">
        <v>0.6</v>
      </c>
      <c r="E72" s="60">
        <v>0.57199999999999995</v>
      </c>
      <c r="F72" s="60">
        <v>0.55200000000000005</v>
      </c>
      <c r="G72" s="60">
        <v>0.53900000000000003</v>
      </c>
      <c r="H72" s="60">
        <v>0.52700000000000002</v>
      </c>
      <c r="I72" s="60">
        <v>0.51500000000000001</v>
      </c>
      <c r="J72" s="60">
        <v>0.50600000000000001</v>
      </c>
      <c r="K72" s="60">
        <v>0.48899999999999999</v>
      </c>
      <c r="L72" s="60">
        <v>0.47499999999999998</v>
      </c>
      <c r="M72" s="60">
        <v>0.45400000000000001</v>
      </c>
    </row>
  </sheetData>
  <printOptions headings="1"/>
  <pageMargins left="0.3" right="0.3" top="0.75" bottom="0.75" header="0.3" footer="0.3"/>
  <pageSetup fitToHeight="0" orientation="landscape" r:id="rId1"/>
  <headerFooter>
    <oddHeader>&amp;R&amp;A
&amp;P/&amp;N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7"/>
  <dimension ref="A1:N72"/>
  <sheetViews>
    <sheetView workbookViewId="0"/>
  </sheetViews>
  <sheetFormatPr defaultColWidth="8.75" defaultRowHeight="11.25"/>
  <cols>
    <col min="1" max="1" width="19.25" style="60" customWidth="1"/>
    <col min="2" max="2" width="5.25" style="60" bestFit="1" customWidth="1"/>
    <col min="3" max="13" width="6.75" style="60" customWidth="1"/>
    <col min="14" max="16384" width="8.75" style="60"/>
  </cols>
  <sheetData>
    <row r="1" spans="1:14" ht="33.75">
      <c r="A1" s="59" t="s">
        <v>317</v>
      </c>
      <c r="C1" s="61">
        <v>2016</v>
      </c>
      <c r="D1" s="61">
        <v>2015</v>
      </c>
      <c r="E1" s="61">
        <v>2014</v>
      </c>
      <c r="F1" s="61">
        <v>2013</v>
      </c>
      <c r="G1" s="61">
        <v>2012</v>
      </c>
      <c r="H1" s="61">
        <v>2011</v>
      </c>
      <c r="I1" s="61">
        <v>2010</v>
      </c>
      <c r="J1" s="61">
        <v>2009</v>
      </c>
      <c r="K1" s="61">
        <v>2008</v>
      </c>
      <c r="L1" s="61">
        <v>2007</v>
      </c>
      <c r="M1" s="61">
        <v>2006</v>
      </c>
    </row>
    <row r="2" spans="1:14">
      <c r="A2" s="69" t="s">
        <v>316</v>
      </c>
      <c r="C2" s="71">
        <f>'2016'!$A$1</f>
        <v>42907</v>
      </c>
      <c r="D2" s="77">
        <v>42840</v>
      </c>
      <c r="E2" s="77">
        <v>42840</v>
      </c>
      <c r="F2" s="77">
        <v>42840</v>
      </c>
      <c r="G2" s="77">
        <v>42840</v>
      </c>
      <c r="H2" s="77">
        <v>42840</v>
      </c>
      <c r="I2" s="77">
        <v>42840</v>
      </c>
      <c r="J2" s="77">
        <v>42840</v>
      </c>
      <c r="K2" s="77">
        <v>42840</v>
      </c>
      <c r="L2" s="77">
        <v>42840</v>
      </c>
      <c r="M2" s="77">
        <v>42840</v>
      </c>
      <c r="N2" s="60" t="s">
        <v>355</v>
      </c>
    </row>
    <row r="3" spans="1:14" ht="22.5">
      <c r="A3" s="60" t="s">
        <v>117</v>
      </c>
      <c r="B3" s="60" t="s">
        <v>99</v>
      </c>
      <c r="C3" s="59" t="s">
        <v>308</v>
      </c>
      <c r="D3" s="59" t="s">
        <v>307</v>
      </c>
      <c r="E3" s="59" t="s">
        <v>306</v>
      </c>
      <c r="F3" s="59" t="s">
        <v>305</v>
      </c>
      <c r="G3" s="59" t="s">
        <v>304</v>
      </c>
      <c r="H3" s="59" t="s">
        <v>303</v>
      </c>
      <c r="I3" s="59" t="s">
        <v>302</v>
      </c>
      <c r="J3" s="59" t="s">
        <v>301</v>
      </c>
      <c r="K3" s="59" t="s">
        <v>300</v>
      </c>
      <c r="L3" s="59" t="s">
        <v>299</v>
      </c>
      <c r="M3" s="59" t="s">
        <v>298</v>
      </c>
    </row>
    <row r="4" spans="1:14">
      <c r="A4" s="60" t="s">
        <v>162</v>
      </c>
      <c r="B4" s="60" t="s">
        <v>163</v>
      </c>
      <c r="C4" s="69">
        <f>IF(IFERROR(INDEX('2016'!$H$5:$H$72,MATCH(B4,'2016'!$A$5:$A$72,0)),0)=0,"N/A",INDEX('2016'!$H$5:$H$72,MATCH(B4,'2016'!$A$5:$A$72,0)))</f>
        <v>2.0110000000000001</v>
      </c>
      <c r="D4" s="60">
        <v>2.625</v>
      </c>
      <c r="E4" s="60">
        <v>7.2370000000000001</v>
      </c>
      <c r="F4" s="60">
        <v>6.5439999999999996</v>
      </c>
      <c r="G4" s="60">
        <v>12.095000000000001</v>
      </c>
      <c r="H4" s="60">
        <v>12.632</v>
      </c>
      <c r="I4" s="60">
        <v>5.3179999999999996</v>
      </c>
      <c r="J4" s="60">
        <v>5.3090000000000002</v>
      </c>
      <c r="K4" s="60">
        <v>4.194</v>
      </c>
      <c r="L4" s="60">
        <v>3.7559999999999998</v>
      </c>
      <c r="M4" s="60">
        <v>3.4620000000000002</v>
      </c>
    </row>
    <row r="5" spans="1:14">
      <c r="A5" s="60" t="s">
        <v>119</v>
      </c>
      <c r="B5" s="60" t="s">
        <v>0</v>
      </c>
      <c r="C5" s="69">
        <f>IF(IFERROR(INDEX('2016'!$H$5:$H$72,MATCH(B5,'2016'!$A$5:$A$72,0)),0)=0,"N/A",INDEX('2016'!$H$5:$H$72,MATCH(B5,'2016'!$A$5:$A$72,0)))</f>
        <v>5.3550000000000004</v>
      </c>
      <c r="D5" s="60">
        <v>5.8410000000000002</v>
      </c>
      <c r="E5" s="60">
        <v>12.478999999999999</v>
      </c>
      <c r="F5" s="60">
        <v>7.9349999999999996</v>
      </c>
      <c r="G5" s="60">
        <v>10.298999999999999</v>
      </c>
      <c r="H5" s="60">
        <v>6.3789999999999996</v>
      </c>
      <c r="I5" s="60">
        <v>6.9530000000000003</v>
      </c>
      <c r="J5" s="60">
        <v>9.048</v>
      </c>
      <c r="K5" s="60">
        <v>9.2360000000000007</v>
      </c>
      <c r="L5" s="60">
        <v>6.8250000000000002</v>
      </c>
      <c r="M5" s="60">
        <v>3.3650000000000002</v>
      </c>
    </row>
    <row r="6" spans="1:14">
      <c r="A6" s="60" t="s">
        <v>120</v>
      </c>
      <c r="B6" s="60" t="s">
        <v>1</v>
      </c>
      <c r="C6" s="69" t="str">
        <f>IF(IFERROR(INDEX('2016'!$H$5:$H$72,MATCH(B6,'2016'!$A$5:$A$72,0)),0)=0,"N/A",INDEX('2016'!$H$5:$H$72,MATCH(B6,'2016'!$A$5:$A$72,0)))</f>
        <v>N/A</v>
      </c>
      <c r="D6" s="60">
        <v>4.2480000000000002</v>
      </c>
      <c r="E6" s="60">
        <v>3.7810000000000001</v>
      </c>
      <c r="F6" s="60">
        <v>3.3170000000000002</v>
      </c>
      <c r="G6" s="60">
        <v>5.2169999999999996</v>
      </c>
      <c r="H6" s="60">
        <v>3.0329999999999999</v>
      </c>
      <c r="I6" s="60">
        <v>3.9089999999999998</v>
      </c>
      <c r="J6" s="60">
        <v>5.4340000000000002</v>
      </c>
      <c r="K6" s="60">
        <v>3.9790000000000001</v>
      </c>
      <c r="L6" s="60">
        <v>2.456</v>
      </c>
      <c r="M6" s="60">
        <v>1.7110000000000001</v>
      </c>
    </row>
    <row r="7" spans="1:14">
      <c r="A7" s="60" t="s">
        <v>121</v>
      </c>
      <c r="B7" s="60" t="s">
        <v>2</v>
      </c>
      <c r="C7" s="69">
        <f>IF(IFERROR(INDEX('2016'!$H$5:$H$72,MATCH(B7,'2016'!$A$5:$A$72,0)),0)=0,"N/A",INDEX('2016'!$H$5:$H$72,MATCH(B7,'2016'!$A$5:$A$72,0)))</f>
        <v>9.9849999999999994</v>
      </c>
      <c r="D7" s="60">
        <v>9.3680000000000003</v>
      </c>
      <c r="E7" s="60">
        <v>8.6839999999999993</v>
      </c>
      <c r="F7" s="60">
        <v>7.7450000000000001</v>
      </c>
      <c r="G7" s="60">
        <v>6.4489999999999998</v>
      </c>
      <c r="H7" s="60">
        <v>5.74</v>
      </c>
      <c r="I7" s="60">
        <v>5.0659999999999998</v>
      </c>
      <c r="J7" s="60">
        <v>6.194</v>
      </c>
      <c r="K7" s="60">
        <v>9.8309999999999995</v>
      </c>
      <c r="L7" s="60">
        <v>8.8810000000000002</v>
      </c>
      <c r="M7" s="60">
        <v>8.8940000000000001</v>
      </c>
    </row>
    <row r="8" spans="1:14">
      <c r="A8" s="60" t="s">
        <v>164</v>
      </c>
      <c r="B8" s="60" t="s">
        <v>165</v>
      </c>
      <c r="C8" s="69">
        <f>IF(IFERROR(INDEX('2016'!$H$5:$H$72,MATCH(B8,'2016'!$A$5:$A$72,0)),0)=0,"N/A",INDEX('2016'!$H$5:$H$72,MATCH(B8,'2016'!$A$5:$A$72,0)))</f>
        <v>3.5510000000000002</v>
      </c>
      <c r="D8" s="60">
        <v>2.3919999999999999</v>
      </c>
      <c r="E8" s="60">
        <v>1.8939999999999999</v>
      </c>
      <c r="F8" s="60">
        <v>2.5150000000000001</v>
      </c>
      <c r="G8" s="60">
        <v>1.768</v>
      </c>
      <c r="H8" s="60">
        <v>2.13</v>
      </c>
      <c r="I8" s="60">
        <v>2.121</v>
      </c>
      <c r="J8" s="60">
        <v>2.09</v>
      </c>
      <c r="K8" s="60">
        <v>2.226</v>
      </c>
      <c r="L8" s="60">
        <v>1.4470000000000001</v>
      </c>
      <c r="M8" s="60">
        <v>1.9530000000000001</v>
      </c>
    </row>
    <row r="9" spans="1:14">
      <c r="A9" s="60" t="s">
        <v>166</v>
      </c>
      <c r="B9" s="60" t="s">
        <v>167</v>
      </c>
      <c r="C9" s="69">
        <f>IF(IFERROR(INDEX('2016'!$H$5:$H$72,MATCH(B9,'2016'!$A$5:$A$72,0)),0)=0,"N/A",INDEX('2016'!$H$5:$H$72,MATCH(B9,'2016'!$A$5:$A$72,0)))</f>
        <v>7.3609999999999998</v>
      </c>
      <c r="D9" s="60">
        <v>6.5069999999999997</v>
      </c>
      <c r="E9" s="60">
        <v>5.3280000000000003</v>
      </c>
      <c r="F9" s="60">
        <v>5.4989999999999997</v>
      </c>
      <c r="G9" s="60">
        <v>5.2469999999999999</v>
      </c>
      <c r="H9" s="60">
        <v>5.2649999999999997</v>
      </c>
      <c r="I9" s="60">
        <v>4.375</v>
      </c>
      <c r="J9" s="60">
        <v>4.4969999999999999</v>
      </c>
      <c r="K9" s="60">
        <v>6.3049999999999997</v>
      </c>
      <c r="L9" s="60">
        <v>4.7409999999999997</v>
      </c>
      <c r="M9" s="60">
        <v>4.3049999999999997</v>
      </c>
    </row>
    <row r="10" spans="1:14">
      <c r="A10" s="60" t="s">
        <v>122</v>
      </c>
      <c r="B10" s="60" t="s">
        <v>3</v>
      </c>
      <c r="C10" s="69">
        <f>IF(IFERROR(INDEX('2016'!$H$5:$H$72,MATCH(B10,'2016'!$A$5:$A$72,0)),0)=0,"N/A",INDEX('2016'!$H$5:$H$72,MATCH(B10,'2016'!$A$5:$A$72,0)))</f>
        <v>8.7829999999999995</v>
      </c>
      <c r="D10" s="60">
        <v>8.1150000000000002</v>
      </c>
      <c r="E10" s="60">
        <v>7.6619999999999999</v>
      </c>
      <c r="F10" s="60">
        <v>5.8689999999999998</v>
      </c>
      <c r="G10" s="60">
        <v>5.4859999999999998</v>
      </c>
      <c r="H10" s="60">
        <v>4.5010000000000003</v>
      </c>
      <c r="I10" s="60">
        <v>4.6630000000000003</v>
      </c>
      <c r="J10" s="60">
        <v>7.5149999999999997</v>
      </c>
      <c r="K10" s="60">
        <v>9.7460000000000004</v>
      </c>
      <c r="L10" s="60">
        <v>6.9560000000000004</v>
      </c>
      <c r="M10" s="60">
        <v>4.99</v>
      </c>
    </row>
    <row r="11" spans="1:14">
      <c r="A11" s="60" t="s">
        <v>168</v>
      </c>
      <c r="B11" s="60" t="s">
        <v>169</v>
      </c>
      <c r="C11" s="69">
        <f>IF(IFERROR(INDEX('2016'!$H$5:$H$72,MATCH(B11,'2016'!$A$5:$A$72,0)),0)=0,"N/A",INDEX('2016'!$H$5:$H$72,MATCH(B11,'2016'!$A$5:$A$72,0)))</f>
        <v>1.0940000000000001</v>
      </c>
      <c r="D11" s="60">
        <v>1.0980000000000001</v>
      </c>
      <c r="E11" s="60">
        <v>1.2270000000000001</v>
      </c>
      <c r="F11" s="60">
        <v>1.196</v>
      </c>
      <c r="G11" s="60">
        <v>1.111</v>
      </c>
      <c r="H11" s="60">
        <v>1.3520000000000001</v>
      </c>
      <c r="I11" s="60">
        <v>1.4570000000000001</v>
      </c>
      <c r="J11" s="60">
        <v>1.38</v>
      </c>
      <c r="K11" s="60">
        <v>1.101</v>
      </c>
      <c r="L11" s="60">
        <v>1.298</v>
      </c>
      <c r="M11" s="60">
        <v>1.2450000000000001</v>
      </c>
    </row>
    <row r="12" spans="1:14">
      <c r="A12" s="60" t="s">
        <v>170</v>
      </c>
      <c r="B12" s="60" t="s">
        <v>171</v>
      </c>
      <c r="C12" s="69">
        <f>IF(IFERROR(INDEX('2016'!$H$5:$H$72,MATCH(B12,'2016'!$A$5:$A$72,0)),0)=0,"N/A",INDEX('2016'!$H$5:$H$72,MATCH(B12,'2016'!$A$5:$A$72,0)))</f>
        <v>2.1589999999999998</v>
      </c>
      <c r="D12" s="60">
        <v>2.0659999999999998</v>
      </c>
      <c r="E12" s="60">
        <v>1.84</v>
      </c>
      <c r="F12" s="60">
        <v>1.732</v>
      </c>
      <c r="G12" s="60">
        <v>1.984</v>
      </c>
      <c r="H12" s="60">
        <v>1.9039999999999999</v>
      </c>
      <c r="I12" s="60">
        <v>1.8939999999999999</v>
      </c>
      <c r="J12" s="60">
        <v>1.6619999999999999</v>
      </c>
      <c r="K12" s="60">
        <v>1.58</v>
      </c>
      <c r="L12" s="60">
        <v>1.4279999999999999</v>
      </c>
      <c r="M12" s="60">
        <v>1.643</v>
      </c>
    </row>
    <row r="13" spans="1:14">
      <c r="A13" s="60" t="s">
        <v>172</v>
      </c>
      <c r="B13" s="60" t="s">
        <v>173</v>
      </c>
      <c r="C13" s="69">
        <f>IF(IFERROR(INDEX('2016'!$H$5:$H$72,MATCH(B13,'2016'!$A$5:$A$72,0)),0)=0,"N/A",INDEX('2016'!$H$5:$H$72,MATCH(B13,'2016'!$A$5:$A$72,0)))</f>
        <v>3.0950000000000002</v>
      </c>
      <c r="D13" s="60">
        <v>2.2850000000000001</v>
      </c>
      <c r="E13" s="60">
        <v>2.6629999999999998</v>
      </c>
      <c r="F13" s="60">
        <v>2.4</v>
      </c>
      <c r="G13" s="60">
        <v>2.359</v>
      </c>
      <c r="H13" s="60">
        <v>1.833</v>
      </c>
      <c r="I13" s="60">
        <v>2.5659999999999998</v>
      </c>
      <c r="J13" s="60">
        <v>2.3170000000000002</v>
      </c>
      <c r="K13" s="60">
        <v>6.0880000000000001</v>
      </c>
      <c r="L13" s="60">
        <v>3.6619999999999999</v>
      </c>
      <c r="M13" s="60">
        <v>5.0759999999999996</v>
      </c>
    </row>
    <row r="14" spans="1:14">
      <c r="A14" s="60" t="s">
        <v>174</v>
      </c>
      <c r="B14" s="60" t="s">
        <v>175</v>
      </c>
      <c r="C14" s="69">
        <f>IF(IFERROR(INDEX('2016'!$H$5:$H$72,MATCH(B14,'2016'!$A$5:$A$72,0)),0)=0,"N/A",INDEX('2016'!$H$5:$H$72,MATCH(B14,'2016'!$A$5:$A$72,0)))</f>
        <v>10.458</v>
      </c>
      <c r="D14" s="60">
        <v>9.609</v>
      </c>
      <c r="E14" s="60">
        <v>8.32</v>
      </c>
      <c r="F14" s="60">
        <v>9.3230000000000004</v>
      </c>
      <c r="G14" s="60">
        <v>8.1210000000000004</v>
      </c>
      <c r="H14" s="60">
        <v>6.899</v>
      </c>
      <c r="I14" s="60">
        <v>6.0179999999999998</v>
      </c>
      <c r="J14" s="60">
        <v>5.5049999999999999</v>
      </c>
      <c r="K14" s="60">
        <v>5.2</v>
      </c>
      <c r="L14" s="60">
        <v>4.3929999999999998</v>
      </c>
      <c r="M14" s="60">
        <v>5.2030000000000003</v>
      </c>
    </row>
    <row r="15" spans="1:14">
      <c r="A15" s="60" t="s">
        <v>264</v>
      </c>
      <c r="B15" s="60" t="s">
        <v>261</v>
      </c>
      <c r="C15" s="69">
        <f>IF(IFERROR(INDEX('2016'!$H$5:$H$72,MATCH(B15,'2016'!$A$5:$A$72,0)),0)=0,"N/A",INDEX('2016'!$H$5:$H$72,MATCH(B15,'2016'!$A$5:$A$72,0)))</f>
        <v>5.524</v>
      </c>
      <c r="D15" s="60">
        <v>3.5030000000000001</v>
      </c>
      <c r="E15" s="69" t="s">
        <v>106</v>
      </c>
      <c r="F15" s="69" t="s">
        <v>106</v>
      </c>
      <c r="G15" s="69" t="s">
        <v>106</v>
      </c>
      <c r="H15" s="69" t="s">
        <v>106</v>
      </c>
      <c r="I15" s="69" t="s">
        <v>106</v>
      </c>
      <c r="J15" s="69" t="s">
        <v>106</v>
      </c>
      <c r="K15" s="69" t="s">
        <v>106</v>
      </c>
      <c r="L15" s="69" t="s">
        <v>106</v>
      </c>
      <c r="M15" s="69" t="s">
        <v>106</v>
      </c>
    </row>
    <row r="16" spans="1:14">
      <c r="A16" s="60" t="s">
        <v>123</v>
      </c>
      <c r="B16" s="60" t="s">
        <v>4</v>
      </c>
      <c r="C16" s="69">
        <f>IF(IFERROR(INDEX('2016'!$H$5:$H$72,MATCH(B16,'2016'!$A$5:$A$72,0)),0)=0,"N/A",INDEX('2016'!$H$5:$H$72,MATCH(B16,'2016'!$A$5:$A$72,0)))</f>
        <v>6.3410000000000002</v>
      </c>
      <c r="D16" s="60">
        <v>6.4619999999999997</v>
      </c>
      <c r="E16" s="60">
        <v>5.4740000000000002</v>
      </c>
      <c r="F16" s="60">
        <v>5.0449999999999999</v>
      </c>
      <c r="G16" s="60">
        <v>4.6139999999999999</v>
      </c>
      <c r="H16" s="60">
        <v>4.2039999999999997</v>
      </c>
      <c r="I16" s="60">
        <v>3.6419999999999999</v>
      </c>
      <c r="J16" s="60">
        <v>3.8580000000000001</v>
      </c>
      <c r="K16" s="60">
        <v>4.0869999999999997</v>
      </c>
      <c r="L16" s="60">
        <v>4.0410000000000004</v>
      </c>
      <c r="M16" s="60">
        <v>3.1440000000000001</v>
      </c>
    </row>
    <row r="17" spans="1:13">
      <c r="A17" s="60" t="s">
        <v>124</v>
      </c>
      <c r="B17" s="60" t="s">
        <v>5</v>
      </c>
      <c r="C17" s="69">
        <f>IF(IFERROR(INDEX('2016'!$H$5:$H$72,MATCH(B17,'2016'!$A$5:$A$72,0)),0)=0,"N/A",INDEX('2016'!$H$5:$H$72,MATCH(B17,'2016'!$A$5:$A$72,0)))</f>
        <v>8.8940000000000001</v>
      </c>
      <c r="D17" s="60">
        <v>8.8970000000000002</v>
      </c>
      <c r="E17" s="60">
        <v>8.92</v>
      </c>
      <c r="F17" s="60">
        <v>7.9720000000000004</v>
      </c>
      <c r="G17" s="60">
        <v>7.8979999999999997</v>
      </c>
      <c r="H17" s="60">
        <v>10.032999999999999</v>
      </c>
      <c r="I17" s="60">
        <v>12.037000000000001</v>
      </c>
      <c r="J17" s="60">
        <v>8.9009999999999998</v>
      </c>
      <c r="K17" s="60">
        <v>8.5129999999999999</v>
      </c>
      <c r="L17" s="60">
        <v>6.915</v>
      </c>
      <c r="M17" s="60">
        <v>9.2439999999999998</v>
      </c>
    </row>
    <row r="18" spans="1:13">
      <c r="A18" s="60" t="s">
        <v>176</v>
      </c>
      <c r="B18" s="60" t="s">
        <v>177</v>
      </c>
      <c r="C18" s="69">
        <f>IF(IFERROR(INDEX('2016'!$H$5:$H$72,MATCH(B18,'2016'!$A$5:$A$72,0)),0)=0,"N/A",INDEX('2016'!$H$5:$H$72,MATCH(B18,'2016'!$A$5:$A$72,0)))</f>
        <v>4.7729999999999997</v>
      </c>
      <c r="D18" s="60">
        <v>3.694</v>
      </c>
      <c r="E18" s="60">
        <v>2.7610000000000001</v>
      </c>
      <c r="F18" s="60">
        <v>2.5760000000000001</v>
      </c>
      <c r="G18" s="60">
        <v>3.0409999999999999</v>
      </c>
      <c r="H18" s="60">
        <v>2.8330000000000002</v>
      </c>
      <c r="I18" s="60">
        <v>2.9740000000000002</v>
      </c>
      <c r="J18" s="60">
        <v>2.6629999999999998</v>
      </c>
      <c r="K18" s="60">
        <v>2.411</v>
      </c>
      <c r="L18" s="60">
        <v>1.839</v>
      </c>
      <c r="M18" s="60">
        <v>2.1389999999999998</v>
      </c>
    </row>
    <row r="19" spans="1:13">
      <c r="A19" s="60" t="s">
        <v>125</v>
      </c>
      <c r="B19" s="60" t="s">
        <v>6</v>
      </c>
      <c r="C19" s="69">
        <f>IF(IFERROR(INDEX('2016'!$H$5:$H$72,MATCH(B19,'2016'!$A$5:$A$72,0)),0)=0,"N/A",INDEX('2016'!$H$5:$H$72,MATCH(B19,'2016'!$A$5:$A$72,0)))</f>
        <v>3.2829999999999999</v>
      </c>
      <c r="D19" s="60">
        <v>3.6840000000000002</v>
      </c>
      <c r="E19" s="60">
        <v>3.198</v>
      </c>
      <c r="F19" s="60">
        <v>2.9980000000000002</v>
      </c>
      <c r="G19" s="60">
        <v>2.835</v>
      </c>
      <c r="H19" s="60">
        <v>3.0579999999999998</v>
      </c>
      <c r="I19" s="60">
        <v>3.5529999999999999</v>
      </c>
      <c r="J19" s="60">
        <v>2.9609999999999999</v>
      </c>
      <c r="K19" s="60">
        <v>2.9470000000000001</v>
      </c>
      <c r="L19" s="60">
        <v>3.452</v>
      </c>
      <c r="M19" s="60">
        <v>3.2109999999999999</v>
      </c>
    </row>
    <row r="20" spans="1:13">
      <c r="A20" s="60" t="s">
        <v>215</v>
      </c>
      <c r="B20" s="60" t="s">
        <v>178</v>
      </c>
      <c r="C20" s="69">
        <f>IF(IFERROR(INDEX('2016'!$H$5:$H$72,MATCH(B20,'2016'!$A$5:$A$72,0)),0)=0,"N/A",INDEX('2016'!$H$5:$H$72,MATCH(B20,'2016'!$A$5:$A$72,0)))</f>
        <v>10.419</v>
      </c>
      <c r="D20" s="60">
        <v>9.4700000000000006</v>
      </c>
      <c r="E20" s="60">
        <v>6.66</v>
      </c>
      <c r="F20" s="60">
        <v>6.718</v>
      </c>
      <c r="G20" s="60">
        <v>5.0019999999999998</v>
      </c>
      <c r="H20" s="60">
        <v>3.278</v>
      </c>
      <c r="I20" s="60">
        <v>3.1789999999999998</v>
      </c>
      <c r="J20" s="60">
        <v>1.8879999999999999</v>
      </c>
      <c r="K20" s="60">
        <v>3.0030000000000001</v>
      </c>
      <c r="L20" s="60">
        <v>3.077</v>
      </c>
      <c r="M20" s="60">
        <v>4.8689999999999998</v>
      </c>
    </row>
    <row r="21" spans="1:13">
      <c r="A21" s="60" t="s">
        <v>126</v>
      </c>
      <c r="B21" s="60" t="s">
        <v>9</v>
      </c>
      <c r="C21" s="69">
        <f>IF(IFERROR(INDEX('2016'!$H$5:$H$72,MATCH(B21,'2016'!$A$5:$A$72,0)),0)=0,"N/A",INDEX('2016'!$H$5:$H$72,MATCH(B21,'2016'!$A$5:$A$72,0)))</f>
        <v>5.9880000000000004</v>
      </c>
      <c r="D21" s="60">
        <v>5.6429999999999998</v>
      </c>
      <c r="E21" s="60">
        <v>5.73</v>
      </c>
      <c r="F21" s="60">
        <v>4.9790000000000001</v>
      </c>
      <c r="G21" s="60">
        <v>4.6459999999999999</v>
      </c>
      <c r="H21" s="60">
        <v>3.4710000000000001</v>
      </c>
      <c r="I21" s="60">
        <v>3.2890000000000001</v>
      </c>
      <c r="J21" s="60">
        <v>3.589</v>
      </c>
      <c r="K21" s="60">
        <v>3.4980000000000002</v>
      </c>
      <c r="L21" s="60">
        <v>5.61</v>
      </c>
      <c r="M21" s="60">
        <v>3.0070000000000001</v>
      </c>
    </row>
    <row r="22" spans="1:13">
      <c r="A22" s="60" t="s">
        <v>179</v>
      </c>
      <c r="B22" s="60" t="s">
        <v>180</v>
      </c>
      <c r="C22" s="69">
        <f>IF(IFERROR(INDEX('2016'!$H$5:$H$72,MATCH(B22,'2016'!$A$5:$A$72,0)),0)=0,"N/A",INDEX('2016'!$H$5:$H$72,MATCH(B22,'2016'!$A$5:$A$72,0)))</f>
        <v>5.9290000000000003</v>
      </c>
      <c r="D22" s="60">
        <v>4.2910000000000004</v>
      </c>
      <c r="E22" s="60">
        <v>4.1050000000000004</v>
      </c>
      <c r="F22" s="60">
        <v>3.0169999999999999</v>
      </c>
      <c r="G22" s="60">
        <v>2.786</v>
      </c>
      <c r="H22" s="60">
        <v>2.6110000000000002</v>
      </c>
      <c r="I22" s="60">
        <v>3.0569999999999999</v>
      </c>
      <c r="J22" s="60">
        <v>3.2789999999999999</v>
      </c>
      <c r="K22" s="60">
        <v>2.4359999999999999</v>
      </c>
      <c r="L22" s="60">
        <v>2.238</v>
      </c>
      <c r="M22" s="60">
        <v>1.9590000000000001</v>
      </c>
    </row>
    <row r="23" spans="1:13">
      <c r="A23" s="60" t="s">
        <v>127</v>
      </c>
      <c r="B23" s="60" t="s">
        <v>10</v>
      </c>
      <c r="C23" s="69">
        <f>IF(IFERROR(INDEX('2016'!$H$5:$H$72,MATCH(B23,'2016'!$A$5:$A$72,0)),0)=0,"N/A",INDEX('2016'!$H$5:$H$72,MATCH(B23,'2016'!$A$5:$A$72,0)))</f>
        <v>12.066000000000001</v>
      </c>
      <c r="D23" s="60">
        <v>10.423</v>
      </c>
      <c r="E23" s="60">
        <v>8.2590000000000003</v>
      </c>
      <c r="F23" s="60">
        <v>8.6660000000000004</v>
      </c>
      <c r="G23" s="60">
        <v>7.0650000000000004</v>
      </c>
      <c r="H23" s="60">
        <v>6.7160000000000002</v>
      </c>
      <c r="I23" s="60">
        <v>6.9580000000000002</v>
      </c>
      <c r="J23" s="60">
        <v>7.8010000000000002</v>
      </c>
      <c r="K23" s="60">
        <v>8.4979999999999993</v>
      </c>
      <c r="L23" s="60">
        <v>7.0880000000000001</v>
      </c>
      <c r="M23" s="60">
        <v>7.1740000000000004</v>
      </c>
    </row>
    <row r="24" spans="1:13">
      <c r="A24" s="60" t="s">
        <v>181</v>
      </c>
      <c r="B24" s="60" t="s">
        <v>182</v>
      </c>
      <c r="C24" s="69">
        <f>IF(IFERROR(INDEX('2016'!$H$5:$H$72,MATCH(B24,'2016'!$A$5:$A$72,0)),0)=0,"N/A",INDEX('2016'!$H$5:$H$72,MATCH(B24,'2016'!$A$5:$A$72,0)))</f>
        <v>0.23300000000000001</v>
      </c>
      <c r="D24" s="60">
        <v>0.21099999999999999</v>
      </c>
      <c r="E24" s="60">
        <v>0.32100000000000001</v>
      </c>
      <c r="F24" s="60">
        <v>0.29399999999999998</v>
      </c>
      <c r="G24" s="60">
        <v>0.313</v>
      </c>
      <c r="H24" s="60">
        <v>0.95799999999999996</v>
      </c>
      <c r="I24" s="60">
        <v>8.6999999999999994E-2</v>
      </c>
      <c r="J24" s="60">
        <v>0.17599999999999999</v>
      </c>
      <c r="K24" s="60">
        <v>0.45700000000000002</v>
      </c>
      <c r="L24" s="60">
        <v>0.53900000000000003</v>
      </c>
      <c r="M24" s="60">
        <v>1.8320000000000001</v>
      </c>
    </row>
    <row r="25" spans="1:13">
      <c r="A25" s="60" t="s">
        <v>183</v>
      </c>
      <c r="B25" s="60" t="s">
        <v>184</v>
      </c>
      <c r="C25" s="69">
        <f>IF(IFERROR(INDEX('2016'!$H$5:$H$72,MATCH(B25,'2016'!$A$5:$A$72,0)),0)=0,"N/A",INDEX('2016'!$H$5:$H$72,MATCH(B25,'2016'!$A$5:$A$72,0)))</f>
        <v>0.88900000000000001</v>
      </c>
      <c r="D25" s="60">
        <v>1.282</v>
      </c>
      <c r="E25" s="60">
        <v>1.163</v>
      </c>
      <c r="F25" s="60">
        <v>1.046</v>
      </c>
      <c r="G25" s="60">
        <v>1.0780000000000001</v>
      </c>
      <c r="H25" s="60">
        <v>1.2070000000000001</v>
      </c>
      <c r="I25" s="60">
        <v>0.79100000000000004</v>
      </c>
      <c r="J25" s="60">
        <v>1.2689999999999999</v>
      </c>
      <c r="K25" s="60">
        <v>0.84399999999999997</v>
      </c>
      <c r="L25" s="60">
        <v>1.2330000000000001</v>
      </c>
      <c r="M25" s="60">
        <v>1.1950000000000001</v>
      </c>
    </row>
    <row r="26" spans="1:13">
      <c r="A26" s="60" t="s">
        <v>128</v>
      </c>
      <c r="B26" s="60" t="s">
        <v>11</v>
      </c>
      <c r="C26" s="69">
        <f>IF(IFERROR(INDEX('2016'!$H$5:$H$72,MATCH(B26,'2016'!$A$5:$A$72,0)),0)=0,"N/A",INDEX('2016'!$H$5:$H$72,MATCH(B26,'2016'!$A$5:$A$72,0)))</f>
        <v>9.6929999999999996</v>
      </c>
      <c r="D26" s="60">
        <v>9.3490000000000002</v>
      </c>
      <c r="E26" s="60">
        <v>9.1319999999999997</v>
      </c>
      <c r="F26" s="60">
        <v>7.0579999999999998</v>
      </c>
      <c r="G26" s="60">
        <v>7.1950000000000003</v>
      </c>
      <c r="H26" s="60">
        <v>6.41</v>
      </c>
      <c r="I26" s="60">
        <v>5.8920000000000003</v>
      </c>
      <c r="J26" s="60">
        <v>6.4009999999999998</v>
      </c>
      <c r="K26" s="60">
        <v>6.0940000000000003</v>
      </c>
      <c r="L26" s="60">
        <v>6.8860000000000001</v>
      </c>
      <c r="M26" s="60">
        <v>5.8049999999999997</v>
      </c>
    </row>
    <row r="27" spans="1:13">
      <c r="A27" s="60" t="s">
        <v>129</v>
      </c>
      <c r="B27" s="60" t="s">
        <v>12</v>
      </c>
      <c r="C27" s="69">
        <f>IF(IFERROR(INDEX('2016'!$H$5:$H$72,MATCH(B27,'2016'!$A$5:$A$72,0)),0)=0,"N/A",INDEX('2016'!$H$5:$H$72,MATCH(B27,'2016'!$A$5:$A$72,0)))</f>
        <v>11.397</v>
      </c>
      <c r="D27" s="60">
        <v>11.255000000000001</v>
      </c>
      <c r="E27" s="60">
        <v>11.577</v>
      </c>
      <c r="F27" s="60">
        <v>10.593999999999999</v>
      </c>
      <c r="G27" s="60">
        <v>10.56</v>
      </c>
      <c r="H27" s="60">
        <v>8.7680000000000007</v>
      </c>
      <c r="I27" s="60">
        <v>6.4870000000000001</v>
      </c>
      <c r="J27" s="60">
        <v>6.258</v>
      </c>
      <c r="K27" s="60">
        <v>8.4220000000000006</v>
      </c>
      <c r="L27" s="60">
        <v>7.9580000000000002</v>
      </c>
      <c r="M27" s="60">
        <v>7.92</v>
      </c>
    </row>
    <row r="28" spans="1:13">
      <c r="A28" s="60" t="s">
        <v>130</v>
      </c>
      <c r="B28" s="60" t="s">
        <v>13</v>
      </c>
      <c r="C28" s="69">
        <f>IF(IFERROR(INDEX('2016'!$H$5:$H$72,MATCH(B28,'2016'!$A$5:$A$72,0)),0)=0,"N/A",INDEX('2016'!$H$5:$H$72,MATCH(B28,'2016'!$A$5:$A$72,0)))</f>
        <v>11.287000000000001</v>
      </c>
      <c r="D28" s="60">
        <v>9.8339999999999996</v>
      </c>
      <c r="E28" s="60">
        <v>7.6150000000000002</v>
      </c>
      <c r="F28" s="60">
        <v>7.827</v>
      </c>
      <c r="G28" s="60">
        <v>7.8140000000000001</v>
      </c>
      <c r="H28" s="60">
        <v>9.798</v>
      </c>
      <c r="I28" s="60">
        <v>10.843</v>
      </c>
      <c r="J28" s="60">
        <v>9.8469999999999995</v>
      </c>
      <c r="K28" s="60">
        <v>10.345000000000001</v>
      </c>
      <c r="L28" s="60">
        <v>7.4290000000000003</v>
      </c>
      <c r="M28" s="60">
        <v>8.07</v>
      </c>
    </row>
    <row r="29" spans="1:13">
      <c r="A29" s="60" t="s">
        <v>131</v>
      </c>
      <c r="B29" s="60" t="s">
        <v>14</v>
      </c>
      <c r="C29" s="69">
        <f>IF(IFERROR(INDEX('2016'!$H$5:$H$72,MATCH(B29,'2016'!$A$5:$A$72,0)),0)=0,"N/A",INDEX('2016'!$H$5:$H$72,MATCH(B29,'2016'!$A$5:$A$72,0)))</f>
        <v>11.461</v>
      </c>
      <c r="D29" s="60">
        <v>12.968</v>
      </c>
      <c r="E29" s="60">
        <v>11.989000000000001</v>
      </c>
      <c r="F29" s="60">
        <v>11.045999999999999</v>
      </c>
      <c r="G29" s="60">
        <v>12.734</v>
      </c>
      <c r="H29" s="60">
        <v>14.757</v>
      </c>
      <c r="I29" s="60">
        <v>13.944000000000001</v>
      </c>
      <c r="J29" s="60">
        <v>10.073</v>
      </c>
      <c r="K29" s="60">
        <v>8.6679999999999993</v>
      </c>
      <c r="L29" s="60">
        <v>8.6739999999999995</v>
      </c>
      <c r="M29" s="60">
        <v>7.7839999999999998</v>
      </c>
    </row>
    <row r="30" spans="1:13">
      <c r="A30" s="60" t="s">
        <v>132</v>
      </c>
      <c r="B30" s="60" t="s">
        <v>15</v>
      </c>
      <c r="C30" s="69">
        <f>IF(IFERROR(INDEX('2016'!$H$5:$H$72,MATCH(B30,'2016'!$A$5:$A$72,0)),0)=0,"N/A",INDEX('2016'!$H$5:$H$72,MATCH(B30,'2016'!$A$5:$A$72,0)))</f>
        <v>7.0279999999999996</v>
      </c>
      <c r="D30" s="60">
        <v>8.5540000000000003</v>
      </c>
      <c r="E30" s="60">
        <v>8.5009999999999994</v>
      </c>
      <c r="F30" s="60">
        <v>7.1849999999999996</v>
      </c>
      <c r="G30" s="60">
        <v>6.6989999999999998</v>
      </c>
      <c r="H30" s="60">
        <v>5.9</v>
      </c>
      <c r="I30" s="60">
        <v>5.2670000000000003</v>
      </c>
      <c r="J30" s="60">
        <v>5.9459999999999997</v>
      </c>
      <c r="K30" s="60">
        <v>5.3550000000000004</v>
      </c>
      <c r="L30" s="60">
        <v>4.6269999999999998</v>
      </c>
      <c r="M30" s="60">
        <v>2.7330000000000001</v>
      </c>
    </row>
    <row r="31" spans="1:13">
      <c r="A31" s="60" t="s">
        <v>134</v>
      </c>
      <c r="B31" s="60" t="s">
        <v>17</v>
      </c>
      <c r="C31" s="69">
        <f>IF(IFERROR(INDEX('2016'!$H$5:$H$72,MATCH(B31,'2016'!$A$5:$A$72,0)),0)=0,"N/A",INDEX('2016'!$H$5:$H$72,MATCH(B31,'2016'!$A$5:$A$72,0)))</f>
        <v>17.277999999999999</v>
      </c>
      <c r="D31" s="60">
        <v>16.786000000000001</v>
      </c>
      <c r="E31" s="60">
        <v>14.821999999999999</v>
      </c>
      <c r="F31" s="60">
        <v>15.728</v>
      </c>
      <c r="G31" s="60">
        <v>18.18</v>
      </c>
      <c r="H31" s="60">
        <v>15.205</v>
      </c>
      <c r="I31" s="60">
        <v>13.326000000000001</v>
      </c>
      <c r="J31" s="60">
        <v>12.99</v>
      </c>
      <c r="K31" s="60">
        <v>13.922000000000001</v>
      </c>
      <c r="L31" s="60">
        <v>10.288</v>
      </c>
      <c r="M31" s="60">
        <v>9.4350000000000005</v>
      </c>
    </row>
    <row r="32" spans="1:13">
      <c r="A32" s="60" t="s">
        <v>210</v>
      </c>
      <c r="B32" s="60" t="s">
        <v>211</v>
      </c>
      <c r="C32" s="69">
        <f>IF(IFERROR(INDEX('2016'!$H$5:$H$72,MATCH(B32,'2016'!$A$5:$A$72,0)),0)=0,"N/A",INDEX('2016'!$H$5:$H$72,MATCH(B32,'2016'!$A$5:$A$72,0)))</f>
        <v>6.2380000000000004</v>
      </c>
      <c r="D32" s="60">
        <v>5.4359999999999999</v>
      </c>
      <c r="E32" s="60">
        <v>5.0590000000000002</v>
      </c>
      <c r="F32" s="60">
        <v>4.6210000000000004</v>
      </c>
      <c r="G32" s="60">
        <v>4.6879999999999997</v>
      </c>
      <c r="H32" s="60">
        <v>6.0780000000000003</v>
      </c>
      <c r="I32" s="60">
        <v>5.4089999999999998</v>
      </c>
      <c r="J32" s="60">
        <v>5.1710000000000003</v>
      </c>
      <c r="K32" s="60">
        <v>8.0559999999999992</v>
      </c>
      <c r="L32" s="60">
        <v>7.1360000000000001</v>
      </c>
      <c r="M32" s="60">
        <v>5.4880000000000004</v>
      </c>
    </row>
    <row r="33" spans="1:13">
      <c r="A33" s="60" t="s">
        <v>135</v>
      </c>
      <c r="B33" s="60" t="s">
        <v>18</v>
      </c>
      <c r="C33" s="69">
        <f>IF(IFERROR(INDEX('2016'!$H$5:$H$72,MATCH(B33,'2016'!$A$5:$A$72,0)),0)=0,"N/A",INDEX('2016'!$H$5:$H$72,MATCH(B33,'2016'!$A$5:$A$72,0)))</f>
        <v>9.2560000000000002</v>
      </c>
      <c r="D33" s="60">
        <v>8.2880000000000003</v>
      </c>
      <c r="E33" s="60">
        <v>7.0679999999999996</v>
      </c>
      <c r="F33" s="60">
        <v>6.2930000000000001</v>
      </c>
      <c r="G33" s="60">
        <v>6.7720000000000002</v>
      </c>
      <c r="H33" s="60">
        <v>6.093</v>
      </c>
      <c r="I33" s="60">
        <v>5.0250000000000004</v>
      </c>
      <c r="J33" s="60">
        <v>4.9610000000000003</v>
      </c>
      <c r="K33" s="60">
        <v>4.7359999999999998</v>
      </c>
      <c r="L33" s="60">
        <v>4.0460000000000003</v>
      </c>
      <c r="M33" s="60">
        <v>3.61</v>
      </c>
    </row>
    <row r="34" spans="1:13">
      <c r="A34" s="60" t="s">
        <v>136</v>
      </c>
      <c r="B34" s="60" t="s">
        <v>19</v>
      </c>
      <c r="C34" s="69">
        <f>IF(IFERROR(INDEX('2016'!$H$5:$H$72,MATCH(B34,'2016'!$A$5:$A$72,0)),0)=0,"N/A",INDEX('2016'!$H$5:$H$72,MATCH(B34,'2016'!$A$5:$A$72,0)))</f>
        <v>6.9340000000000002</v>
      </c>
      <c r="D34" s="60">
        <v>6.8330000000000002</v>
      </c>
      <c r="E34" s="60">
        <v>8.4179999999999993</v>
      </c>
      <c r="F34" s="60">
        <v>6.899</v>
      </c>
      <c r="G34" s="60">
        <v>7.0869999999999997</v>
      </c>
      <c r="H34" s="60">
        <v>5.4470000000000001</v>
      </c>
      <c r="I34" s="60">
        <v>6.44</v>
      </c>
      <c r="J34" s="60">
        <v>7.2270000000000003</v>
      </c>
      <c r="K34" s="60">
        <v>9.4740000000000002</v>
      </c>
      <c r="L34" s="60">
        <v>5.3570000000000002</v>
      </c>
      <c r="M34" s="60">
        <v>4.12</v>
      </c>
    </row>
    <row r="35" spans="1:13">
      <c r="A35" s="60" t="s">
        <v>266</v>
      </c>
      <c r="B35" s="60" t="s">
        <v>267</v>
      </c>
      <c r="C35" s="69">
        <f>IF(IFERROR(INDEX('2016'!$H$5:$H$72,MATCH(B35,'2016'!$A$5:$A$72,0)),0)=0,"N/A",INDEX('2016'!$H$5:$H$72,MATCH(B35,'2016'!$A$5:$A$72,0)))</f>
        <v>5.133</v>
      </c>
      <c r="D35" s="60">
        <v>7.9660000000000002</v>
      </c>
      <c r="E35" s="60">
        <v>6</v>
      </c>
      <c r="F35" s="60">
        <v>5.3250000000000002</v>
      </c>
      <c r="G35" s="60">
        <v>5.68</v>
      </c>
      <c r="H35" s="60">
        <v>5.91</v>
      </c>
      <c r="I35" s="60">
        <v>5.8890000000000002</v>
      </c>
      <c r="J35" s="60">
        <v>5.7919999999999998</v>
      </c>
      <c r="K35" s="60">
        <v>5.343</v>
      </c>
      <c r="L35" s="60">
        <v>5.1630000000000003</v>
      </c>
      <c r="M35" s="60">
        <v>4.8029999999999999</v>
      </c>
    </row>
    <row r="36" spans="1:13">
      <c r="A36" s="60" t="s">
        <v>185</v>
      </c>
      <c r="B36" s="60" t="s">
        <v>186</v>
      </c>
      <c r="D36" s="60">
        <v>0.91100000000000003</v>
      </c>
      <c r="E36" s="60">
        <v>2.0609999999999999</v>
      </c>
      <c r="F36" s="60">
        <v>2.306</v>
      </c>
      <c r="G36" s="60">
        <v>2.4740000000000002</v>
      </c>
      <c r="H36" s="60">
        <v>2.8460000000000001</v>
      </c>
      <c r="I36" s="60">
        <v>1.046</v>
      </c>
      <c r="J36" s="60">
        <v>2.0299999999999998</v>
      </c>
      <c r="K36" s="60">
        <v>0.89</v>
      </c>
      <c r="L36" s="60">
        <v>0.56100000000000005</v>
      </c>
      <c r="M36" s="60">
        <v>0.56200000000000006</v>
      </c>
    </row>
    <row r="37" spans="1:13">
      <c r="A37" s="60" t="s">
        <v>137</v>
      </c>
      <c r="B37" s="60" t="s">
        <v>20</v>
      </c>
      <c r="C37" s="60">
        <v>2.8610000000000002</v>
      </c>
      <c r="D37" s="60">
        <v>4.423</v>
      </c>
      <c r="E37" s="60">
        <v>5.1029999999999998</v>
      </c>
      <c r="F37" s="60">
        <v>4.4249999999999998</v>
      </c>
      <c r="G37" s="60">
        <v>4.0090000000000003</v>
      </c>
      <c r="H37" s="60">
        <v>3.3959999999999999</v>
      </c>
      <c r="I37" s="60">
        <v>4.7640000000000002</v>
      </c>
      <c r="J37" s="60">
        <v>6.4889999999999999</v>
      </c>
      <c r="K37" s="60">
        <v>8.86</v>
      </c>
      <c r="L37" s="60">
        <v>6.1509999999999998</v>
      </c>
      <c r="M37" s="60">
        <v>6.0460000000000003</v>
      </c>
    </row>
    <row r="38" spans="1:13">
      <c r="A38" s="60" t="s">
        <v>138</v>
      </c>
      <c r="B38" s="60" t="s">
        <v>21</v>
      </c>
      <c r="C38" s="60">
        <v>3.04</v>
      </c>
      <c r="D38" s="60">
        <v>3.3849999999999998</v>
      </c>
      <c r="E38" s="60">
        <v>3.3119999999999998</v>
      </c>
      <c r="F38" s="60">
        <v>3.4950000000000001</v>
      </c>
      <c r="G38" s="60">
        <v>3.3239999999999998</v>
      </c>
      <c r="H38" s="60">
        <v>2.448</v>
      </c>
      <c r="I38" s="60">
        <v>1.923</v>
      </c>
      <c r="J38" s="60">
        <v>3.294</v>
      </c>
      <c r="K38" s="60">
        <v>3.1160000000000001</v>
      </c>
      <c r="L38" s="60">
        <v>2.6160000000000001</v>
      </c>
      <c r="M38" s="60">
        <v>2.5840000000000001</v>
      </c>
    </row>
    <row r="39" spans="1:13">
      <c r="A39" s="60" t="s">
        <v>216</v>
      </c>
      <c r="B39" s="60" t="s">
        <v>22</v>
      </c>
      <c r="C39" s="60">
        <v>5.8920000000000003</v>
      </c>
      <c r="D39" s="60">
        <v>5.8410000000000002</v>
      </c>
      <c r="E39" s="60">
        <v>5.452</v>
      </c>
      <c r="F39" s="60">
        <v>4.6840000000000002</v>
      </c>
      <c r="G39" s="60">
        <v>4.78</v>
      </c>
      <c r="H39" s="60">
        <v>6.7619999999999996</v>
      </c>
      <c r="I39" s="60">
        <v>6.8460000000000001</v>
      </c>
      <c r="J39" s="60">
        <v>5.26</v>
      </c>
      <c r="K39" s="60">
        <v>5.1909999999999998</v>
      </c>
      <c r="L39" s="60">
        <v>6.3860000000000001</v>
      </c>
      <c r="M39" s="60">
        <v>5.1580000000000004</v>
      </c>
    </row>
    <row r="40" spans="1:13">
      <c r="A40" s="60" t="s">
        <v>139</v>
      </c>
      <c r="B40" s="60" t="s">
        <v>25</v>
      </c>
      <c r="C40" s="60">
        <v>2.4129999999999998</v>
      </c>
      <c r="D40" s="60">
        <v>2.0779999999999998</v>
      </c>
      <c r="E40" s="60">
        <v>2.673</v>
      </c>
      <c r="F40" s="60">
        <v>3.4340000000000002</v>
      </c>
      <c r="G40" s="60">
        <v>2.839</v>
      </c>
      <c r="H40" s="60">
        <v>1.88</v>
      </c>
      <c r="I40" s="60">
        <v>1.756</v>
      </c>
      <c r="J40" s="60">
        <v>2.3540000000000001</v>
      </c>
      <c r="K40" s="60">
        <v>3.0790000000000002</v>
      </c>
      <c r="L40" s="60">
        <v>4.1379999999999999</v>
      </c>
      <c r="M40" s="60">
        <v>2.9420000000000002</v>
      </c>
    </row>
    <row r="41" spans="1:13">
      <c r="A41" s="60" t="s">
        <v>187</v>
      </c>
      <c r="B41" s="60" t="s">
        <v>188</v>
      </c>
      <c r="C41" s="60">
        <v>2.907</v>
      </c>
      <c r="D41" s="60">
        <v>1.5880000000000001</v>
      </c>
      <c r="E41" s="60">
        <v>1.401</v>
      </c>
      <c r="F41" s="60">
        <v>1.258</v>
      </c>
      <c r="G41" s="60">
        <v>1.3640000000000001</v>
      </c>
      <c r="H41" s="60">
        <v>1.5</v>
      </c>
      <c r="I41" s="60">
        <v>1.9019999999999999</v>
      </c>
      <c r="J41" s="60">
        <v>1.4890000000000001</v>
      </c>
      <c r="K41" s="60">
        <v>2.121</v>
      </c>
      <c r="L41" s="60">
        <v>1.6559999999999999</v>
      </c>
      <c r="M41" s="60">
        <v>2.306</v>
      </c>
    </row>
    <row r="42" spans="1:13">
      <c r="A42" s="60" t="s">
        <v>189</v>
      </c>
      <c r="B42" s="60" t="s">
        <v>190</v>
      </c>
      <c r="C42" s="60">
        <v>4.1459999999999999</v>
      </c>
      <c r="D42" s="60">
        <v>3.7570000000000001</v>
      </c>
      <c r="E42" s="60">
        <v>1.5229999999999999</v>
      </c>
      <c r="F42" s="60">
        <v>1.3260000000000001</v>
      </c>
      <c r="G42" s="60">
        <v>1.256</v>
      </c>
      <c r="H42" s="60">
        <v>1.129</v>
      </c>
      <c r="I42" s="60">
        <v>1.052</v>
      </c>
      <c r="J42" s="60">
        <v>0.90300000000000002</v>
      </c>
      <c r="K42" s="60">
        <v>0.86</v>
      </c>
      <c r="L42" s="60">
        <v>0.73</v>
      </c>
      <c r="M42" s="60">
        <v>0.64</v>
      </c>
    </row>
    <row r="43" spans="1:13">
      <c r="A43" s="60" t="s">
        <v>140</v>
      </c>
      <c r="B43" s="60" t="s">
        <v>141</v>
      </c>
      <c r="C43" s="60">
        <v>20</v>
      </c>
      <c r="D43" s="60">
        <v>18.170999999999999</v>
      </c>
      <c r="E43" s="60">
        <v>15.84</v>
      </c>
      <c r="F43" s="60">
        <v>15.361000000000001</v>
      </c>
      <c r="G43" s="60">
        <v>22.314</v>
      </c>
      <c r="H43" s="60">
        <v>15.933</v>
      </c>
      <c r="I43" s="60">
        <v>13.891</v>
      </c>
      <c r="J43" s="60">
        <v>14.52</v>
      </c>
      <c r="K43" s="60">
        <v>12.805</v>
      </c>
      <c r="L43" s="60">
        <v>12.321</v>
      </c>
      <c r="M43" s="60">
        <v>9.2230000000000008</v>
      </c>
    </row>
    <row r="44" spans="1:13">
      <c r="A44" s="60" t="s">
        <v>142</v>
      </c>
      <c r="B44" s="60" t="s">
        <v>26</v>
      </c>
      <c r="C44" s="60">
        <v>4.57</v>
      </c>
      <c r="D44" s="60">
        <v>4.2640000000000002</v>
      </c>
      <c r="E44" s="60">
        <v>6.4189999999999996</v>
      </c>
      <c r="F44" s="60">
        <v>5.9930000000000003</v>
      </c>
      <c r="G44" s="60">
        <v>4.83</v>
      </c>
      <c r="H44" s="60">
        <v>3.988</v>
      </c>
      <c r="I44" s="60">
        <v>2.8780000000000001</v>
      </c>
      <c r="J44" s="60">
        <v>2.8079999999999998</v>
      </c>
      <c r="K44" s="60">
        <v>3.536</v>
      </c>
      <c r="L44" s="60">
        <v>2.875</v>
      </c>
      <c r="M44" s="60">
        <v>2.3290000000000002</v>
      </c>
    </row>
    <row r="45" spans="1:13">
      <c r="A45" s="60" t="s">
        <v>191</v>
      </c>
      <c r="B45" s="60" t="s">
        <v>192</v>
      </c>
      <c r="C45" s="60">
        <v>4.4800000000000004</v>
      </c>
      <c r="D45" s="60">
        <v>4.37</v>
      </c>
      <c r="E45" s="60">
        <v>4.4020000000000001</v>
      </c>
      <c r="F45" s="60">
        <v>5.1310000000000002</v>
      </c>
      <c r="G45" s="60">
        <v>4.9050000000000002</v>
      </c>
      <c r="H45" s="60">
        <v>3.7570000000000001</v>
      </c>
      <c r="I45" s="60">
        <v>9.3510000000000009</v>
      </c>
      <c r="J45" s="60">
        <v>5.093</v>
      </c>
      <c r="K45" s="60">
        <v>3.9239999999999999</v>
      </c>
      <c r="L45" s="60">
        <v>4.4770000000000003</v>
      </c>
      <c r="M45" s="60">
        <v>3.5640000000000001</v>
      </c>
    </row>
    <row r="46" spans="1:13">
      <c r="A46" s="60" t="s">
        <v>143</v>
      </c>
      <c r="B46" s="60" t="s">
        <v>144</v>
      </c>
      <c r="C46" s="60">
        <v>5.9569999999999999</v>
      </c>
      <c r="D46" s="60">
        <v>5.8890000000000002</v>
      </c>
      <c r="E46" s="60">
        <v>5.7629999999999999</v>
      </c>
      <c r="F46" s="60">
        <v>5.9480000000000004</v>
      </c>
      <c r="G46" s="60">
        <v>5.89</v>
      </c>
      <c r="H46" s="60">
        <v>5.202</v>
      </c>
      <c r="I46" s="60">
        <v>6.3029999999999999</v>
      </c>
      <c r="J46" s="60">
        <v>5.2590000000000003</v>
      </c>
      <c r="K46" s="60">
        <v>3.4670000000000001</v>
      </c>
      <c r="L46" s="60">
        <v>3.004</v>
      </c>
      <c r="M46" s="60">
        <v>2.8090000000000002</v>
      </c>
    </row>
    <row r="47" spans="1:13">
      <c r="A47" s="60" t="s">
        <v>145</v>
      </c>
      <c r="B47" s="60" t="s">
        <v>27</v>
      </c>
      <c r="C47" s="60">
        <v>3.3050000000000002</v>
      </c>
      <c r="D47" s="60">
        <v>2.7429999999999999</v>
      </c>
      <c r="E47" s="60">
        <v>2.855</v>
      </c>
      <c r="F47" s="60">
        <v>4.99</v>
      </c>
      <c r="G47" s="60">
        <v>5.8540000000000001</v>
      </c>
      <c r="H47" s="60">
        <v>6.4749999999999996</v>
      </c>
      <c r="I47" s="60">
        <v>4.3630000000000004</v>
      </c>
      <c r="J47" s="60">
        <v>4.37</v>
      </c>
      <c r="K47" s="60">
        <v>4.0110000000000001</v>
      </c>
      <c r="L47" s="60">
        <v>3.0379999999999998</v>
      </c>
      <c r="M47" s="60">
        <v>2.6680000000000001</v>
      </c>
    </row>
    <row r="48" spans="1:13">
      <c r="A48" s="60" t="s">
        <v>356</v>
      </c>
      <c r="B48" s="60" t="s">
        <v>353</v>
      </c>
      <c r="C48" s="60">
        <v>5.9119999999999999</v>
      </c>
      <c r="D48" s="60">
        <v>5.6319999999999997</v>
      </c>
      <c r="E48" s="60">
        <v>5.7039999999999997</v>
      </c>
    </row>
    <row r="49" spans="1:13">
      <c r="A49" s="60" t="s">
        <v>146</v>
      </c>
      <c r="B49" s="60" t="s">
        <v>28</v>
      </c>
      <c r="C49" s="60">
        <v>4.0979999999999999</v>
      </c>
      <c r="D49" s="60">
        <v>4.2290000000000001</v>
      </c>
      <c r="E49" s="60">
        <v>4.3949999999999996</v>
      </c>
      <c r="F49" s="60">
        <v>4.5339999999999998</v>
      </c>
      <c r="G49" s="60">
        <v>3.2010000000000001</v>
      </c>
      <c r="H49" s="60">
        <v>2.0409999999999999</v>
      </c>
      <c r="I49" s="60">
        <v>2.3769999999999998</v>
      </c>
      <c r="J49" s="60">
        <v>4.9459999999999997</v>
      </c>
      <c r="K49" s="60">
        <v>7.5140000000000002</v>
      </c>
      <c r="L49" s="60">
        <v>5.4269999999999996</v>
      </c>
      <c r="M49" s="60">
        <v>2.3519999999999999</v>
      </c>
    </row>
    <row r="50" spans="1:13">
      <c r="A50" s="60" t="s">
        <v>147</v>
      </c>
      <c r="B50" s="60" t="s">
        <v>30</v>
      </c>
      <c r="C50" s="60">
        <v>11.263</v>
      </c>
      <c r="D50" s="60">
        <v>10.513999999999999</v>
      </c>
      <c r="E50" s="60">
        <v>10.154999999999999</v>
      </c>
      <c r="F50" s="60">
        <v>11.401999999999999</v>
      </c>
      <c r="G50" s="60">
        <v>10.736000000000001</v>
      </c>
      <c r="H50" s="60">
        <v>9.7949999999999999</v>
      </c>
      <c r="I50" s="60">
        <v>9.6199999999999992</v>
      </c>
      <c r="J50" s="60">
        <v>10.68</v>
      </c>
      <c r="K50" s="60">
        <v>10.048</v>
      </c>
      <c r="L50" s="60">
        <v>7.8280000000000003</v>
      </c>
      <c r="M50" s="60">
        <v>6.9</v>
      </c>
    </row>
    <row r="51" spans="1:13">
      <c r="A51" s="60" t="s">
        <v>148</v>
      </c>
      <c r="B51" s="60" t="s">
        <v>31</v>
      </c>
      <c r="C51" s="60">
        <v>11.635</v>
      </c>
      <c r="D51" s="60">
        <v>9.843</v>
      </c>
      <c r="E51" s="60">
        <v>8.3759999999999994</v>
      </c>
      <c r="F51" s="60">
        <v>9.359</v>
      </c>
      <c r="G51" s="60">
        <v>8.2420000000000009</v>
      </c>
      <c r="H51" s="60">
        <v>8.2629999999999999</v>
      </c>
      <c r="I51" s="60">
        <v>7.0350000000000001</v>
      </c>
      <c r="J51" s="60">
        <v>7.6440000000000001</v>
      </c>
      <c r="K51" s="60">
        <v>9.4600000000000009</v>
      </c>
      <c r="L51" s="60">
        <v>9.3710000000000004</v>
      </c>
      <c r="M51" s="60">
        <v>7.5910000000000002</v>
      </c>
    </row>
    <row r="52" spans="1:13">
      <c r="A52" s="60" t="s">
        <v>149</v>
      </c>
      <c r="B52" s="60" t="s">
        <v>32</v>
      </c>
      <c r="C52" s="60">
        <v>5.6</v>
      </c>
      <c r="D52" s="60">
        <v>7.0129999999999999</v>
      </c>
      <c r="E52" s="60">
        <v>5.7830000000000004</v>
      </c>
      <c r="F52" s="60">
        <v>4.3689999999999998</v>
      </c>
      <c r="G52" s="60">
        <v>3.8780000000000001</v>
      </c>
      <c r="H52" s="60">
        <v>4.1040000000000001</v>
      </c>
      <c r="I52" s="60">
        <v>3.2480000000000002</v>
      </c>
      <c r="J52" s="60">
        <v>3.323</v>
      </c>
      <c r="K52" s="60">
        <v>3.9860000000000002</v>
      </c>
      <c r="L52" s="60">
        <v>5.9359999999999999</v>
      </c>
      <c r="M52" s="60">
        <v>4.0350000000000001</v>
      </c>
    </row>
    <row r="53" spans="1:13">
      <c r="A53" s="60" t="s">
        <v>150</v>
      </c>
      <c r="B53" s="60" t="s">
        <v>33</v>
      </c>
      <c r="C53" s="60">
        <v>6.5659999999999998</v>
      </c>
      <c r="D53" s="60">
        <v>6.7350000000000003</v>
      </c>
      <c r="E53" s="60">
        <v>12.872999999999999</v>
      </c>
      <c r="F53" s="60">
        <v>8.4009999999999998</v>
      </c>
      <c r="G53" s="60">
        <v>4.01</v>
      </c>
      <c r="H53" s="60">
        <v>3.9809999999999999</v>
      </c>
      <c r="I53" s="60">
        <v>5.9749999999999996</v>
      </c>
      <c r="J53" s="60">
        <v>9.2539999999999996</v>
      </c>
      <c r="K53" s="60">
        <v>6.1210000000000004</v>
      </c>
      <c r="L53" s="60">
        <v>7.2770000000000001</v>
      </c>
      <c r="M53" s="60">
        <v>5.9359999999999999</v>
      </c>
    </row>
    <row r="54" spans="1:13">
      <c r="A54" s="60" t="s">
        <v>151</v>
      </c>
      <c r="B54" s="60" t="s">
        <v>34</v>
      </c>
      <c r="C54" s="60">
        <v>4.3</v>
      </c>
      <c r="D54" s="60">
        <v>5.2430000000000003</v>
      </c>
      <c r="E54" s="60">
        <v>6.1429999999999998</v>
      </c>
      <c r="F54" s="60">
        <v>6.6820000000000004</v>
      </c>
      <c r="G54" s="60">
        <v>5.3360000000000003</v>
      </c>
      <c r="H54" s="60">
        <v>4.3</v>
      </c>
      <c r="I54" s="60">
        <v>3.3039999999999998</v>
      </c>
      <c r="J54" s="60">
        <v>3.2480000000000002</v>
      </c>
      <c r="K54" s="60">
        <v>3.786</v>
      </c>
      <c r="L54" s="60">
        <v>4.5140000000000002</v>
      </c>
      <c r="M54" s="60">
        <v>3.62</v>
      </c>
    </row>
    <row r="55" spans="1:13">
      <c r="A55" s="60" t="s">
        <v>152</v>
      </c>
      <c r="B55" s="60" t="s">
        <v>35</v>
      </c>
      <c r="C55" s="60">
        <v>7.3</v>
      </c>
      <c r="D55" s="60">
        <v>7.6449999999999996</v>
      </c>
      <c r="E55" s="60">
        <v>5.5750000000000002</v>
      </c>
      <c r="F55" s="60">
        <v>5.5570000000000004</v>
      </c>
      <c r="G55" s="60">
        <v>5.0880000000000001</v>
      </c>
      <c r="H55" s="60">
        <v>4.117</v>
      </c>
      <c r="I55" s="60">
        <v>4.2690000000000001</v>
      </c>
      <c r="J55" s="60">
        <v>3.5459999999999998</v>
      </c>
      <c r="K55" s="60">
        <v>3.5</v>
      </c>
      <c r="L55" s="60">
        <v>2.6509999999999998</v>
      </c>
      <c r="M55" s="60">
        <v>2.0089999999999999</v>
      </c>
    </row>
    <row r="56" spans="1:13">
      <c r="A56" s="60" t="s">
        <v>193</v>
      </c>
      <c r="B56" s="60" t="s">
        <v>194</v>
      </c>
      <c r="C56" s="60">
        <v>2.4990000000000001</v>
      </c>
      <c r="D56" s="60">
        <v>1.9379999999999999</v>
      </c>
      <c r="E56" s="60">
        <v>2.0779999999999998</v>
      </c>
      <c r="F56" s="60">
        <v>1.4119999999999999</v>
      </c>
      <c r="G56" s="60">
        <v>1.24</v>
      </c>
      <c r="H56" s="60">
        <v>1.0940000000000001</v>
      </c>
      <c r="I56" s="60">
        <v>0.876</v>
      </c>
      <c r="J56" s="60">
        <v>0.85599999999999998</v>
      </c>
      <c r="K56" s="60">
        <v>0.98699999999999999</v>
      </c>
      <c r="L56" s="60">
        <v>0.91600000000000004</v>
      </c>
      <c r="M56" s="60">
        <v>1.218</v>
      </c>
    </row>
    <row r="57" spans="1:13">
      <c r="A57" s="60" t="s">
        <v>153</v>
      </c>
      <c r="B57" s="60" t="s">
        <v>36</v>
      </c>
      <c r="C57" s="60">
        <v>11.05</v>
      </c>
      <c r="D57" s="60">
        <v>8.0690000000000008</v>
      </c>
      <c r="E57" s="60">
        <v>7.6520000000000001</v>
      </c>
      <c r="F57" s="60">
        <v>7.8440000000000003</v>
      </c>
      <c r="G57" s="60">
        <v>8.1579999999999995</v>
      </c>
      <c r="H57" s="60">
        <v>6.806</v>
      </c>
      <c r="I57" s="60">
        <v>6.8739999999999997</v>
      </c>
      <c r="J57" s="60">
        <v>7.41</v>
      </c>
      <c r="K57" s="60">
        <v>7.6749999999999998</v>
      </c>
      <c r="L57" s="60">
        <v>6.2140000000000004</v>
      </c>
      <c r="M57" s="60">
        <v>4.5170000000000003</v>
      </c>
    </row>
    <row r="58" spans="1:13">
      <c r="A58" s="60" t="s">
        <v>154</v>
      </c>
      <c r="B58" s="60" t="s">
        <v>37</v>
      </c>
      <c r="C58" s="60">
        <v>16.846</v>
      </c>
      <c r="D58" s="60">
        <v>12.711</v>
      </c>
      <c r="E58" s="60">
        <v>12.678000000000001</v>
      </c>
      <c r="F58" s="60">
        <v>10.521000000000001</v>
      </c>
      <c r="G58" s="60">
        <v>12.196</v>
      </c>
      <c r="H58" s="60">
        <v>11.853</v>
      </c>
      <c r="I58" s="60">
        <v>8.5760000000000005</v>
      </c>
      <c r="J58" s="60">
        <v>7.7560000000000002</v>
      </c>
      <c r="K58" s="60">
        <v>8.4700000000000006</v>
      </c>
      <c r="L58" s="60">
        <v>7.6989999999999998</v>
      </c>
      <c r="M58" s="60">
        <v>7.2779999999999996</v>
      </c>
    </row>
    <row r="59" spans="1:13">
      <c r="A59" s="60" t="s">
        <v>195</v>
      </c>
      <c r="B59" s="60" t="s">
        <v>196</v>
      </c>
      <c r="C59" s="60">
        <v>6.952</v>
      </c>
      <c r="D59" s="60">
        <v>5.2389999999999999</v>
      </c>
      <c r="E59" s="60">
        <v>5.0199999999999996</v>
      </c>
      <c r="F59" s="60">
        <v>4.6769999999999996</v>
      </c>
      <c r="G59" s="60">
        <v>5.6680000000000001</v>
      </c>
      <c r="H59" s="60">
        <v>3.7509999999999999</v>
      </c>
      <c r="I59" s="60">
        <v>5.6479999999999997</v>
      </c>
      <c r="J59" s="60">
        <v>3.17</v>
      </c>
      <c r="K59" s="60">
        <v>3.7930000000000001</v>
      </c>
      <c r="L59" s="60">
        <v>6.6150000000000002</v>
      </c>
      <c r="M59" s="60">
        <v>3.87</v>
      </c>
    </row>
    <row r="60" spans="1:13">
      <c r="A60" s="60" t="s">
        <v>197</v>
      </c>
      <c r="B60" s="60" t="s">
        <v>198</v>
      </c>
      <c r="C60" s="60">
        <v>3.2</v>
      </c>
      <c r="D60" s="60">
        <v>4.87</v>
      </c>
      <c r="E60" s="60">
        <v>5.0129999999999999</v>
      </c>
      <c r="F60" s="60">
        <v>4.8390000000000004</v>
      </c>
      <c r="G60" s="60">
        <v>4.01</v>
      </c>
      <c r="H60" s="60">
        <v>3.1960000000000002</v>
      </c>
      <c r="I60" s="60">
        <v>2.794</v>
      </c>
      <c r="J60" s="60">
        <v>1.8340000000000001</v>
      </c>
      <c r="K60" s="60">
        <v>1.042</v>
      </c>
      <c r="L60" s="60">
        <v>0.93799999999999994</v>
      </c>
      <c r="M60" s="60">
        <v>1.256</v>
      </c>
    </row>
    <row r="61" spans="1:13">
      <c r="A61" s="60" t="s">
        <v>155</v>
      </c>
      <c r="B61" s="60" t="s">
        <v>38</v>
      </c>
      <c r="C61" s="60">
        <v>10.3</v>
      </c>
      <c r="D61" s="60">
        <v>6.2229999999999999</v>
      </c>
      <c r="E61" s="60">
        <v>6.5839999999999996</v>
      </c>
      <c r="F61" s="60">
        <v>6.1580000000000004</v>
      </c>
      <c r="G61" s="60">
        <v>5.5419999999999998</v>
      </c>
      <c r="H61" s="60">
        <v>5.23</v>
      </c>
      <c r="I61" s="60">
        <v>4.8449999999999998</v>
      </c>
      <c r="J61" s="60">
        <v>5.6980000000000004</v>
      </c>
      <c r="K61" s="60">
        <v>5.0970000000000004</v>
      </c>
      <c r="L61" s="60">
        <v>4.6459999999999999</v>
      </c>
      <c r="M61" s="60">
        <v>4.0119999999999996</v>
      </c>
    </row>
    <row r="62" spans="1:13">
      <c r="A62" s="60" t="s">
        <v>199</v>
      </c>
      <c r="B62" s="60" t="s">
        <v>200</v>
      </c>
      <c r="C62" s="60">
        <v>11.25</v>
      </c>
      <c r="D62" s="60">
        <v>10.3</v>
      </c>
      <c r="E62" s="60">
        <v>8.5310000000000006</v>
      </c>
      <c r="F62" s="60">
        <v>7.8579999999999997</v>
      </c>
      <c r="G62" s="60">
        <v>8.5749999999999993</v>
      </c>
      <c r="H62" s="60">
        <v>8.2899999999999991</v>
      </c>
      <c r="I62" s="60">
        <v>4.7290000000000001</v>
      </c>
      <c r="J62" s="60">
        <v>4.8120000000000003</v>
      </c>
      <c r="K62" s="60">
        <v>6.7939999999999996</v>
      </c>
      <c r="L62" s="60">
        <v>7.9630000000000001</v>
      </c>
      <c r="M62" s="60">
        <v>8.2669999999999995</v>
      </c>
    </row>
    <row r="63" spans="1:13">
      <c r="A63" s="60" t="s">
        <v>243</v>
      </c>
      <c r="B63" s="60" t="s">
        <v>244</v>
      </c>
      <c r="C63" s="60">
        <v>6.4249999999999998</v>
      </c>
      <c r="D63" s="60">
        <v>6.6840000000000002</v>
      </c>
      <c r="E63" s="60">
        <v>3.96</v>
      </c>
      <c r="F63" s="60">
        <v>4</v>
      </c>
      <c r="G63" s="60">
        <v>4.8259999999999996</v>
      </c>
      <c r="H63" s="60">
        <v>3.0150000000000001</v>
      </c>
      <c r="I63" s="60">
        <v>2.5569999999999999</v>
      </c>
      <c r="J63" s="60">
        <v>2.363</v>
      </c>
      <c r="K63" s="60">
        <v>2.5739999999999998</v>
      </c>
      <c r="L63" s="60">
        <v>2.72</v>
      </c>
      <c r="M63" s="60">
        <v>2.9689999999999999</v>
      </c>
    </row>
    <row r="64" spans="1:13">
      <c r="A64" s="60" t="s">
        <v>201</v>
      </c>
      <c r="B64" s="60" t="s">
        <v>202</v>
      </c>
      <c r="C64" s="60">
        <v>0.18</v>
      </c>
      <c r="D64" s="60">
        <v>0.16600000000000001</v>
      </c>
      <c r="E64" s="60">
        <v>0.159</v>
      </c>
      <c r="F64" s="60">
        <v>0.104</v>
      </c>
      <c r="G64" s="60">
        <v>9.5000000000000001E-2</v>
      </c>
      <c r="H64" s="60">
        <v>9.8000000000000004E-2</v>
      </c>
      <c r="I64" s="60">
        <v>8.3000000000000004E-2</v>
      </c>
      <c r="J64" s="60">
        <v>5.8000000000000003E-2</v>
      </c>
      <c r="K64" s="60">
        <v>5.5E-2</v>
      </c>
      <c r="L64" s="60">
        <v>6.4000000000000001E-2</v>
      </c>
      <c r="M64" s="60">
        <v>7.1999999999999995E-2</v>
      </c>
    </row>
    <row r="65" spans="1:13">
      <c r="A65" s="60" t="s">
        <v>203</v>
      </c>
      <c r="B65" s="60" t="s">
        <v>204</v>
      </c>
      <c r="C65" s="60">
        <v>3.2559999999999998</v>
      </c>
      <c r="D65" s="60">
        <v>2.8340000000000001</v>
      </c>
      <c r="E65" s="60">
        <v>2.645</v>
      </c>
      <c r="F65" s="60">
        <v>2.8439999999999999</v>
      </c>
      <c r="G65" s="60">
        <v>2.008</v>
      </c>
      <c r="H65" s="60">
        <v>2.15</v>
      </c>
      <c r="I65" s="60">
        <v>2.113</v>
      </c>
      <c r="J65" s="60">
        <v>1.853</v>
      </c>
      <c r="K65" s="60">
        <v>1.4410000000000001</v>
      </c>
      <c r="L65" s="60">
        <v>1.395</v>
      </c>
      <c r="M65" s="60">
        <v>1.212</v>
      </c>
    </row>
    <row r="66" spans="1:13">
      <c r="A66" s="60" t="s">
        <v>159</v>
      </c>
      <c r="B66" s="60" t="s">
        <v>83</v>
      </c>
      <c r="C66" s="60">
        <v>6.9749999999999996</v>
      </c>
      <c r="D66" s="60">
        <v>7.4260000000000002</v>
      </c>
      <c r="E66" s="60">
        <v>6.6539999999999999</v>
      </c>
      <c r="F66" s="60">
        <v>6.4660000000000002</v>
      </c>
      <c r="G66" s="60">
        <v>4.9710000000000001</v>
      </c>
      <c r="H66" s="60">
        <v>5.2130000000000001</v>
      </c>
      <c r="I66" s="60">
        <v>4.5549999999999997</v>
      </c>
      <c r="J66" s="60">
        <v>5.4169999999999998</v>
      </c>
      <c r="K66" s="60">
        <v>3.6320000000000001</v>
      </c>
      <c r="L66" s="60">
        <v>5.6619999999999999</v>
      </c>
      <c r="M66" s="60">
        <v>5.9539999999999997</v>
      </c>
    </row>
    <row r="67" spans="1:13">
      <c r="A67" s="60" t="s">
        <v>156</v>
      </c>
      <c r="B67" s="60" t="s">
        <v>42</v>
      </c>
      <c r="C67" s="60">
        <v>6.5380000000000003</v>
      </c>
      <c r="D67" s="60">
        <v>5.76</v>
      </c>
      <c r="E67" s="60">
        <v>5.4269999999999996</v>
      </c>
      <c r="F67" s="60">
        <v>4.774</v>
      </c>
      <c r="G67" s="60">
        <v>4.45</v>
      </c>
      <c r="H67" s="60">
        <v>3.923</v>
      </c>
      <c r="I67" s="60">
        <v>3.3929999999999998</v>
      </c>
      <c r="J67" s="60">
        <v>5.327</v>
      </c>
      <c r="K67" s="60">
        <v>4.8259999999999996</v>
      </c>
      <c r="L67" s="60">
        <v>4.3810000000000002</v>
      </c>
      <c r="M67" s="60">
        <v>3.698</v>
      </c>
    </row>
    <row r="68" spans="1:13">
      <c r="A68" s="60" t="s">
        <v>217</v>
      </c>
      <c r="B68" s="60" t="s">
        <v>44</v>
      </c>
      <c r="C68" s="60">
        <v>4.5110000000000001</v>
      </c>
      <c r="D68" s="60">
        <v>4.0110000000000001</v>
      </c>
      <c r="E68" s="60">
        <v>3.2639999999999998</v>
      </c>
      <c r="F68" s="60">
        <v>3.0419999999999998</v>
      </c>
      <c r="G68" s="60">
        <v>3.0870000000000002</v>
      </c>
      <c r="H68" s="60">
        <v>3.605</v>
      </c>
      <c r="I68" s="60">
        <v>3.4140000000000001</v>
      </c>
      <c r="J68" s="60">
        <v>3.4969999999999999</v>
      </c>
      <c r="K68" s="60">
        <v>4.8630000000000004</v>
      </c>
      <c r="L68" s="60">
        <v>5.282</v>
      </c>
      <c r="M68" s="60">
        <v>4.1740000000000004</v>
      </c>
    </row>
    <row r="69" spans="1:13">
      <c r="A69" s="60" t="s">
        <v>157</v>
      </c>
      <c r="B69" s="60" t="s">
        <v>43</v>
      </c>
      <c r="C69" s="60">
        <v>7.6660000000000004</v>
      </c>
      <c r="D69" s="60">
        <v>4.9539999999999997</v>
      </c>
      <c r="E69" s="60">
        <v>6.47</v>
      </c>
      <c r="F69" s="60">
        <v>6.0819999999999999</v>
      </c>
      <c r="G69" s="60">
        <v>6.4050000000000002</v>
      </c>
      <c r="H69" s="60">
        <v>5.5490000000000004</v>
      </c>
      <c r="I69" s="60">
        <v>4.8170000000000002</v>
      </c>
      <c r="J69" s="60">
        <v>5.2569999999999997</v>
      </c>
      <c r="K69" s="60">
        <v>8.6530000000000005</v>
      </c>
      <c r="L69" s="60">
        <v>7.8369999999999997</v>
      </c>
      <c r="M69" s="60">
        <v>3.9460000000000002</v>
      </c>
    </row>
    <row r="70" spans="1:13">
      <c r="A70" s="60" t="s">
        <v>205</v>
      </c>
      <c r="B70" s="60" t="s">
        <v>206</v>
      </c>
      <c r="C70" s="60">
        <v>10.324999999999999</v>
      </c>
      <c r="D70" s="60">
        <v>9.3260000000000005</v>
      </c>
      <c r="E70" s="60">
        <v>7.6269999999999998</v>
      </c>
      <c r="F70" s="60">
        <v>6.0419999999999998</v>
      </c>
      <c r="G70" s="60">
        <v>4.8739999999999997</v>
      </c>
      <c r="H70" s="60">
        <v>3.9369999999999998</v>
      </c>
      <c r="I70" s="60">
        <v>2.5739999999999998</v>
      </c>
      <c r="J70" s="60">
        <v>2.77</v>
      </c>
      <c r="K70" s="60">
        <v>2.7040000000000002</v>
      </c>
      <c r="L70" s="60">
        <v>3.327</v>
      </c>
      <c r="M70" s="60">
        <v>3.2679999999999998</v>
      </c>
    </row>
    <row r="71" spans="1:13">
      <c r="A71" s="60" t="s">
        <v>158</v>
      </c>
      <c r="B71" s="60" t="s">
        <v>45</v>
      </c>
      <c r="C71" s="60">
        <v>6.4180000000000001</v>
      </c>
      <c r="D71" s="60">
        <v>7.2569999999999997</v>
      </c>
      <c r="E71" s="60">
        <v>6.327</v>
      </c>
      <c r="F71" s="60">
        <v>6.8179999999999996</v>
      </c>
      <c r="G71" s="60">
        <v>5.2670000000000003</v>
      </c>
      <c r="H71" s="60">
        <v>4.5339999999999998</v>
      </c>
      <c r="I71" s="60">
        <v>4.5970000000000004</v>
      </c>
      <c r="J71" s="60">
        <v>3.9060000000000001</v>
      </c>
      <c r="K71" s="60">
        <v>4.657</v>
      </c>
      <c r="L71" s="60">
        <v>4.8899999999999997</v>
      </c>
      <c r="M71" s="60">
        <v>3.996</v>
      </c>
    </row>
    <row r="72" spans="1:13">
      <c r="A72" s="60" t="s">
        <v>207</v>
      </c>
      <c r="B72" s="60" t="s">
        <v>208</v>
      </c>
      <c r="C72" s="60">
        <v>1.028</v>
      </c>
      <c r="D72" s="60">
        <v>1.1080000000000001</v>
      </c>
      <c r="E72" s="60">
        <v>1.1020000000000001</v>
      </c>
      <c r="F72" s="60">
        <v>0.75900000000000001</v>
      </c>
      <c r="G72" s="60">
        <v>0.94499999999999995</v>
      </c>
      <c r="H72" s="60">
        <v>0.74</v>
      </c>
      <c r="I72" s="60">
        <v>0.83099999999999996</v>
      </c>
      <c r="J72" s="60">
        <v>1.1759999999999999</v>
      </c>
      <c r="K72" s="60">
        <v>2.173</v>
      </c>
      <c r="L72" s="60">
        <v>1.6910000000000001</v>
      </c>
      <c r="M72" s="60">
        <v>1.8460000000000001</v>
      </c>
    </row>
  </sheetData>
  <printOptions headings="1"/>
  <pageMargins left="0.3" right="0.3" top="0.75" bottom="0.75" header="0.3" footer="0.3"/>
  <pageSetup fitToHeight="0" orientation="landscape" r:id="rId1"/>
  <headerFooter>
    <oddHeader>&amp;R&amp;A
&amp;P/&amp;N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8"/>
  <dimension ref="A1:N73"/>
  <sheetViews>
    <sheetView zoomScale="102" zoomScaleNormal="102" workbookViewId="0">
      <pane xSplit="1" ySplit="3" topLeftCell="B46" activePane="bottomRight" state="frozen"/>
      <selection pane="topRight" activeCell="B1" sqref="B1"/>
      <selection pane="bottomLeft" activeCell="A4" sqref="A4"/>
      <selection pane="bottomRight"/>
    </sheetView>
  </sheetViews>
  <sheetFormatPr defaultColWidth="8.75" defaultRowHeight="11.25"/>
  <cols>
    <col min="1" max="1" width="19.25" style="60" customWidth="1"/>
    <col min="2" max="2" width="5.75" style="60" bestFit="1" customWidth="1"/>
    <col min="3" max="13" width="7.75" style="60" customWidth="1"/>
    <col min="14" max="16384" width="8.75" style="60"/>
  </cols>
  <sheetData>
    <row r="1" spans="1:14" ht="33.75">
      <c r="A1" s="59" t="s">
        <v>218</v>
      </c>
      <c r="C1" s="61">
        <f>VALUE(RIGHT(C3,4))</f>
        <v>2016</v>
      </c>
      <c r="D1" s="61">
        <f t="shared" ref="D1:M1" si="0">VALUE(RIGHT(D3,4))</f>
        <v>2015</v>
      </c>
      <c r="E1" s="61">
        <f t="shared" si="0"/>
        <v>2014</v>
      </c>
      <c r="F1" s="61">
        <f t="shared" si="0"/>
        <v>2013</v>
      </c>
      <c r="G1" s="61">
        <f t="shared" si="0"/>
        <v>2012</v>
      </c>
      <c r="H1" s="61">
        <f t="shared" si="0"/>
        <v>2011</v>
      </c>
      <c r="I1" s="61">
        <f t="shared" si="0"/>
        <v>2010</v>
      </c>
      <c r="J1" s="61">
        <f t="shared" si="0"/>
        <v>2009</v>
      </c>
      <c r="K1" s="61">
        <f t="shared" si="0"/>
        <v>2008</v>
      </c>
      <c r="L1" s="61">
        <f t="shared" si="0"/>
        <v>2007</v>
      </c>
      <c r="M1" s="61">
        <f t="shared" si="0"/>
        <v>2006</v>
      </c>
    </row>
    <row r="2" spans="1:14">
      <c r="A2" s="69" t="s">
        <v>316</v>
      </c>
      <c r="B2" s="62"/>
      <c r="C2" s="71">
        <f>'2016'!$A$1</f>
        <v>42907</v>
      </c>
      <c r="D2" s="71">
        <v>42718</v>
      </c>
      <c r="E2" s="71">
        <v>42718</v>
      </c>
      <c r="F2" s="71">
        <v>42718</v>
      </c>
      <c r="G2" s="71">
        <v>42718</v>
      </c>
      <c r="H2" s="71">
        <v>42718</v>
      </c>
      <c r="I2" s="71">
        <v>42718</v>
      </c>
      <c r="J2" s="71">
        <v>42718</v>
      </c>
      <c r="K2" s="71">
        <v>42718</v>
      </c>
      <c r="L2" s="71">
        <v>42718</v>
      </c>
      <c r="M2" s="71">
        <v>42718</v>
      </c>
      <c r="N2" s="60" t="s">
        <v>355</v>
      </c>
    </row>
    <row r="3" spans="1:14" ht="22.5">
      <c r="A3" s="60" t="s">
        <v>117</v>
      </c>
      <c r="B3" s="60" t="s">
        <v>99</v>
      </c>
      <c r="C3" s="59" t="s">
        <v>265</v>
      </c>
      <c r="D3" s="59" t="s">
        <v>246</v>
      </c>
      <c r="E3" s="59" t="s">
        <v>247</v>
      </c>
      <c r="F3" s="59" t="s">
        <v>248</v>
      </c>
      <c r="G3" s="59" t="s">
        <v>249</v>
      </c>
      <c r="H3" s="59" t="s">
        <v>250</v>
      </c>
      <c r="I3" s="59" t="s">
        <v>251</v>
      </c>
      <c r="J3" s="59" t="s">
        <v>252</v>
      </c>
      <c r="K3" s="59" t="s">
        <v>253</v>
      </c>
      <c r="L3" s="59" t="s">
        <v>254</v>
      </c>
      <c r="M3" s="59" t="s">
        <v>255</v>
      </c>
    </row>
    <row r="4" spans="1:14">
      <c r="A4" s="60" t="s">
        <v>162</v>
      </c>
      <c r="B4" s="60" t="s">
        <v>163</v>
      </c>
      <c r="C4" s="69">
        <f>IF(IFERROR(INDEX('2016'!$D$5:$D$72,MATCH(B4,'2016'!$A$5:$A$72,0)),0)=0,"N/A",INDEX('2016'!$D$5:$D$72,MATCH(B4,'2016'!$A$5:$A$72,0)))</f>
        <v>35.872999999999998</v>
      </c>
      <c r="D4" s="60">
        <v>36.156999999999996</v>
      </c>
      <c r="E4" s="60">
        <v>37.343000000000004</v>
      </c>
      <c r="F4" s="60">
        <v>36.676000000000002</v>
      </c>
      <c r="G4" s="60">
        <v>32.212000000000003</v>
      </c>
      <c r="H4" s="60">
        <v>26.242999999999999</v>
      </c>
      <c r="I4" s="60">
        <v>21.376999999999999</v>
      </c>
      <c r="J4" s="60">
        <v>19.869</v>
      </c>
      <c r="K4" s="60">
        <v>19.385999999999999</v>
      </c>
      <c r="L4" s="60">
        <v>21.207000000000001</v>
      </c>
      <c r="M4" s="60">
        <v>17.632999999999999</v>
      </c>
    </row>
    <row r="5" spans="1:14">
      <c r="A5" s="60" t="s">
        <v>119</v>
      </c>
      <c r="B5" s="60" t="s">
        <v>0</v>
      </c>
      <c r="C5" s="69">
        <f>IF(IFERROR(INDEX('2016'!$D$5:$D$72,MATCH(B5,'2016'!$A$5:$A$72,0)),0)=0,"N/A",INDEX('2016'!$D$5:$D$72,MATCH(B5,'2016'!$A$5:$A$72,0)))</f>
        <v>38.164999999999999</v>
      </c>
      <c r="D5" s="60">
        <v>37.070999999999998</v>
      </c>
      <c r="E5" s="60">
        <v>35.063000000000002</v>
      </c>
      <c r="F5" s="60">
        <v>32.436999999999998</v>
      </c>
      <c r="G5" s="60">
        <v>30.481999999999999</v>
      </c>
      <c r="H5" s="60">
        <v>28.780999999999999</v>
      </c>
      <c r="I5" s="60">
        <v>27.263000000000002</v>
      </c>
      <c r="J5" s="60">
        <v>26.405999999999999</v>
      </c>
      <c r="K5" s="60">
        <v>25.370999999999999</v>
      </c>
      <c r="L5" s="60">
        <v>24.11</v>
      </c>
      <c r="M5" s="60">
        <v>21.901</v>
      </c>
    </row>
    <row r="6" spans="1:14">
      <c r="A6" s="60" t="s">
        <v>120</v>
      </c>
      <c r="B6" s="60" t="s">
        <v>1</v>
      </c>
      <c r="C6" s="69">
        <f>IF(IFERROR(INDEX('2016'!$D$5:$D$72,MATCH(B6,'2016'!$A$5:$A$72,0)),0)=0,"N/A",INDEX('2016'!$D$5:$D$72,MATCH(B6,'2016'!$A$5:$A$72,0)))</f>
        <v>16.963000000000001</v>
      </c>
      <c r="D6" s="60">
        <v>16.411999999999999</v>
      </c>
      <c r="E6" s="60">
        <v>15.544</v>
      </c>
      <c r="F6" s="60">
        <v>14.789</v>
      </c>
      <c r="G6" s="60">
        <v>14.122999999999999</v>
      </c>
      <c r="H6" s="60">
        <v>13.57</v>
      </c>
      <c r="I6" s="60">
        <v>13.047000000000001</v>
      </c>
      <c r="J6" s="60">
        <v>12.537000000000001</v>
      </c>
      <c r="K6" s="60">
        <v>12.782</v>
      </c>
      <c r="L6" s="60">
        <v>12.148</v>
      </c>
      <c r="M6" s="60">
        <v>11.416</v>
      </c>
    </row>
    <row r="7" spans="1:14">
      <c r="A7" s="60" t="s">
        <v>121</v>
      </c>
      <c r="B7" s="60" t="s">
        <v>2</v>
      </c>
      <c r="C7" s="69">
        <f>IF(IFERROR(INDEX('2016'!$D$5:$D$72,MATCH(B7,'2016'!$A$5:$A$72,0)),0)=0,"N/A",INDEX('2016'!$D$5:$D$72,MATCH(B7,'2016'!$A$5:$A$72,0)))</f>
        <v>35.380000000000003</v>
      </c>
      <c r="D7" s="60">
        <v>36.435000000000002</v>
      </c>
      <c r="E7" s="60">
        <v>34.368000000000002</v>
      </c>
      <c r="F7" s="60">
        <v>32.975999999999999</v>
      </c>
      <c r="G7" s="60">
        <v>31.373000000000001</v>
      </c>
      <c r="H7" s="60">
        <v>30.334</v>
      </c>
      <c r="I7" s="60">
        <v>28.332000000000001</v>
      </c>
      <c r="J7" s="60">
        <v>27.486000000000001</v>
      </c>
      <c r="K7" s="60">
        <v>26.332999999999998</v>
      </c>
      <c r="L7" s="60">
        <v>25.170999999999999</v>
      </c>
      <c r="M7" s="60">
        <v>23.727</v>
      </c>
    </row>
    <row r="8" spans="1:14">
      <c r="A8" s="60" t="s">
        <v>164</v>
      </c>
      <c r="B8" s="60" t="s">
        <v>165</v>
      </c>
      <c r="C8" s="69">
        <f>IF(IFERROR(INDEX('2016'!$D$5:$D$72,MATCH(B8,'2016'!$A$5:$A$72,0)),0)=0,"N/A",INDEX('2016'!$D$5:$D$72,MATCH(B8,'2016'!$A$5:$A$72,0)))</f>
        <v>13.516</v>
      </c>
      <c r="D8" s="60">
        <v>12.765000000000001</v>
      </c>
      <c r="E8" s="60">
        <v>13.237</v>
      </c>
      <c r="F8" s="60">
        <v>12.717000000000001</v>
      </c>
      <c r="G8" s="60">
        <v>11.798999999999999</v>
      </c>
      <c r="H8" s="60">
        <v>10.840999999999999</v>
      </c>
      <c r="I8" s="60">
        <v>10.132</v>
      </c>
      <c r="J8" s="60">
        <v>9.6969999999999992</v>
      </c>
      <c r="K8" s="60">
        <v>8.9740000000000002</v>
      </c>
      <c r="L8" s="60">
        <v>8.7669999999999995</v>
      </c>
      <c r="M8" s="60">
        <v>8.3209999999999997</v>
      </c>
    </row>
    <row r="9" spans="1:14">
      <c r="A9" s="60" t="s">
        <v>166</v>
      </c>
      <c r="B9" s="60" t="s">
        <v>167</v>
      </c>
      <c r="C9" s="69">
        <f>IF(IFERROR(INDEX('2016'!$D$5:$D$72,MATCH(B9,'2016'!$A$5:$A$72,0)),0)=0,"N/A",INDEX('2016'!$D$5:$D$72,MATCH(B9,'2016'!$A$5:$A$72,0)))</f>
        <v>29.242999999999999</v>
      </c>
      <c r="D9" s="60">
        <v>28.253</v>
      </c>
      <c r="E9" s="60">
        <v>27.390999999999998</v>
      </c>
      <c r="F9" s="60">
        <v>26.524000000000001</v>
      </c>
      <c r="G9" s="60">
        <v>25.105</v>
      </c>
      <c r="H9" s="60">
        <v>24.113</v>
      </c>
      <c r="I9" s="60">
        <v>23.588000000000001</v>
      </c>
      <c r="J9" s="60">
        <v>22.91</v>
      </c>
      <c r="K9" s="60">
        <v>25.638000000000002</v>
      </c>
      <c r="L9" s="60">
        <v>28.388000000000002</v>
      </c>
      <c r="M9" s="60">
        <v>23.859000000000002</v>
      </c>
    </row>
    <row r="10" spans="1:14">
      <c r="A10" s="60" t="s">
        <v>122</v>
      </c>
      <c r="B10" s="60" t="s">
        <v>3</v>
      </c>
      <c r="C10" s="69">
        <f>IF(IFERROR(INDEX('2016'!$D$5:$D$72,MATCH(B10,'2016'!$A$5:$A$72,0)),0)=0,"N/A",INDEX('2016'!$D$5:$D$72,MATCH(B10,'2016'!$A$5:$A$72,0)))</f>
        <v>29.274000000000001</v>
      </c>
      <c r="D10" s="60">
        <v>28.626999999999999</v>
      </c>
      <c r="E10" s="60">
        <v>27.667000000000002</v>
      </c>
      <c r="F10" s="60">
        <v>26.971</v>
      </c>
      <c r="G10" s="60">
        <v>27.266999999999999</v>
      </c>
      <c r="H10" s="60">
        <v>32.642000000000003</v>
      </c>
      <c r="I10" s="60">
        <v>32.155000000000001</v>
      </c>
      <c r="J10" s="60">
        <v>33.079000000000001</v>
      </c>
      <c r="K10" s="60">
        <v>32.798000000000002</v>
      </c>
      <c r="L10" s="60">
        <v>32.414999999999999</v>
      </c>
      <c r="M10" s="60">
        <v>31.864000000000001</v>
      </c>
    </row>
    <row r="11" spans="1:14">
      <c r="A11" s="60" t="s">
        <v>168</v>
      </c>
      <c r="B11" s="60" t="s">
        <v>169</v>
      </c>
      <c r="C11" s="69">
        <f>IF(IFERROR(INDEX('2016'!$D$5:$D$72,MATCH(B11,'2016'!$A$5:$A$72,0)),0)=0,"N/A",INDEX('2016'!$D$5:$D$72,MATCH(B11,'2016'!$A$5:$A$72,0)))</f>
        <v>10.592000000000001</v>
      </c>
      <c r="D11" s="60">
        <v>12.532999999999999</v>
      </c>
      <c r="E11" s="60">
        <v>14.021000000000001</v>
      </c>
      <c r="F11" s="60">
        <v>14.75</v>
      </c>
      <c r="G11" s="60">
        <v>15.217000000000001</v>
      </c>
      <c r="H11" s="60">
        <v>5.8680000000000003</v>
      </c>
      <c r="I11" s="60">
        <v>6.6050000000000004</v>
      </c>
      <c r="J11" s="60">
        <v>6.3239999999999998</v>
      </c>
      <c r="K11" s="60">
        <v>4.2850000000000001</v>
      </c>
      <c r="L11" s="60">
        <v>5.4249999999999998</v>
      </c>
      <c r="M11" s="60">
        <v>3.9</v>
      </c>
    </row>
    <row r="12" spans="1:14">
      <c r="A12" s="60" t="s">
        <v>170</v>
      </c>
      <c r="B12" s="60" t="s">
        <v>171</v>
      </c>
      <c r="C12" s="69">
        <f>IF(IFERROR(INDEX('2016'!$D$5:$D$72,MATCH(B12,'2016'!$A$5:$A$72,0)),0)=0,"N/A",INDEX('2016'!$D$5:$D$72,MATCH(B12,'2016'!$A$5:$A$72,0)))</f>
        <v>10.429</v>
      </c>
      <c r="D12" s="60">
        <v>9.7759999999999998</v>
      </c>
      <c r="E12" s="60">
        <v>9.2690000000000001</v>
      </c>
      <c r="F12" s="60">
        <v>8.6270000000000007</v>
      </c>
      <c r="G12" s="60">
        <v>7.899</v>
      </c>
      <c r="H12" s="60">
        <v>7.2080000000000002</v>
      </c>
      <c r="I12" s="60">
        <v>6.8090000000000002</v>
      </c>
      <c r="J12" s="60">
        <v>6.5</v>
      </c>
      <c r="K12" s="60">
        <v>6.2549999999999999</v>
      </c>
      <c r="L12" s="60">
        <v>5.8550000000000004</v>
      </c>
      <c r="M12" s="60">
        <v>5.5720000000000001</v>
      </c>
    </row>
    <row r="13" spans="1:14">
      <c r="A13" s="60" t="s">
        <v>172</v>
      </c>
      <c r="B13" s="60" t="s">
        <v>173</v>
      </c>
      <c r="C13" s="69">
        <f>IF(IFERROR(INDEX('2016'!$D$5:$D$72,MATCH(B13,'2016'!$A$5:$A$72,0)),0)=0,"N/A",INDEX('2016'!$D$5:$D$72,MATCH(B13,'2016'!$A$5:$A$72,0)))</f>
        <v>15.231999999999999</v>
      </c>
      <c r="D13" s="60">
        <v>14.609</v>
      </c>
      <c r="E13" s="60">
        <v>14.093999999999999</v>
      </c>
      <c r="F13" s="60">
        <v>13.798</v>
      </c>
      <c r="G13" s="60">
        <v>13.568</v>
      </c>
      <c r="H13" s="60">
        <v>13.122</v>
      </c>
      <c r="I13" s="60">
        <v>12.438000000000001</v>
      </c>
      <c r="J13" s="60">
        <v>12.145</v>
      </c>
      <c r="K13" s="60">
        <v>11.862</v>
      </c>
      <c r="L13" s="60">
        <v>11.662000000000001</v>
      </c>
      <c r="M13" s="60">
        <v>10.154</v>
      </c>
    </row>
    <row r="14" spans="1:14">
      <c r="A14" s="60" t="s">
        <v>174</v>
      </c>
      <c r="B14" s="60" t="s">
        <v>175</v>
      </c>
      <c r="C14" s="69">
        <f>IF(IFERROR(INDEX('2016'!$D$5:$D$72,MATCH(B14,'2016'!$A$5:$A$72,0)),0)=0,"N/A",INDEX('2016'!$D$5:$D$72,MATCH(B14,'2016'!$A$5:$A$72,0)))</f>
        <v>33.320999999999998</v>
      </c>
      <c r="D14" s="60">
        <v>31.481999999999999</v>
      </c>
      <c r="E14" s="60">
        <v>30.742999999999999</v>
      </c>
      <c r="F14" s="60">
        <v>28.469000000000001</v>
      </c>
      <c r="G14" s="60">
        <v>26.143999999999998</v>
      </c>
      <c r="H14" s="60">
        <v>24.978000000000002</v>
      </c>
      <c r="I14" s="60">
        <v>24.16</v>
      </c>
      <c r="J14" s="60">
        <v>23.518999999999998</v>
      </c>
      <c r="K14" s="60">
        <v>22.600999999999999</v>
      </c>
      <c r="L14" s="60">
        <v>22.006</v>
      </c>
      <c r="M14" s="60">
        <v>20.163</v>
      </c>
    </row>
    <row r="15" spans="1:14">
      <c r="A15" s="60" t="s">
        <v>264</v>
      </c>
      <c r="B15" s="60" t="s">
        <v>261</v>
      </c>
      <c r="C15" s="69">
        <f>IF(IFERROR(INDEX('2016'!$D$5:$D$72,MATCH(B15,'2016'!$A$5:$A$72,0)),0)=0,"N/A",INDEX('2016'!$D$5:$D$72,MATCH(B15,'2016'!$A$5:$A$72,0)))</f>
        <v>48.898000000000003</v>
      </c>
      <c r="D15" s="60">
        <v>48.737000000000002</v>
      </c>
      <c r="E15" s="69" t="s">
        <v>106</v>
      </c>
      <c r="F15" s="69" t="s">
        <v>106</v>
      </c>
      <c r="G15" s="69" t="s">
        <v>106</v>
      </c>
      <c r="H15" s="69" t="s">
        <v>106</v>
      </c>
      <c r="I15" s="69" t="s">
        <v>106</v>
      </c>
      <c r="J15" s="69" t="s">
        <v>106</v>
      </c>
      <c r="K15" s="69" t="s">
        <v>106</v>
      </c>
      <c r="L15" s="69" t="s">
        <v>106</v>
      </c>
      <c r="M15" s="69" t="s">
        <v>106</v>
      </c>
    </row>
    <row r="16" spans="1:14">
      <c r="A16" s="60" t="s">
        <v>123</v>
      </c>
      <c r="B16" s="60" t="s">
        <v>4</v>
      </c>
      <c r="C16" s="69">
        <f>IF(IFERROR(INDEX('2016'!$D$5:$D$72,MATCH(B16,'2016'!$A$5:$A$72,0)),0)=0,"N/A",INDEX('2016'!$D$5:$D$72,MATCH(B16,'2016'!$A$5:$A$72,0)))</f>
        <v>25.686</v>
      </c>
      <c r="D16" s="60">
        <v>24.532</v>
      </c>
      <c r="E16" s="60">
        <v>23.837</v>
      </c>
      <c r="F16" s="60">
        <v>21.61</v>
      </c>
      <c r="G16" s="60">
        <v>21.056999999999999</v>
      </c>
      <c r="H16" s="60">
        <v>20.295000000000002</v>
      </c>
      <c r="I16" s="60">
        <v>19.709</v>
      </c>
      <c r="J16" s="60">
        <v>19.170999999999999</v>
      </c>
      <c r="K16" s="60">
        <v>18.295999999999999</v>
      </c>
      <c r="L16" s="60">
        <v>17.274000000000001</v>
      </c>
      <c r="M16" s="60">
        <v>17.459</v>
      </c>
    </row>
    <row r="17" spans="1:13">
      <c r="A17" s="60" t="s">
        <v>124</v>
      </c>
      <c r="B17" s="60" t="s">
        <v>5</v>
      </c>
      <c r="C17" s="69">
        <f>IF(IFERROR(INDEX('2016'!$D$5:$D$72,MATCH(B17,'2016'!$A$5:$A$72,0)),0)=0,"N/A",INDEX('2016'!$D$5:$D$72,MATCH(B17,'2016'!$A$5:$A$72,0)))</f>
        <v>30.247</v>
      </c>
      <c r="D17" s="60">
        <v>28.635000000000002</v>
      </c>
      <c r="E17" s="60">
        <v>30.803000000000001</v>
      </c>
      <c r="F17" s="60">
        <v>29.388000000000002</v>
      </c>
      <c r="G17" s="60">
        <v>27.881</v>
      </c>
      <c r="H17" s="60">
        <v>27.532</v>
      </c>
      <c r="I17" s="60">
        <v>28.018999999999998</v>
      </c>
      <c r="J17" s="60">
        <v>27.838999999999999</v>
      </c>
      <c r="K17" s="60">
        <v>27.190999999999999</v>
      </c>
      <c r="L17" s="60">
        <v>25.66</v>
      </c>
      <c r="M17" s="60">
        <v>23.675999999999998</v>
      </c>
    </row>
    <row r="18" spans="1:13">
      <c r="A18" s="60" t="s">
        <v>176</v>
      </c>
      <c r="B18" s="60" t="s">
        <v>177</v>
      </c>
      <c r="C18" s="69">
        <f>IF(IFERROR(INDEX('2016'!$D$5:$D$72,MATCH(B18,'2016'!$A$5:$A$72,0)),0)=0,"N/A",INDEX('2016'!$D$5:$D$72,MATCH(B18,'2016'!$A$5:$A$72,0)))</f>
        <v>13.749000000000001</v>
      </c>
      <c r="D18" s="60">
        <v>13.413</v>
      </c>
      <c r="E18" s="60">
        <v>13.108000000000001</v>
      </c>
      <c r="F18" s="60">
        <v>12.542</v>
      </c>
      <c r="G18" s="60">
        <v>11.284000000000001</v>
      </c>
      <c r="H18" s="60">
        <v>10.757</v>
      </c>
      <c r="I18" s="60">
        <v>10.452999999999999</v>
      </c>
      <c r="J18" s="60">
        <v>10.128</v>
      </c>
      <c r="K18" s="60">
        <v>9.7219999999999995</v>
      </c>
      <c r="L18" s="60">
        <v>9.2479999999999993</v>
      </c>
      <c r="M18" s="60">
        <v>9.0730000000000004</v>
      </c>
    </row>
    <row r="19" spans="1:13">
      <c r="A19" s="60" t="s">
        <v>125</v>
      </c>
      <c r="B19" s="60" t="s">
        <v>6</v>
      </c>
      <c r="C19" s="69">
        <f>IF(IFERROR(INDEX('2016'!$D$5:$D$72,MATCH(B19,'2016'!$A$5:$A$72,0)),0)=0,"N/A",INDEX('2016'!$D$5:$D$72,MATCH(B19,'2016'!$A$5:$A$72,0)))</f>
        <v>8.0340000000000007</v>
      </c>
      <c r="D19" s="60">
        <v>8.0489999999999995</v>
      </c>
      <c r="E19" s="60">
        <v>10.601000000000001</v>
      </c>
      <c r="F19" s="60">
        <v>10.090999999999999</v>
      </c>
      <c r="G19" s="60">
        <v>10.061999999999999</v>
      </c>
      <c r="H19" s="60">
        <v>9.91</v>
      </c>
      <c r="I19" s="60">
        <v>7.53</v>
      </c>
      <c r="J19" s="60">
        <v>6.7359999999999998</v>
      </c>
      <c r="K19" s="60">
        <v>5.8860000000000001</v>
      </c>
      <c r="L19" s="60">
        <v>5.609</v>
      </c>
      <c r="M19" s="60">
        <v>4.9610000000000003</v>
      </c>
    </row>
    <row r="20" spans="1:13">
      <c r="A20" s="60" t="s">
        <v>215</v>
      </c>
      <c r="B20" s="60" t="s">
        <v>178</v>
      </c>
      <c r="C20" s="69">
        <f>IF(IFERROR(INDEX('2016'!$D$5:$D$72,MATCH(B20,'2016'!$A$5:$A$72,0)),0)=0,"N/A",INDEX('2016'!$D$5:$D$72,MATCH(B20,'2016'!$A$5:$A$72,0)))</f>
        <v>27.361000000000001</v>
      </c>
      <c r="D20" s="60">
        <v>23.452999999999999</v>
      </c>
      <c r="E20" s="60">
        <v>20.585999999999999</v>
      </c>
      <c r="F20" s="60">
        <v>19.282</v>
      </c>
      <c r="G20" s="60">
        <v>17.824000000000002</v>
      </c>
      <c r="H20" s="60">
        <v>16.777999999999999</v>
      </c>
      <c r="I20" s="60">
        <v>15.836</v>
      </c>
      <c r="J20" s="60">
        <v>14.887</v>
      </c>
      <c r="K20" s="60">
        <v>12.018000000000001</v>
      </c>
      <c r="L20" s="60">
        <v>11.762</v>
      </c>
      <c r="M20" s="60">
        <v>11.08</v>
      </c>
    </row>
    <row r="21" spans="1:13">
      <c r="A21" s="60" t="s">
        <v>126</v>
      </c>
      <c r="B21" s="60" t="s">
        <v>9</v>
      </c>
      <c r="C21" s="69">
        <f>IF(IFERROR(INDEX('2016'!$D$5:$D$72,MATCH(B21,'2016'!$A$5:$A$72,0)),0)=0,"N/A",INDEX('2016'!$D$5:$D$72,MATCH(B21,'2016'!$A$5:$A$72,0)))</f>
        <v>15.231999999999999</v>
      </c>
      <c r="D21" s="60">
        <v>14.208</v>
      </c>
      <c r="E21" s="60">
        <v>13.336</v>
      </c>
      <c r="F21" s="60">
        <v>12.98</v>
      </c>
      <c r="G21" s="60">
        <v>12.093999999999999</v>
      </c>
      <c r="H21" s="60">
        <v>11.917</v>
      </c>
      <c r="I21" s="60">
        <v>11.19</v>
      </c>
      <c r="J21" s="60">
        <v>11.417999999999999</v>
      </c>
      <c r="K21" s="60">
        <v>10.878</v>
      </c>
      <c r="L21" s="60">
        <v>9.4610000000000003</v>
      </c>
      <c r="M21" s="60">
        <v>10.028</v>
      </c>
    </row>
    <row r="22" spans="1:13">
      <c r="A22" s="60" t="s">
        <v>179</v>
      </c>
      <c r="B22" s="60" t="s">
        <v>180</v>
      </c>
      <c r="C22" s="69">
        <f>IF(IFERROR(INDEX('2016'!$D$5:$D$72,MATCH(B22,'2016'!$A$5:$A$72,0)),0)=0,"N/A",INDEX('2016'!$D$5:$D$72,MATCH(B22,'2016'!$A$5:$A$72,0)))</f>
        <v>20.983000000000001</v>
      </c>
      <c r="D22" s="60">
        <v>20.010000000000002</v>
      </c>
      <c r="E22" s="60">
        <v>18.829000000000001</v>
      </c>
      <c r="F22" s="60">
        <v>17.914999999999999</v>
      </c>
      <c r="G22" s="60">
        <v>20.946000000000002</v>
      </c>
      <c r="H22" s="60">
        <v>13.497</v>
      </c>
      <c r="I22" s="60">
        <v>13.045</v>
      </c>
      <c r="J22" s="60">
        <v>12.67</v>
      </c>
      <c r="K22" s="60">
        <v>12.233000000000001</v>
      </c>
      <c r="L22" s="60">
        <v>11.95</v>
      </c>
      <c r="M22" s="60">
        <v>11.598000000000001</v>
      </c>
    </row>
    <row r="23" spans="1:13">
      <c r="A23" s="60" t="s">
        <v>127</v>
      </c>
      <c r="B23" s="60" t="s">
        <v>10</v>
      </c>
      <c r="C23" s="69">
        <f>IF(IFERROR(INDEX('2016'!$D$5:$D$72,MATCH(B23,'2016'!$A$5:$A$72,0)),0)=0,"N/A",INDEX('2016'!$D$5:$D$72,MATCH(B23,'2016'!$A$5:$A$72,0)))</f>
        <v>46.878999999999998</v>
      </c>
      <c r="D23" s="60">
        <v>44.545999999999999</v>
      </c>
      <c r="E23" s="60">
        <v>42.94</v>
      </c>
      <c r="F23" s="60">
        <v>41.81</v>
      </c>
      <c r="G23" s="60">
        <v>40.526000000000003</v>
      </c>
      <c r="H23" s="60">
        <v>39.045999999999999</v>
      </c>
      <c r="I23" s="60">
        <v>37.93</v>
      </c>
      <c r="J23" s="60">
        <v>36.457000000000001</v>
      </c>
      <c r="K23" s="60">
        <v>35.43</v>
      </c>
      <c r="L23" s="60">
        <v>32.582000000000001</v>
      </c>
      <c r="M23" s="60">
        <v>31.088999999999999</v>
      </c>
    </row>
    <row r="24" spans="1:13">
      <c r="A24" s="60" t="s">
        <v>181</v>
      </c>
      <c r="B24" s="60" t="s">
        <v>182</v>
      </c>
      <c r="C24" s="69">
        <f>IF(IFERROR(INDEX('2016'!$D$5:$D$72,MATCH(B24,'2016'!$A$5:$A$72,0)),0)=0,"N/A",INDEX('2016'!$D$5:$D$72,MATCH(B24,'2016'!$A$5:$A$72,0)))</f>
        <v>9.7889999999999997</v>
      </c>
      <c r="D24" s="60">
        <v>9.8109999999999999</v>
      </c>
      <c r="E24" s="60">
        <v>9.577</v>
      </c>
      <c r="F24" s="60">
        <v>9.4429999999999996</v>
      </c>
      <c r="G24" s="60">
        <v>9.1950000000000003</v>
      </c>
      <c r="H24" s="60">
        <v>8.8350000000000009</v>
      </c>
      <c r="I24" s="60">
        <v>8.6869999999999994</v>
      </c>
      <c r="J24" s="60">
        <v>8.5329999999999995</v>
      </c>
      <c r="K24" s="60">
        <v>8.3640000000000008</v>
      </c>
      <c r="L24" s="60">
        <v>8.2149999999999999</v>
      </c>
      <c r="M24" s="60">
        <v>7.4880000000000004</v>
      </c>
    </row>
    <row r="25" spans="1:13">
      <c r="A25" s="60" t="s">
        <v>183</v>
      </c>
      <c r="B25" s="60" t="s">
        <v>184</v>
      </c>
      <c r="C25" s="69">
        <f>IF(IFERROR(INDEX('2016'!$D$5:$D$72,MATCH(B25,'2016'!$A$5:$A$72,0)),0)=0,"N/A",INDEX('2016'!$D$5:$D$72,MATCH(B25,'2016'!$A$5:$A$72,0)))</f>
        <v>10.965999999999999</v>
      </c>
      <c r="D25" s="60">
        <v>10.99</v>
      </c>
      <c r="E25" s="60">
        <v>10.763</v>
      </c>
      <c r="F25" s="60">
        <v>10.198</v>
      </c>
      <c r="G25" s="60">
        <v>9.7330000000000005</v>
      </c>
      <c r="H25" s="60">
        <v>9.4719999999999995</v>
      </c>
      <c r="I25" s="60">
        <v>9.11</v>
      </c>
      <c r="J25" s="60">
        <v>8.891</v>
      </c>
      <c r="K25" s="60">
        <v>8.7379999999999995</v>
      </c>
      <c r="L25" s="60">
        <v>8.3040000000000003</v>
      </c>
      <c r="M25" s="60">
        <v>8.0790000000000006</v>
      </c>
    </row>
    <row r="26" spans="1:13">
      <c r="A26" s="60" t="s">
        <v>128</v>
      </c>
      <c r="B26" s="60" t="s">
        <v>11</v>
      </c>
      <c r="C26" s="69">
        <f>IF(IFERROR(INDEX('2016'!$D$5:$D$72,MATCH(B26,'2016'!$A$5:$A$72,0)),0)=0,"N/A",INDEX('2016'!$D$5:$D$72,MATCH(B26,'2016'!$A$5:$A$72,0)))</f>
        <v>23.263999999999999</v>
      </c>
      <c r="D26" s="60">
        <v>21.238</v>
      </c>
      <c r="E26" s="60">
        <v>19.742000000000001</v>
      </c>
      <c r="F26" s="60">
        <v>20.021000000000001</v>
      </c>
      <c r="G26" s="60">
        <v>18.344000000000001</v>
      </c>
      <c r="H26" s="60">
        <v>20.091000000000001</v>
      </c>
      <c r="I26" s="60">
        <v>20.655999999999999</v>
      </c>
      <c r="J26" s="60">
        <v>18.66</v>
      </c>
      <c r="K26" s="60">
        <v>17.279</v>
      </c>
      <c r="L26" s="60">
        <v>16.306999999999999</v>
      </c>
      <c r="M26" s="60">
        <v>18.5</v>
      </c>
    </row>
    <row r="27" spans="1:13">
      <c r="A27" s="60" t="s">
        <v>129</v>
      </c>
      <c r="B27" s="60" t="s">
        <v>12</v>
      </c>
      <c r="C27" s="69">
        <f>IF(IFERROR(INDEX('2016'!$D$5:$D$72,MATCH(B27,'2016'!$A$5:$A$72,0)),0)=0,"N/A",INDEX('2016'!$D$5:$D$72,MATCH(B27,'2016'!$A$5:$A$72,0)))</f>
        <v>50.219000000000001</v>
      </c>
      <c r="D27" s="60">
        <v>48.877000000000002</v>
      </c>
      <c r="E27" s="60">
        <v>47.048000000000002</v>
      </c>
      <c r="F27" s="60">
        <v>44.728999999999999</v>
      </c>
      <c r="G27" s="60">
        <v>42.779000000000003</v>
      </c>
      <c r="H27" s="60">
        <v>41.412999999999997</v>
      </c>
      <c r="I27" s="60">
        <v>39.674999999999997</v>
      </c>
      <c r="J27" s="60">
        <v>37.956000000000003</v>
      </c>
      <c r="K27" s="60">
        <v>36.774999999999999</v>
      </c>
      <c r="L27" s="60">
        <v>35.856999999999999</v>
      </c>
      <c r="M27" s="60">
        <v>33.018999999999998</v>
      </c>
    </row>
    <row r="28" spans="1:13">
      <c r="A28" s="60" t="s">
        <v>130</v>
      </c>
      <c r="B28" s="60" t="s">
        <v>13</v>
      </c>
      <c r="C28" s="69">
        <f>IF(IFERROR(INDEX('2016'!$D$5:$D$72,MATCH(B28,'2016'!$A$5:$A$72,0)),0)=0,"N/A",INDEX('2016'!$D$5:$D$72,MATCH(B28,'2016'!$A$5:$A$72,0)))</f>
        <v>58.619</v>
      </c>
      <c r="D28" s="60">
        <v>57.743000000000002</v>
      </c>
      <c r="E28" s="60">
        <v>57.814999999999998</v>
      </c>
      <c r="F28" s="60">
        <v>58.540999999999997</v>
      </c>
      <c r="G28" s="60">
        <v>58.043999999999997</v>
      </c>
      <c r="H28" s="60">
        <v>51.14</v>
      </c>
      <c r="I28" s="60">
        <v>50.844999999999999</v>
      </c>
      <c r="J28" s="60">
        <v>49.851999999999997</v>
      </c>
      <c r="K28" s="60">
        <v>49.505000000000003</v>
      </c>
      <c r="L28" s="60">
        <v>50.399000000000001</v>
      </c>
      <c r="M28" s="60">
        <v>62.302</v>
      </c>
    </row>
    <row r="29" spans="1:13">
      <c r="A29" s="60" t="s">
        <v>131</v>
      </c>
      <c r="B29" s="60" t="s">
        <v>14</v>
      </c>
      <c r="C29" s="69">
        <f>IF(IFERROR(INDEX('2016'!$D$5:$D$72,MATCH(B29,'2016'!$A$5:$A$72,0)),0)=0,"N/A",INDEX('2016'!$D$5:$D$72,MATCH(B29,'2016'!$A$5:$A$72,0)))</f>
        <v>36.819000000000003</v>
      </c>
      <c r="D29" s="60">
        <v>34.890999999999998</v>
      </c>
      <c r="E29" s="60">
        <v>33.639000000000003</v>
      </c>
      <c r="F29" s="60">
        <v>30.501999999999999</v>
      </c>
      <c r="G29" s="60">
        <v>28.949000000000002</v>
      </c>
      <c r="H29" s="60">
        <v>30.861000000000001</v>
      </c>
      <c r="I29" s="60">
        <v>32.442</v>
      </c>
      <c r="J29" s="60">
        <v>30.204999999999998</v>
      </c>
      <c r="K29" s="60">
        <v>29.21</v>
      </c>
      <c r="L29" s="60">
        <v>25.917000000000002</v>
      </c>
      <c r="M29" s="60">
        <v>23.661000000000001</v>
      </c>
    </row>
    <row r="30" spans="1:13">
      <c r="A30" s="60" t="s">
        <v>132</v>
      </c>
      <c r="B30" s="60" t="s">
        <v>15</v>
      </c>
      <c r="C30" s="69">
        <f>IF(IFERROR(INDEX('2016'!$D$5:$D$72,MATCH(B30,'2016'!$A$5:$A$72,0)),0)=0,"N/A",INDEX('2016'!$D$5:$D$72,MATCH(B30,'2016'!$A$5:$A$72,0)))</f>
        <v>26.516999999999999</v>
      </c>
      <c r="D30" s="60">
        <v>25.135000000000002</v>
      </c>
      <c r="E30" s="60">
        <v>24.388999999999999</v>
      </c>
      <c r="F30" s="60">
        <v>23.44</v>
      </c>
      <c r="G30" s="60">
        <v>20.567</v>
      </c>
      <c r="H30" s="60">
        <v>19.026</v>
      </c>
      <c r="I30" s="60">
        <v>19.036000000000001</v>
      </c>
      <c r="J30" s="60">
        <v>16.454000000000001</v>
      </c>
      <c r="K30" s="60">
        <v>15.467000000000001</v>
      </c>
      <c r="L30" s="60">
        <v>14.760999999999999</v>
      </c>
      <c r="M30" s="60">
        <v>12.603</v>
      </c>
    </row>
    <row r="31" spans="1:13">
      <c r="A31" s="60" t="s">
        <v>133</v>
      </c>
      <c r="B31" s="60" t="s">
        <v>16</v>
      </c>
      <c r="C31" s="69" t="str">
        <f>IF(IFERROR(INDEX('2016'!$D$5:$D$72,MATCH(B31,'2016'!$A$5:$A$72,0)),0)=0,"N/A",INDEX('2016'!$D$5:$D$72,MATCH(B31,'2016'!$A$5:$A$72,0)))</f>
        <v>N/A</v>
      </c>
      <c r="D31" s="60">
        <v>18.318999999999999</v>
      </c>
      <c r="E31" s="60">
        <v>18.015000000000001</v>
      </c>
      <c r="F31" s="60">
        <v>17.427</v>
      </c>
      <c r="G31" s="60">
        <v>16.896000000000001</v>
      </c>
      <c r="H31" s="60">
        <v>16.532</v>
      </c>
      <c r="I31" s="60">
        <v>15.817</v>
      </c>
      <c r="J31" s="60">
        <v>15.747</v>
      </c>
      <c r="K31" s="60">
        <v>15.563000000000001</v>
      </c>
      <c r="L31" s="60">
        <v>16.044</v>
      </c>
      <c r="M31" s="60">
        <v>15.491</v>
      </c>
    </row>
    <row r="32" spans="1:13">
      <c r="A32" s="60" t="s">
        <v>134</v>
      </c>
      <c r="B32" s="60" t="s">
        <v>17</v>
      </c>
      <c r="C32" s="69">
        <f>IF(IFERROR(INDEX('2016'!$D$5:$D$72,MATCH(B32,'2016'!$A$5:$A$72,0)),0)=0,"N/A",INDEX('2016'!$D$5:$D$72,MATCH(B32,'2016'!$A$5:$A$72,0)))</f>
        <v>45.116999999999997</v>
      </c>
      <c r="D32" s="60">
        <v>51.890999999999998</v>
      </c>
      <c r="E32" s="60">
        <v>55.834000000000003</v>
      </c>
      <c r="F32" s="60">
        <v>54.002000000000002</v>
      </c>
      <c r="G32" s="60">
        <v>51.725000000000001</v>
      </c>
      <c r="H32" s="60">
        <v>50.814</v>
      </c>
      <c r="I32" s="60">
        <v>47.533000000000001</v>
      </c>
      <c r="J32" s="60">
        <v>45.545000000000002</v>
      </c>
      <c r="K32" s="60">
        <v>42.070999999999998</v>
      </c>
      <c r="L32" s="60">
        <v>40.713999999999999</v>
      </c>
      <c r="M32" s="60">
        <v>40.450000000000003</v>
      </c>
    </row>
    <row r="33" spans="1:13">
      <c r="A33" s="60" t="s">
        <v>210</v>
      </c>
      <c r="B33" s="60" t="s">
        <v>211</v>
      </c>
      <c r="C33" s="69">
        <f>IF(IFERROR(INDEX('2016'!$D$5:$D$72,MATCH(B33,'2016'!$A$5:$A$72,0)),0)=0,"N/A",INDEX('2016'!$D$5:$D$72,MATCH(B33,'2016'!$A$5:$A$72,0)))</f>
        <v>33.802999999999997</v>
      </c>
      <c r="D33" s="60">
        <v>32.637</v>
      </c>
      <c r="E33" s="60">
        <v>31.474</v>
      </c>
      <c r="F33" s="60">
        <v>30.486000000000001</v>
      </c>
      <c r="G33" s="60">
        <v>29.411999999999999</v>
      </c>
      <c r="H33" s="60">
        <v>22.65</v>
      </c>
      <c r="I33" s="60">
        <v>21.599</v>
      </c>
      <c r="J33" s="60">
        <v>20.373000000000001</v>
      </c>
      <c r="K33" s="60">
        <v>19.382000000000001</v>
      </c>
      <c r="L33" s="60">
        <v>18.652000000000001</v>
      </c>
      <c r="M33" s="60">
        <v>18.143000000000001</v>
      </c>
    </row>
    <row r="34" spans="1:13">
      <c r="A34" s="60" t="s">
        <v>135</v>
      </c>
      <c r="B34" s="60" t="s">
        <v>18</v>
      </c>
      <c r="C34" s="69">
        <f>IF(IFERROR(INDEX('2016'!$D$5:$D$72,MATCH(B34,'2016'!$A$5:$A$72,0)),0)=0,"N/A",INDEX('2016'!$D$5:$D$72,MATCH(B34,'2016'!$A$5:$A$72,0)))</f>
        <v>27.960999999999999</v>
      </c>
      <c r="D34" s="60">
        <v>28.038</v>
      </c>
      <c r="E34" s="60">
        <v>26.292999999999999</v>
      </c>
      <c r="F34" s="60">
        <v>26.515999999999998</v>
      </c>
      <c r="G34" s="60">
        <v>25.071999999999999</v>
      </c>
      <c r="H34" s="60">
        <v>21.684999999999999</v>
      </c>
      <c r="I34" s="60">
        <v>20.488</v>
      </c>
      <c r="J34" s="60">
        <v>19.158999999999999</v>
      </c>
      <c r="K34" s="60">
        <v>16.785</v>
      </c>
      <c r="L34" s="60">
        <v>15.339</v>
      </c>
      <c r="M34" s="60">
        <v>14.888</v>
      </c>
    </row>
    <row r="35" spans="1:13">
      <c r="A35" s="60" t="s">
        <v>136</v>
      </c>
      <c r="B35" s="60" t="s">
        <v>19</v>
      </c>
      <c r="C35" s="69">
        <f>IF(IFERROR(INDEX('2016'!$D$5:$D$72,MATCH(B35,'2016'!$A$5:$A$72,0)),0)=0,"N/A",INDEX('2016'!$D$5:$D$72,MATCH(B35,'2016'!$A$5:$A$72,0)))</f>
        <v>14.109</v>
      </c>
      <c r="D35" s="60">
        <v>29.324999999999999</v>
      </c>
      <c r="E35" s="60">
        <v>29.494</v>
      </c>
      <c r="F35" s="60">
        <v>30.318000000000001</v>
      </c>
      <c r="G35" s="60">
        <v>31.285</v>
      </c>
      <c r="H35" s="60">
        <v>31.754000000000001</v>
      </c>
      <c r="I35" s="60">
        <v>28.032</v>
      </c>
      <c r="J35" s="60">
        <v>28.077000000000002</v>
      </c>
      <c r="K35" s="60">
        <v>27.172000000000001</v>
      </c>
      <c r="L35" s="60">
        <v>29.449000000000002</v>
      </c>
      <c r="M35" s="60">
        <v>28.305</v>
      </c>
    </row>
    <row r="36" spans="1:13">
      <c r="A36" s="60" t="s">
        <v>266</v>
      </c>
      <c r="B36" s="60" t="s">
        <v>267</v>
      </c>
      <c r="C36" s="69">
        <f>IF(IFERROR(INDEX('2016'!$D$5:$D$72,MATCH(B36,'2016'!$A$5:$A$72,0)),0)=0,"N/A",INDEX('2016'!$D$5:$D$72,MATCH(B36,'2016'!$A$5:$A$72,0)))</f>
        <v>32.314999999999998</v>
      </c>
      <c r="D36" s="60">
        <v>28.626000000000001</v>
      </c>
      <c r="E36" s="60">
        <v>24.895</v>
      </c>
      <c r="F36" s="60">
        <v>22.385999999999999</v>
      </c>
      <c r="G36" s="60">
        <v>20.838999999999999</v>
      </c>
      <c r="H36" s="60">
        <v>20.532</v>
      </c>
      <c r="I36" s="60">
        <v>18.951000000000001</v>
      </c>
      <c r="J36" s="60">
        <v>18.568999999999999</v>
      </c>
      <c r="K36" s="60">
        <v>18.003</v>
      </c>
      <c r="L36" s="60">
        <v>16.724</v>
      </c>
      <c r="M36" s="60">
        <v>12.255000000000001</v>
      </c>
    </row>
    <row r="37" spans="1:13">
      <c r="A37" s="60" t="s">
        <v>185</v>
      </c>
      <c r="B37" s="60" t="s">
        <v>186</v>
      </c>
      <c r="C37" s="69">
        <f>IF(IFERROR(INDEX('2016'!$D$5:$D$72,MATCH(B37,'2016'!$A$5:$A$72,0)),0)=0,"N/A",INDEX('2016'!$D$5:$D$72,MATCH(B37,'2016'!$A$5:$A$72,0)))</f>
        <v>8.8360000000000003</v>
      </c>
      <c r="D37" s="60">
        <v>9.09</v>
      </c>
      <c r="E37" s="60">
        <v>9.1829999999999998</v>
      </c>
      <c r="F37" s="60">
        <v>9.327</v>
      </c>
      <c r="G37" s="60">
        <v>9.1210000000000004</v>
      </c>
      <c r="H37" s="60">
        <v>9.17</v>
      </c>
      <c r="I37" s="60">
        <v>9.0429999999999993</v>
      </c>
      <c r="J37" s="60">
        <v>8.1590000000000007</v>
      </c>
      <c r="K37" s="60">
        <v>7.0490000000000004</v>
      </c>
      <c r="L37" s="60">
        <v>5.1989999999999998</v>
      </c>
      <c r="M37" s="60">
        <v>4.3540000000000001</v>
      </c>
    </row>
    <row r="38" spans="1:13">
      <c r="A38" s="60" t="s">
        <v>137</v>
      </c>
      <c r="B38" s="60" t="s">
        <v>20</v>
      </c>
      <c r="C38" s="69">
        <f>IF(IFERROR(INDEX('2016'!$D$5:$D$72,MATCH(B38,'2016'!$A$5:$A$72,0)),0)=0,"N/A",INDEX('2016'!$D$5:$D$72,MATCH(B38,'2016'!$A$5:$A$72,0)))</f>
        <v>24.731000000000002</v>
      </c>
      <c r="D38" s="60">
        <v>23.681000000000001</v>
      </c>
      <c r="E38" s="60">
        <v>23.262</v>
      </c>
      <c r="F38" s="60">
        <v>22.581</v>
      </c>
      <c r="G38" s="60">
        <v>21.754999999999999</v>
      </c>
      <c r="H38" s="60">
        <v>21.741</v>
      </c>
      <c r="I38" s="60">
        <v>21.265000000000001</v>
      </c>
      <c r="J38" s="60">
        <v>20.620999999999999</v>
      </c>
      <c r="K38" s="60">
        <v>21.388000000000002</v>
      </c>
      <c r="L38" s="60">
        <v>18.181999999999999</v>
      </c>
      <c r="M38" s="60">
        <v>16.701000000000001</v>
      </c>
    </row>
    <row r="39" spans="1:13">
      <c r="A39" s="60" t="s">
        <v>138</v>
      </c>
      <c r="B39" s="60" t="s">
        <v>21</v>
      </c>
      <c r="C39" s="69">
        <f>IF(IFERROR(INDEX('2016'!$D$5:$D$72,MATCH(B39,'2016'!$A$5:$A$72,0)),0)=0,"N/A",INDEX('2016'!$D$5:$D$72,MATCH(B39,'2016'!$A$5:$A$72,0)))</f>
        <v>19.033999999999999</v>
      </c>
      <c r="D39" s="60">
        <v>17.937999999999999</v>
      </c>
      <c r="E39" s="60">
        <v>17.466000000000001</v>
      </c>
      <c r="F39" s="60">
        <v>17.056000000000001</v>
      </c>
      <c r="G39" s="60">
        <v>16.276</v>
      </c>
      <c r="H39" s="60">
        <v>15.951000000000001</v>
      </c>
      <c r="I39" s="60">
        <v>15.667999999999999</v>
      </c>
      <c r="J39" s="60">
        <v>15.582000000000001</v>
      </c>
      <c r="K39" s="60">
        <v>15.35</v>
      </c>
      <c r="L39" s="60">
        <v>15.287000000000001</v>
      </c>
      <c r="M39" s="60">
        <v>13.445</v>
      </c>
    </row>
    <row r="40" spans="1:13">
      <c r="A40" s="60" t="s">
        <v>216</v>
      </c>
      <c r="B40" s="60" t="s">
        <v>22</v>
      </c>
      <c r="C40" s="69">
        <f>IF(IFERROR(INDEX('2016'!$D$5:$D$72,MATCH(B40,'2016'!$A$5:$A$72,0)),0)=0,"N/A",INDEX('2016'!$D$5:$D$72,MATCH(B40,'2016'!$A$5:$A$72,0)))</f>
        <v>42.738999999999997</v>
      </c>
      <c r="D40" s="60">
        <v>40.878999999999998</v>
      </c>
      <c r="E40" s="60">
        <v>38.853999999999999</v>
      </c>
      <c r="F40" s="60">
        <v>36.841999999999999</v>
      </c>
      <c r="G40" s="60">
        <v>35.064999999999998</v>
      </c>
      <c r="H40" s="60">
        <v>33.185000000000002</v>
      </c>
      <c r="I40" s="60">
        <v>31.010999999999999</v>
      </c>
      <c r="J40" s="60">
        <v>29.173999999999999</v>
      </c>
      <c r="K40" s="60">
        <v>27.759</v>
      </c>
      <c r="L40" s="60">
        <v>26.792000000000002</v>
      </c>
      <c r="M40" s="60">
        <v>25.765999999999998</v>
      </c>
    </row>
    <row r="41" spans="1:13">
      <c r="A41" s="60" t="s">
        <v>139</v>
      </c>
      <c r="B41" s="60" t="s">
        <v>25</v>
      </c>
      <c r="C41" s="69">
        <f>IF(IFERROR(INDEX('2016'!$D$5:$D$72,MATCH(B41,'2016'!$A$5:$A$72,0)),0)=0,"N/A",INDEX('2016'!$D$5:$D$72,MATCH(B41,'2016'!$A$5:$A$72,0)))</f>
        <v>20.885999999999999</v>
      </c>
      <c r="D41" s="60">
        <v>19.916</v>
      </c>
      <c r="E41" s="60">
        <v>19.02</v>
      </c>
      <c r="F41" s="60">
        <v>17.812000000000001</v>
      </c>
      <c r="G41" s="60">
        <v>16.712</v>
      </c>
      <c r="H41" s="60">
        <v>15.89</v>
      </c>
      <c r="I41" s="60">
        <v>15.144</v>
      </c>
      <c r="J41" s="60">
        <v>14.473000000000001</v>
      </c>
      <c r="K41" s="60">
        <v>13.917999999999999</v>
      </c>
      <c r="L41" s="60">
        <v>12.99</v>
      </c>
      <c r="M41" s="60">
        <v>11.929</v>
      </c>
    </row>
    <row r="42" spans="1:13">
      <c r="A42" s="60" t="s">
        <v>187</v>
      </c>
      <c r="B42" s="60" t="s">
        <v>188</v>
      </c>
      <c r="C42" s="69">
        <f>IF(IFERROR(INDEX('2016'!$D$5:$D$72,MATCH(B42,'2016'!$A$5:$A$72,0)),0)=0,"N/A",INDEX('2016'!$D$5:$D$72,MATCH(B42,'2016'!$A$5:$A$72,0)))</f>
        <v>13.404</v>
      </c>
      <c r="D42" s="60">
        <v>12.739000000000001</v>
      </c>
      <c r="E42" s="60">
        <v>12.236000000000001</v>
      </c>
      <c r="F42" s="60">
        <v>11.824</v>
      </c>
      <c r="G42" s="60">
        <v>11.484</v>
      </c>
      <c r="H42" s="60">
        <v>11.27</v>
      </c>
      <c r="I42" s="60">
        <v>11.132</v>
      </c>
      <c r="J42" s="60">
        <v>10.329000000000001</v>
      </c>
      <c r="K42" s="60">
        <v>10.029</v>
      </c>
      <c r="L42" s="60">
        <v>10.054</v>
      </c>
      <c r="M42" s="60">
        <v>9.5220000000000002</v>
      </c>
    </row>
    <row r="43" spans="1:13">
      <c r="A43" s="60" t="s">
        <v>189</v>
      </c>
      <c r="B43" s="60" t="s">
        <v>190</v>
      </c>
      <c r="C43" s="69">
        <f>IF(IFERROR(INDEX('2016'!$D$5:$D$72,MATCH(B43,'2016'!$A$5:$A$72,0)),0)=0,"N/A",INDEX('2016'!$D$5:$D$72,MATCH(B43,'2016'!$A$5:$A$72,0)))</f>
        <v>13.583</v>
      </c>
      <c r="D43" s="60">
        <v>12.994999999999999</v>
      </c>
      <c r="E43" s="60">
        <v>11.475</v>
      </c>
      <c r="F43" s="60">
        <v>10.651</v>
      </c>
      <c r="G43" s="60">
        <v>9.7989999999999995</v>
      </c>
      <c r="H43" s="60">
        <v>9.3650000000000002</v>
      </c>
      <c r="I43" s="60">
        <v>8.81</v>
      </c>
      <c r="J43" s="60">
        <v>8.2929999999999993</v>
      </c>
      <c r="K43" s="60">
        <v>8.6419999999999995</v>
      </c>
      <c r="L43" s="60">
        <v>7.7480000000000002</v>
      </c>
      <c r="M43" s="60">
        <v>7.5010000000000003</v>
      </c>
    </row>
    <row r="44" spans="1:13">
      <c r="A44" s="60" t="s">
        <v>140</v>
      </c>
      <c r="B44" s="60" t="s">
        <v>141</v>
      </c>
      <c r="C44" s="69">
        <f>IF(IFERROR(INDEX('2016'!$D$5:$D$72,MATCH(B44,'2016'!$A$5:$A$72,0)),0)=0,"N/A",INDEX('2016'!$D$5:$D$72,MATCH(B44,'2016'!$A$5:$A$72,0)))</f>
        <v>52.011000000000003</v>
      </c>
      <c r="D44" s="60">
        <v>48.966999999999999</v>
      </c>
      <c r="E44" s="60">
        <v>44.957000000000001</v>
      </c>
      <c r="F44" s="60">
        <v>41.470999999999997</v>
      </c>
      <c r="G44" s="60">
        <v>37.896000000000001</v>
      </c>
      <c r="H44" s="60">
        <v>35.920999999999999</v>
      </c>
      <c r="I44" s="60">
        <v>34.36</v>
      </c>
      <c r="J44" s="60">
        <v>31.35</v>
      </c>
      <c r="K44" s="60">
        <v>28.565999999999999</v>
      </c>
      <c r="L44" s="60">
        <v>26.353999999999999</v>
      </c>
      <c r="M44" s="60">
        <v>24.494</v>
      </c>
    </row>
    <row r="45" spans="1:13">
      <c r="A45" s="60" t="s">
        <v>142</v>
      </c>
      <c r="B45" s="60" t="s">
        <v>26</v>
      </c>
      <c r="C45" s="69">
        <f>IF(IFERROR(INDEX('2016'!$D$5:$D$72,MATCH(B45,'2016'!$A$5:$A$72,0)),0)=0,"N/A",INDEX('2016'!$D$5:$D$72,MATCH(B45,'2016'!$A$5:$A$72,0)))</f>
        <v>12.598000000000001</v>
      </c>
      <c r="D45" s="60">
        <v>12.044</v>
      </c>
      <c r="E45" s="60">
        <v>19.54</v>
      </c>
      <c r="F45" s="60">
        <v>18.766999999999999</v>
      </c>
      <c r="G45" s="60">
        <v>17.901</v>
      </c>
      <c r="H45" s="60">
        <v>17.71</v>
      </c>
      <c r="I45" s="60">
        <v>17.626999999999999</v>
      </c>
      <c r="J45" s="60">
        <v>17.536999999999999</v>
      </c>
      <c r="K45" s="60">
        <v>17.242000000000001</v>
      </c>
      <c r="L45" s="60">
        <v>18.515999999999998</v>
      </c>
      <c r="M45" s="60">
        <v>18.321000000000002</v>
      </c>
    </row>
    <row r="46" spans="1:13">
      <c r="A46" s="60" t="s">
        <v>191</v>
      </c>
      <c r="B46" s="60" t="s">
        <v>192</v>
      </c>
      <c r="C46" s="69">
        <f>IF(IFERROR(INDEX('2016'!$D$5:$D$72,MATCH(B46,'2016'!$A$5:$A$72,0)),0)=0,"N/A",INDEX('2016'!$D$5:$D$72,MATCH(B46,'2016'!$A$5:$A$72,0)))</f>
        <v>29.706</v>
      </c>
      <c r="D46" s="60">
        <v>28.475000000000001</v>
      </c>
      <c r="E46" s="60">
        <v>28.123000000000001</v>
      </c>
      <c r="F46" s="60">
        <v>27.77</v>
      </c>
      <c r="G46" s="60">
        <v>27.233000000000001</v>
      </c>
      <c r="H46" s="60">
        <v>26.704000000000001</v>
      </c>
      <c r="I46" s="60">
        <v>26.08</v>
      </c>
      <c r="J46" s="60">
        <v>24.879000000000001</v>
      </c>
      <c r="K46" s="60">
        <v>23.710999999999999</v>
      </c>
      <c r="L46" s="60">
        <v>22.521999999999998</v>
      </c>
      <c r="M46" s="60">
        <v>22.010999999999999</v>
      </c>
    </row>
    <row r="47" spans="1:13">
      <c r="A47" s="60" t="s">
        <v>143</v>
      </c>
      <c r="B47" s="60" t="s">
        <v>144</v>
      </c>
      <c r="C47" s="69">
        <f>IF(IFERROR(INDEX('2016'!$D$5:$D$72,MATCH(B47,'2016'!$A$5:$A$72,0)),0)=0,"N/A",INDEX('2016'!$D$5:$D$72,MATCH(B47,'2016'!$A$5:$A$72,0)))</f>
        <v>34.682000000000002</v>
      </c>
      <c r="D47" s="60">
        <v>33.218000000000004</v>
      </c>
      <c r="E47" s="60">
        <v>31.498999999999999</v>
      </c>
      <c r="F47" s="60">
        <v>26.600999999999999</v>
      </c>
      <c r="G47" s="60">
        <v>25.094000000000001</v>
      </c>
      <c r="H47" s="60">
        <v>23.681000000000001</v>
      </c>
      <c r="I47" s="60">
        <v>22.643000000000001</v>
      </c>
      <c r="J47" s="60">
        <v>21.86</v>
      </c>
      <c r="K47" s="60">
        <v>21.251000000000001</v>
      </c>
      <c r="L47" s="60">
        <v>21.119</v>
      </c>
      <c r="M47" s="60">
        <v>20.651</v>
      </c>
    </row>
    <row r="48" spans="1:13">
      <c r="A48" s="60" t="s">
        <v>145</v>
      </c>
      <c r="B48" s="60" t="s">
        <v>27</v>
      </c>
      <c r="C48" s="69">
        <f>IF(IFERROR(INDEX('2016'!$D$5:$D$72,MATCH(B48,'2016'!$A$5:$A$72,0)),0)=0,"N/A",INDEX('2016'!$D$5:$D$72,MATCH(B48,'2016'!$A$5:$A$72,0)))</f>
        <v>17.245000000000001</v>
      </c>
      <c r="D48" s="60">
        <v>16.655000000000001</v>
      </c>
      <c r="E48" s="60">
        <v>16.271000000000001</v>
      </c>
      <c r="F48" s="60">
        <v>15.3</v>
      </c>
      <c r="G48" s="60">
        <v>14.004</v>
      </c>
      <c r="H48" s="60">
        <v>13.065</v>
      </c>
      <c r="I48" s="60">
        <v>11.73</v>
      </c>
      <c r="J48" s="60">
        <v>10.52</v>
      </c>
      <c r="K48" s="60">
        <v>10.143000000000001</v>
      </c>
      <c r="L48" s="60">
        <v>9.1549999999999994</v>
      </c>
      <c r="M48" s="60">
        <v>8.7929999999999993</v>
      </c>
    </row>
    <row r="49" spans="1:13">
      <c r="A49" s="60" t="s">
        <v>356</v>
      </c>
      <c r="B49" s="60" t="s">
        <v>353</v>
      </c>
      <c r="C49" s="69">
        <v>36.116999999999997</v>
      </c>
      <c r="D49" s="60">
        <v>35.238999999999997</v>
      </c>
      <c r="E49" s="60">
        <v>34.445</v>
      </c>
    </row>
    <row r="50" spans="1:13">
      <c r="A50" s="60" t="s">
        <v>146</v>
      </c>
      <c r="B50" s="60" t="s">
        <v>28</v>
      </c>
      <c r="C50" s="69">
        <f>IF(IFERROR(INDEX('2016'!$D$5:$D$72,MATCH(B50,'2016'!$A$5:$A$72,0)),0)=0,"N/A",INDEX('2016'!$D$5:$D$72,MATCH(B50,'2016'!$A$5:$A$72,0)))</f>
        <v>17.03</v>
      </c>
      <c r="D50" s="60">
        <v>15.981999999999999</v>
      </c>
      <c r="E50" s="60">
        <v>15.388999999999999</v>
      </c>
      <c r="F50" s="60">
        <v>14.744999999999999</v>
      </c>
      <c r="G50" s="60">
        <v>14.432</v>
      </c>
      <c r="H50" s="60">
        <v>15.829000000000001</v>
      </c>
      <c r="I50" s="60">
        <v>17.565000000000001</v>
      </c>
      <c r="J50" s="60">
        <v>18.785</v>
      </c>
      <c r="K50" s="60">
        <v>19.138999999999999</v>
      </c>
      <c r="L50" s="60">
        <v>17.550999999999998</v>
      </c>
      <c r="M50" s="60">
        <v>16.667000000000002</v>
      </c>
    </row>
    <row r="51" spans="1:13">
      <c r="A51" s="60" t="s">
        <v>147</v>
      </c>
      <c r="B51" s="60" t="s">
        <v>30</v>
      </c>
      <c r="C51" s="69">
        <f>IF(IFERROR(INDEX('2016'!$D$5:$D$72,MATCH(B51,'2016'!$A$5:$A$72,0)),0)=0,"N/A",INDEX('2016'!$D$5:$D$72,MATCH(B51,'2016'!$A$5:$A$72,0)))</f>
        <v>35.392000000000003</v>
      </c>
      <c r="D51" s="60">
        <v>33.689</v>
      </c>
      <c r="E51" s="60">
        <v>33.090000000000003</v>
      </c>
      <c r="F51" s="60">
        <v>31.405999999999999</v>
      </c>
      <c r="G51" s="60">
        <v>30.353999999999999</v>
      </c>
      <c r="H51" s="60">
        <v>29.353000000000002</v>
      </c>
      <c r="I51" s="60">
        <v>28.545999999999999</v>
      </c>
      <c r="J51" s="60">
        <v>27.882000000000001</v>
      </c>
      <c r="K51" s="60">
        <v>25.971</v>
      </c>
      <c r="L51" s="60">
        <v>24.18</v>
      </c>
      <c r="M51" s="60">
        <v>22.437000000000001</v>
      </c>
    </row>
    <row r="52" spans="1:13">
      <c r="A52" s="60" t="s">
        <v>148</v>
      </c>
      <c r="B52" s="60" t="s">
        <v>31</v>
      </c>
      <c r="C52" s="69">
        <f>IF(IFERROR(INDEX('2016'!$D$5:$D$72,MATCH(B52,'2016'!$A$5:$A$72,0)),0)=0,"N/A",INDEX('2016'!$D$5:$D$72,MATCH(B52,'2016'!$A$5:$A$72,0)))</f>
        <v>43.145000000000003</v>
      </c>
      <c r="D52" s="60">
        <v>41.304000000000002</v>
      </c>
      <c r="E52" s="60">
        <v>39.499000000000002</v>
      </c>
      <c r="F52" s="60">
        <v>38.069000000000003</v>
      </c>
      <c r="G52" s="60">
        <v>36.201000000000001</v>
      </c>
      <c r="H52" s="60">
        <v>34.984000000000002</v>
      </c>
      <c r="I52" s="60">
        <v>33.863999999999997</v>
      </c>
      <c r="J52" s="60">
        <v>32.692</v>
      </c>
      <c r="K52" s="60">
        <v>34.155999999999999</v>
      </c>
      <c r="L52" s="60">
        <v>35.145000000000003</v>
      </c>
      <c r="M52" s="60">
        <v>34.475000000000001</v>
      </c>
    </row>
    <row r="53" spans="1:13">
      <c r="A53" s="60" t="s">
        <v>149</v>
      </c>
      <c r="B53" s="60" t="s">
        <v>32</v>
      </c>
      <c r="C53" s="69">
        <f>IF(IFERROR(INDEX('2016'!$D$5:$D$72,MATCH(B53,'2016'!$A$5:$A$72,0)),0)=0,"N/A",INDEX('2016'!$D$5:$D$72,MATCH(B53,'2016'!$A$5:$A$72,0)))</f>
        <v>21.04</v>
      </c>
      <c r="D53" s="60">
        <v>20.774999999999999</v>
      </c>
      <c r="E53" s="60">
        <v>22.390999999999998</v>
      </c>
      <c r="F53" s="60">
        <v>20.866</v>
      </c>
      <c r="G53" s="60">
        <v>20.045000000000002</v>
      </c>
      <c r="H53" s="60">
        <v>19.616</v>
      </c>
      <c r="I53" s="60">
        <v>17.597000000000001</v>
      </c>
      <c r="J53" s="60">
        <v>18.901</v>
      </c>
      <c r="K53" s="60">
        <v>18.893000000000001</v>
      </c>
      <c r="L53" s="60">
        <v>22.032</v>
      </c>
      <c r="M53" s="60">
        <v>22.091999999999999</v>
      </c>
    </row>
    <row r="54" spans="1:13">
      <c r="A54" s="60" t="s">
        <v>150</v>
      </c>
      <c r="B54" s="60" t="s">
        <v>33</v>
      </c>
      <c r="C54" s="69">
        <f>IF(IFERROR(INDEX('2016'!$D$5:$D$72,MATCH(B54,'2016'!$A$5:$A$72,0)),0)=0,"N/A",INDEX('2016'!$D$5:$D$72,MATCH(B54,'2016'!$A$5:$A$72,0)))</f>
        <v>26.353000000000002</v>
      </c>
      <c r="D54" s="60">
        <v>25.43</v>
      </c>
      <c r="E54" s="60">
        <v>24.428000000000001</v>
      </c>
      <c r="F54" s="60">
        <v>23.295000000000002</v>
      </c>
      <c r="G54" s="60">
        <v>22.87</v>
      </c>
      <c r="H54" s="60">
        <v>22.067</v>
      </c>
      <c r="I54" s="60">
        <v>21.137</v>
      </c>
      <c r="J54" s="60">
        <v>20.501999999999999</v>
      </c>
      <c r="K54" s="60">
        <v>21.638000000000002</v>
      </c>
      <c r="L54" s="60">
        <v>21.045999999999999</v>
      </c>
      <c r="M54" s="60">
        <v>19.582999999999998</v>
      </c>
    </row>
    <row r="55" spans="1:13">
      <c r="A55" s="60" t="s">
        <v>151</v>
      </c>
      <c r="B55" s="60" t="s">
        <v>34</v>
      </c>
      <c r="C55" s="69">
        <f>IF(IFERROR(INDEX('2016'!$D$5:$D$72,MATCH(B55,'2016'!$A$5:$A$72,0)),0)=0,"N/A",INDEX('2016'!$D$5:$D$72,MATCH(B55,'2016'!$A$5:$A$72,0)))</f>
        <v>14.563000000000001</v>
      </c>
      <c r="D55" s="60">
        <v>14.72</v>
      </c>
      <c r="E55" s="60">
        <v>20.466999999999999</v>
      </c>
      <c r="F55" s="60">
        <v>19.777000000000001</v>
      </c>
      <c r="G55" s="60">
        <v>18.009</v>
      </c>
      <c r="H55" s="60">
        <v>18.72</v>
      </c>
      <c r="I55" s="60">
        <v>16.984000000000002</v>
      </c>
      <c r="J55" s="60">
        <v>14.571</v>
      </c>
      <c r="K55" s="60">
        <v>13.554</v>
      </c>
      <c r="L55" s="60">
        <v>14.885</v>
      </c>
      <c r="M55" s="60">
        <v>13.303000000000001</v>
      </c>
    </row>
    <row r="56" spans="1:13">
      <c r="A56" s="60" t="s">
        <v>152</v>
      </c>
      <c r="B56" s="60" t="s">
        <v>35</v>
      </c>
      <c r="C56" s="69">
        <f>IF(IFERROR(INDEX('2016'!$D$5:$D$72,MATCH(B56,'2016'!$A$5:$A$72,0)),0)=0,"N/A",INDEX('2016'!$D$5:$D$72,MATCH(B56,'2016'!$A$5:$A$72,0)))</f>
        <v>26.007000000000001</v>
      </c>
      <c r="D56" s="60">
        <v>25.859000000000002</v>
      </c>
      <c r="E56" s="60">
        <v>24.088999999999999</v>
      </c>
      <c r="F56" s="60">
        <v>22.946999999999999</v>
      </c>
      <c r="G56" s="60">
        <v>21.309000000000001</v>
      </c>
      <c r="H56" s="60">
        <v>20.298999999999999</v>
      </c>
      <c r="I56" s="60">
        <v>19.039000000000001</v>
      </c>
      <c r="J56" s="60">
        <v>17.367999999999999</v>
      </c>
      <c r="K56" s="60">
        <v>15.356999999999999</v>
      </c>
      <c r="L56" s="60">
        <v>14.353</v>
      </c>
      <c r="M56" s="60">
        <v>13.353</v>
      </c>
    </row>
    <row r="57" spans="1:13">
      <c r="A57" s="60" t="s">
        <v>193</v>
      </c>
      <c r="B57" s="60" t="s">
        <v>194</v>
      </c>
      <c r="C57" s="69">
        <f>IF(IFERROR(INDEX('2016'!$D$5:$D$72,MATCH(B57,'2016'!$A$5:$A$72,0)),0)=0,"N/A",INDEX('2016'!$D$5:$D$72,MATCH(B57,'2016'!$A$5:$A$72,0)))</f>
        <v>7.7510000000000003</v>
      </c>
      <c r="D57" s="60">
        <v>11.145</v>
      </c>
      <c r="E57" s="60">
        <v>11.021000000000001</v>
      </c>
      <c r="F57" s="60">
        <v>10.510999999999999</v>
      </c>
      <c r="G57" s="60">
        <v>10.852</v>
      </c>
      <c r="H57" s="60">
        <v>10.548999999999999</v>
      </c>
      <c r="I57" s="60">
        <v>10.182</v>
      </c>
      <c r="J57" s="60">
        <v>10.004</v>
      </c>
      <c r="K57" s="60">
        <v>9.8940000000000001</v>
      </c>
      <c r="L57" s="60">
        <v>9.69</v>
      </c>
      <c r="M57" s="60">
        <v>9.4659999999999993</v>
      </c>
    </row>
    <row r="58" spans="1:13">
      <c r="A58" s="60" t="s">
        <v>153</v>
      </c>
      <c r="B58" s="60" t="s">
        <v>36</v>
      </c>
      <c r="C58" s="69">
        <f>IF(IFERROR(INDEX('2016'!$D$5:$D$72,MATCH(B58,'2016'!$A$5:$A$72,0)),0)=0,"N/A",INDEX('2016'!$D$5:$D$72,MATCH(B58,'2016'!$A$5:$A$72,0)))</f>
        <v>40.063000000000002</v>
      </c>
      <c r="D58" s="60">
        <v>38.090000000000003</v>
      </c>
      <c r="E58" s="60">
        <v>34.947000000000003</v>
      </c>
      <c r="F58" s="60">
        <v>33.078000000000003</v>
      </c>
      <c r="G58" s="60">
        <v>31.466999999999999</v>
      </c>
      <c r="H58" s="60">
        <v>29.943000000000001</v>
      </c>
      <c r="I58" s="60">
        <v>29.047999999999998</v>
      </c>
      <c r="J58" s="60">
        <v>27.631</v>
      </c>
      <c r="K58" s="60">
        <v>25.853000000000002</v>
      </c>
      <c r="L58" s="60">
        <v>25.372</v>
      </c>
      <c r="M58" s="60">
        <v>24.395</v>
      </c>
    </row>
    <row r="59" spans="1:13">
      <c r="A59" s="60" t="s">
        <v>154</v>
      </c>
      <c r="B59" s="60" t="s">
        <v>37</v>
      </c>
      <c r="C59" s="69">
        <f>IF(IFERROR(INDEX('2016'!$D$5:$D$72,MATCH(B59,'2016'!$A$5:$A$72,0)),0)=0,"N/A",INDEX('2016'!$D$5:$D$72,MATCH(B59,'2016'!$A$5:$A$72,0)))</f>
        <v>51.771999999999998</v>
      </c>
      <c r="D59" s="60">
        <v>47.56</v>
      </c>
      <c r="E59" s="60">
        <v>45.978999999999999</v>
      </c>
      <c r="F59" s="60">
        <v>45.03</v>
      </c>
      <c r="G59" s="60">
        <v>42.423000000000002</v>
      </c>
      <c r="H59" s="60">
        <v>41.003</v>
      </c>
      <c r="I59" s="60">
        <v>37.542999999999999</v>
      </c>
      <c r="J59" s="60">
        <v>36.537999999999997</v>
      </c>
      <c r="K59" s="60">
        <v>32.750999999999998</v>
      </c>
      <c r="L59" s="60">
        <v>31.87</v>
      </c>
      <c r="M59" s="60">
        <v>28.655999999999999</v>
      </c>
    </row>
    <row r="60" spans="1:13">
      <c r="A60" s="60" t="s">
        <v>195</v>
      </c>
      <c r="B60" s="60" t="s">
        <v>196</v>
      </c>
      <c r="C60" s="69">
        <f>IF(IFERROR(INDEX('2016'!$D$5:$D$72,MATCH(B60,'2016'!$A$5:$A$72,0)),0)=0,"N/A",INDEX('2016'!$D$5:$D$72,MATCH(B60,'2016'!$A$5:$A$72,0)))</f>
        <v>20.611999999999998</v>
      </c>
      <c r="D60" s="60">
        <v>18.829999999999998</v>
      </c>
      <c r="E60" s="60">
        <v>17.753</v>
      </c>
      <c r="F60" s="60">
        <v>15.923999999999999</v>
      </c>
      <c r="G60" s="60">
        <v>14.708</v>
      </c>
      <c r="H60" s="60">
        <v>14.199</v>
      </c>
      <c r="I60" s="60">
        <v>13.747</v>
      </c>
      <c r="J60" s="60">
        <v>13.662000000000001</v>
      </c>
      <c r="K60" s="60">
        <v>13.993</v>
      </c>
      <c r="L60" s="60">
        <v>12.904</v>
      </c>
      <c r="M60" s="60">
        <v>12.481</v>
      </c>
    </row>
    <row r="61" spans="1:13">
      <c r="A61" s="60" t="s">
        <v>197</v>
      </c>
      <c r="B61" s="60" t="s">
        <v>198</v>
      </c>
      <c r="C61" s="69">
        <f>IF(IFERROR(INDEX('2016'!$D$5:$D$72,MATCH(B61,'2016'!$A$5:$A$72,0)),0)=0,"N/A",INDEX('2016'!$D$5:$D$72,MATCH(B61,'2016'!$A$5:$A$72,0)))</f>
        <v>16.221</v>
      </c>
      <c r="D61" s="60">
        <v>14.62</v>
      </c>
      <c r="E61" s="60">
        <v>13.645</v>
      </c>
      <c r="F61" s="60">
        <v>12.638999999999999</v>
      </c>
      <c r="G61" s="60">
        <v>11.629</v>
      </c>
      <c r="H61" s="60">
        <v>10.329000000000001</v>
      </c>
      <c r="I61" s="60">
        <v>9.5419999999999998</v>
      </c>
      <c r="J61" s="60">
        <v>9.1219999999999999</v>
      </c>
      <c r="K61" s="60">
        <v>8.6660000000000004</v>
      </c>
      <c r="L61" s="60">
        <v>8.1240000000000006</v>
      </c>
      <c r="M61" s="60">
        <v>7.5540000000000003</v>
      </c>
    </row>
    <row r="62" spans="1:13">
      <c r="A62" s="60" t="s">
        <v>155</v>
      </c>
      <c r="B62" s="60" t="s">
        <v>38</v>
      </c>
      <c r="C62" s="69">
        <f>IF(IFERROR(INDEX('2016'!$D$5:$D$72,MATCH(B62,'2016'!$A$5:$A$72,0)),0)=0,"N/A",INDEX('2016'!$D$5:$D$72,MATCH(B62,'2016'!$A$5:$A$72,0)))</f>
        <v>24.998000000000001</v>
      </c>
      <c r="D62" s="60">
        <v>22.585999999999999</v>
      </c>
      <c r="E62" s="60">
        <v>21.975999999999999</v>
      </c>
      <c r="F62" s="60">
        <v>21.427</v>
      </c>
      <c r="G62" s="60">
        <v>21.085000000000001</v>
      </c>
      <c r="H62" s="60">
        <v>20.318000000000001</v>
      </c>
      <c r="I62" s="60">
        <v>19.212</v>
      </c>
      <c r="J62" s="60">
        <v>18.152000000000001</v>
      </c>
      <c r="K62" s="60">
        <v>17.082000000000001</v>
      </c>
      <c r="L62" s="60">
        <v>16.23</v>
      </c>
      <c r="M62" s="60">
        <v>15.237</v>
      </c>
    </row>
    <row r="63" spans="1:13">
      <c r="A63" s="60" t="s">
        <v>199</v>
      </c>
      <c r="B63" s="60" t="s">
        <v>200</v>
      </c>
      <c r="C63" s="69">
        <f>IF(IFERROR(INDEX('2016'!$D$5:$D$72,MATCH(B63,'2016'!$A$5:$A$72,0)),0)=0,"N/A",INDEX('2016'!$D$5:$D$72,MATCH(B63,'2016'!$A$5:$A$72,0)))</f>
        <v>35.033999999999999</v>
      </c>
      <c r="D63" s="60">
        <v>33.609000000000002</v>
      </c>
      <c r="E63" s="60">
        <v>31.946999999999999</v>
      </c>
      <c r="F63" s="60">
        <v>30.468</v>
      </c>
      <c r="G63" s="60">
        <v>28.355</v>
      </c>
      <c r="H63" s="60">
        <v>26.657</v>
      </c>
      <c r="I63" s="60">
        <v>25.614999999999998</v>
      </c>
      <c r="J63" s="60">
        <v>24.440999999999999</v>
      </c>
      <c r="K63" s="60">
        <v>23.484999999999999</v>
      </c>
      <c r="L63" s="60">
        <v>22.98</v>
      </c>
      <c r="M63" s="60">
        <v>21.581</v>
      </c>
    </row>
    <row r="64" spans="1:13">
      <c r="A64" s="60" t="s">
        <v>243</v>
      </c>
      <c r="B64" s="60" t="s">
        <v>244</v>
      </c>
      <c r="C64" s="69">
        <f>IF(IFERROR(INDEX('2016'!$D$5:$D$72,MATCH(B64,'2016'!$A$5:$A$72,0)),0)=0,"N/A",INDEX('2016'!$D$5:$D$72,MATCH(B64,'2016'!$A$5:$A$72,0)))</f>
        <v>38.732999999999997</v>
      </c>
      <c r="D64" s="60">
        <v>36.295999999999999</v>
      </c>
      <c r="E64" s="60">
        <v>34.93</v>
      </c>
      <c r="F64" s="60">
        <v>31.998999999999999</v>
      </c>
      <c r="G64" s="60">
        <v>26.673999999999999</v>
      </c>
      <c r="H64" s="60">
        <v>25.56</v>
      </c>
      <c r="I64" s="60">
        <v>24.024999999999999</v>
      </c>
      <c r="J64" s="60">
        <v>23.323</v>
      </c>
      <c r="K64" s="60">
        <v>22.119</v>
      </c>
      <c r="L64" s="60">
        <v>19.788</v>
      </c>
      <c r="M64" s="60">
        <v>18.849</v>
      </c>
    </row>
    <row r="65" spans="1:13">
      <c r="A65" s="60" t="s">
        <v>201</v>
      </c>
      <c r="B65" s="60" t="s">
        <v>202</v>
      </c>
      <c r="C65" s="69">
        <f>IF(IFERROR(INDEX('2016'!$D$5:$D$72,MATCH(B65,'2016'!$A$5:$A$72,0)),0)=0,"N/A",INDEX('2016'!$D$5:$D$72,MATCH(B65,'2016'!$A$5:$A$72,0)))</f>
        <v>5.3630000000000004</v>
      </c>
      <c r="D65" s="60">
        <v>5.032</v>
      </c>
      <c r="E65" s="60">
        <v>4.7539999999999996</v>
      </c>
      <c r="F65" s="60">
        <v>4.492</v>
      </c>
      <c r="G65" s="60">
        <v>4.2629999999999999</v>
      </c>
      <c r="H65" s="60">
        <v>4.1929999999999996</v>
      </c>
      <c r="I65" s="60">
        <v>4.1689999999999996</v>
      </c>
      <c r="J65" s="60">
        <v>4.077</v>
      </c>
      <c r="K65" s="60">
        <v>2.6389999999999998</v>
      </c>
      <c r="L65" s="60">
        <v>2.855</v>
      </c>
      <c r="M65" s="60">
        <v>2.2869999999999999</v>
      </c>
    </row>
    <row r="66" spans="1:13">
      <c r="A66" s="60" t="s">
        <v>203</v>
      </c>
      <c r="B66" s="60" t="s">
        <v>204</v>
      </c>
      <c r="C66" s="69">
        <f>IF(IFERROR(INDEX('2016'!$D$5:$D$72,MATCH(B66,'2016'!$A$5:$A$72,0)),0)=0,"N/A",INDEX('2016'!$D$5:$D$72,MATCH(B66,'2016'!$A$5:$A$72,0)))</f>
        <v>16.465</v>
      </c>
      <c r="D66" s="60">
        <v>15.55</v>
      </c>
      <c r="E66" s="60">
        <v>15.394</v>
      </c>
      <c r="F66" s="60">
        <v>14.586</v>
      </c>
      <c r="G66" s="60">
        <v>13.209</v>
      </c>
      <c r="H66" s="60">
        <v>11.789</v>
      </c>
      <c r="I66" s="60">
        <v>11.099</v>
      </c>
      <c r="J66" s="60">
        <v>9.7759999999999998</v>
      </c>
      <c r="K66" s="60">
        <v>8.8000000000000007</v>
      </c>
      <c r="L66" s="60">
        <v>8.2629999999999999</v>
      </c>
      <c r="M66" s="60">
        <v>6.952</v>
      </c>
    </row>
    <row r="67" spans="1:13">
      <c r="A67" s="60" t="s">
        <v>159</v>
      </c>
      <c r="B67" s="60" t="s">
        <v>83</v>
      </c>
      <c r="C67" s="69">
        <f>IF(IFERROR(INDEX('2016'!$D$5:$D$72,MATCH(B67,'2016'!$A$5:$A$72,0)),0)=0,"N/A",INDEX('2016'!$D$5:$D$72,MATCH(B67,'2016'!$A$5:$A$72,0)))</f>
        <v>20.824999999999999</v>
      </c>
      <c r="D67" s="60">
        <v>20.199000000000002</v>
      </c>
      <c r="E67" s="60">
        <v>19.625</v>
      </c>
      <c r="F67" s="60">
        <v>19.145</v>
      </c>
      <c r="G67" s="60">
        <v>18.896000000000001</v>
      </c>
      <c r="H67" s="60">
        <v>17.5</v>
      </c>
      <c r="I67" s="60">
        <v>17.355</v>
      </c>
      <c r="J67" s="60">
        <v>17.818999999999999</v>
      </c>
      <c r="K67" s="60">
        <v>17.904</v>
      </c>
      <c r="L67" s="60">
        <v>17.491</v>
      </c>
      <c r="M67" s="60">
        <v>17.305</v>
      </c>
    </row>
    <row r="68" spans="1:13">
      <c r="A68" s="60" t="s">
        <v>156</v>
      </c>
      <c r="B68" s="60" t="s">
        <v>42</v>
      </c>
      <c r="C68" s="69">
        <f>IF(IFERROR(INDEX('2016'!$D$5:$D$72,MATCH(B68,'2016'!$A$5:$A$72,0)),0)=0,"N/A",INDEX('2016'!$D$5:$D$72,MATCH(B68,'2016'!$A$5:$A$72,0)))</f>
        <v>21.327999999999999</v>
      </c>
      <c r="D68" s="60">
        <v>20.335999999999999</v>
      </c>
      <c r="E68" s="60">
        <v>19.45</v>
      </c>
      <c r="F68" s="60">
        <v>18.863</v>
      </c>
      <c r="G68" s="60">
        <v>18.565999999999999</v>
      </c>
      <c r="H68" s="60">
        <v>17.893999999999998</v>
      </c>
      <c r="I68" s="60">
        <v>17.611999999999998</v>
      </c>
      <c r="J68" s="60">
        <v>17.228000000000002</v>
      </c>
      <c r="K68" s="60">
        <v>16.681000000000001</v>
      </c>
      <c r="L68" s="60">
        <v>16.157</v>
      </c>
      <c r="M68" s="60">
        <v>15.43</v>
      </c>
    </row>
    <row r="69" spans="1:13">
      <c r="A69" s="60" t="s">
        <v>217</v>
      </c>
      <c r="B69" s="60" t="s">
        <v>44</v>
      </c>
      <c r="C69" s="69">
        <f>IF(IFERROR(INDEX('2016'!$D$5:$D$72,MATCH(B69,'2016'!$A$5:$A$72,0)),0)=0,"N/A",INDEX('2016'!$D$5:$D$72,MATCH(B69,'2016'!$A$5:$A$72,0)))</f>
        <v>28.292999999999999</v>
      </c>
      <c r="D69" s="60">
        <v>27.416</v>
      </c>
      <c r="E69" s="60">
        <v>19.597999999999999</v>
      </c>
      <c r="F69" s="60">
        <v>18.733000000000001</v>
      </c>
      <c r="G69" s="60">
        <v>18.053999999999998</v>
      </c>
      <c r="H69" s="60">
        <v>17.195</v>
      </c>
      <c r="I69" s="60">
        <v>16.263999999999999</v>
      </c>
      <c r="J69" s="60">
        <v>15.255000000000001</v>
      </c>
      <c r="K69" s="60">
        <v>14.27</v>
      </c>
      <c r="L69" s="60">
        <v>13.250999999999999</v>
      </c>
      <c r="M69" s="60">
        <v>12.349</v>
      </c>
    </row>
    <row r="70" spans="1:13">
      <c r="A70" s="60" t="s">
        <v>157</v>
      </c>
      <c r="B70" s="60" t="s">
        <v>43</v>
      </c>
      <c r="C70" s="69">
        <f>IF(IFERROR(INDEX('2016'!$D$5:$D$72,MATCH(B70,'2016'!$A$5:$A$72,0)),0)=0,"N/A",INDEX('2016'!$D$5:$D$72,MATCH(B70,'2016'!$A$5:$A$72,0)))</f>
        <v>26.841000000000001</v>
      </c>
      <c r="D70" s="60">
        <v>25.869</v>
      </c>
      <c r="E70" s="60">
        <v>25.02</v>
      </c>
      <c r="F70" s="60">
        <v>23.879000000000001</v>
      </c>
      <c r="G70" s="60">
        <v>22.893999999999998</v>
      </c>
      <c r="H70" s="60">
        <v>22.030999999999999</v>
      </c>
      <c r="I70" s="60">
        <v>21.251000000000001</v>
      </c>
      <c r="J70" s="60">
        <v>20.585999999999999</v>
      </c>
      <c r="K70" s="60">
        <v>20.184000000000001</v>
      </c>
      <c r="L70" s="60">
        <v>19.138999999999999</v>
      </c>
      <c r="M70" s="60">
        <v>17.614999999999998</v>
      </c>
    </row>
    <row r="71" spans="1:13">
      <c r="A71" s="60" t="s">
        <v>205</v>
      </c>
      <c r="B71" s="60" t="s">
        <v>206</v>
      </c>
      <c r="C71" s="69">
        <f>IF(IFERROR(INDEX('2016'!$D$5:$D$72,MATCH(B71,'2016'!$A$5:$A$72,0)),0)=0,"N/A",INDEX('2016'!$D$5:$D$72,MATCH(B71,'2016'!$A$5:$A$72,0)))</f>
        <v>26.777999999999999</v>
      </c>
      <c r="D71" s="60">
        <v>24.972999999999999</v>
      </c>
      <c r="E71" s="60">
        <v>24.084</v>
      </c>
      <c r="F71" s="60">
        <v>24.654</v>
      </c>
      <c r="G71" s="60">
        <v>24.640999999999998</v>
      </c>
      <c r="H71" s="60">
        <v>23.492999999999999</v>
      </c>
      <c r="I71" s="60">
        <v>22.821999999999999</v>
      </c>
      <c r="J71" s="60">
        <v>21.890999999999998</v>
      </c>
      <c r="K71" s="60">
        <v>20.986000000000001</v>
      </c>
      <c r="L71" s="60">
        <v>19.834</v>
      </c>
      <c r="M71" s="60">
        <v>18.856000000000002</v>
      </c>
    </row>
    <row r="72" spans="1:13">
      <c r="A72" s="60" t="s">
        <v>158</v>
      </c>
      <c r="B72" s="60" t="s">
        <v>45</v>
      </c>
      <c r="C72" s="69">
        <f>IF(IFERROR(INDEX('2016'!$D$5:$D$72,MATCH(B72,'2016'!$A$5:$A$72,0)),0)=0,"N/A",INDEX('2016'!$D$5:$D$72,MATCH(B72,'2016'!$A$5:$A$72,0)))</f>
        <v>21.728000000000002</v>
      </c>
      <c r="D72" s="60">
        <v>20.887</v>
      </c>
      <c r="E72" s="60">
        <v>20.196999999999999</v>
      </c>
      <c r="F72" s="60">
        <v>19.21</v>
      </c>
      <c r="G72" s="60">
        <v>18.186</v>
      </c>
      <c r="H72" s="60">
        <v>17.434999999999999</v>
      </c>
      <c r="I72" s="60">
        <v>16.759</v>
      </c>
      <c r="J72" s="60">
        <v>15.919</v>
      </c>
      <c r="K72" s="60">
        <v>15.346</v>
      </c>
      <c r="L72" s="60">
        <v>14.695</v>
      </c>
      <c r="M72" s="60">
        <v>14.282</v>
      </c>
    </row>
    <row r="73" spans="1:13">
      <c r="A73" s="60" t="s">
        <v>207</v>
      </c>
      <c r="B73" s="60" t="s">
        <v>208</v>
      </c>
      <c r="C73" s="69" t="str">
        <f>IF(IFERROR(INDEX('2016'!$D$5:$D$72,MATCH(B73,'2016'!$A$5:$A$72,0)),0)=0,"N/A",INDEX('2016'!$D$5:$D$72,MATCH(B73,'2016'!$A$5:$A$72,0)))</f>
        <v>N/A</v>
      </c>
      <c r="D73" s="60">
        <v>8.5129999999999999</v>
      </c>
      <c r="E73" s="60">
        <v>8.15</v>
      </c>
      <c r="F73" s="60">
        <v>7.9749999999999996</v>
      </c>
      <c r="G73" s="60">
        <v>7.7270000000000003</v>
      </c>
      <c r="H73" s="60">
        <v>7.4470000000000001</v>
      </c>
      <c r="I73" s="60">
        <v>7.19</v>
      </c>
      <c r="J73" s="60">
        <v>6.9210000000000003</v>
      </c>
      <c r="K73" s="60">
        <v>6.1369999999999996</v>
      </c>
      <c r="L73" s="60">
        <v>5.9720000000000004</v>
      </c>
      <c r="M73" s="60">
        <v>5.835</v>
      </c>
    </row>
  </sheetData>
  <printOptions headings="1"/>
  <pageMargins left="0.3" right="0.3" top="0.75" bottom="0.75" header="0.3" footer="0.3"/>
  <pageSetup fitToHeight="0" orientation="landscape" r:id="rId1"/>
  <headerFooter>
    <oddHeader>&amp;R&amp;A
&amp;P/&amp;N</oddHeader>
    <oddFooter>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3"/>
  <dimension ref="B2:D43"/>
  <sheetViews>
    <sheetView zoomScaleNormal="100" workbookViewId="0">
      <pane ySplit="3" topLeftCell="A4" activePane="bottomLeft" state="frozen"/>
      <selection sqref="A1:B1048576"/>
      <selection pane="bottomLeft"/>
    </sheetView>
  </sheetViews>
  <sheetFormatPr defaultRowHeight="14.25"/>
  <cols>
    <col min="1" max="1" width="2.125" customWidth="1"/>
    <col min="2" max="2" width="11" customWidth="1"/>
    <col min="3" max="3" width="12.875" customWidth="1"/>
    <col min="4" max="4" width="2.25" customWidth="1"/>
  </cols>
  <sheetData>
    <row r="2" spans="2:3" ht="15">
      <c r="B2" s="148" t="s">
        <v>372</v>
      </c>
      <c r="C2" s="148"/>
    </row>
    <row r="3" spans="2:3" ht="15">
      <c r="B3" s="24" t="s">
        <v>373</v>
      </c>
      <c r="C3" s="24" t="s">
        <v>374</v>
      </c>
    </row>
    <row r="6" spans="2:3">
      <c r="B6" s="1">
        <v>1980</v>
      </c>
      <c r="C6" s="101">
        <v>0.13339999999999999</v>
      </c>
    </row>
    <row r="7" spans="2:3">
      <c r="B7" s="1">
        <v>1981</v>
      </c>
      <c r="C7" s="101">
        <v>0.1595</v>
      </c>
    </row>
    <row r="8" spans="2:3">
      <c r="B8" s="1">
        <v>1982</v>
      </c>
      <c r="C8" s="101">
        <v>0.15859999999999999</v>
      </c>
    </row>
    <row r="9" spans="2:3">
      <c r="B9" s="1">
        <v>1983</v>
      </c>
      <c r="C9" s="101">
        <v>0.1366</v>
      </c>
    </row>
    <row r="10" spans="2:3">
      <c r="B10" s="1">
        <v>1984</v>
      </c>
      <c r="C10" s="101">
        <v>0.14030000000000001</v>
      </c>
    </row>
    <row r="11" spans="2:3">
      <c r="B11" s="1">
        <v>1985</v>
      </c>
      <c r="C11" s="101">
        <v>0.12470000000000001</v>
      </c>
    </row>
    <row r="12" spans="2:3">
      <c r="B12" s="1">
        <v>1986</v>
      </c>
      <c r="C12" s="101">
        <v>9.5799999999999996E-2</v>
      </c>
    </row>
    <row r="13" spans="2:3">
      <c r="B13" s="1">
        <v>1987</v>
      </c>
      <c r="C13" s="101">
        <v>0.10100000000000001</v>
      </c>
    </row>
    <row r="14" spans="2:3">
      <c r="B14" s="1">
        <v>1988</v>
      </c>
      <c r="C14" s="101">
        <v>0.10489999999999999</v>
      </c>
    </row>
    <row r="15" spans="2:3">
      <c r="B15" s="1">
        <v>1989</v>
      </c>
      <c r="C15" s="101">
        <v>9.7699999999999995E-2</v>
      </c>
    </row>
    <row r="16" spans="2:3">
      <c r="B16" s="1">
        <v>1990</v>
      </c>
      <c r="C16" s="101">
        <v>9.8599999999999993E-2</v>
      </c>
    </row>
    <row r="17" spans="2:3">
      <c r="B17" s="1">
        <v>1991</v>
      </c>
      <c r="C17" s="101">
        <v>9.3600000000000003E-2</v>
      </c>
    </row>
    <row r="18" spans="2:3">
      <c r="B18" s="1">
        <v>1992</v>
      </c>
      <c r="C18" s="101">
        <v>8.6900000000000005E-2</v>
      </c>
    </row>
    <row r="19" spans="2:3">
      <c r="B19" s="1">
        <v>1993</v>
      </c>
      <c r="C19" s="101">
        <v>7.5899999999999995E-2</v>
      </c>
    </row>
    <row r="20" spans="2:3">
      <c r="B20" s="1">
        <v>1994</v>
      </c>
      <c r="C20" s="101">
        <v>8.3099999999999993E-2</v>
      </c>
    </row>
    <row r="21" spans="2:3">
      <c r="B21" s="1">
        <v>1995</v>
      </c>
      <c r="C21" s="101">
        <v>7.8899999999999998E-2</v>
      </c>
    </row>
    <row r="22" spans="2:3">
      <c r="B22" s="1">
        <v>1996</v>
      </c>
      <c r="C22" s="101">
        <v>7.7499999999999999E-2</v>
      </c>
    </row>
    <row r="23" spans="2:3">
      <c r="B23" s="1">
        <v>1997</v>
      </c>
      <c r="C23" s="101">
        <v>7.5999999999999998E-2</v>
      </c>
    </row>
    <row r="24" spans="2:3">
      <c r="B24" s="1">
        <v>1998</v>
      </c>
      <c r="C24" s="101">
        <v>7.0400000000000004E-2</v>
      </c>
    </row>
    <row r="25" spans="2:3">
      <c r="B25" s="1">
        <v>1999</v>
      </c>
      <c r="C25" s="101">
        <v>7.6200000000000004E-2</v>
      </c>
    </row>
    <row r="26" spans="2:3">
      <c r="B26" s="1">
        <v>2000</v>
      </c>
      <c r="C26" s="101">
        <v>8.2441666666666663E-2</v>
      </c>
    </row>
    <row r="27" spans="2:3">
      <c r="B27" s="1">
        <v>2001</v>
      </c>
      <c r="C27" s="80">
        <v>7.7625E-2</v>
      </c>
    </row>
    <row r="28" spans="2:3">
      <c r="B28" s="1">
        <v>2002</v>
      </c>
      <c r="C28" s="80">
        <v>7.3724999999999999E-2</v>
      </c>
    </row>
    <row r="29" spans="2:3">
      <c r="B29" s="1">
        <v>2003</v>
      </c>
      <c r="C29" s="80">
        <v>6.580833333333333E-2</v>
      </c>
    </row>
    <row r="30" spans="2:3">
      <c r="B30" s="1">
        <v>2004</v>
      </c>
      <c r="C30" s="80">
        <v>6.1599999999999995E-2</v>
      </c>
    </row>
    <row r="31" spans="2:3">
      <c r="B31" s="1">
        <v>2005</v>
      </c>
      <c r="C31" s="80">
        <v>5.6491666666666662E-2</v>
      </c>
    </row>
    <row r="32" spans="2:3">
      <c r="B32" s="1">
        <v>2006</v>
      </c>
      <c r="C32" s="80">
        <v>6.0683333333333332E-2</v>
      </c>
    </row>
    <row r="33" spans="2:4">
      <c r="B33" s="1">
        <v>2007</v>
      </c>
      <c r="C33" s="80">
        <v>6.0733333333333334E-2</v>
      </c>
    </row>
    <row r="34" spans="2:4">
      <c r="B34" s="1">
        <v>2008</v>
      </c>
      <c r="C34" s="80">
        <v>6.5283333333333332E-2</v>
      </c>
    </row>
    <row r="35" spans="2:4">
      <c r="B35" s="1">
        <v>2009</v>
      </c>
      <c r="C35" s="80">
        <v>6.0391666666666656E-2</v>
      </c>
    </row>
    <row r="36" spans="2:4">
      <c r="B36" s="1">
        <v>2010</v>
      </c>
      <c r="C36" s="80">
        <v>5.4644377733549555E-2</v>
      </c>
    </row>
    <row r="37" spans="2:4">
      <c r="B37" s="1">
        <v>2011</v>
      </c>
      <c r="C37" s="80">
        <v>5.0407157265811221E-2</v>
      </c>
    </row>
    <row r="38" spans="2:4">
      <c r="B38" s="1">
        <v>2012</v>
      </c>
      <c r="C38" s="80">
        <v>4.1308564221010043E-2</v>
      </c>
    </row>
    <row r="39" spans="2:4">
      <c r="B39" s="1">
        <v>2013</v>
      </c>
      <c r="C39" s="80">
        <v>4.4759707479483019E-2</v>
      </c>
    </row>
    <row r="40" spans="2:4">
      <c r="B40" s="1">
        <v>2014</v>
      </c>
      <c r="C40" s="80">
        <v>4.2774094021446961E-2</v>
      </c>
    </row>
    <row r="41" spans="2:4">
      <c r="B41" s="1">
        <v>2015</v>
      </c>
      <c r="C41" s="80">
        <v>4.1153967589428117E-2</v>
      </c>
    </row>
    <row r="42" spans="2:4">
      <c r="B42" s="1">
        <v>2016</v>
      </c>
      <c r="C42" s="80">
        <v>3.930199127182251E-2</v>
      </c>
    </row>
    <row r="43" spans="2:4">
      <c r="B43" s="1">
        <v>2017</v>
      </c>
      <c r="C43" s="80">
        <v>4.0725393956729763E-2</v>
      </c>
      <c r="D43" t="s">
        <v>375</v>
      </c>
    </row>
  </sheetData>
  <mergeCells count="1">
    <mergeCell ref="B2:C2"/>
  </mergeCells>
  <printOptions headings="1"/>
  <pageMargins left="0.7" right="0.7" top="0.75" bottom="0.75" header="0.3" footer="0.3"/>
  <pageSetup orientation="portrait" r:id="rId1"/>
  <headerFooter>
    <oddHeader>&amp;R&amp;Z&amp;F - &amp;A
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71"/>
  <sheetViews>
    <sheetView tabSelected="1" zoomScale="70" zoomScaleNormal="70" workbookViewId="0"/>
  </sheetViews>
  <sheetFormatPr defaultRowHeight="14.25"/>
  <cols>
    <col min="1" max="2" width="8" customWidth="1"/>
    <col min="3" max="3" width="5.875" bestFit="1" customWidth="1"/>
    <col min="4" max="4" width="1.75" customWidth="1"/>
    <col min="5" max="5" width="34.625" customWidth="1"/>
    <col min="6" max="19" width="9" customWidth="1"/>
    <col min="20" max="22" width="8.75" customWidth="1"/>
  </cols>
  <sheetData>
    <row r="2" spans="1:22" ht="27.75">
      <c r="C2" s="140" t="str">
        <f>ElectricU</f>
        <v>Avista Corporation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30"/>
      <c r="T2" s="130"/>
      <c r="U2" s="130"/>
      <c r="V2" s="130"/>
    </row>
    <row r="3" spans="1:22"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</row>
    <row r="4" spans="1:22"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</row>
    <row r="5" spans="1:22" ht="20.25">
      <c r="C5" s="141" t="s">
        <v>273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31"/>
      <c r="T5" s="131"/>
      <c r="U5" s="131"/>
      <c r="V5" s="131"/>
    </row>
    <row r="6" spans="1:22" ht="18">
      <c r="C6" s="142" t="s">
        <v>275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32"/>
      <c r="T6" s="132"/>
      <c r="U6" s="132"/>
      <c r="V6" s="132"/>
    </row>
    <row r="7" spans="1:22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7.25">
      <c r="C9" s="6"/>
      <c r="D9" s="7"/>
      <c r="E9" s="7"/>
      <c r="F9" s="143" t="s">
        <v>404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33"/>
      <c r="T9" s="133"/>
      <c r="U9" s="133"/>
      <c r="V9" s="133"/>
    </row>
    <row r="10" spans="1:22" ht="15">
      <c r="A10" s="42" t="s">
        <v>99</v>
      </c>
      <c r="B10" s="42" t="s">
        <v>241</v>
      </c>
      <c r="C10" s="6"/>
      <c r="D10" s="7"/>
      <c r="E10" s="7"/>
      <c r="F10" s="8" t="s">
        <v>258</v>
      </c>
      <c r="G10" s="117">
        <v>2017</v>
      </c>
      <c r="H10" s="8"/>
      <c r="I10" s="8"/>
      <c r="J10" s="8"/>
      <c r="K10" s="8"/>
      <c r="L10" s="8"/>
      <c r="M10" s="7"/>
      <c r="N10" s="7"/>
      <c r="O10" s="7"/>
      <c r="P10" s="7"/>
      <c r="Q10" s="7"/>
      <c r="R10" s="7"/>
      <c r="S10" s="7"/>
      <c r="T10" s="7"/>
      <c r="U10" s="7"/>
    </row>
    <row r="11" spans="1:22" ht="17.25">
      <c r="A11" s="42" t="s">
        <v>100</v>
      </c>
      <c r="B11" s="42" t="s">
        <v>242</v>
      </c>
      <c r="C11" s="9" t="s">
        <v>96</v>
      </c>
      <c r="D11" s="138" t="s">
        <v>97</v>
      </c>
      <c r="E11" s="138"/>
      <c r="F11" s="10" t="s">
        <v>98</v>
      </c>
      <c r="G11" s="41" t="s">
        <v>318</v>
      </c>
      <c r="H11" s="41">
        <v>2016</v>
      </c>
      <c r="I11" s="41">
        <v>2015</v>
      </c>
      <c r="J11" s="41">
        <v>2014</v>
      </c>
      <c r="K11" s="41">
        <v>2013</v>
      </c>
      <c r="L11" s="41">
        <v>2012</v>
      </c>
      <c r="M11" s="41">
        <v>2011</v>
      </c>
      <c r="N11" s="41">
        <v>2010</v>
      </c>
      <c r="O11" s="41">
        <v>2009</v>
      </c>
      <c r="P11" s="41">
        <v>2008</v>
      </c>
      <c r="Q11" s="41">
        <v>2007</v>
      </c>
      <c r="R11" s="41">
        <v>2006</v>
      </c>
      <c r="S11" s="41"/>
      <c r="T11" s="41"/>
      <c r="U11" s="41"/>
      <c r="V11" s="41"/>
    </row>
    <row r="12" spans="1:22" ht="15">
      <c r="A12" s="42"/>
      <c r="B12" s="42"/>
      <c r="C12" s="9"/>
      <c r="D12" s="129"/>
      <c r="E12" s="129"/>
      <c r="F12" s="12">
        <v>-1</v>
      </c>
      <c r="G12" s="12">
        <f t="shared" ref="G12:R12" si="0">+F12-1</f>
        <v>-2</v>
      </c>
      <c r="H12" s="12">
        <f t="shared" si="0"/>
        <v>-3</v>
      </c>
      <c r="I12" s="12">
        <f t="shared" si="0"/>
        <v>-4</v>
      </c>
      <c r="J12" s="12">
        <f t="shared" si="0"/>
        <v>-5</v>
      </c>
      <c r="K12" s="12">
        <f t="shared" si="0"/>
        <v>-6</v>
      </c>
      <c r="L12" s="12">
        <f t="shared" si="0"/>
        <v>-7</v>
      </c>
      <c r="M12" s="12">
        <f t="shared" si="0"/>
        <v>-8</v>
      </c>
      <c r="N12" s="12">
        <f t="shared" si="0"/>
        <v>-9</v>
      </c>
      <c r="O12" s="12">
        <f t="shared" si="0"/>
        <v>-10</v>
      </c>
      <c r="P12" s="12">
        <f t="shared" si="0"/>
        <v>-11</v>
      </c>
      <c r="Q12" s="12">
        <f t="shared" si="0"/>
        <v>-12</v>
      </c>
      <c r="R12" s="12">
        <f t="shared" si="0"/>
        <v>-13</v>
      </c>
      <c r="S12" s="12"/>
      <c r="T12" s="12"/>
      <c r="U12" s="12"/>
      <c r="V12" s="12"/>
    </row>
    <row r="13" spans="1:22" ht="15">
      <c r="A13" s="43"/>
      <c r="B13" s="44"/>
      <c r="C13" s="9"/>
      <c r="D13" s="14" t="s">
        <v>101</v>
      </c>
      <c r="E13" s="11"/>
      <c r="F13" s="36"/>
      <c r="G13" s="36"/>
      <c r="H13" s="52"/>
      <c r="I13" s="135">
        <f t="shared" ref="I13:R13" ca="1" si="1">MATCH(I11,OFFSET(Dividends,-2,0,1,),0)</f>
        <v>3</v>
      </c>
      <c r="J13" s="135">
        <f t="shared" ca="1" si="1"/>
        <v>4</v>
      </c>
      <c r="K13" s="135">
        <f t="shared" ca="1" si="1"/>
        <v>5</v>
      </c>
      <c r="L13" s="135">
        <f t="shared" ca="1" si="1"/>
        <v>6</v>
      </c>
      <c r="M13" s="135">
        <f t="shared" ca="1" si="1"/>
        <v>7</v>
      </c>
      <c r="N13" s="135">
        <f t="shared" ca="1" si="1"/>
        <v>8</v>
      </c>
      <c r="O13" s="135">
        <f t="shared" ca="1" si="1"/>
        <v>9</v>
      </c>
      <c r="P13" s="135">
        <f t="shared" ca="1" si="1"/>
        <v>10</v>
      </c>
      <c r="Q13" s="135">
        <f t="shared" ca="1" si="1"/>
        <v>11</v>
      </c>
      <c r="R13" s="135">
        <f t="shared" ca="1" si="1"/>
        <v>12</v>
      </c>
      <c r="S13" s="16"/>
      <c r="T13" s="16"/>
      <c r="U13" s="16"/>
      <c r="V13" s="16"/>
    </row>
    <row r="14" spans="1:22">
      <c r="A14" s="45" t="s">
        <v>0</v>
      </c>
      <c r="B14" s="118">
        <f t="shared" ref="B14:B58" ca="1" si="2">IFERROR(MATCH(A14,OFFSET(Dividends,0,0,,1),0),"")</f>
        <v>3</v>
      </c>
      <c r="C14" s="1">
        <f>IF(ISERROR(D14),"",IF(D14="","",MAX($C$13:C13)+1))</f>
        <v>1</v>
      </c>
      <c r="D14" t="str">
        <f t="shared" ref="D14:D58" si="3">VLOOKUP(A14,LUCurYr,2,FALSE)</f>
        <v xml:space="preserve">ALLETE                        </v>
      </c>
      <c r="E14" s="15"/>
      <c r="F14" s="134">
        <f t="shared" ref="F14:F58" ca="1" si="4">IFERROR(AVERAGE(G14:R14),"N/A")</f>
        <v>1.8374999999999997</v>
      </c>
      <c r="G14" s="134">
        <f t="shared" ref="G14:G58" si="5">IFERROR(IF(VLOOKUP(A14,LUCurYr,9,FALSE)=0,"",VLOOKUP(A14,LUCurYr,9,FALSE)),"N/A")</f>
        <v>2.14</v>
      </c>
      <c r="H14" s="134">
        <f ca="1">IFERROR(IF(VLOOKUP($A14,LASTYR,'2016'!$I$3,FALSE)=0,"N/A",VLOOKUP($A14,LASTYR,'2016'!$I$3,FALSE)),"N/A")</f>
        <v>2.08</v>
      </c>
      <c r="I14" s="134">
        <f t="shared" ref="I14:R23" ca="1" si="6">IFERROR(IF(INDEX(Dividends,$B14,I$13)=0,"N/A",INDEX(Dividends,$B14,I$13)),"N/A")</f>
        <v>2.02</v>
      </c>
      <c r="J14" s="134">
        <f t="shared" ca="1" si="6"/>
        <v>1.96</v>
      </c>
      <c r="K14" s="134">
        <f t="shared" ca="1" si="6"/>
        <v>1.9</v>
      </c>
      <c r="L14" s="134">
        <f t="shared" ca="1" si="6"/>
        <v>1.84</v>
      </c>
      <c r="M14" s="134">
        <f t="shared" ca="1" si="6"/>
        <v>1.78</v>
      </c>
      <c r="N14" s="134">
        <f t="shared" ca="1" si="6"/>
        <v>1.76</v>
      </c>
      <c r="O14" s="134">
        <f t="shared" ca="1" si="6"/>
        <v>1.76</v>
      </c>
      <c r="P14" s="134">
        <f t="shared" ca="1" si="6"/>
        <v>1.72</v>
      </c>
      <c r="Q14" s="134">
        <f t="shared" ca="1" si="6"/>
        <v>1.64</v>
      </c>
      <c r="R14" s="134">
        <f t="shared" ca="1" si="6"/>
        <v>1.45</v>
      </c>
      <c r="S14" s="63"/>
      <c r="T14" s="63"/>
      <c r="U14" s="63"/>
      <c r="V14" s="63"/>
    </row>
    <row r="15" spans="1:22">
      <c r="A15" s="45" t="s">
        <v>1</v>
      </c>
      <c r="B15" s="118">
        <f t="shared" ca="1" si="2"/>
        <v>4</v>
      </c>
      <c r="C15" s="1">
        <f>IF(ISERROR(D15),"",IF(D15="","",MAX($C$13:C14)+1))</f>
        <v>2</v>
      </c>
      <c r="D15" t="str">
        <f t="shared" si="3"/>
        <v xml:space="preserve">Alliant Energy                </v>
      </c>
      <c r="E15" s="15"/>
      <c r="F15" s="134">
        <f t="shared" ca="1" si="4"/>
        <v>0.8916666666666665</v>
      </c>
      <c r="G15" s="134">
        <f t="shared" si="5"/>
        <v>1.26</v>
      </c>
      <c r="H15" s="134">
        <f ca="1">IFERROR(IF(VLOOKUP($A15,LASTYR,'2016'!$I$3,FALSE)=0,"N/A",VLOOKUP($A15,LASTYR,'2016'!$I$3,FALSE)),"N/A")</f>
        <v>1.18</v>
      </c>
      <c r="I15" s="134">
        <f t="shared" ca="1" si="6"/>
        <v>1.1000000000000001</v>
      </c>
      <c r="J15" s="134">
        <f t="shared" ca="1" si="6"/>
        <v>1.02</v>
      </c>
      <c r="K15" s="134">
        <f t="shared" ca="1" si="6"/>
        <v>0.94</v>
      </c>
      <c r="L15" s="134">
        <f t="shared" ca="1" si="6"/>
        <v>0.9</v>
      </c>
      <c r="M15" s="134">
        <f t="shared" ca="1" si="6"/>
        <v>0.85</v>
      </c>
      <c r="N15" s="134">
        <f t="shared" ca="1" si="6"/>
        <v>0.79</v>
      </c>
      <c r="O15" s="134">
        <f t="shared" ca="1" si="6"/>
        <v>0.75</v>
      </c>
      <c r="P15" s="134">
        <f t="shared" ca="1" si="6"/>
        <v>0.7</v>
      </c>
      <c r="Q15" s="134">
        <f t="shared" ca="1" si="6"/>
        <v>0.63500000000000001</v>
      </c>
      <c r="R15" s="134">
        <f t="shared" ca="1" si="6"/>
        <v>0.57499999999999996</v>
      </c>
      <c r="S15" s="63"/>
      <c r="T15" s="63"/>
      <c r="U15" s="63"/>
      <c r="V15" s="63"/>
    </row>
    <row r="16" spans="1:22">
      <c r="A16" s="45" t="s">
        <v>3</v>
      </c>
      <c r="B16" s="118">
        <f t="shared" ca="1" si="2"/>
        <v>8</v>
      </c>
      <c r="C16" s="1">
        <f>IF(ISERROR(D16),"",IF(D16="","",MAX($C$13:C15)+1))</f>
        <v>3</v>
      </c>
      <c r="D16" t="str">
        <f t="shared" si="3"/>
        <v xml:space="preserve">Ameren Corp.                  </v>
      </c>
      <c r="E16" s="15"/>
      <c r="F16" s="134">
        <f t="shared" ca="1" si="4"/>
        <v>1.8512499999999996</v>
      </c>
      <c r="G16" s="134">
        <f t="shared" si="5"/>
        <v>1.78</v>
      </c>
      <c r="H16" s="134">
        <f ca="1">IFERROR(IF(VLOOKUP($A16,LASTYR,'2016'!$I$3,FALSE)=0,"N/A",VLOOKUP($A16,LASTYR,'2016'!$I$3,FALSE)),"N/A")</f>
        <v>1.7150000000000001</v>
      </c>
      <c r="I16" s="134">
        <f t="shared" ca="1" si="6"/>
        <v>1.655</v>
      </c>
      <c r="J16" s="134">
        <f t="shared" ca="1" si="6"/>
        <v>1.61</v>
      </c>
      <c r="K16" s="134">
        <f t="shared" ca="1" si="6"/>
        <v>1.6</v>
      </c>
      <c r="L16" s="134">
        <f t="shared" ca="1" si="6"/>
        <v>1.6</v>
      </c>
      <c r="M16" s="134">
        <f t="shared" ca="1" si="6"/>
        <v>1.5549999999999999</v>
      </c>
      <c r="N16" s="134">
        <f t="shared" ca="1" si="6"/>
        <v>1.54</v>
      </c>
      <c r="O16" s="134">
        <f t="shared" ca="1" si="6"/>
        <v>1.54</v>
      </c>
      <c r="P16" s="134">
        <f t="shared" ca="1" si="6"/>
        <v>2.54</v>
      </c>
      <c r="Q16" s="134">
        <f t="shared" ca="1" si="6"/>
        <v>2.54</v>
      </c>
      <c r="R16" s="134">
        <f t="shared" ca="1" si="6"/>
        <v>2.54</v>
      </c>
      <c r="S16" s="63"/>
      <c r="T16" s="63"/>
      <c r="U16" s="63"/>
      <c r="V16" s="63"/>
    </row>
    <row r="17" spans="1:22">
      <c r="A17" s="45" t="s">
        <v>2</v>
      </c>
      <c r="B17" s="118">
        <f t="shared" ca="1" si="2"/>
        <v>5</v>
      </c>
      <c r="C17" s="1">
        <f>IF(ISERROR(D17),"",IF(D17="","",MAX($C$13:C16)+1))</f>
        <v>4</v>
      </c>
      <c r="D17" t="str">
        <f t="shared" si="3"/>
        <v>American Electric Power</v>
      </c>
      <c r="E17" s="15"/>
      <c r="F17" s="134">
        <f t="shared" ca="1" si="4"/>
        <v>1.8824999999999996</v>
      </c>
      <c r="G17" s="134">
        <f t="shared" si="5"/>
        <v>2.39</v>
      </c>
      <c r="H17" s="134">
        <f ca="1">IFERROR(IF(VLOOKUP($A17,LASTYR,'2016'!$I$3,FALSE)=0,"N/A",VLOOKUP($A17,LASTYR,'2016'!$I$3,FALSE)),"N/A")</f>
        <v>2.27</v>
      </c>
      <c r="I17" s="134">
        <f t="shared" ca="1" si="6"/>
        <v>2.15</v>
      </c>
      <c r="J17" s="134">
        <f t="shared" ca="1" si="6"/>
        <v>2.0299999999999998</v>
      </c>
      <c r="K17" s="134">
        <f t="shared" ca="1" si="6"/>
        <v>1.95</v>
      </c>
      <c r="L17" s="134">
        <f t="shared" ca="1" si="6"/>
        <v>1.88</v>
      </c>
      <c r="M17" s="134">
        <f t="shared" ca="1" si="6"/>
        <v>1.85</v>
      </c>
      <c r="N17" s="134">
        <f t="shared" ca="1" si="6"/>
        <v>1.71</v>
      </c>
      <c r="O17" s="134">
        <f t="shared" ca="1" si="6"/>
        <v>1.64</v>
      </c>
      <c r="P17" s="134">
        <f t="shared" ca="1" si="6"/>
        <v>1.64</v>
      </c>
      <c r="Q17" s="134">
        <f t="shared" ca="1" si="6"/>
        <v>1.58</v>
      </c>
      <c r="R17" s="134">
        <f t="shared" ca="1" si="6"/>
        <v>1.5</v>
      </c>
      <c r="S17" s="63"/>
      <c r="T17" s="63"/>
      <c r="U17" s="63"/>
      <c r="V17" s="63"/>
    </row>
    <row r="18" spans="1:22">
      <c r="A18" s="45" t="s">
        <v>261</v>
      </c>
      <c r="B18" s="118">
        <f t="shared" ca="1" si="2"/>
        <v>13</v>
      </c>
      <c r="C18" s="1">
        <f>IF(ISERROR(D18),"",IF(D18="","",MAX($C$13:C17)+1))</f>
        <v>5</v>
      </c>
      <c r="D18" t="str">
        <f t="shared" si="3"/>
        <v>Avangrid, Inc.</v>
      </c>
      <c r="E18" s="15"/>
      <c r="F18" s="134">
        <f t="shared" ca="1" si="4"/>
        <v>1.7290000000000001</v>
      </c>
      <c r="G18" s="134">
        <f t="shared" si="5"/>
        <v>1.73</v>
      </c>
      <c r="H18" s="134">
        <f ca="1">IFERROR(IF(VLOOKUP($A18,LASTYR,'2016'!$I$3,FALSE)=0,"N/A",VLOOKUP($A18,LASTYR,'2016'!$I$3,FALSE)),"N/A")</f>
        <v>1.728</v>
      </c>
      <c r="I18" s="134" t="str">
        <f t="shared" ca="1" si="6"/>
        <v>N/A</v>
      </c>
      <c r="J18" s="134" t="str">
        <f t="shared" ca="1" si="6"/>
        <v>N/A</v>
      </c>
      <c r="K18" s="134" t="str">
        <f t="shared" ca="1" si="6"/>
        <v>N/A</v>
      </c>
      <c r="L18" s="134" t="str">
        <f t="shared" ca="1" si="6"/>
        <v>N/A</v>
      </c>
      <c r="M18" s="134" t="str">
        <f t="shared" ca="1" si="6"/>
        <v>N/A</v>
      </c>
      <c r="N18" s="134" t="str">
        <f t="shared" ca="1" si="6"/>
        <v>N/A</v>
      </c>
      <c r="O18" s="134" t="str">
        <f t="shared" ca="1" si="6"/>
        <v>N/A</v>
      </c>
      <c r="P18" s="134" t="str">
        <f t="shared" ca="1" si="6"/>
        <v>N/A</v>
      </c>
      <c r="Q18" s="134" t="str">
        <f t="shared" ca="1" si="6"/>
        <v>N/A</v>
      </c>
      <c r="R18" s="134" t="str">
        <f t="shared" ca="1" si="6"/>
        <v>N/A</v>
      </c>
      <c r="S18" s="63"/>
      <c r="T18" s="63"/>
      <c r="U18" s="63"/>
      <c r="V18" s="63"/>
    </row>
    <row r="19" spans="1:22">
      <c r="A19" s="45" t="s">
        <v>4</v>
      </c>
      <c r="B19" s="118">
        <f t="shared" ca="1" si="2"/>
        <v>14</v>
      </c>
      <c r="C19" s="1">
        <f>IF(ISERROR(D19),"",IF(D19="","",MAX($C$13:C18)+1))</f>
        <v>6</v>
      </c>
      <c r="D19" t="str">
        <f t="shared" si="3"/>
        <v xml:space="preserve">Avista Corp.                  </v>
      </c>
      <c r="E19" s="15"/>
      <c r="F19" s="134">
        <f t="shared" ca="1" si="4"/>
        <v>1.0445833333333334</v>
      </c>
      <c r="G19" s="134">
        <f t="shared" si="5"/>
        <v>1.43</v>
      </c>
      <c r="H19" s="134">
        <f ca="1">IFERROR(IF(VLOOKUP($A19,LASTYR,'2016'!$I$3,FALSE)=0,"N/A",VLOOKUP($A19,LASTYR,'2016'!$I$3,FALSE)),"N/A")</f>
        <v>1.37</v>
      </c>
      <c r="I19" s="134">
        <f t="shared" ca="1" si="6"/>
        <v>1.32</v>
      </c>
      <c r="J19" s="134">
        <f t="shared" ca="1" si="6"/>
        <v>1.27</v>
      </c>
      <c r="K19" s="134">
        <f t="shared" ca="1" si="6"/>
        <v>1.22</v>
      </c>
      <c r="L19" s="134">
        <f t="shared" ca="1" si="6"/>
        <v>1.1599999999999999</v>
      </c>
      <c r="M19" s="134">
        <f t="shared" ca="1" si="6"/>
        <v>1.1000000000000001</v>
      </c>
      <c r="N19" s="134">
        <f t="shared" ca="1" si="6"/>
        <v>1</v>
      </c>
      <c r="O19" s="134">
        <f t="shared" ca="1" si="6"/>
        <v>0.81</v>
      </c>
      <c r="P19" s="134">
        <f t="shared" ca="1" si="6"/>
        <v>0.69</v>
      </c>
      <c r="Q19" s="134">
        <f t="shared" ca="1" si="6"/>
        <v>0.59499999999999997</v>
      </c>
      <c r="R19" s="134">
        <f t="shared" ca="1" si="6"/>
        <v>0.56999999999999995</v>
      </c>
      <c r="S19" s="63"/>
      <c r="T19" s="63"/>
      <c r="U19" s="63"/>
      <c r="V19" s="63"/>
    </row>
    <row r="20" spans="1:22">
      <c r="A20" s="45" t="s">
        <v>5</v>
      </c>
      <c r="B20" s="118">
        <f t="shared" ca="1" si="2"/>
        <v>15</v>
      </c>
      <c r="C20" s="1">
        <f>IF(ISERROR(D20),"",IF(D20="","",MAX($C$13:C19)+1))</f>
        <v>7</v>
      </c>
      <c r="D20" t="str">
        <f t="shared" si="3"/>
        <v xml:space="preserve">Black Hills                   </v>
      </c>
      <c r="E20" s="15"/>
      <c r="F20" s="134">
        <f t="shared" ca="1" si="4"/>
        <v>1.5041666666666667</v>
      </c>
      <c r="G20" s="134">
        <f t="shared" si="5"/>
        <v>1.78</v>
      </c>
      <c r="H20" s="134">
        <f ca="1">IFERROR(IF(VLOOKUP($A20,LASTYR,'2016'!$I$3,FALSE)=0,"N/A",VLOOKUP($A20,LASTYR,'2016'!$I$3,FALSE)),"N/A")</f>
        <v>1.68</v>
      </c>
      <c r="I20" s="134">
        <f t="shared" ca="1" si="6"/>
        <v>1.62</v>
      </c>
      <c r="J20" s="134">
        <f t="shared" ca="1" si="6"/>
        <v>1.56</v>
      </c>
      <c r="K20" s="134">
        <f t="shared" ca="1" si="6"/>
        <v>1.52</v>
      </c>
      <c r="L20" s="134">
        <f t="shared" ca="1" si="6"/>
        <v>1.48</v>
      </c>
      <c r="M20" s="134">
        <f t="shared" ca="1" si="6"/>
        <v>1.46</v>
      </c>
      <c r="N20" s="134">
        <f t="shared" ca="1" si="6"/>
        <v>1.44</v>
      </c>
      <c r="O20" s="134">
        <f t="shared" ca="1" si="6"/>
        <v>1.42</v>
      </c>
      <c r="P20" s="134">
        <f t="shared" ca="1" si="6"/>
        <v>1.4</v>
      </c>
      <c r="Q20" s="134">
        <f t="shared" ca="1" si="6"/>
        <v>1.37</v>
      </c>
      <c r="R20" s="134">
        <f t="shared" ca="1" si="6"/>
        <v>1.32</v>
      </c>
      <c r="S20" s="63"/>
      <c r="T20" s="63"/>
      <c r="U20" s="63"/>
      <c r="V20" s="63"/>
    </row>
    <row r="21" spans="1:22">
      <c r="A21" s="45" t="s">
        <v>6</v>
      </c>
      <c r="B21" s="118">
        <f t="shared" ca="1" si="2"/>
        <v>17</v>
      </c>
      <c r="C21" s="1">
        <f>IF(ISERROR(D21),"",IF(D21="","",MAX($C$13:C20)+1))</f>
        <v>8</v>
      </c>
      <c r="D21" t="str">
        <f t="shared" si="3"/>
        <v xml:space="preserve">CenterPoint Energy            </v>
      </c>
      <c r="E21" s="15"/>
      <c r="F21" s="134">
        <f t="shared" ca="1" si="4"/>
        <v>0.83499999999999996</v>
      </c>
      <c r="G21" s="134">
        <f t="shared" si="5"/>
        <v>1.07</v>
      </c>
      <c r="H21" s="134">
        <f ca="1">IFERROR(IF(VLOOKUP($A21,LASTYR,'2016'!$I$3,FALSE)=0,"N/A",VLOOKUP($A21,LASTYR,'2016'!$I$3,FALSE)),"N/A")</f>
        <v>1.03</v>
      </c>
      <c r="I21" s="134">
        <f t="shared" ca="1" si="6"/>
        <v>0.99</v>
      </c>
      <c r="J21" s="134">
        <f t="shared" ca="1" si="6"/>
        <v>0.95</v>
      </c>
      <c r="K21" s="134">
        <f t="shared" ca="1" si="6"/>
        <v>0.83</v>
      </c>
      <c r="L21" s="134">
        <f t="shared" ca="1" si="6"/>
        <v>0.81</v>
      </c>
      <c r="M21" s="134">
        <f t="shared" ca="1" si="6"/>
        <v>0.79</v>
      </c>
      <c r="N21" s="134">
        <f t="shared" ca="1" si="6"/>
        <v>0.78</v>
      </c>
      <c r="O21" s="134">
        <f t="shared" ca="1" si="6"/>
        <v>0.76</v>
      </c>
      <c r="P21" s="134">
        <f t="shared" ca="1" si="6"/>
        <v>0.73</v>
      </c>
      <c r="Q21" s="134">
        <f t="shared" ca="1" si="6"/>
        <v>0.68</v>
      </c>
      <c r="R21" s="134">
        <f t="shared" ca="1" si="6"/>
        <v>0.6</v>
      </c>
      <c r="S21" s="63"/>
      <c r="T21" s="63"/>
      <c r="U21" s="63"/>
      <c r="V21" s="63"/>
    </row>
    <row r="22" spans="1:22">
      <c r="A22" s="45" t="s">
        <v>9</v>
      </c>
      <c r="B22" s="118">
        <f t="shared" ca="1" si="2"/>
        <v>19</v>
      </c>
      <c r="C22" s="1">
        <f>IF(ISERROR(D22),"",IF(D22="","",MAX($C$13:C21)+1))</f>
        <v>9</v>
      </c>
      <c r="D22" t="str">
        <f t="shared" si="3"/>
        <v xml:space="preserve">CMS Energy Corp.              </v>
      </c>
      <c r="E22" s="15"/>
      <c r="F22" s="134">
        <f t="shared" ca="1" si="4"/>
        <v>0.84999999999999976</v>
      </c>
      <c r="G22" s="134">
        <f t="shared" si="5"/>
        <v>1.33</v>
      </c>
      <c r="H22" s="134">
        <f ca="1">IFERROR(IF(VLOOKUP($A22,LASTYR,'2016'!$I$3,FALSE)=0,"N/A",VLOOKUP($A22,LASTYR,'2016'!$I$3,FALSE)),"N/A")</f>
        <v>1.24</v>
      </c>
      <c r="I22" s="134">
        <f t="shared" ca="1" si="6"/>
        <v>1.1599999999999999</v>
      </c>
      <c r="J22" s="134">
        <f t="shared" ca="1" si="6"/>
        <v>1.08</v>
      </c>
      <c r="K22" s="134">
        <f t="shared" ca="1" si="6"/>
        <v>1.02</v>
      </c>
      <c r="L22" s="134">
        <f t="shared" ca="1" si="6"/>
        <v>0.96</v>
      </c>
      <c r="M22" s="134">
        <f t="shared" ca="1" si="6"/>
        <v>0.84</v>
      </c>
      <c r="N22" s="134">
        <f t="shared" ca="1" si="6"/>
        <v>0.66</v>
      </c>
      <c r="O22" s="134">
        <f t="shared" ca="1" si="6"/>
        <v>0.5</v>
      </c>
      <c r="P22" s="134">
        <f t="shared" ca="1" si="6"/>
        <v>0.36</v>
      </c>
      <c r="Q22" s="134">
        <f t="shared" ca="1" si="6"/>
        <v>0.2</v>
      </c>
      <c r="R22" s="134" t="str">
        <f t="shared" ca="1" si="6"/>
        <v>N/A</v>
      </c>
      <c r="S22" s="63"/>
      <c r="T22" s="63"/>
      <c r="U22" s="63"/>
      <c r="V22" s="63"/>
    </row>
    <row r="23" spans="1:22">
      <c r="A23" s="45" t="s">
        <v>10</v>
      </c>
      <c r="B23" s="118">
        <f t="shared" ca="1" si="2"/>
        <v>21</v>
      </c>
      <c r="C23" s="1">
        <f>IF(ISERROR(D23),"",IF(D23="","",MAX($C$13:C22)+1))</f>
        <v>10</v>
      </c>
      <c r="D23" t="str">
        <f t="shared" si="3"/>
        <v xml:space="preserve">Consol. Edison                </v>
      </c>
      <c r="E23" s="15"/>
      <c r="F23" s="134">
        <f t="shared" ca="1" si="4"/>
        <v>2.4616666666666664</v>
      </c>
      <c r="G23" s="134">
        <f t="shared" si="5"/>
        <v>2.76</v>
      </c>
      <c r="H23" s="134">
        <f ca="1">IFERROR(IF(VLOOKUP($A23,LASTYR,'2016'!$I$3,FALSE)=0,"N/A",VLOOKUP($A23,LASTYR,'2016'!$I$3,FALSE)),"N/A")</f>
        <v>2.68</v>
      </c>
      <c r="I23" s="134">
        <f t="shared" ca="1" si="6"/>
        <v>2.6</v>
      </c>
      <c r="J23" s="134">
        <f t="shared" ca="1" si="6"/>
        <v>2.52</v>
      </c>
      <c r="K23" s="134">
        <f t="shared" ca="1" si="6"/>
        <v>2.46</v>
      </c>
      <c r="L23" s="134">
        <f t="shared" ca="1" si="6"/>
        <v>2.42</v>
      </c>
      <c r="M23" s="134">
        <f t="shared" ca="1" si="6"/>
        <v>2.4</v>
      </c>
      <c r="N23" s="134">
        <f t="shared" ca="1" si="6"/>
        <v>2.38</v>
      </c>
      <c r="O23" s="134">
        <f t="shared" ca="1" si="6"/>
        <v>2.36</v>
      </c>
      <c r="P23" s="134">
        <f t="shared" ca="1" si="6"/>
        <v>2.34</v>
      </c>
      <c r="Q23" s="134">
        <f t="shared" ca="1" si="6"/>
        <v>2.3199999999999998</v>
      </c>
      <c r="R23" s="134">
        <f t="shared" ca="1" si="6"/>
        <v>2.2999999999999998</v>
      </c>
      <c r="S23" s="63"/>
      <c r="T23" s="63"/>
      <c r="U23" s="63"/>
      <c r="V23" s="63"/>
    </row>
    <row r="24" spans="1:22">
      <c r="A24" s="45" t="s">
        <v>11</v>
      </c>
      <c r="B24" s="118">
        <f t="shared" ca="1" si="2"/>
        <v>24</v>
      </c>
      <c r="C24" s="1">
        <f>IF(ISERROR(D24),"",IF(D24="","",MAX($C$13:C23)+1))</f>
        <v>11</v>
      </c>
      <c r="D24" t="str">
        <f t="shared" si="3"/>
        <v xml:space="preserve">Dominion Resources            </v>
      </c>
      <c r="E24" s="15"/>
      <c r="F24" s="134">
        <f t="shared" ca="1" si="4"/>
        <v>2.0949999999999998</v>
      </c>
      <c r="G24" s="134">
        <f t="shared" si="5"/>
        <v>3.02</v>
      </c>
      <c r="H24" s="134">
        <f ca="1">IFERROR(IF(VLOOKUP($A24,LASTYR,'2016'!$I$3,FALSE)=0,"N/A",VLOOKUP($A24,LASTYR,'2016'!$I$3,FALSE)),"N/A")</f>
        <v>2.8</v>
      </c>
      <c r="I24" s="134">
        <f t="shared" ref="I24:R33" ca="1" si="7">IFERROR(IF(INDEX(Dividends,$B24,I$13)=0,"N/A",INDEX(Dividends,$B24,I$13)),"N/A")</f>
        <v>2.59</v>
      </c>
      <c r="J24" s="134">
        <f t="shared" ca="1" si="7"/>
        <v>2.4</v>
      </c>
      <c r="K24" s="134">
        <f t="shared" ca="1" si="7"/>
        <v>2.25</v>
      </c>
      <c r="L24" s="134">
        <f t="shared" ca="1" si="7"/>
        <v>2.11</v>
      </c>
      <c r="M24" s="134">
        <f t="shared" ca="1" si="7"/>
        <v>1.97</v>
      </c>
      <c r="N24" s="134">
        <f t="shared" ca="1" si="7"/>
        <v>1.83</v>
      </c>
      <c r="O24" s="134">
        <f t="shared" ca="1" si="7"/>
        <v>1.75</v>
      </c>
      <c r="P24" s="134">
        <f t="shared" ca="1" si="7"/>
        <v>1.58</v>
      </c>
      <c r="Q24" s="134">
        <f t="shared" ca="1" si="7"/>
        <v>1.46</v>
      </c>
      <c r="R24" s="134">
        <f t="shared" ca="1" si="7"/>
        <v>1.38</v>
      </c>
      <c r="S24" s="63"/>
      <c r="T24" s="63"/>
      <c r="U24" s="63"/>
      <c r="V24" s="63"/>
    </row>
    <row r="25" spans="1:22">
      <c r="A25" s="45" t="s">
        <v>12</v>
      </c>
      <c r="B25" s="118">
        <f t="shared" ca="1" si="2"/>
        <v>25</v>
      </c>
      <c r="C25" s="1">
        <f>IF(ISERROR(D25),"",IF(D25="","",MAX($C$13:C24)+1))</f>
        <v>12</v>
      </c>
      <c r="D25" t="str">
        <f t="shared" si="3"/>
        <v xml:space="preserve">DTE Energy                    </v>
      </c>
      <c r="E25" s="15"/>
      <c r="F25" s="134">
        <f t="shared" ca="1" si="4"/>
        <v>2.4912500000000004</v>
      </c>
      <c r="G25" s="134">
        <f t="shared" si="5"/>
        <v>3.36</v>
      </c>
      <c r="H25" s="134">
        <f ca="1">IFERROR(IF(VLOOKUP($A25,LASTYR,'2016'!$I$3,FALSE)=0,"N/A",VLOOKUP($A25,LASTYR,'2016'!$I$3,FALSE)),"N/A")</f>
        <v>3.06</v>
      </c>
      <c r="I25" s="134">
        <f t="shared" ca="1" si="7"/>
        <v>2.84</v>
      </c>
      <c r="J25" s="134">
        <f t="shared" ca="1" si="7"/>
        <v>2.69</v>
      </c>
      <c r="K25" s="134">
        <f t="shared" ca="1" si="7"/>
        <v>2.59</v>
      </c>
      <c r="L25" s="134">
        <f t="shared" ca="1" si="7"/>
        <v>2.42</v>
      </c>
      <c r="M25" s="134">
        <f t="shared" ca="1" si="7"/>
        <v>2.3199999999999998</v>
      </c>
      <c r="N25" s="134">
        <f t="shared" ca="1" si="7"/>
        <v>2.1800000000000002</v>
      </c>
      <c r="O25" s="134">
        <f t="shared" ca="1" si="7"/>
        <v>2.12</v>
      </c>
      <c r="P25" s="134">
        <f t="shared" ca="1" si="7"/>
        <v>2.12</v>
      </c>
      <c r="Q25" s="134">
        <f t="shared" ca="1" si="7"/>
        <v>2.12</v>
      </c>
      <c r="R25" s="134">
        <f t="shared" ca="1" si="7"/>
        <v>2.0750000000000002</v>
      </c>
      <c r="S25" s="63"/>
      <c r="T25" s="63"/>
      <c r="U25" s="63"/>
      <c r="V25" s="63"/>
    </row>
    <row r="26" spans="1:22">
      <c r="A26" s="45" t="s">
        <v>13</v>
      </c>
      <c r="B26" s="118">
        <f t="shared" ca="1" si="2"/>
        <v>26</v>
      </c>
      <c r="C26" s="1">
        <f>IF(ISERROR(D26),"",IF(D26="","",MAX($C$13:C25)+1))</f>
        <v>13</v>
      </c>
      <c r="D26" t="str">
        <f t="shared" si="3"/>
        <v xml:space="preserve">Duke Energy                   </v>
      </c>
      <c r="E26" s="15"/>
      <c r="F26" s="134">
        <f t="shared" ca="1" si="4"/>
        <v>3.0309090909090908</v>
      </c>
      <c r="G26" s="134">
        <f t="shared" si="5"/>
        <v>3.49</v>
      </c>
      <c r="H26" s="134">
        <f ca="1">IFERROR(IF(VLOOKUP($A26,LASTYR,'2016'!$I$3,FALSE)=0,"N/A",VLOOKUP($A26,LASTYR,'2016'!$I$3,FALSE)),"N/A")</f>
        <v>3.36</v>
      </c>
      <c r="I26" s="134">
        <f t="shared" ca="1" si="7"/>
        <v>3.24</v>
      </c>
      <c r="J26" s="134">
        <f t="shared" ca="1" si="7"/>
        <v>3.15</v>
      </c>
      <c r="K26" s="134">
        <f t="shared" ca="1" si="7"/>
        <v>3.09</v>
      </c>
      <c r="L26" s="134">
        <f t="shared" ca="1" si="7"/>
        <v>3.03</v>
      </c>
      <c r="M26" s="134">
        <f t="shared" ca="1" si="7"/>
        <v>2.97</v>
      </c>
      <c r="N26" s="134">
        <f t="shared" ca="1" si="7"/>
        <v>2.91</v>
      </c>
      <c r="O26" s="134">
        <f t="shared" ca="1" si="7"/>
        <v>2.82</v>
      </c>
      <c r="P26" s="134">
        <f t="shared" ca="1" si="7"/>
        <v>2.7</v>
      </c>
      <c r="Q26" s="134">
        <f t="shared" ca="1" si="7"/>
        <v>2.58</v>
      </c>
      <c r="R26" s="134" t="str">
        <f t="shared" ca="1" si="7"/>
        <v>N/A</v>
      </c>
      <c r="S26" s="63"/>
      <c r="T26" s="63"/>
      <c r="U26" s="63"/>
      <c r="V26" s="63"/>
    </row>
    <row r="27" spans="1:22">
      <c r="A27" s="45" t="s">
        <v>14</v>
      </c>
      <c r="B27" s="118">
        <f t="shared" ca="1" si="2"/>
        <v>27</v>
      </c>
      <c r="C27" s="1">
        <f>IF(ISERROR(D27),"",IF(D27="","",MAX($C$13:C26)+1))</f>
        <v>14</v>
      </c>
      <c r="D27" t="str">
        <f t="shared" si="3"/>
        <v xml:space="preserve">Edison Int'l                  </v>
      </c>
      <c r="E27" s="15"/>
      <c r="F27" s="134">
        <f t="shared" ca="1" si="4"/>
        <v>1.4487500000000002</v>
      </c>
      <c r="G27" s="134">
        <f t="shared" si="5"/>
        <v>2.21</v>
      </c>
      <c r="H27" s="134">
        <f ca="1">IFERROR(IF(VLOOKUP($A27,LASTYR,'2016'!$I$3,FALSE)=0,"N/A",VLOOKUP($A27,LASTYR,'2016'!$I$3,FALSE)),"N/A")</f>
        <v>1.9830000000000001</v>
      </c>
      <c r="I27" s="134">
        <f t="shared" ca="1" si="7"/>
        <v>1.7330000000000001</v>
      </c>
      <c r="J27" s="134">
        <f t="shared" ca="1" si="7"/>
        <v>1.4830000000000001</v>
      </c>
      <c r="K27" s="134">
        <f t="shared" ca="1" si="7"/>
        <v>1.3680000000000001</v>
      </c>
      <c r="L27" s="134">
        <f t="shared" ca="1" si="7"/>
        <v>1.3129999999999999</v>
      </c>
      <c r="M27" s="134">
        <f t="shared" ca="1" si="7"/>
        <v>1.2849999999999999</v>
      </c>
      <c r="N27" s="134">
        <f t="shared" ca="1" si="7"/>
        <v>1.2649999999999999</v>
      </c>
      <c r="O27" s="134">
        <f t="shared" ca="1" si="7"/>
        <v>1.2450000000000001</v>
      </c>
      <c r="P27" s="134">
        <f t="shared" ca="1" si="7"/>
        <v>1.2250000000000001</v>
      </c>
      <c r="Q27" s="134">
        <f t="shared" ca="1" si="7"/>
        <v>1.175</v>
      </c>
      <c r="R27" s="134">
        <f t="shared" ca="1" si="7"/>
        <v>1.1000000000000001</v>
      </c>
      <c r="S27" s="63"/>
      <c r="T27" s="63"/>
      <c r="U27" s="63"/>
      <c r="V27" s="63"/>
    </row>
    <row r="28" spans="1:22">
      <c r="A28" s="45" t="s">
        <v>15</v>
      </c>
      <c r="B28" s="118">
        <f t="shared" ca="1" si="2"/>
        <v>28</v>
      </c>
      <c r="C28" s="1">
        <f>IF(ISERROR(D28),"",IF(D28="","",MAX($C$13:C27)+1))</f>
        <v>15</v>
      </c>
      <c r="D28" t="str">
        <f t="shared" si="3"/>
        <v xml:space="preserve">El Paso Electric              </v>
      </c>
      <c r="E28" s="15"/>
      <c r="F28" s="134">
        <f t="shared" ca="1" si="4"/>
        <v>1.0699999999999998</v>
      </c>
      <c r="G28" s="134">
        <f t="shared" si="5"/>
        <v>1.32</v>
      </c>
      <c r="H28" s="134">
        <f ca="1">IFERROR(IF(VLOOKUP($A28,LASTYR,'2016'!$I$3,FALSE)=0,"N/A",VLOOKUP($A28,LASTYR,'2016'!$I$3,FALSE)),"N/A")</f>
        <v>1.2250000000000001</v>
      </c>
      <c r="I28" s="134">
        <f t="shared" ca="1" si="7"/>
        <v>1.165</v>
      </c>
      <c r="J28" s="134">
        <f t="shared" ca="1" si="7"/>
        <v>1.105</v>
      </c>
      <c r="K28" s="134">
        <f t="shared" ca="1" si="7"/>
        <v>1.0449999999999999</v>
      </c>
      <c r="L28" s="134">
        <f t="shared" ca="1" si="7"/>
        <v>0.97</v>
      </c>
      <c r="M28" s="134">
        <f t="shared" ca="1" si="7"/>
        <v>0.66</v>
      </c>
      <c r="N28" s="134" t="str">
        <f t="shared" ca="1" si="7"/>
        <v>N/A</v>
      </c>
      <c r="O28" s="134" t="str">
        <f t="shared" ca="1" si="7"/>
        <v>N/A</v>
      </c>
      <c r="P28" s="134" t="str">
        <f t="shared" ca="1" si="7"/>
        <v>N/A</v>
      </c>
      <c r="Q28" s="134" t="str">
        <f t="shared" ca="1" si="7"/>
        <v>N/A</v>
      </c>
      <c r="R28" s="134" t="str">
        <f t="shared" ca="1" si="7"/>
        <v>N/A</v>
      </c>
      <c r="S28" s="63"/>
      <c r="T28" s="63"/>
      <c r="U28" s="63"/>
      <c r="V28" s="63"/>
    </row>
    <row r="29" spans="1:22">
      <c r="A29" s="45" t="s">
        <v>17</v>
      </c>
      <c r="B29" s="118">
        <f t="shared" ca="1" si="2"/>
        <v>29</v>
      </c>
      <c r="C29" s="1">
        <f>IF(ISERROR(D29),"",IF(D29="","",MAX($C$13:C28)+1))</f>
        <v>16</v>
      </c>
      <c r="D29" t="str">
        <f t="shared" si="3"/>
        <v xml:space="preserve">Entergy Corp.                 </v>
      </c>
      <c r="E29" s="15"/>
      <c r="F29" s="134">
        <f t="shared" ca="1" si="4"/>
        <v>3.1266666666666665</v>
      </c>
      <c r="G29" s="134">
        <f t="shared" si="5"/>
        <v>3.5</v>
      </c>
      <c r="H29" s="134">
        <f ca="1">IFERROR(IF(VLOOKUP($A29,LASTYR,'2016'!$I$3,FALSE)=0,"N/A",VLOOKUP($A29,LASTYR,'2016'!$I$3,FALSE)),"N/A")</f>
        <v>3.42</v>
      </c>
      <c r="I29" s="134">
        <f t="shared" ca="1" si="7"/>
        <v>3.34</v>
      </c>
      <c r="J29" s="134">
        <f t="shared" ca="1" si="7"/>
        <v>3.32</v>
      </c>
      <c r="K29" s="134">
        <f t="shared" ca="1" si="7"/>
        <v>3.32</v>
      </c>
      <c r="L29" s="134">
        <f t="shared" ca="1" si="7"/>
        <v>3.32</v>
      </c>
      <c r="M29" s="134">
        <f t="shared" ca="1" si="7"/>
        <v>3.32</v>
      </c>
      <c r="N29" s="134">
        <f t="shared" ca="1" si="7"/>
        <v>3.24</v>
      </c>
      <c r="O29" s="134">
        <f t="shared" ca="1" si="7"/>
        <v>3</v>
      </c>
      <c r="P29" s="134">
        <f t="shared" ca="1" si="7"/>
        <v>3</v>
      </c>
      <c r="Q29" s="134">
        <f t="shared" ca="1" si="7"/>
        <v>2.58</v>
      </c>
      <c r="R29" s="134">
        <f t="shared" ca="1" si="7"/>
        <v>2.16</v>
      </c>
      <c r="S29" s="63"/>
      <c r="T29" s="63"/>
      <c r="U29" s="63"/>
      <c r="V29" s="63"/>
    </row>
    <row r="30" spans="1:22">
      <c r="A30" s="45" t="s">
        <v>211</v>
      </c>
      <c r="B30" s="118">
        <f t="shared" ca="1" si="2"/>
        <v>30</v>
      </c>
      <c r="C30" s="1">
        <f>IF(ISERROR(D30),"",IF(D30="","",MAX($C$13:C29)+1))</f>
        <v>17</v>
      </c>
      <c r="D30" t="str">
        <f t="shared" si="3"/>
        <v xml:space="preserve">Eversource Energy    </v>
      </c>
      <c r="E30" s="15"/>
      <c r="F30" s="134">
        <f t="shared" ca="1" si="4"/>
        <v>1.2591666666666665</v>
      </c>
      <c r="G30" s="134">
        <f t="shared" si="5"/>
        <v>1.9</v>
      </c>
      <c r="H30" s="134">
        <f ca="1">IFERROR(IF(VLOOKUP($A30,LASTYR,'2016'!$I$3,FALSE)=0,"N/A",VLOOKUP($A30,LASTYR,'2016'!$I$3,FALSE)),"N/A")</f>
        <v>1.78</v>
      </c>
      <c r="I30" s="134">
        <f t="shared" ca="1" si="7"/>
        <v>1.67</v>
      </c>
      <c r="J30" s="134">
        <f t="shared" ca="1" si="7"/>
        <v>1.57</v>
      </c>
      <c r="K30" s="134">
        <f t="shared" ca="1" si="7"/>
        <v>1.47</v>
      </c>
      <c r="L30" s="134">
        <f t="shared" ca="1" si="7"/>
        <v>1.32</v>
      </c>
      <c r="M30" s="134">
        <f t="shared" ca="1" si="7"/>
        <v>1.1000000000000001</v>
      </c>
      <c r="N30" s="134">
        <f t="shared" ca="1" si="7"/>
        <v>1.0249999999999999</v>
      </c>
      <c r="O30" s="134">
        <f t="shared" ca="1" si="7"/>
        <v>0.95</v>
      </c>
      <c r="P30" s="134">
        <f t="shared" ca="1" si="7"/>
        <v>0.82499999999999996</v>
      </c>
      <c r="Q30" s="134">
        <f t="shared" ca="1" si="7"/>
        <v>0.77500000000000002</v>
      </c>
      <c r="R30" s="134">
        <f t="shared" ca="1" si="7"/>
        <v>0.72499999999999998</v>
      </c>
      <c r="S30" s="63"/>
      <c r="T30" s="63"/>
      <c r="U30" s="63"/>
      <c r="V30" s="63"/>
    </row>
    <row r="31" spans="1:22">
      <c r="A31" s="45" t="s">
        <v>18</v>
      </c>
      <c r="B31" s="118">
        <f t="shared" ca="1" si="2"/>
        <v>31</v>
      </c>
      <c r="C31" s="1">
        <f>IF(ISERROR(D31),"",IF(D31="","",MAX($C$13:C30)+1))</f>
        <v>18</v>
      </c>
      <c r="D31" t="str">
        <f t="shared" si="3"/>
        <v xml:space="preserve">Exelon Corp.                  </v>
      </c>
      <c r="E31" s="15"/>
      <c r="F31" s="134">
        <f t="shared" ca="1" si="4"/>
        <v>1.7012499999999999</v>
      </c>
      <c r="G31" s="134">
        <f t="shared" si="5"/>
        <v>1.31</v>
      </c>
      <c r="H31" s="134">
        <f ca="1">IFERROR(IF(VLOOKUP($A31,LASTYR,'2016'!$I$3,FALSE)=0,"N/A",VLOOKUP($A31,LASTYR,'2016'!$I$3,FALSE)),"N/A")</f>
        <v>1.26</v>
      </c>
      <c r="I31" s="134">
        <f t="shared" ca="1" si="7"/>
        <v>1.24</v>
      </c>
      <c r="J31" s="134">
        <f t="shared" ca="1" si="7"/>
        <v>1.24</v>
      </c>
      <c r="K31" s="134">
        <f t="shared" ca="1" si="7"/>
        <v>1.4550000000000001</v>
      </c>
      <c r="L31" s="134">
        <f t="shared" ca="1" si="7"/>
        <v>2.1</v>
      </c>
      <c r="M31" s="134">
        <f t="shared" ca="1" si="7"/>
        <v>2.1</v>
      </c>
      <c r="N31" s="134">
        <f t="shared" ca="1" si="7"/>
        <v>2.1</v>
      </c>
      <c r="O31" s="134">
        <f t="shared" ca="1" si="7"/>
        <v>2.1</v>
      </c>
      <c r="P31" s="134">
        <f t="shared" ca="1" si="7"/>
        <v>2.0499999999999998</v>
      </c>
      <c r="Q31" s="134">
        <f t="shared" ca="1" si="7"/>
        <v>1.82</v>
      </c>
      <c r="R31" s="134">
        <f t="shared" ca="1" si="7"/>
        <v>1.64</v>
      </c>
      <c r="S31" s="63"/>
      <c r="T31" s="63"/>
      <c r="U31" s="63"/>
      <c r="V31" s="63"/>
    </row>
    <row r="32" spans="1:22">
      <c r="A32" s="45" t="s">
        <v>19</v>
      </c>
      <c r="B32" s="118">
        <f t="shared" ca="1" si="2"/>
        <v>32</v>
      </c>
      <c r="C32" s="1">
        <f>IF(ISERROR(D32),"",IF(D32="","",MAX($C$13:C31)+1))</f>
        <v>19</v>
      </c>
      <c r="D32" t="str">
        <f t="shared" si="3"/>
        <v xml:space="preserve">FirstEnergy Corp.             </v>
      </c>
      <c r="E32" s="15"/>
      <c r="F32" s="134">
        <f t="shared" ca="1" si="4"/>
        <v>1.8591666666666666</v>
      </c>
      <c r="G32" s="134">
        <f t="shared" si="5"/>
        <v>1.44</v>
      </c>
      <c r="H32" s="134">
        <f ca="1">IFERROR(IF(VLOOKUP($A32,LASTYR,'2016'!$I$3,FALSE)=0,"N/A",VLOOKUP($A32,LASTYR,'2016'!$I$3,FALSE)),"N/A")</f>
        <v>1.44</v>
      </c>
      <c r="I32" s="134">
        <f t="shared" ca="1" si="7"/>
        <v>1.44</v>
      </c>
      <c r="J32" s="134">
        <f t="shared" ca="1" si="7"/>
        <v>1.44</v>
      </c>
      <c r="K32" s="134">
        <f t="shared" ca="1" si="7"/>
        <v>1.65</v>
      </c>
      <c r="L32" s="134">
        <f t="shared" ca="1" si="7"/>
        <v>2.2000000000000002</v>
      </c>
      <c r="M32" s="134">
        <f t="shared" ca="1" si="7"/>
        <v>2.2000000000000002</v>
      </c>
      <c r="N32" s="134">
        <f t="shared" ca="1" si="7"/>
        <v>2.2000000000000002</v>
      </c>
      <c r="O32" s="134">
        <f t="shared" ca="1" si="7"/>
        <v>2.2000000000000002</v>
      </c>
      <c r="P32" s="134">
        <f t="shared" ca="1" si="7"/>
        <v>2.2000000000000002</v>
      </c>
      <c r="Q32" s="134">
        <f t="shared" ca="1" si="7"/>
        <v>2.0499999999999998</v>
      </c>
      <c r="R32" s="134">
        <f t="shared" ca="1" si="7"/>
        <v>1.85</v>
      </c>
      <c r="S32" s="63"/>
      <c r="T32" s="63"/>
      <c r="U32" s="63"/>
      <c r="V32" s="63"/>
    </row>
    <row r="33" spans="1:22">
      <c r="A33" s="45" t="s">
        <v>267</v>
      </c>
      <c r="B33" s="118">
        <f t="shared" ca="1" si="2"/>
        <v>33</v>
      </c>
      <c r="C33" s="1">
        <f>IF(ISERROR(D33),"",IF(D33="","",MAX($C$13:C32)+1))</f>
        <v>20</v>
      </c>
      <c r="D33" t="str">
        <f t="shared" si="3"/>
        <v>Fortis Inc.</v>
      </c>
      <c r="E33" s="15"/>
      <c r="F33" s="134">
        <f t="shared" ca="1" si="4"/>
        <v>1.1841666666666666</v>
      </c>
      <c r="G33" s="134">
        <f t="shared" si="5"/>
        <v>1.65</v>
      </c>
      <c r="H33" s="134">
        <f ca="1">IFERROR(IF(VLOOKUP($A33,LASTYR,'2016'!$I$3,FALSE)=0,"N/A",VLOOKUP($A33,LASTYR,'2016'!$I$3,FALSE)),"N/A")</f>
        <v>1.55</v>
      </c>
      <c r="I33" s="134">
        <f t="shared" ca="1" si="7"/>
        <v>1.43</v>
      </c>
      <c r="J33" s="134">
        <f t="shared" ca="1" si="7"/>
        <v>1.3</v>
      </c>
      <c r="K33" s="134">
        <f t="shared" ca="1" si="7"/>
        <v>1.25</v>
      </c>
      <c r="L33" s="134">
        <f t="shared" ca="1" si="7"/>
        <v>1.21</v>
      </c>
      <c r="M33" s="134">
        <f t="shared" ca="1" si="7"/>
        <v>1.17</v>
      </c>
      <c r="N33" s="134">
        <f t="shared" ca="1" si="7"/>
        <v>1.1200000000000001</v>
      </c>
      <c r="O33" s="134">
        <f t="shared" ca="1" si="7"/>
        <v>1.04</v>
      </c>
      <c r="P33" s="134">
        <f t="shared" ca="1" si="7"/>
        <v>1</v>
      </c>
      <c r="Q33" s="134">
        <f t="shared" ca="1" si="7"/>
        <v>0.82</v>
      </c>
      <c r="R33" s="134">
        <f t="shared" ca="1" si="7"/>
        <v>0.67</v>
      </c>
      <c r="S33" s="63"/>
      <c r="T33" s="63"/>
      <c r="U33" s="63"/>
      <c r="V33" s="63"/>
    </row>
    <row r="34" spans="1:22">
      <c r="A34" s="45" t="s">
        <v>20</v>
      </c>
      <c r="B34" s="118">
        <f t="shared" ca="1" si="2"/>
        <v>35</v>
      </c>
      <c r="C34" s="1">
        <f>IF(ISERROR(D34),"",IF(D34="","",MAX($C$13:C33)+1))</f>
        <v>21</v>
      </c>
      <c r="D34" t="str">
        <f t="shared" si="3"/>
        <v xml:space="preserve">Great Plains Energy             </v>
      </c>
      <c r="E34" s="15"/>
      <c r="F34" s="134">
        <f t="shared" ca="1" si="4"/>
        <v>1.1100000000000001</v>
      </c>
      <c r="G34" s="134">
        <f t="shared" si="5"/>
        <v>1.1200000000000001</v>
      </c>
      <c r="H34" s="134">
        <f ca="1">IFERROR(IF(VLOOKUP($A34,LASTYR,'2016'!$I$3,FALSE)=0,"N/A",VLOOKUP($A34,LASTYR,'2016'!$I$3,FALSE)),"N/A")</f>
        <v>1.0549999999999999</v>
      </c>
      <c r="I34" s="134">
        <f t="shared" ref="I34:R43" ca="1" si="8">IFERROR(IF(INDEX(Dividends,$B34,I$13)=0,"N/A",INDEX(Dividends,$B34,I$13)),"N/A")</f>
        <v>0.998</v>
      </c>
      <c r="J34" s="134">
        <f t="shared" ca="1" si="8"/>
        <v>0.93500000000000005</v>
      </c>
      <c r="K34" s="134">
        <f t="shared" ca="1" si="8"/>
        <v>0.88200000000000001</v>
      </c>
      <c r="L34" s="134">
        <f t="shared" ca="1" si="8"/>
        <v>0.85499999999999998</v>
      </c>
      <c r="M34" s="134">
        <f t="shared" ca="1" si="8"/>
        <v>0.83499999999999996</v>
      </c>
      <c r="N34" s="134">
        <f t="shared" ca="1" si="8"/>
        <v>0.83</v>
      </c>
      <c r="O34" s="134">
        <f t="shared" ca="1" si="8"/>
        <v>0.83</v>
      </c>
      <c r="P34" s="134">
        <f t="shared" ca="1" si="8"/>
        <v>1.66</v>
      </c>
      <c r="Q34" s="134">
        <f t="shared" ca="1" si="8"/>
        <v>1.66</v>
      </c>
      <c r="R34" s="134">
        <f t="shared" ca="1" si="8"/>
        <v>1.66</v>
      </c>
      <c r="S34" s="63"/>
      <c r="T34" s="63"/>
      <c r="U34" s="63"/>
      <c r="V34" s="63"/>
    </row>
    <row r="35" spans="1:22">
      <c r="A35" s="45" t="s">
        <v>21</v>
      </c>
      <c r="B35" s="118">
        <f t="shared" ca="1" si="2"/>
        <v>36</v>
      </c>
      <c r="C35" s="1">
        <f>IF(ISERROR(D35),"",IF(D35="","",MAX($C$13:C34)+1))</f>
        <v>22</v>
      </c>
      <c r="D35" t="str">
        <f t="shared" si="3"/>
        <v xml:space="preserve">Hawaiian Elec.                </v>
      </c>
      <c r="E35" s="15"/>
      <c r="F35" s="134">
        <f t="shared" ca="1" si="4"/>
        <v>1.24</v>
      </c>
      <c r="G35" s="134">
        <f t="shared" si="5"/>
        <v>1.24</v>
      </c>
      <c r="H35" s="134">
        <f ca="1">IFERROR(IF(VLOOKUP($A35,LASTYR,'2016'!$I$3,FALSE)=0,"N/A",VLOOKUP($A35,LASTYR,'2016'!$I$3,FALSE)),"N/A")</f>
        <v>1.24</v>
      </c>
      <c r="I35" s="134">
        <f t="shared" ca="1" si="8"/>
        <v>1.24</v>
      </c>
      <c r="J35" s="134">
        <f t="shared" ca="1" si="8"/>
        <v>1.24</v>
      </c>
      <c r="K35" s="134">
        <f t="shared" ca="1" si="8"/>
        <v>1.24</v>
      </c>
      <c r="L35" s="134">
        <f t="shared" ca="1" si="8"/>
        <v>1.24</v>
      </c>
      <c r="M35" s="134">
        <f t="shared" ca="1" si="8"/>
        <v>1.24</v>
      </c>
      <c r="N35" s="134">
        <f t="shared" ca="1" si="8"/>
        <v>1.24</v>
      </c>
      <c r="O35" s="134">
        <f t="shared" ca="1" si="8"/>
        <v>1.24</v>
      </c>
      <c r="P35" s="134">
        <f t="shared" ca="1" si="8"/>
        <v>1.24</v>
      </c>
      <c r="Q35" s="134">
        <f t="shared" ca="1" si="8"/>
        <v>1.24</v>
      </c>
      <c r="R35" s="134">
        <f t="shared" ca="1" si="8"/>
        <v>1.24</v>
      </c>
      <c r="S35" s="63"/>
      <c r="T35" s="63"/>
      <c r="U35" s="63"/>
      <c r="V35" s="63"/>
    </row>
    <row r="36" spans="1:22">
      <c r="A36" s="45" t="s">
        <v>22</v>
      </c>
      <c r="B36" s="118">
        <f t="shared" ca="1" si="2"/>
        <v>37</v>
      </c>
      <c r="C36" s="1">
        <f>IF(ISERROR(D36),"",IF(D36="","",MAX($C$13:C35)+1))</f>
        <v>23</v>
      </c>
      <c r="D36" t="str">
        <f t="shared" si="3"/>
        <v xml:space="preserve">IDACORP, Inc.                 </v>
      </c>
      <c r="E36" s="15"/>
      <c r="F36" s="134">
        <f t="shared" ca="1" si="4"/>
        <v>1.5116666666666665</v>
      </c>
      <c r="G36" s="134">
        <f t="shared" si="5"/>
        <v>2.2400000000000002</v>
      </c>
      <c r="H36" s="134">
        <f ca="1">IFERROR(IF(VLOOKUP($A36,LASTYR,'2016'!$I$3,FALSE)=0,"N/A",VLOOKUP($A36,LASTYR,'2016'!$I$3,FALSE)),"N/A")</f>
        <v>2.08</v>
      </c>
      <c r="I36" s="134">
        <f t="shared" ca="1" si="8"/>
        <v>1.92</v>
      </c>
      <c r="J36" s="134">
        <f t="shared" ca="1" si="8"/>
        <v>1.76</v>
      </c>
      <c r="K36" s="134">
        <f t="shared" ca="1" si="8"/>
        <v>1.57</v>
      </c>
      <c r="L36" s="134">
        <f t="shared" ca="1" si="8"/>
        <v>1.37</v>
      </c>
      <c r="M36" s="134">
        <f t="shared" ca="1" si="8"/>
        <v>1.2</v>
      </c>
      <c r="N36" s="134">
        <f t="shared" ca="1" si="8"/>
        <v>1.2</v>
      </c>
      <c r="O36" s="134">
        <f t="shared" ca="1" si="8"/>
        <v>1.2</v>
      </c>
      <c r="P36" s="134">
        <f t="shared" ca="1" si="8"/>
        <v>1.2</v>
      </c>
      <c r="Q36" s="134">
        <f t="shared" ca="1" si="8"/>
        <v>1.2</v>
      </c>
      <c r="R36" s="134">
        <f t="shared" ca="1" si="8"/>
        <v>1.2</v>
      </c>
      <c r="S36" s="63"/>
      <c r="T36" s="63"/>
      <c r="U36" s="63"/>
      <c r="V36" s="63"/>
    </row>
    <row r="37" spans="1:22">
      <c r="A37" s="45" t="s">
        <v>25</v>
      </c>
      <c r="B37" s="118">
        <f t="shared" ca="1" si="2"/>
        <v>38</v>
      </c>
      <c r="C37" s="1">
        <f>IF(ISERROR(D37),"",IF(D37="","",MAX($C$13:C36)+1))</f>
        <v>24</v>
      </c>
      <c r="D37" t="str">
        <f t="shared" si="3"/>
        <v xml:space="preserve">MGE Energy                    </v>
      </c>
      <c r="E37" s="15"/>
      <c r="F37" s="134">
        <f t="shared" ca="1" si="4"/>
        <v>1.0541666666666667</v>
      </c>
      <c r="G37" s="134">
        <f t="shared" si="5"/>
        <v>1.26</v>
      </c>
      <c r="H37" s="134">
        <f ca="1">IFERROR(IF(VLOOKUP($A37,LASTYR,'2016'!$I$3,FALSE)=0,"N/A",VLOOKUP($A37,LASTYR,'2016'!$I$3,FALSE)),"N/A")</f>
        <v>1.21</v>
      </c>
      <c r="I37" s="134">
        <f t="shared" ca="1" si="8"/>
        <v>1.1599999999999999</v>
      </c>
      <c r="J37" s="134">
        <f t="shared" ca="1" si="8"/>
        <v>1.1100000000000001</v>
      </c>
      <c r="K37" s="134">
        <f t="shared" ca="1" si="8"/>
        <v>1.07</v>
      </c>
      <c r="L37" s="134">
        <f t="shared" ca="1" si="8"/>
        <v>1.04</v>
      </c>
      <c r="M37" s="134">
        <f t="shared" ca="1" si="8"/>
        <v>1.0109999999999999</v>
      </c>
      <c r="N37" s="134">
        <f t="shared" ca="1" si="8"/>
        <v>0.99299999999999999</v>
      </c>
      <c r="O37" s="134">
        <f t="shared" ca="1" si="8"/>
        <v>0.97299999999999998</v>
      </c>
      <c r="P37" s="134">
        <f t="shared" ca="1" si="8"/>
        <v>0.95599999999999996</v>
      </c>
      <c r="Q37" s="134">
        <f t="shared" ca="1" si="8"/>
        <v>0.94</v>
      </c>
      <c r="R37" s="134">
        <f t="shared" ca="1" si="8"/>
        <v>0.92700000000000005</v>
      </c>
      <c r="S37" s="63"/>
      <c r="T37" s="63"/>
      <c r="U37" s="63"/>
      <c r="V37" s="63"/>
    </row>
    <row r="38" spans="1:22">
      <c r="A38" s="45" t="s">
        <v>141</v>
      </c>
      <c r="B38" s="118">
        <f t="shared" ca="1" si="2"/>
        <v>41</v>
      </c>
      <c r="C38" s="1">
        <f>IF(ISERROR(D38),"",IF(D38="","",MAX($C$13:C37)+1))</f>
        <v>25</v>
      </c>
      <c r="D38" t="str">
        <f t="shared" si="3"/>
        <v>NextEra Energy, Inc.</v>
      </c>
      <c r="E38" s="15"/>
      <c r="F38" s="134">
        <f t="shared" ca="1" si="4"/>
        <v>2.4533333333333336</v>
      </c>
      <c r="G38" s="134">
        <f t="shared" si="5"/>
        <v>3.93</v>
      </c>
      <c r="H38" s="134">
        <f ca="1">IFERROR(IF(VLOOKUP($A38,LASTYR,'2016'!$I$3,FALSE)=0,"N/A",VLOOKUP($A38,LASTYR,'2016'!$I$3,FALSE)),"N/A")</f>
        <v>3.48</v>
      </c>
      <c r="I38" s="134">
        <f t="shared" ca="1" si="8"/>
        <v>3.08</v>
      </c>
      <c r="J38" s="134">
        <f t="shared" ca="1" si="8"/>
        <v>2.9</v>
      </c>
      <c r="K38" s="134">
        <f t="shared" ca="1" si="8"/>
        <v>2.64</v>
      </c>
      <c r="L38" s="134">
        <f t="shared" ca="1" si="8"/>
        <v>2.4</v>
      </c>
      <c r="M38" s="134">
        <f t="shared" ca="1" si="8"/>
        <v>2.2000000000000002</v>
      </c>
      <c r="N38" s="134">
        <f t="shared" ca="1" si="8"/>
        <v>2</v>
      </c>
      <c r="O38" s="134">
        <f t="shared" ca="1" si="8"/>
        <v>1.89</v>
      </c>
      <c r="P38" s="134">
        <f t="shared" ca="1" si="8"/>
        <v>1.78</v>
      </c>
      <c r="Q38" s="134">
        <f t="shared" ca="1" si="8"/>
        <v>1.64</v>
      </c>
      <c r="R38" s="134">
        <f t="shared" ca="1" si="8"/>
        <v>1.5</v>
      </c>
      <c r="S38" s="63"/>
      <c r="T38" s="63"/>
      <c r="U38" s="63"/>
      <c r="V38" s="63"/>
    </row>
    <row r="39" spans="1:22">
      <c r="A39" s="45" t="s">
        <v>144</v>
      </c>
      <c r="B39" s="118">
        <f t="shared" ca="1" si="2"/>
        <v>44</v>
      </c>
      <c r="C39" s="1">
        <f>IF(ISERROR(D39),"",IF(D39="","",MAX($C$13:C38)+1))</f>
        <v>26</v>
      </c>
      <c r="D39" t="str">
        <f t="shared" si="3"/>
        <v xml:space="preserve">NorthWestern Corp             </v>
      </c>
      <c r="E39" s="15"/>
      <c r="F39" s="134">
        <f t="shared" ca="1" si="4"/>
        <v>1.5499999999999998</v>
      </c>
      <c r="G39" s="134">
        <f t="shared" si="5"/>
        <v>2.1</v>
      </c>
      <c r="H39" s="134">
        <f ca="1">IFERROR(IF(VLOOKUP($A39,LASTYR,'2016'!$I$3,FALSE)=0,"N/A",VLOOKUP($A39,LASTYR,'2016'!$I$3,FALSE)),"N/A")</f>
        <v>2</v>
      </c>
      <c r="I39" s="134">
        <f t="shared" ca="1" si="8"/>
        <v>1.92</v>
      </c>
      <c r="J39" s="134">
        <f t="shared" ca="1" si="8"/>
        <v>1.6</v>
      </c>
      <c r="K39" s="134">
        <f t="shared" ca="1" si="8"/>
        <v>1.52</v>
      </c>
      <c r="L39" s="134">
        <f t="shared" ca="1" si="8"/>
        <v>1.48</v>
      </c>
      <c r="M39" s="134">
        <f t="shared" ca="1" si="8"/>
        <v>1.44</v>
      </c>
      <c r="N39" s="134">
        <f t="shared" ca="1" si="8"/>
        <v>1.36</v>
      </c>
      <c r="O39" s="134">
        <f t="shared" ca="1" si="8"/>
        <v>1.34</v>
      </c>
      <c r="P39" s="134">
        <f t="shared" ca="1" si="8"/>
        <v>1.32</v>
      </c>
      <c r="Q39" s="134">
        <f t="shared" ca="1" si="8"/>
        <v>1.28</v>
      </c>
      <c r="R39" s="134">
        <f t="shared" ca="1" si="8"/>
        <v>1.24</v>
      </c>
      <c r="S39" s="63"/>
      <c r="T39" s="63"/>
      <c r="U39" s="63"/>
      <c r="V39" s="63"/>
    </row>
    <row r="40" spans="1:22">
      <c r="A40" s="45" t="s">
        <v>27</v>
      </c>
      <c r="B40" s="118">
        <f t="shared" ca="1" si="2"/>
        <v>45</v>
      </c>
      <c r="C40" s="1">
        <f>IF(ISERROR(D40),"",IF(D40="","",MAX($C$13:C39)+1))</f>
        <v>27</v>
      </c>
      <c r="D40" t="str">
        <f t="shared" si="3"/>
        <v xml:space="preserve">OGE Energy                    </v>
      </c>
      <c r="E40" s="15"/>
      <c r="F40" s="134">
        <f t="shared" ca="1" si="4"/>
        <v>0.86091666666666666</v>
      </c>
      <c r="G40" s="134">
        <f t="shared" si="5"/>
        <v>1.27</v>
      </c>
      <c r="H40" s="134">
        <f ca="1">IFERROR(IF(VLOOKUP($A40,LASTYR,'2016'!$I$3,FALSE)=0,"N/A",VLOOKUP($A40,LASTYR,'2016'!$I$3,FALSE)),"N/A")</f>
        <v>1.155</v>
      </c>
      <c r="I40" s="134">
        <f t="shared" ca="1" si="8"/>
        <v>1.05</v>
      </c>
      <c r="J40" s="134">
        <f t="shared" ca="1" si="8"/>
        <v>0.95</v>
      </c>
      <c r="K40" s="134">
        <f t="shared" ca="1" si="8"/>
        <v>0.85099999999999998</v>
      </c>
      <c r="L40" s="134">
        <f t="shared" ca="1" si="8"/>
        <v>0.79800000000000004</v>
      </c>
      <c r="M40" s="134">
        <f t="shared" ca="1" si="8"/>
        <v>0.75900000000000001</v>
      </c>
      <c r="N40" s="134">
        <f t="shared" ca="1" si="8"/>
        <v>0.73199999999999998</v>
      </c>
      <c r="O40" s="134">
        <f t="shared" ca="1" si="8"/>
        <v>0.71399999999999997</v>
      </c>
      <c r="P40" s="134">
        <f t="shared" ca="1" si="8"/>
        <v>0.69899999999999995</v>
      </c>
      <c r="Q40" s="134">
        <f t="shared" ca="1" si="8"/>
        <v>0.68400000000000005</v>
      </c>
      <c r="R40" s="134">
        <f t="shared" ca="1" si="8"/>
        <v>0.66900000000000004</v>
      </c>
      <c r="S40" s="63"/>
      <c r="T40" s="63"/>
      <c r="U40" s="63"/>
      <c r="V40" s="63"/>
    </row>
    <row r="41" spans="1:22">
      <c r="A41" s="45" t="s">
        <v>28</v>
      </c>
      <c r="B41" s="118">
        <f t="shared" ca="1" si="2"/>
        <v>47</v>
      </c>
      <c r="C41" s="1">
        <f>IF(ISERROR(D41),"",IF(D41="","",MAX($C$13:C40)+1))</f>
        <v>28</v>
      </c>
      <c r="D41" t="str">
        <f t="shared" si="3"/>
        <v xml:space="preserve">Otter Tail Corp.              </v>
      </c>
      <c r="E41" s="15"/>
      <c r="F41" s="134">
        <f t="shared" ca="1" si="4"/>
        <v>1.2024999999999999</v>
      </c>
      <c r="G41" s="134">
        <f t="shared" si="5"/>
        <v>1.28</v>
      </c>
      <c r="H41" s="134">
        <f ca="1">IFERROR(IF(VLOOKUP($A41,LASTYR,'2016'!$I$3,FALSE)=0,"N/A",VLOOKUP($A41,LASTYR,'2016'!$I$3,FALSE)),"N/A")</f>
        <v>1.25</v>
      </c>
      <c r="I41" s="134">
        <f t="shared" ca="1" si="8"/>
        <v>1.23</v>
      </c>
      <c r="J41" s="134">
        <f t="shared" ca="1" si="8"/>
        <v>1.21</v>
      </c>
      <c r="K41" s="134">
        <f t="shared" ca="1" si="8"/>
        <v>1.19</v>
      </c>
      <c r="L41" s="134">
        <f t="shared" ca="1" si="8"/>
        <v>1.19</v>
      </c>
      <c r="M41" s="134">
        <f t="shared" ca="1" si="8"/>
        <v>1.19</v>
      </c>
      <c r="N41" s="134">
        <f t="shared" ca="1" si="8"/>
        <v>1.19</v>
      </c>
      <c r="O41" s="134">
        <f t="shared" ca="1" si="8"/>
        <v>1.19</v>
      </c>
      <c r="P41" s="134">
        <f t="shared" ca="1" si="8"/>
        <v>1.19</v>
      </c>
      <c r="Q41" s="134">
        <f t="shared" ca="1" si="8"/>
        <v>1.17</v>
      </c>
      <c r="R41" s="134">
        <f t="shared" ca="1" si="8"/>
        <v>1.1499999999999999</v>
      </c>
      <c r="S41" s="63"/>
      <c r="T41" s="63"/>
      <c r="U41" s="63"/>
      <c r="V41" s="63"/>
    </row>
    <row r="42" spans="1:22">
      <c r="A42" s="45" t="s">
        <v>30</v>
      </c>
      <c r="B42" s="118">
        <f t="shared" ca="1" si="2"/>
        <v>48</v>
      </c>
      <c r="C42" s="1">
        <f>IF(ISERROR(D42),"",IF(D42="","",MAX($C$13:C41)+1))</f>
        <v>29</v>
      </c>
      <c r="D42" t="str">
        <f t="shared" si="3"/>
        <v xml:space="preserve">PG&amp;E Corp.                    </v>
      </c>
      <c r="E42" s="15"/>
      <c r="F42" s="134">
        <f t="shared" ca="1" si="4"/>
        <v>1.7437500000000001</v>
      </c>
      <c r="G42" s="134">
        <f t="shared" si="5"/>
        <v>2.08</v>
      </c>
      <c r="H42" s="134">
        <f ca="1">IFERROR(IF(VLOOKUP($A42,LASTYR,'2016'!$I$3,FALSE)=0,"N/A",VLOOKUP($A42,LASTYR,'2016'!$I$3,FALSE)),"N/A")</f>
        <v>1.925</v>
      </c>
      <c r="I42" s="134">
        <f t="shared" ca="1" si="8"/>
        <v>1.82</v>
      </c>
      <c r="J42" s="134">
        <f t="shared" ca="1" si="8"/>
        <v>1.82</v>
      </c>
      <c r="K42" s="134">
        <f t="shared" ca="1" si="8"/>
        <v>1.82</v>
      </c>
      <c r="L42" s="134">
        <f t="shared" ca="1" si="8"/>
        <v>1.82</v>
      </c>
      <c r="M42" s="134">
        <f t="shared" ca="1" si="8"/>
        <v>1.82</v>
      </c>
      <c r="N42" s="134">
        <f t="shared" ca="1" si="8"/>
        <v>1.82</v>
      </c>
      <c r="O42" s="134">
        <f t="shared" ca="1" si="8"/>
        <v>1.68</v>
      </c>
      <c r="P42" s="134">
        <f t="shared" ca="1" si="8"/>
        <v>1.56</v>
      </c>
      <c r="Q42" s="134">
        <f t="shared" ca="1" si="8"/>
        <v>1.44</v>
      </c>
      <c r="R42" s="134">
        <f t="shared" ca="1" si="8"/>
        <v>1.32</v>
      </c>
      <c r="S42" s="63"/>
      <c r="T42" s="63"/>
      <c r="U42" s="63"/>
      <c r="V42" s="63"/>
    </row>
    <row r="43" spans="1:22">
      <c r="A43" s="45" t="s">
        <v>31</v>
      </c>
      <c r="B43" s="118">
        <f t="shared" ca="1" si="2"/>
        <v>49</v>
      </c>
      <c r="C43" s="1">
        <f>IF(ISERROR(D43),"",IF(D43="","",MAX($C$13:C42)+1))</f>
        <v>30</v>
      </c>
      <c r="D43" t="str">
        <f t="shared" si="3"/>
        <v xml:space="preserve">Pinnacle West Capital         </v>
      </c>
      <c r="E43" s="15"/>
      <c r="F43" s="134">
        <f t="shared" ca="1" si="4"/>
        <v>2.2854166666666669</v>
      </c>
      <c r="G43" s="134">
        <f t="shared" si="5"/>
        <v>2.68</v>
      </c>
      <c r="H43" s="134">
        <f ca="1">IFERROR(IF(VLOOKUP($A43,LASTYR,'2016'!$I$3,FALSE)=0,"N/A",VLOOKUP($A43,LASTYR,'2016'!$I$3,FALSE)),"N/A")</f>
        <v>2.56</v>
      </c>
      <c r="I43" s="134">
        <f t="shared" ca="1" si="8"/>
        <v>2.44</v>
      </c>
      <c r="J43" s="134">
        <f t="shared" ca="1" si="8"/>
        <v>2.3250000000000002</v>
      </c>
      <c r="K43" s="134">
        <f t="shared" ca="1" si="8"/>
        <v>2.2250000000000001</v>
      </c>
      <c r="L43" s="134">
        <f t="shared" ca="1" si="8"/>
        <v>2.67</v>
      </c>
      <c r="M43" s="134">
        <f t="shared" ca="1" si="8"/>
        <v>2.1</v>
      </c>
      <c r="N43" s="134">
        <f t="shared" ca="1" si="8"/>
        <v>2.1</v>
      </c>
      <c r="O43" s="134">
        <f t="shared" ca="1" si="8"/>
        <v>2.1</v>
      </c>
      <c r="P43" s="134">
        <f t="shared" ca="1" si="8"/>
        <v>2.1</v>
      </c>
      <c r="Q43" s="134">
        <f t="shared" ca="1" si="8"/>
        <v>2.1</v>
      </c>
      <c r="R43" s="134">
        <f t="shared" ca="1" si="8"/>
        <v>2.0249999999999999</v>
      </c>
      <c r="S43" s="63"/>
      <c r="T43" s="63"/>
      <c r="U43" s="63"/>
      <c r="V43" s="63"/>
    </row>
    <row r="44" spans="1:22">
      <c r="A44" s="45" t="s">
        <v>32</v>
      </c>
      <c r="B44" s="118">
        <f t="shared" ca="1" si="2"/>
        <v>50</v>
      </c>
      <c r="C44" s="1">
        <f>IF(ISERROR(D44),"",IF(D44="","",MAX($C$13:C43)+1))</f>
        <v>31</v>
      </c>
      <c r="D44" t="str">
        <f t="shared" si="3"/>
        <v xml:space="preserve">PNM Resources                 </v>
      </c>
      <c r="E44" s="15"/>
      <c r="F44" s="134">
        <f t="shared" ca="1" si="4"/>
        <v>0.71166666666666656</v>
      </c>
      <c r="G44" s="134">
        <f t="shared" si="5"/>
        <v>0.97</v>
      </c>
      <c r="H44" s="134">
        <f ca="1">IFERROR(IF(VLOOKUP($A44,LASTYR,'2016'!$I$3,FALSE)=0,"N/A",VLOOKUP($A44,LASTYR,'2016'!$I$3,FALSE)),"N/A")</f>
        <v>0.88</v>
      </c>
      <c r="I44" s="134">
        <f t="shared" ref="I44:R58" ca="1" si="9">IFERROR(IF(INDEX(Dividends,$B44,I$13)=0,"N/A",INDEX(Dividends,$B44,I$13)),"N/A")</f>
        <v>0.8</v>
      </c>
      <c r="J44" s="134">
        <f t="shared" ca="1" si="9"/>
        <v>0.755</v>
      </c>
      <c r="K44" s="134">
        <f t="shared" ca="1" si="9"/>
        <v>0.68</v>
      </c>
      <c r="L44" s="134">
        <f t="shared" ca="1" si="9"/>
        <v>0.57999999999999996</v>
      </c>
      <c r="M44" s="134">
        <f t="shared" ca="1" si="9"/>
        <v>0.5</v>
      </c>
      <c r="N44" s="134">
        <f t="shared" ca="1" si="9"/>
        <v>0.5</v>
      </c>
      <c r="O44" s="134">
        <f t="shared" ca="1" si="9"/>
        <v>0.5</v>
      </c>
      <c r="P44" s="134">
        <f t="shared" ca="1" si="9"/>
        <v>0.60499999999999998</v>
      </c>
      <c r="Q44" s="134">
        <f t="shared" ca="1" si="9"/>
        <v>0.91</v>
      </c>
      <c r="R44" s="134">
        <f t="shared" ca="1" si="9"/>
        <v>0.86</v>
      </c>
      <c r="S44" s="63"/>
      <c r="T44" s="63"/>
      <c r="U44" s="63"/>
      <c r="V44" s="63"/>
    </row>
    <row r="45" spans="1:22">
      <c r="A45" s="45" t="s">
        <v>33</v>
      </c>
      <c r="B45" s="118">
        <f t="shared" ca="1" si="2"/>
        <v>51</v>
      </c>
      <c r="C45" s="1">
        <f>IF(ISERROR(D45),"",IF(D45="","",MAX($C$13:C44)+1))</f>
        <v>32</v>
      </c>
      <c r="D45" t="str">
        <f t="shared" si="3"/>
        <v xml:space="preserve">Portland General              </v>
      </c>
      <c r="E45" s="15"/>
      <c r="F45" s="134">
        <f t="shared" ca="1" si="4"/>
        <v>1.0616666666666668</v>
      </c>
      <c r="G45" s="134">
        <f t="shared" si="5"/>
        <v>1.34</v>
      </c>
      <c r="H45" s="134">
        <f ca="1">IFERROR(IF(VLOOKUP($A45,LASTYR,'2016'!$I$3,FALSE)=0,"N/A",VLOOKUP($A45,LASTYR,'2016'!$I$3,FALSE)),"N/A")</f>
        <v>1.26</v>
      </c>
      <c r="I45" s="134">
        <f t="shared" ca="1" si="9"/>
        <v>1.18</v>
      </c>
      <c r="J45" s="134">
        <f t="shared" ca="1" si="9"/>
        <v>1.115</v>
      </c>
      <c r="K45" s="134">
        <f t="shared" ca="1" si="9"/>
        <v>1.095</v>
      </c>
      <c r="L45" s="134">
        <f t="shared" ca="1" si="9"/>
        <v>1.075</v>
      </c>
      <c r="M45" s="134">
        <f t="shared" ca="1" si="9"/>
        <v>1.0549999999999999</v>
      </c>
      <c r="N45" s="134">
        <f t="shared" ca="1" si="9"/>
        <v>1.0349999999999999</v>
      </c>
      <c r="O45" s="134">
        <f t="shared" ca="1" si="9"/>
        <v>1.01</v>
      </c>
      <c r="P45" s="134">
        <f t="shared" ca="1" si="9"/>
        <v>0.97</v>
      </c>
      <c r="Q45" s="134">
        <f t="shared" ca="1" si="9"/>
        <v>0.93</v>
      </c>
      <c r="R45" s="134">
        <f t="shared" ca="1" si="9"/>
        <v>0.67500000000000004</v>
      </c>
      <c r="S45" s="63"/>
      <c r="T45" s="63"/>
      <c r="U45" s="63"/>
      <c r="V45" s="63"/>
    </row>
    <row r="46" spans="1:22">
      <c r="A46" s="45" t="s">
        <v>34</v>
      </c>
      <c r="B46" s="118">
        <f t="shared" ca="1" si="2"/>
        <v>52</v>
      </c>
      <c r="C46" s="1">
        <f>IF(ISERROR(D46),"",IF(D46="","",MAX($C$13:C45)+1))</f>
        <v>33</v>
      </c>
      <c r="D46" t="str">
        <f t="shared" si="3"/>
        <v xml:space="preserve">PPL Corp.                     </v>
      </c>
      <c r="E46" s="15"/>
      <c r="F46" s="134">
        <f t="shared" ca="1" si="4"/>
        <v>1.4033333333333333</v>
      </c>
      <c r="G46" s="134">
        <f t="shared" si="5"/>
        <v>1.58</v>
      </c>
      <c r="H46" s="134">
        <f ca="1">IFERROR(IF(VLOOKUP($A46,LASTYR,'2016'!$I$3,FALSE)=0,"N/A",VLOOKUP($A46,LASTYR,'2016'!$I$3,FALSE)),"N/A")</f>
        <v>1.52</v>
      </c>
      <c r="I46" s="134">
        <f t="shared" ca="1" si="9"/>
        <v>1.5</v>
      </c>
      <c r="J46" s="134">
        <f t="shared" ca="1" si="9"/>
        <v>1.49</v>
      </c>
      <c r="K46" s="134">
        <f t="shared" ca="1" si="9"/>
        <v>1.47</v>
      </c>
      <c r="L46" s="134">
        <f t="shared" ca="1" si="9"/>
        <v>1.44</v>
      </c>
      <c r="M46" s="134">
        <f t="shared" ca="1" si="9"/>
        <v>1.4</v>
      </c>
      <c r="N46" s="134">
        <f t="shared" ca="1" si="9"/>
        <v>1.4</v>
      </c>
      <c r="O46" s="134">
        <f t="shared" ca="1" si="9"/>
        <v>1.38</v>
      </c>
      <c r="P46" s="134">
        <f t="shared" ca="1" si="9"/>
        <v>1.34</v>
      </c>
      <c r="Q46" s="134">
        <f t="shared" ca="1" si="9"/>
        <v>1.22</v>
      </c>
      <c r="R46" s="134">
        <f t="shared" ca="1" si="9"/>
        <v>1.1000000000000001</v>
      </c>
      <c r="S46" s="63"/>
      <c r="T46" s="63"/>
      <c r="U46" s="63"/>
      <c r="V46" s="63"/>
    </row>
    <row r="47" spans="1:22">
      <c r="A47" s="45" t="s">
        <v>35</v>
      </c>
      <c r="B47" s="118">
        <f t="shared" ca="1" si="2"/>
        <v>53</v>
      </c>
      <c r="C47" s="1">
        <f>IF(ISERROR(D47),"",IF(D47="","",MAX($C$13:C46)+1))</f>
        <v>34</v>
      </c>
      <c r="D47" t="str">
        <f t="shared" si="3"/>
        <v xml:space="preserve">Public Serv. Enterprise       </v>
      </c>
      <c r="E47" s="15"/>
      <c r="F47" s="134">
        <f t="shared" ca="1" si="4"/>
        <v>1.4108333333333334</v>
      </c>
      <c r="G47" s="134">
        <f t="shared" si="5"/>
        <v>1.72</v>
      </c>
      <c r="H47" s="134">
        <f ca="1">IFERROR(IF(VLOOKUP($A47,LASTYR,'2016'!$I$3,FALSE)=0,"N/A",VLOOKUP($A47,LASTYR,'2016'!$I$3,FALSE)),"N/A")</f>
        <v>1.64</v>
      </c>
      <c r="I47" s="134">
        <f t="shared" ca="1" si="9"/>
        <v>1.56</v>
      </c>
      <c r="J47" s="134">
        <f t="shared" ca="1" si="9"/>
        <v>1.48</v>
      </c>
      <c r="K47" s="134">
        <f t="shared" ca="1" si="9"/>
        <v>1.44</v>
      </c>
      <c r="L47" s="134">
        <f t="shared" ca="1" si="9"/>
        <v>1.42</v>
      </c>
      <c r="M47" s="134">
        <f t="shared" ca="1" si="9"/>
        <v>1.37</v>
      </c>
      <c r="N47" s="134">
        <f t="shared" ca="1" si="9"/>
        <v>1.37</v>
      </c>
      <c r="O47" s="134">
        <f t="shared" ca="1" si="9"/>
        <v>1.33</v>
      </c>
      <c r="P47" s="134">
        <f t="shared" ca="1" si="9"/>
        <v>1.29</v>
      </c>
      <c r="Q47" s="134">
        <f t="shared" ca="1" si="9"/>
        <v>1.17</v>
      </c>
      <c r="R47" s="134">
        <f t="shared" ca="1" si="9"/>
        <v>1.1399999999999999</v>
      </c>
      <c r="S47" s="63"/>
      <c r="T47" s="63"/>
      <c r="U47" s="63"/>
      <c r="V47" s="63"/>
    </row>
    <row r="48" spans="1:22">
      <c r="A48" s="45" t="s">
        <v>36</v>
      </c>
      <c r="B48" s="118">
        <f t="shared" ca="1" si="2"/>
        <v>55</v>
      </c>
      <c r="C48" s="1">
        <f>IF(ISERROR(D48),"",IF(D48="","",MAX($C$13:C47)+1))</f>
        <v>35</v>
      </c>
      <c r="D48" t="str">
        <f t="shared" si="3"/>
        <v xml:space="preserve">SCANA Corp.                   </v>
      </c>
      <c r="E48" s="15"/>
      <c r="F48" s="134">
        <f t="shared" ca="1" si="4"/>
        <v>2.0033333333333334</v>
      </c>
      <c r="G48" s="134">
        <f t="shared" si="5"/>
        <v>2.4500000000000002</v>
      </c>
      <c r="H48" s="134">
        <f ca="1">IFERROR(IF(VLOOKUP($A48,LASTYR,'2016'!$I$3,FALSE)=0,"N/A",VLOOKUP($A48,LASTYR,'2016'!$I$3,FALSE)),"N/A")</f>
        <v>2.2999999999999998</v>
      </c>
      <c r="I48" s="134">
        <f t="shared" ca="1" si="9"/>
        <v>2.1800000000000002</v>
      </c>
      <c r="J48" s="134">
        <f t="shared" ca="1" si="9"/>
        <v>2.1</v>
      </c>
      <c r="K48" s="134">
        <f t="shared" ca="1" si="9"/>
        <v>2.0299999999999998</v>
      </c>
      <c r="L48" s="134">
        <f t="shared" ca="1" si="9"/>
        <v>1.98</v>
      </c>
      <c r="M48" s="134">
        <f t="shared" ca="1" si="9"/>
        <v>1.94</v>
      </c>
      <c r="N48" s="134">
        <f t="shared" ca="1" si="9"/>
        <v>1.9</v>
      </c>
      <c r="O48" s="134">
        <f t="shared" ca="1" si="9"/>
        <v>1.88</v>
      </c>
      <c r="P48" s="134">
        <f t="shared" ca="1" si="9"/>
        <v>1.84</v>
      </c>
      <c r="Q48" s="134">
        <f t="shared" ca="1" si="9"/>
        <v>1.76</v>
      </c>
      <c r="R48" s="134">
        <f t="shared" ca="1" si="9"/>
        <v>1.68</v>
      </c>
      <c r="S48" s="63"/>
      <c r="T48" s="63"/>
      <c r="U48" s="63"/>
      <c r="V48" s="63"/>
    </row>
    <row r="49" spans="1:22">
      <c r="A49" s="45" t="s">
        <v>37</v>
      </c>
      <c r="B49" s="118">
        <f t="shared" ca="1" si="2"/>
        <v>56</v>
      </c>
      <c r="C49" s="1">
        <f>IF(ISERROR(D49),"",IF(D49="","",MAX($C$13:C48)+1))</f>
        <v>36</v>
      </c>
      <c r="D49" t="str">
        <f t="shared" si="3"/>
        <v xml:space="preserve">Sempra Energy                 </v>
      </c>
      <c r="E49" s="15"/>
      <c r="F49" s="134">
        <f t="shared" ca="1" si="4"/>
        <v>2.126666666666666</v>
      </c>
      <c r="G49" s="134">
        <f t="shared" si="5"/>
        <v>3.29</v>
      </c>
      <c r="H49" s="134">
        <f ca="1">IFERROR(IF(VLOOKUP($A49,LASTYR,'2016'!$I$3,FALSE)=0,"N/A",VLOOKUP($A49,LASTYR,'2016'!$I$3,FALSE)),"N/A")</f>
        <v>3.02</v>
      </c>
      <c r="I49" s="134">
        <f t="shared" ca="1" si="9"/>
        <v>2.8</v>
      </c>
      <c r="J49" s="134">
        <f t="shared" ca="1" si="9"/>
        <v>2.64</v>
      </c>
      <c r="K49" s="134">
        <f t="shared" ca="1" si="9"/>
        <v>2.52</v>
      </c>
      <c r="L49" s="134">
        <f t="shared" ca="1" si="9"/>
        <v>2.4</v>
      </c>
      <c r="M49" s="134">
        <f t="shared" ca="1" si="9"/>
        <v>1.92</v>
      </c>
      <c r="N49" s="134">
        <f t="shared" ca="1" si="9"/>
        <v>1.56</v>
      </c>
      <c r="O49" s="134">
        <f t="shared" ca="1" si="9"/>
        <v>1.56</v>
      </c>
      <c r="P49" s="134">
        <f t="shared" ca="1" si="9"/>
        <v>1.37</v>
      </c>
      <c r="Q49" s="134">
        <f t="shared" ca="1" si="9"/>
        <v>1.24</v>
      </c>
      <c r="R49" s="134">
        <f t="shared" ca="1" si="9"/>
        <v>1.2</v>
      </c>
      <c r="S49" s="63"/>
      <c r="T49" s="63"/>
      <c r="U49" s="63"/>
      <c r="V49" s="63"/>
    </row>
    <row r="50" spans="1:22">
      <c r="A50" s="45" t="s">
        <v>38</v>
      </c>
      <c r="B50" s="118">
        <f t="shared" ca="1" si="2"/>
        <v>59</v>
      </c>
      <c r="C50" s="1">
        <f>IF(ISERROR(D50),"",IF(D50="","",MAX($C$13:C49)+1))</f>
        <v>37</v>
      </c>
      <c r="D50" t="str">
        <f t="shared" si="3"/>
        <v xml:space="preserve">Southern Co.                  </v>
      </c>
      <c r="E50" s="15"/>
      <c r="F50" s="134">
        <f t="shared" ca="1" si="4"/>
        <v>1.9097499999999998</v>
      </c>
      <c r="G50" s="134">
        <f t="shared" si="5"/>
        <v>2.2999999999999998</v>
      </c>
      <c r="H50" s="134">
        <f ca="1">IFERROR(IF(VLOOKUP($A50,LASTYR,'2016'!$I$3,FALSE)=0,"N/A",VLOOKUP($A50,LASTYR,'2016'!$I$3,FALSE)),"N/A")</f>
        <v>2.2229999999999999</v>
      </c>
      <c r="I50" s="134">
        <f t="shared" ca="1" si="9"/>
        <v>2.153</v>
      </c>
      <c r="J50" s="134">
        <f t="shared" ca="1" si="9"/>
        <v>2.0830000000000002</v>
      </c>
      <c r="K50" s="134">
        <f t="shared" ca="1" si="9"/>
        <v>2.0129999999999999</v>
      </c>
      <c r="L50" s="134">
        <f t="shared" ca="1" si="9"/>
        <v>1.9430000000000001</v>
      </c>
      <c r="M50" s="134">
        <f t="shared" ca="1" si="9"/>
        <v>1.873</v>
      </c>
      <c r="N50" s="134">
        <f t="shared" ca="1" si="9"/>
        <v>1.8029999999999999</v>
      </c>
      <c r="O50" s="134">
        <f t="shared" ca="1" si="9"/>
        <v>1.7330000000000001</v>
      </c>
      <c r="P50" s="134">
        <f t="shared" ca="1" si="9"/>
        <v>1.663</v>
      </c>
      <c r="Q50" s="134">
        <f t="shared" ca="1" si="9"/>
        <v>1.595</v>
      </c>
      <c r="R50" s="134">
        <f t="shared" ca="1" si="9"/>
        <v>1.5349999999999999</v>
      </c>
      <c r="S50" s="63"/>
      <c r="T50" s="63"/>
      <c r="U50" s="63"/>
      <c r="V50" s="63"/>
    </row>
    <row r="51" spans="1:22">
      <c r="A51" s="45" t="s">
        <v>42</v>
      </c>
      <c r="B51" s="118">
        <f t="shared" ca="1" si="2"/>
        <v>65</v>
      </c>
      <c r="C51" s="1">
        <f>IF(ISERROR(D51),"",IF(D51="","",MAX($C$13:C50)+1))</f>
        <v>38</v>
      </c>
      <c r="D51" t="str">
        <f t="shared" si="3"/>
        <v xml:space="preserve">Vectren Corp.                 </v>
      </c>
      <c r="E51" s="15"/>
      <c r="F51" s="134">
        <f t="shared" ca="1" si="4"/>
        <v>1.4220833333333334</v>
      </c>
      <c r="G51" s="134">
        <f t="shared" si="5"/>
        <v>1.7</v>
      </c>
      <c r="H51" s="134">
        <f ca="1">IFERROR(IF(VLOOKUP($A51,LASTYR,'2016'!$I$3,FALSE)=0,"N/A",VLOOKUP($A51,LASTYR,'2016'!$I$3,FALSE)),"N/A")</f>
        <v>1.62</v>
      </c>
      <c r="I51" s="134">
        <f t="shared" ca="1" si="9"/>
        <v>1.54</v>
      </c>
      <c r="J51" s="134">
        <f t="shared" ca="1" si="9"/>
        <v>1.46</v>
      </c>
      <c r="K51" s="134">
        <f t="shared" ca="1" si="9"/>
        <v>1.425</v>
      </c>
      <c r="L51" s="134">
        <f t="shared" ca="1" si="9"/>
        <v>1.405</v>
      </c>
      <c r="M51" s="134">
        <f t="shared" ca="1" si="9"/>
        <v>1.385</v>
      </c>
      <c r="N51" s="134">
        <f t="shared" ca="1" si="9"/>
        <v>1.37</v>
      </c>
      <c r="O51" s="134">
        <f t="shared" ca="1" si="9"/>
        <v>1.35</v>
      </c>
      <c r="P51" s="134">
        <f t="shared" ca="1" si="9"/>
        <v>1.31</v>
      </c>
      <c r="Q51" s="134">
        <f t="shared" ca="1" si="9"/>
        <v>1.27</v>
      </c>
      <c r="R51" s="134">
        <f t="shared" ca="1" si="9"/>
        <v>1.23</v>
      </c>
      <c r="S51" s="63"/>
      <c r="T51" s="63"/>
      <c r="U51" s="63"/>
      <c r="V51" s="63"/>
    </row>
    <row r="52" spans="1:22">
      <c r="A52" s="45" t="s">
        <v>44</v>
      </c>
      <c r="B52" s="118">
        <f t="shared" ca="1" si="2"/>
        <v>66</v>
      </c>
      <c r="C52" s="1">
        <f>IF(ISERROR(D52),"",IF(D52="","",MAX($C$13:C51)+1))</f>
        <v>39</v>
      </c>
      <c r="D52" t="str">
        <f t="shared" si="3"/>
        <v>WEC Energy Group</v>
      </c>
      <c r="E52" s="15"/>
      <c r="F52" s="134">
        <f t="shared" ca="1" si="4"/>
        <v>1.1683333333333337</v>
      </c>
      <c r="G52" s="134">
        <f t="shared" si="5"/>
        <v>2.08</v>
      </c>
      <c r="H52" s="134">
        <f ca="1">IFERROR(IF(VLOOKUP($A52,LASTYR,'2016'!$I$3,FALSE)=0,"N/A",VLOOKUP($A52,LASTYR,'2016'!$I$3,FALSE)),"N/A")</f>
        <v>1.98</v>
      </c>
      <c r="I52" s="134">
        <f t="shared" ca="1" si="9"/>
        <v>1.74</v>
      </c>
      <c r="J52" s="134">
        <f t="shared" ca="1" si="9"/>
        <v>1.56</v>
      </c>
      <c r="K52" s="134">
        <f t="shared" ca="1" si="9"/>
        <v>1.4450000000000001</v>
      </c>
      <c r="L52" s="134">
        <f t="shared" ca="1" si="9"/>
        <v>1.2</v>
      </c>
      <c r="M52" s="134">
        <f t="shared" ca="1" si="9"/>
        <v>1.04</v>
      </c>
      <c r="N52" s="134">
        <f t="shared" ca="1" si="9"/>
        <v>0.8</v>
      </c>
      <c r="O52" s="134">
        <f t="shared" ca="1" si="9"/>
        <v>0.67500000000000004</v>
      </c>
      <c r="P52" s="134">
        <f t="shared" ca="1" si="9"/>
        <v>0.54</v>
      </c>
      <c r="Q52" s="134">
        <f t="shared" ca="1" si="9"/>
        <v>0.5</v>
      </c>
      <c r="R52" s="134">
        <f t="shared" ca="1" si="9"/>
        <v>0.46</v>
      </c>
      <c r="S52" s="63"/>
      <c r="T52" s="63"/>
      <c r="U52" s="63"/>
      <c r="V52" s="63"/>
    </row>
    <row r="53" spans="1:22">
      <c r="A53" s="45" t="s">
        <v>43</v>
      </c>
      <c r="B53" s="118">
        <f t="shared" ca="1" si="2"/>
        <v>67</v>
      </c>
      <c r="C53" s="1">
        <f>IF(ISERROR(D53),"",IF(D53="","",MAX($C$13:C52)+1))</f>
        <v>40</v>
      </c>
      <c r="D53" t="str">
        <f t="shared" si="3"/>
        <v xml:space="preserve">Westar Energy                 </v>
      </c>
      <c r="E53" s="15"/>
      <c r="F53" s="134">
        <f t="shared" ca="1" si="4"/>
        <v>1.2983333333333333</v>
      </c>
      <c r="G53" s="134">
        <f t="shared" si="5"/>
        <v>1.6</v>
      </c>
      <c r="H53" s="134">
        <f ca="1">IFERROR(IF(VLOOKUP($A53,LASTYR,'2016'!$I$3,FALSE)=0,"N/A",VLOOKUP($A53,LASTYR,'2016'!$I$3,FALSE)),"N/A")</f>
        <v>1.52</v>
      </c>
      <c r="I53" s="134">
        <f t="shared" ca="1" si="9"/>
        <v>1.44</v>
      </c>
      <c r="J53" s="134">
        <f t="shared" ca="1" si="9"/>
        <v>1.4</v>
      </c>
      <c r="K53" s="134">
        <f t="shared" ca="1" si="9"/>
        <v>1.36</v>
      </c>
      <c r="L53" s="134">
        <f t="shared" ca="1" si="9"/>
        <v>1.32</v>
      </c>
      <c r="M53" s="134">
        <f t="shared" ca="1" si="9"/>
        <v>1.28</v>
      </c>
      <c r="N53" s="134">
        <f t="shared" ca="1" si="9"/>
        <v>1.24</v>
      </c>
      <c r="O53" s="134">
        <f t="shared" ca="1" si="9"/>
        <v>1.2</v>
      </c>
      <c r="P53" s="134">
        <f t="shared" ca="1" si="9"/>
        <v>1.1599999999999999</v>
      </c>
      <c r="Q53" s="134">
        <f t="shared" ca="1" si="9"/>
        <v>1.08</v>
      </c>
      <c r="R53" s="134">
        <f t="shared" ca="1" si="9"/>
        <v>0.98</v>
      </c>
      <c r="S53" s="63"/>
      <c r="T53" s="63"/>
      <c r="U53" s="63"/>
      <c r="V53" s="63"/>
    </row>
    <row r="54" spans="1:22">
      <c r="A54" s="45" t="s">
        <v>45</v>
      </c>
      <c r="B54" s="118">
        <f t="shared" ca="1" si="2"/>
        <v>69</v>
      </c>
      <c r="C54" s="1">
        <f>IF(ISERROR(D54),"",IF(D54="","",MAX($C$13:C53)+1))</f>
        <v>41</v>
      </c>
      <c r="D54" t="str">
        <f t="shared" si="3"/>
        <v xml:space="preserve">Xcel Energy Inc.              </v>
      </c>
      <c r="E54" s="15"/>
      <c r="F54" s="134">
        <f t="shared" ca="1" si="4"/>
        <v>1.0991666666666668</v>
      </c>
      <c r="G54" s="134">
        <f t="shared" si="5"/>
        <v>1.44</v>
      </c>
      <c r="H54" s="134">
        <f ca="1">IFERROR(IF(VLOOKUP($A54,LASTYR,'2016'!$I$3,FALSE)=0,"N/A",VLOOKUP($A54,LASTYR,'2016'!$I$3,FALSE)),"N/A")</f>
        <v>1.36</v>
      </c>
      <c r="I54" s="134">
        <f t="shared" ca="1" si="9"/>
        <v>1.28</v>
      </c>
      <c r="J54" s="134">
        <f t="shared" ca="1" si="9"/>
        <v>1.2</v>
      </c>
      <c r="K54" s="134">
        <f t="shared" ca="1" si="9"/>
        <v>1.1100000000000001</v>
      </c>
      <c r="L54" s="134">
        <f t="shared" ca="1" si="9"/>
        <v>1.07</v>
      </c>
      <c r="M54" s="134">
        <f t="shared" ca="1" si="9"/>
        <v>1.03</v>
      </c>
      <c r="N54" s="134">
        <f t="shared" ca="1" si="9"/>
        <v>1</v>
      </c>
      <c r="O54" s="134">
        <f t="shared" ca="1" si="9"/>
        <v>0.97</v>
      </c>
      <c r="P54" s="134">
        <f t="shared" ca="1" si="9"/>
        <v>0.94</v>
      </c>
      <c r="Q54" s="134">
        <f t="shared" ca="1" si="9"/>
        <v>0.91</v>
      </c>
      <c r="R54" s="134">
        <f t="shared" ca="1" si="9"/>
        <v>0.88</v>
      </c>
      <c r="S54" s="63"/>
      <c r="T54" s="63"/>
      <c r="U54" s="63"/>
      <c r="V54" s="63"/>
    </row>
    <row r="55" spans="1:22" hidden="1">
      <c r="A55" s="45"/>
      <c r="B55" s="118" t="str">
        <f t="shared" ca="1" si="2"/>
        <v/>
      </c>
      <c r="C55" s="1" t="str">
        <f>IF(ISERROR(D55),"",IF(D55="","",MAX($C$13:C54)+1))</f>
        <v/>
      </c>
      <c r="D55" t="e">
        <f t="shared" si="3"/>
        <v>#N/A</v>
      </c>
      <c r="E55" s="15"/>
      <c r="F55" s="134" t="str">
        <f t="shared" ca="1" si="4"/>
        <v>N/A</v>
      </c>
      <c r="G55" s="134" t="str">
        <f t="shared" si="5"/>
        <v>N/A</v>
      </c>
      <c r="H55" s="134" t="str">
        <f ca="1">IFERROR(IF(VLOOKUP($A55,LASTYR,'2016'!$I$3,FALSE)=0,"N/A",VLOOKUP($A55,LASTYR,'2016'!$I$3,FALSE)),"N/A")</f>
        <v>N/A</v>
      </c>
      <c r="I55" s="134" t="str">
        <f t="shared" ca="1" si="9"/>
        <v>N/A</v>
      </c>
      <c r="J55" s="134" t="str">
        <f t="shared" ca="1" si="9"/>
        <v>N/A</v>
      </c>
      <c r="K55" s="134" t="str">
        <f t="shared" ca="1" si="9"/>
        <v>N/A</v>
      </c>
      <c r="L55" s="134" t="str">
        <f t="shared" ca="1" si="9"/>
        <v>N/A</v>
      </c>
      <c r="M55" s="134" t="str">
        <f t="shared" ca="1" si="9"/>
        <v>N/A</v>
      </c>
      <c r="N55" s="134" t="str">
        <f t="shared" ca="1" si="9"/>
        <v>N/A</v>
      </c>
      <c r="O55" s="134" t="str">
        <f t="shared" ca="1" si="9"/>
        <v>N/A</v>
      </c>
      <c r="P55" s="134" t="str">
        <f t="shared" ca="1" si="9"/>
        <v>N/A</v>
      </c>
      <c r="Q55" s="134" t="str">
        <f t="shared" ca="1" si="9"/>
        <v>N/A</v>
      </c>
      <c r="R55" s="134" t="str">
        <f t="shared" ca="1" si="9"/>
        <v>N/A</v>
      </c>
      <c r="S55" s="63"/>
      <c r="T55" s="63"/>
      <c r="U55" s="63"/>
      <c r="V55" s="63"/>
    </row>
    <row r="56" spans="1:22" hidden="1">
      <c r="A56" s="51"/>
      <c r="B56" s="118" t="str">
        <f t="shared" ca="1" si="2"/>
        <v/>
      </c>
      <c r="C56" s="1" t="str">
        <f>IF(ISERROR(D56),"",IF(D56="","",MAX($C$13:C55)+1))</f>
        <v/>
      </c>
      <c r="D56" t="e">
        <f t="shared" si="3"/>
        <v>#N/A</v>
      </c>
      <c r="F56" s="134" t="str">
        <f t="shared" ca="1" si="4"/>
        <v>N/A</v>
      </c>
      <c r="G56" s="134" t="str">
        <f t="shared" si="5"/>
        <v>N/A</v>
      </c>
      <c r="H56" s="134" t="str">
        <f ca="1">IFERROR(IF(VLOOKUP($A56,LASTYR,'2016'!$I$3,FALSE)=0,"N/A",VLOOKUP($A56,LASTYR,'2016'!$I$3,FALSE)),"N/A")</f>
        <v>N/A</v>
      </c>
      <c r="I56" s="134" t="str">
        <f t="shared" ca="1" si="9"/>
        <v>N/A</v>
      </c>
      <c r="J56" s="134" t="str">
        <f t="shared" ca="1" si="9"/>
        <v>N/A</v>
      </c>
      <c r="K56" s="134" t="str">
        <f t="shared" ca="1" si="9"/>
        <v>N/A</v>
      </c>
      <c r="L56" s="134" t="str">
        <f t="shared" ca="1" si="9"/>
        <v>N/A</v>
      </c>
      <c r="M56" s="134" t="str">
        <f t="shared" ca="1" si="9"/>
        <v>N/A</v>
      </c>
      <c r="N56" s="134" t="str">
        <f t="shared" ca="1" si="9"/>
        <v>N/A</v>
      </c>
      <c r="O56" s="134" t="str">
        <f t="shared" ca="1" si="9"/>
        <v>N/A</v>
      </c>
      <c r="P56" s="134" t="str">
        <f t="shared" ca="1" si="9"/>
        <v>N/A</v>
      </c>
      <c r="Q56" s="134" t="str">
        <f t="shared" ca="1" si="9"/>
        <v>N/A</v>
      </c>
      <c r="R56" s="134" t="str">
        <f t="shared" ca="1" si="9"/>
        <v>N/A</v>
      </c>
      <c r="S56" s="63"/>
      <c r="T56" s="63"/>
      <c r="U56" s="63"/>
      <c r="V56" s="63"/>
    </row>
    <row r="57" spans="1:22" hidden="1">
      <c r="A57" s="51"/>
      <c r="B57" s="118" t="str">
        <f t="shared" ca="1" si="2"/>
        <v/>
      </c>
      <c r="C57" s="1" t="str">
        <f>IF(ISERROR(D57),"",IF(D57="","",MAX($C$13:C56)+1))</f>
        <v/>
      </c>
      <c r="D57" t="e">
        <f t="shared" si="3"/>
        <v>#N/A</v>
      </c>
      <c r="F57" s="134" t="str">
        <f t="shared" ca="1" si="4"/>
        <v>N/A</v>
      </c>
      <c r="G57" s="134" t="str">
        <f t="shared" si="5"/>
        <v>N/A</v>
      </c>
      <c r="H57" s="134" t="str">
        <f ca="1">IFERROR(IF(VLOOKUP($A57,LASTYR,'2016'!$I$3,FALSE)=0,"N/A",VLOOKUP($A57,LASTYR,'2016'!$I$3,FALSE)),"N/A")</f>
        <v>N/A</v>
      </c>
      <c r="I57" s="134" t="str">
        <f t="shared" ca="1" si="9"/>
        <v>N/A</v>
      </c>
      <c r="J57" s="134" t="str">
        <f t="shared" ca="1" si="9"/>
        <v>N/A</v>
      </c>
      <c r="K57" s="134" t="str">
        <f t="shared" ca="1" si="9"/>
        <v>N/A</v>
      </c>
      <c r="L57" s="134" t="str">
        <f t="shared" ca="1" si="9"/>
        <v>N/A</v>
      </c>
      <c r="M57" s="134" t="str">
        <f t="shared" ca="1" si="9"/>
        <v>N/A</v>
      </c>
      <c r="N57" s="134" t="str">
        <f t="shared" ca="1" si="9"/>
        <v>N/A</v>
      </c>
      <c r="O57" s="134" t="str">
        <f t="shared" ca="1" si="9"/>
        <v>N/A</v>
      </c>
      <c r="P57" s="134" t="str">
        <f t="shared" ca="1" si="9"/>
        <v>N/A</v>
      </c>
      <c r="Q57" s="134" t="str">
        <f t="shared" ca="1" si="9"/>
        <v>N/A</v>
      </c>
      <c r="R57" s="134" t="str">
        <f t="shared" ca="1" si="9"/>
        <v>N/A</v>
      </c>
      <c r="S57" s="63"/>
      <c r="T57" s="63"/>
      <c r="U57" s="63"/>
      <c r="V57" s="63"/>
    </row>
    <row r="58" spans="1:22" hidden="1">
      <c r="A58" s="51"/>
      <c r="B58" s="118" t="str">
        <f t="shared" ca="1" si="2"/>
        <v/>
      </c>
      <c r="C58" s="1" t="str">
        <f>IF(ISERROR(D58),"",IF(D58="","",MAX($C$13:C57)+1))</f>
        <v/>
      </c>
      <c r="D58" t="e">
        <f t="shared" si="3"/>
        <v>#N/A</v>
      </c>
      <c r="F58" s="134" t="str">
        <f t="shared" ca="1" si="4"/>
        <v>N/A</v>
      </c>
      <c r="G58" s="134" t="str">
        <f t="shared" si="5"/>
        <v>N/A</v>
      </c>
      <c r="H58" s="134" t="str">
        <f ca="1">IFERROR(IF(VLOOKUP($A58,LASTYR,'2016'!$I$3,FALSE)=0,"N/A",VLOOKUP($A58,LASTYR,'2016'!$I$3,FALSE)),"N/A")</f>
        <v>N/A</v>
      </c>
      <c r="I58" s="134" t="str">
        <f t="shared" ca="1" si="9"/>
        <v>N/A</v>
      </c>
      <c r="J58" s="134" t="str">
        <f t="shared" ca="1" si="9"/>
        <v>N/A</v>
      </c>
      <c r="K58" s="134" t="str">
        <f t="shared" ca="1" si="9"/>
        <v>N/A</v>
      </c>
      <c r="L58" s="134" t="str">
        <f t="shared" ca="1" si="9"/>
        <v>N/A</v>
      </c>
      <c r="M58" s="134" t="str">
        <f t="shared" ca="1" si="9"/>
        <v>N/A</v>
      </c>
      <c r="N58" s="134" t="str">
        <f t="shared" ca="1" si="9"/>
        <v>N/A</v>
      </c>
      <c r="O58" s="134" t="str">
        <f t="shared" ca="1" si="9"/>
        <v>N/A</v>
      </c>
      <c r="P58" s="134" t="str">
        <f t="shared" ca="1" si="9"/>
        <v>N/A</v>
      </c>
      <c r="Q58" s="134" t="str">
        <f t="shared" ca="1" si="9"/>
        <v>N/A</v>
      </c>
      <c r="R58" s="134" t="str">
        <f t="shared" ca="1" si="9"/>
        <v>N/A</v>
      </c>
      <c r="S58" s="63"/>
      <c r="T58" s="63"/>
      <c r="U58" s="63"/>
      <c r="V58" s="63"/>
    </row>
    <row r="59" spans="1:22">
      <c r="A59" s="31"/>
      <c r="B59" s="31"/>
      <c r="C59" s="1" t="str">
        <f>IF(ISERROR(D59),"",IF(D59="","",MAX($C$13:C58)+1))</f>
        <v/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63"/>
      <c r="T59" s="63"/>
      <c r="U59" s="63"/>
      <c r="V59" s="63"/>
    </row>
    <row r="60" spans="1:22" ht="15">
      <c r="A60" s="31"/>
      <c r="B60" s="31"/>
      <c r="C60" s="1">
        <f>IF(ISERROR(D60),"",IF(D60="","",MAX($C$13:C59)+1))</f>
        <v>42</v>
      </c>
      <c r="D60" s="112" t="s">
        <v>98</v>
      </c>
      <c r="E60" s="112"/>
      <c r="F60" s="136">
        <f ca="1">AVERAGE(G60:R60)</f>
        <v>1.5760845322808736</v>
      </c>
      <c r="G60" s="136">
        <f t="shared" ref="G60:Q60" si="10">AVERAGE(G14:G59)</f>
        <v>1.9643902439024392</v>
      </c>
      <c r="H60" s="136">
        <f t="shared" ca="1" si="10"/>
        <v>1.8568048780487802</v>
      </c>
      <c r="I60" s="136">
        <f t="shared" ca="1" si="10"/>
        <v>1.7583499999999996</v>
      </c>
      <c r="J60" s="136">
        <f t="shared" ca="1" si="10"/>
        <v>1.6707750000000003</v>
      </c>
      <c r="K60" s="136">
        <f t="shared" ca="1" si="10"/>
        <v>1.6130999999999998</v>
      </c>
      <c r="L60" s="136">
        <f t="shared" ca="1" si="10"/>
        <v>1.5934749999999998</v>
      </c>
      <c r="M60" s="136">
        <f t="shared" ca="1" si="10"/>
        <v>1.5077</v>
      </c>
      <c r="N60" s="136">
        <f t="shared" ca="1" si="10"/>
        <v>1.4711025641025637</v>
      </c>
      <c r="O60" s="136">
        <f t="shared" ca="1" si="10"/>
        <v>1.4233333333333333</v>
      </c>
      <c r="P60" s="136">
        <f t="shared" ca="1" si="10"/>
        <v>1.4244358974358973</v>
      </c>
      <c r="Q60" s="136">
        <f t="shared" ca="1" si="10"/>
        <v>1.3558717948717947</v>
      </c>
      <c r="R60" s="136">
        <f ca="1">AVERAGE(R14:R59)</f>
        <v>1.2736756756756755</v>
      </c>
      <c r="S60" s="63"/>
      <c r="T60" s="63"/>
      <c r="U60" s="63"/>
      <c r="V60" s="63"/>
    </row>
    <row r="61" spans="1:22">
      <c r="A61" s="31"/>
      <c r="B61" s="31"/>
      <c r="C61" s="1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63"/>
      <c r="T61" s="63"/>
      <c r="U61" s="63"/>
      <c r="V61" s="63"/>
    </row>
    <row r="62" spans="1:22" ht="15">
      <c r="A62" s="31"/>
      <c r="B62" s="31"/>
      <c r="C62" s="1">
        <v>43</v>
      </c>
      <c r="D62" s="112" t="s">
        <v>401</v>
      </c>
      <c r="F62" s="137">
        <f ca="1">(G60/R60)^(1/COUNT(H60:R60))-1</f>
        <v>4.0174648718678929E-2</v>
      </c>
    </row>
    <row r="63" spans="1:22" s="103" customFormat="1" ht="15">
      <c r="C63" s="10"/>
      <c r="D63" s="10"/>
      <c r="E63" s="10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03" customFormat="1">
      <c r="B64" s="106"/>
      <c r="C64" s="107"/>
      <c r="E64" s="20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</row>
    <row r="65" spans="1:22" s="103" customFormat="1">
      <c r="B65" s="106"/>
      <c r="C65" s="107"/>
      <c r="E65" s="20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</row>
    <row r="66" spans="1:22" s="103" customFormat="1">
      <c r="B66" s="106"/>
      <c r="C66" s="107"/>
      <c r="D66" s="18"/>
      <c r="E66" s="91"/>
      <c r="F66"/>
      <c r="G66"/>
      <c r="H66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4"/>
      <c r="U66" s="104"/>
      <c r="V66" s="104"/>
    </row>
    <row r="67" spans="1:22" s="103" customFormat="1">
      <c r="B67" s="106"/>
      <c r="C67" s="1"/>
      <c r="D67" s="20" t="s">
        <v>107</v>
      </c>
      <c r="E67"/>
      <c r="F67"/>
      <c r="G67"/>
      <c r="H67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4"/>
      <c r="U67" s="104"/>
      <c r="V67" s="104"/>
    </row>
    <row r="68" spans="1:22" s="103" customFormat="1" ht="16.5">
      <c r="B68" s="106"/>
      <c r="C68"/>
      <c r="D68" s="79">
        <v>1</v>
      </c>
      <c r="E68" s="21" t="str">
        <f>"The Value Line Investment Survey Investment Analyzer Software, downloaded on "&amp;TEXT('2016'!$A$1,"mmmm d, yyyy.")</f>
        <v>The Value Line Investment Survey Investment Analyzer Software, downloaded on June 21, 2017.</v>
      </c>
      <c r="F68"/>
      <c r="G68"/>
      <c r="H68"/>
      <c r="I68"/>
      <c r="J68"/>
      <c r="K68"/>
      <c r="L68"/>
      <c r="M68"/>
      <c r="N68"/>
      <c r="O68"/>
      <c r="P68"/>
      <c r="Q68"/>
      <c r="R68"/>
      <c r="S68" s="105"/>
      <c r="T68" s="104"/>
      <c r="U68" s="104"/>
      <c r="V68" s="104"/>
    </row>
    <row r="69" spans="1:22" ht="16.5">
      <c r="A69" s="31"/>
      <c r="B69" s="31"/>
      <c r="D69" s="79">
        <v>2</v>
      </c>
      <c r="E69" s="21" t="str">
        <f>"The Value Line Investment Survey, "&amp;'2017 Data (WP)'!$D$1</f>
        <v>The Value Line Investment Survey, July 28, August 18, and September 15, 2017.</v>
      </c>
    </row>
    <row r="70" spans="1:22">
      <c r="A70" s="31"/>
      <c r="B70" s="31"/>
      <c r="D70" s="20" t="s">
        <v>336</v>
      </c>
    </row>
    <row r="71" spans="1:22">
      <c r="D71" t="s">
        <v>402</v>
      </c>
    </row>
  </sheetData>
  <mergeCells count="5">
    <mergeCell ref="C2:R2"/>
    <mergeCell ref="C5:R5"/>
    <mergeCell ref="C6:R6"/>
    <mergeCell ref="F9:R9"/>
    <mergeCell ref="D11:E11"/>
  </mergeCells>
  <printOptions horizontalCentered="1"/>
  <pageMargins left="0.7" right="0.7" top="1" bottom="0.75" header="0.55000000000000004" footer="0.51"/>
  <pageSetup scale="52" fitToHeight="0" orientation="portrait" useFirstPageNumber="1" r:id="rId1"/>
  <headerFooter>
    <oddHeader>&amp;R&amp;19Exhibit MPG-4
Page 5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1"/>
  <sheetViews>
    <sheetView topLeftCell="A34" zoomScale="80" zoomScaleNormal="80" workbookViewId="0"/>
  </sheetViews>
  <sheetFormatPr defaultRowHeight="14.25"/>
  <cols>
    <col min="1" max="2" width="8" customWidth="1"/>
    <col min="3" max="3" width="9" customWidth="1"/>
    <col min="4" max="4" width="4.75" bestFit="1" customWidth="1"/>
    <col min="5" max="5" width="2.125" customWidth="1"/>
    <col min="6" max="6" width="18.75" customWidth="1"/>
    <col min="7" max="19" width="9" customWidth="1"/>
    <col min="20" max="20" width="9" hidden="1" customWidth="1"/>
    <col min="21" max="23" width="0" hidden="1" customWidth="1"/>
  </cols>
  <sheetData>
    <row r="1" spans="1:23" ht="27.75">
      <c r="C1" s="140" t="str">
        <f>ElectricU</f>
        <v>Avista Corporation</v>
      </c>
      <c r="D1" s="140"/>
      <c r="E1" s="140"/>
      <c r="F1" s="140"/>
      <c r="G1" s="140"/>
      <c r="H1" s="140"/>
      <c r="I1" s="140"/>
      <c r="J1" s="140"/>
      <c r="K1" s="140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3"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7"/>
    </row>
    <row r="3" spans="1:23"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</row>
    <row r="4" spans="1:23" ht="20.25">
      <c r="D4" s="141" t="s">
        <v>273</v>
      </c>
      <c r="E4" s="141"/>
      <c r="F4" s="141"/>
      <c r="G4" s="141"/>
      <c r="H4" s="141"/>
      <c r="I4" s="141"/>
      <c r="J4" s="141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18">
      <c r="D5" s="142" t="s">
        <v>275</v>
      </c>
      <c r="E5" s="142"/>
      <c r="F5" s="142"/>
      <c r="G5" s="142"/>
      <c r="H5" s="142"/>
      <c r="I5" s="142"/>
      <c r="J5" s="142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3" ht="15">
      <c r="A8" s="31"/>
      <c r="B8" s="31"/>
      <c r="C8" s="31"/>
      <c r="E8" s="127"/>
      <c r="F8" s="127"/>
      <c r="G8" s="127"/>
      <c r="H8" s="127"/>
      <c r="I8" s="127"/>
      <c r="J8" s="127"/>
    </row>
    <row r="9" spans="1:23" ht="15">
      <c r="A9" s="31"/>
      <c r="B9" s="31"/>
      <c r="C9" s="31"/>
      <c r="D9" s="6"/>
      <c r="E9" s="6"/>
      <c r="F9" s="19"/>
      <c r="G9" s="145" t="s">
        <v>399</v>
      </c>
      <c r="H9" s="145"/>
      <c r="I9" s="145"/>
      <c r="J9" s="145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</row>
    <row r="10" spans="1:23" ht="15">
      <c r="A10" s="31"/>
      <c r="B10" s="31"/>
      <c r="C10" s="31"/>
      <c r="D10" s="6"/>
      <c r="E10" s="7"/>
      <c r="F10" s="7"/>
      <c r="G10" s="8"/>
      <c r="H10" s="8"/>
      <c r="I10" s="8"/>
      <c r="J10" s="8" t="s">
        <v>392</v>
      </c>
      <c r="K10" s="8"/>
      <c r="L10" s="8"/>
      <c r="M10" s="8"/>
      <c r="N10" s="8"/>
      <c r="O10" s="8"/>
      <c r="P10" s="7"/>
      <c r="Q10" s="7"/>
      <c r="R10" s="7"/>
      <c r="S10" s="7"/>
      <c r="T10" s="7"/>
      <c r="U10" s="7"/>
      <c r="V10" s="7"/>
    </row>
    <row r="11" spans="1:23" ht="15">
      <c r="A11" s="31"/>
      <c r="B11" s="31"/>
      <c r="C11" s="31"/>
      <c r="D11" s="9" t="s">
        <v>96</v>
      </c>
      <c r="E11" s="138" t="s">
        <v>97</v>
      </c>
      <c r="F11" s="138"/>
      <c r="G11" s="10" t="s">
        <v>394</v>
      </c>
      <c r="H11" s="41">
        <v>2018</v>
      </c>
      <c r="I11" s="41"/>
      <c r="J11" s="41" t="s">
        <v>393</v>
      </c>
      <c r="K11" s="41"/>
      <c r="L11" s="41"/>
      <c r="M11" s="41"/>
      <c r="N11" s="41"/>
      <c r="O11" s="41"/>
      <c r="P11" s="41"/>
      <c r="Q11" s="41"/>
      <c r="R11" s="41"/>
      <c r="S11" s="41"/>
      <c r="T11" s="41">
        <v>2005</v>
      </c>
      <c r="U11" s="41"/>
      <c r="V11" s="41"/>
      <c r="W11" s="41"/>
    </row>
    <row r="12" spans="1:23" ht="15">
      <c r="A12" s="42"/>
      <c r="B12" s="42"/>
      <c r="C12" s="42"/>
      <c r="D12" s="9"/>
      <c r="E12" s="11"/>
      <c r="F12" s="11"/>
      <c r="G12" s="12">
        <f>0-1</f>
        <v>-1</v>
      </c>
      <c r="H12" s="12">
        <f t="shared" ref="H12:T12" si="0">+G12-1</f>
        <v>-2</v>
      </c>
      <c r="I12" s="12"/>
      <c r="J12" s="12">
        <f>+H12-1</f>
        <v>-3</v>
      </c>
      <c r="K12" s="12"/>
      <c r="L12" s="12"/>
      <c r="M12" s="12"/>
      <c r="N12" s="12"/>
      <c r="O12" s="12"/>
      <c r="P12" s="12"/>
      <c r="Q12" s="12"/>
      <c r="R12" s="12"/>
      <c r="S12" s="12"/>
      <c r="T12" s="12">
        <f t="shared" si="0"/>
        <v>-1</v>
      </c>
      <c r="U12" s="12"/>
      <c r="V12" s="12"/>
      <c r="W12" s="12"/>
    </row>
    <row r="13" spans="1:23">
      <c r="A13" s="43"/>
      <c r="B13" s="44"/>
      <c r="C13" s="44"/>
      <c r="D13" s="6"/>
      <c r="F13" s="22"/>
      <c r="G13" s="3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 t="e">
        <f t="shared" ref="T13:W13" ca="1" si="1">MATCH(VALUE(LEFT(T11,4)),OFFSET(CF_CAP_WP,-1,0,1,),0)</f>
        <v>#N/A</v>
      </c>
      <c r="U13" s="16" t="e">
        <f t="shared" ca="1" si="1"/>
        <v>#VALUE!</v>
      </c>
      <c r="V13" s="16" t="e">
        <f t="shared" ca="1" si="1"/>
        <v>#VALUE!</v>
      </c>
      <c r="W13" s="16" t="e">
        <f t="shared" ca="1" si="1"/>
        <v>#VALUE!</v>
      </c>
    </row>
    <row r="14" spans="1:23">
      <c r="A14" s="51" t="s">
        <v>0</v>
      </c>
      <c r="B14" s="46">
        <f t="shared" ref="B14:B58" si="2">MATCH(A14,CapCashTic,0)</f>
        <v>5</v>
      </c>
      <c r="C14" s="46"/>
      <c r="D14" s="1">
        <f>IF(ISERROR(E14),"",IF(E14="","",MAX($D$12:D13)+1))</f>
        <v>1</v>
      </c>
      <c r="E14" t="s">
        <v>91</v>
      </c>
      <c r="F14" s="22"/>
      <c r="G14" s="125">
        <f t="shared" ref="G14:G58" si="3">IFERROR(INDEX(CapCash,$B14,7)/INDEX(CapCash,$B14,3),"N/A")</f>
        <v>1.5869565217391306</v>
      </c>
      <c r="H14" s="125">
        <f t="shared" ref="H14:H58" si="4">IFERROR(INDEX(CapCash,$B14,8)/INDEX(CapCash,$B14,4),"N/A")</f>
        <v>1.0333333333333334</v>
      </c>
      <c r="I14" s="125"/>
      <c r="J14" s="125">
        <f t="shared" ref="J14:J58" si="5">IFERROR(INDEX(CapCash,$B14,10)/INDEX(CapCash,$B14,6),"N/A")</f>
        <v>2.5714285714285716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17"/>
      <c r="V14" s="17"/>
      <c r="W14" s="17"/>
    </row>
    <row r="15" spans="1:23">
      <c r="A15" s="51" t="s">
        <v>1</v>
      </c>
      <c r="B15" s="46">
        <f t="shared" si="2"/>
        <v>6</v>
      </c>
      <c r="C15" s="46"/>
      <c r="D15" s="1">
        <f>IF(ISERROR(E15),"",IF(E15="","",MAX($D$12:D14)+1))</f>
        <v>2</v>
      </c>
      <c r="E15" t="s">
        <v>84</v>
      </c>
      <c r="F15" s="22"/>
      <c r="G15" s="125">
        <f t="shared" si="3"/>
        <v>0.65573770491803285</v>
      </c>
      <c r="H15" s="125">
        <f t="shared" si="4"/>
        <v>0.66400000000000003</v>
      </c>
      <c r="I15" s="125"/>
      <c r="J15" s="125">
        <f t="shared" si="5"/>
        <v>0.94339622641509435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17"/>
      <c r="V15" s="17"/>
      <c r="W15" s="17"/>
    </row>
    <row r="16" spans="1:23">
      <c r="A16" s="51" t="s">
        <v>3</v>
      </c>
      <c r="B16" s="46">
        <f t="shared" si="2"/>
        <v>10</v>
      </c>
      <c r="C16" s="46"/>
      <c r="D16" s="1">
        <f>IF(ISERROR(E16),"",IF(E16="","",MAX($D$12:D15)+1))</f>
        <v>3</v>
      </c>
      <c r="E16" t="s">
        <v>80</v>
      </c>
      <c r="F16" s="22"/>
      <c r="G16" s="125">
        <f t="shared" si="3"/>
        <v>0.7595628415300546</v>
      </c>
      <c r="H16" s="125">
        <f t="shared" si="4"/>
        <v>0.81767955801104975</v>
      </c>
      <c r="I16" s="125"/>
      <c r="J16" s="125">
        <f t="shared" si="5"/>
        <v>1.0285714285714285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17"/>
      <c r="V16" s="17"/>
      <c r="W16" s="17"/>
    </row>
    <row r="17" spans="1:23">
      <c r="A17" s="51" t="s">
        <v>2</v>
      </c>
      <c r="B17" s="46">
        <f t="shared" si="2"/>
        <v>7</v>
      </c>
      <c r="C17" s="46"/>
      <c r="D17" s="1">
        <f>IF(ISERROR(E17),"",IF(E17="","",MAX($D$12:D16)+1))</f>
        <v>4</v>
      </c>
      <c r="E17" t="s">
        <v>103</v>
      </c>
      <c r="F17" s="22"/>
      <c r="G17" s="125">
        <f t="shared" si="3"/>
        <v>0.66806722689075626</v>
      </c>
      <c r="H17" s="125">
        <f t="shared" si="4"/>
        <v>0.65612648221343872</v>
      </c>
      <c r="I17" s="125"/>
      <c r="J17" s="125">
        <f t="shared" si="5"/>
        <v>0.76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17"/>
      <c r="V17" s="17"/>
      <c r="W17" s="17"/>
    </row>
    <row r="18" spans="1:23">
      <c r="A18" s="51" t="s">
        <v>261</v>
      </c>
      <c r="B18" s="46">
        <f t="shared" si="2"/>
        <v>15</v>
      </c>
      <c r="C18" s="46"/>
      <c r="D18" s="1">
        <f>IF(ISERROR(E18),"",IF(E18="","",MAX($D$12:D17)+1))</f>
        <v>5</v>
      </c>
      <c r="E18" t="s">
        <v>262</v>
      </c>
      <c r="F18" s="22"/>
      <c r="G18" s="125">
        <f t="shared" si="3"/>
        <v>0.72794117647058831</v>
      </c>
      <c r="H18" s="125">
        <f t="shared" si="4"/>
        <v>0.80620155038759689</v>
      </c>
      <c r="I18" s="125"/>
      <c r="J18" s="125">
        <f t="shared" si="5"/>
        <v>1.0434782608695652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17"/>
      <c r="V18" s="17"/>
      <c r="W18" s="17"/>
    </row>
    <row r="19" spans="1:23">
      <c r="A19" s="51" t="s">
        <v>4</v>
      </c>
      <c r="B19" s="46">
        <f t="shared" si="2"/>
        <v>16</v>
      </c>
      <c r="C19" s="46"/>
      <c r="D19" s="1">
        <f>IF(ISERROR(E19),"",IF(E19="","",MAX($D$12:D18)+1))</f>
        <v>6</v>
      </c>
      <c r="E19" t="s">
        <v>86</v>
      </c>
      <c r="F19" s="22"/>
      <c r="G19" s="125">
        <f t="shared" si="3"/>
        <v>0.84</v>
      </c>
      <c r="H19" s="125">
        <f t="shared" si="4"/>
        <v>0.88524590163934436</v>
      </c>
      <c r="I19" s="125"/>
      <c r="J19" s="125">
        <f t="shared" si="5"/>
        <v>0.96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17"/>
      <c r="V19" s="17"/>
      <c r="W19" s="17"/>
    </row>
    <row r="20" spans="1:23">
      <c r="A20" s="51" t="s">
        <v>5</v>
      </c>
      <c r="B20" s="46">
        <f t="shared" si="2"/>
        <v>17</v>
      </c>
      <c r="C20" s="46"/>
      <c r="D20" s="1">
        <f>IF(ISERROR(E20),"",IF(E20="","",MAX($D$12:D19)+1))</f>
        <v>7</v>
      </c>
      <c r="E20" t="s">
        <v>46</v>
      </c>
      <c r="F20" s="22"/>
      <c r="G20" s="125">
        <f t="shared" si="3"/>
        <v>1.2564102564102564</v>
      </c>
      <c r="H20" s="125">
        <f t="shared" si="4"/>
        <v>1.411764705882353</v>
      </c>
      <c r="I20" s="125"/>
      <c r="J20" s="125">
        <f t="shared" si="5"/>
        <v>1.36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17"/>
      <c r="V20" s="17"/>
      <c r="W20" s="17"/>
    </row>
    <row r="21" spans="1:23">
      <c r="A21" s="51" t="s">
        <v>6</v>
      </c>
      <c r="B21" s="46">
        <f t="shared" si="2"/>
        <v>19</v>
      </c>
      <c r="C21" s="46"/>
      <c r="D21" s="1">
        <f>IF(ISERROR(E21),"",IF(E21="","",MAX($D$12:D20)+1))</f>
        <v>8</v>
      </c>
      <c r="E21" t="s">
        <v>90</v>
      </c>
      <c r="F21" s="22"/>
      <c r="G21" s="125">
        <f t="shared" si="3"/>
        <v>1.1142857142857143</v>
      </c>
      <c r="H21" s="125">
        <f t="shared" si="4"/>
        <v>1.2272727272727273</v>
      </c>
      <c r="I21" s="125"/>
      <c r="J21" s="125">
        <f t="shared" si="5"/>
        <v>1.5</v>
      </c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17"/>
      <c r="V21" s="17"/>
      <c r="W21" s="17"/>
    </row>
    <row r="22" spans="1:23">
      <c r="A22" s="51" t="s">
        <v>9</v>
      </c>
      <c r="B22" s="46">
        <f t="shared" si="2"/>
        <v>21</v>
      </c>
      <c r="C22" s="46"/>
      <c r="D22" s="1">
        <f>IF(ISERROR(E22),"",IF(E22="","",MAX($D$12:D21)+1))</f>
        <v>9</v>
      </c>
      <c r="E22" t="s">
        <v>47</v>
      </c>
      <c r="F22" s="22"/>
      <c r="G22" s="125">
        <f t="shared" si="3"/>
        <v>0.80916030534351147</v>
      </c>
      <c r="H22" s="125">
        <f t="shared" si="4"/>
        <v>0.84962406015037595</v>
      </c>
      <c r="I22" s="125"/>
      <c r="J22" s="125">
        <f t="shared" si="5"/>
        <v>1.1200000000000001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17"/>
      <c r="V22" s="17"/>
      <c r="W22" s="17"/>
    </row>
    <row r="23" spans="1:23">
      <c r="A23" s="51" t="s">
        <v>10</v>
      </c>
      <c r="B23" s="46">
        <f t="shared" si="2"/>
        <v>23</v>
      </c>
      <c r="C23" s="46"/>
      <c r="D23" s="1">
        <f>IF(ISERROR(E23),"",IF(E23="","",MAX($D$12:D22)+1))</f>
        <v>10</v>
      </c>
      <c r="E23" t="s">
        <v>50</v>
      </c>
      <c r="F23" s="22"/>
      <c r="G23" s="125">
        <f t="shared" si="3"/>
        <v>0.70588235294117652</v>
      </c>
      <c r="H23" s="125">
        <f t="shared" si="4"/>
        <v>0.70682730923694792</v>
      </c>
      <c r="I23" s="125"/>
      <c r="J23" s="125">
        <f t="shared" si="5"/>
        <v>0.86956521739130432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17"/>
      <c r="V23" s="17"/>
      <c r="W23" s="17"/>
    </row>
    <row r="24" spans="1:23">
      <c r="A24" s="51" t="s">
        <v>11</v>
      </c>
      <c r="B24" s="46">
        <f t="shared" si="2"/>
        <v>26</v>
      </c>
      <c r="C24" s="46"/>
      <c r="D24" s="1">
        <f>IF(ISERROR(E24),"",IF(E24="","",MAX($D$12:D23)+1))</f>
        <v>11</v>
      </c>
      <c r="E24" t="s">
        <v>52</v>
      </c>
      <c r="F24" s="22"/>
      <c r="G24" s="125">
        <f t="shared" si="3"/>
        <v>0.75418994413407825</v>
      </c>
      <c r="H24" s="125">
        <f t="shared" si="4"/>
        <v>0.95512820512820518</v>
      </c>
      <c r="I24" s="125"/>
      <c r="J24" s="125">
        <f t="shared" si="5"/>
        <v>1.0285714285714285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17"/>
      <c r="V24" s="17"/>
      <c r="W24" s="17"/>
    </row>
    <row r="25" spans="1:23">
      <c r="A25" s="51" t="s">
        <v>12</v>
      </c>
      <c r="B25" s="46">
        <f t="shared" si="2"/>
        <v>27</v>
      </c>
      <c r="C25" s="46"/>
      <c r="D25" s="1">
        <f>IF(ISERROR(E25),"",IF(E25="","",MAX($D$12:D24)+1))</f>
        <v>12</v>
      </c>
      <c r="E25" t="s">
        <v>51</v>
      </c>
      <c r="F25" s="22"/>
      <c r="G25" s="125">
        <f t="shared" si="3"/>
        <v>0.74613003095975239</v>
      </c>
      <c r="H25" s="125">
        <f t="shared" si="4"/>
        <v>0.86551724137931041</v>
      </c>
      <c r="I25" s="125"/>
      <c r="J25" s="125">
        <f t="shared" si="5"/>
        <v>1.0535714285714286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17"/>
      <c r="V25" s="17"/>
      <c r="W25" s="17"/>
    </row>
    <row r="26" spans="1:23">
      <c r="A26" s="51" t="s">
        <v>13</v>
      </c>
      <c r="B26" s="46">
        <f t="shared" si="2"/>
        <v>28</v>
      </c>
      <c r="C26" s="46"/>
      <c r="D26" s="1">
        <f>IF(ISERROR(E26),"",IF(E26="","",MAX($D$12:D25)+1))</f>
        <v>13</v>
      </c>
      <c r="E26" t="s">
        <v>93</v>
      </c>
      <c r="F26" s="22"/>
      <c r="G26" s="125">
        <f t="shared" si="3"/>
        <v>0.77695167286245348</v>
      </c>
      <c r="H26" s="125">
        <f t="shared" si="4"/>
        <v>0.71335504885993484</v>
      </c>
      <c r="I26" s="125"/>
      <c r="J26" s="125">
        <f t="shared" si="5"/>
        <v>1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17"/>
      <c r="V26" s="17"/>
      <c r="W26" s="17"/>
    </row>
    <row r="27" spans="1:23">
      <c r="A27" s="51" t="s">
        <v>14</v>
      </c>
      <c r="B27" s="46">
        <f t="shared" si="2"/>
        <v>29</v>
      </c>
      <c r="C27" s="46"/>
      <c r="D27" s="1">
        <f>IF(ISERROR(E27),"",IF(E27="","",MAX($D$12:D26)+1))</f>
        <v>14</v>
      </c>
      <c r="E27" t="s">
        <v>53</v>
      </c>
      <c r="F27" s="22"/>
      <c r="G27" s="125">
        <f t="shared" si="3"/>
        <v>0.84351145038167952</v>
      </c>
      <c r="H27" s="125">
        <f t="shared" si="4"/>
        <v>0.74025974025974028</v>
      </c>
      <c r="I27" s="125"/>
      <c r="J27" s="125">
        <f t="shared" si="5"/>
        <v>0.859375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17"/>
      <c r="V27" s="17"/>
      <c r="W27" s="17"/>
    </row>
    <row r="28" spans="1:23">
      <c r="A28" s="51" t="s">
        <v>15</v>
      </c>
      <c r="B28" s="46">
        <f t="shared" si="2"/>
        <v>30</v>
      </c>
      <c r="C28" s="46"/>
      <c r="D28" s="1">
        <f>IF(ISERROR(E28),"",IF(E28="","",MAX($D$12:D27)+1))</f>
        <v>15</v>
      </c>
      <c r="E28" t="s">
        <v>88</v>
      </c>
      <c r="F28" s="22"/>
      <c r="G28" s="125">
        <f t="shared" si="3"/>
        <v>0.97637795275590555</v>
      </c>
      <c r="H28" s="125">
        <f t="shared" si="4"/>
        <v>1.1415929203539823</v>
      </c>
      <c r="I28" s="125"/>
      <c r="J28" s="125">
        <f t="shared" si="5"/>
        <v>1.0357142857142858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17"/>
      <c r="V28" s="17"/>
      <c r="W28" s="17"/>
    </row>
    <row r="29" spans="1:23">
      <c r="A29" s="51" t="s">
        <v>17</v>
      </c>
      <c r="B29" s="46">
        <f t="shared" si="2"/>
        <v>31</v>
      </c>
      <c r="C29" s="46"/>
      <c r="D29" s="1">
        <f>IF(ISERROR(E29),"",IF(E29="","",MAX($D$12:D28)+1))</f>
        <v>16</v>
      </c>
      <c r="E29" t="s">
        <v>55</v>
      </c>
      <c r="F29" s="22"/>
      <c r="G29" s="125">
        <f t="shared" si="3"/>
        <v>0.89688249400479603</v>
      </c>
      <c r="H29" s="125">
        <f t="shared" si="4"/>
        <v>0.85049019607843146</v>
      </c>
      <c r="I29" s="125"/>
      <c r="J29" s="125">
        <f t="shared" si="5"/>
        <v>0.96153846153846156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17"/>
      <c r="V29" s="17"/>
      <c r="W29" s="17"/>
    </row>
    <row r="30" spans="1:23">
      <c r="A30" s="51" t="s">
        <v>211</v>
      </c>
      <c r="B30" s="46">
        <f t="shared" si="2"/>
        <v>32</v>
      </c>
      <c r="C30" s="46"/>
      <c r="D30" s="1">
        <f>IF(ISERROR(E30),"",IF(E30="","",MAX($D$12:D29)+1))</f>
        <v>17</v>
      </c>
      <c r="E30" t="s">
        <v>212</v>
      </c>
      <c r="F30" s="22"/>
      <c r="G30" s="125">
        <f t="shared" si="3"/>
        <v>0.67836257309941517</v>
      </c>
      <c r="H30" s="125">
        <f t="shared" si="4"/>
        <v>0.7142857142857143</v>
      </c>
      <c r="I30" s="125"/>
      <c r="J30" s="125">
        <f t="shared" si="5"/>
        <v>1.4285714285714286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17"/>
      <c r="V30" s="17"/>
      <c r="W30" s="17"/>
    </row>
    <row r="31" spans="1:23">
      <c r="A31" s="51" t="s">
        <v>18</v>
      </c>
      <c r="B31" s="46">
        <f t="shared" si="2"/>
        <v>33</v>
      </c>
      <c r="C31" s="46"/>
      <c r="D31" s="1">
        <f>IF(ISERROR(E31),"",IF(E31="","",MAX($D$12:D30)+1))</f>
        <v>18</v>
      </c>
      <c r="E31" t="s">
        <v>69</v>
      </c>
      <c r="F31" s="22"/>
      <c r="G31" s="125">
        <f t="shared" si="3"/>
        <v>0.93023255813953487</v>
      </c>
      <c r="H31" s="125">
        <f t="shared" si="4"/>
        <v>1</v>
      </c>
      <c r="I31" s="125"/>
      <c r="J31" s="125">
        <f t="shared" si="5"/>
        <v>1.1212121212121211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17"/>
      <c r="V31" s="17"/>
      <c r="W31" s="17"/>
    </row>
    <row r="32" spans="1:23">
      <c r="A32" s="51" t="s">
        <v>19</v>
      </c>
      <c r="B32" s="46">
        <f t="shared" si="2"/>
        <v>34</v>
      </c>
      <c r="C32" s="46"/>
      <c r="D32" s="1">
        <f>IF(ISERROR(E32),"",IF(E32="","",MAX($D$12:D31)+1))</f>
        <v>19</v>
      </c>
      <c r="E32" t="s">
        <v>66</v>
      </c>
      <c r="F32" s="22"/>
      <c r="G32" s="125">
        <f t="shared" si="3"/>
        <v>0.96212121212121215</v>
      </c>
      <c r="H32" s="125">
        <f t="shared" si="4"/>
        <v>1.075</v>
      </c>
      <c r="I32" s="125"/>
      <c r="J32" s="125">
        <f t="shared" si="5"/>
        <v>1.2857142857142858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7"/>
      <c r="V32" s="17"/>
      <c r="W32" s="17"/>
    </row>
    <row r="33" spans="1:23">
      <c r="A33" s="51" t="s">
        <v>267</v>
      </c>
      <c r="B33" s="46">
        <f t="shared" si="2"/>
        <v>35</v>
      </c>
      <c r="C33" s="46"/>
      <c r="D33" s="1">
        <f>IF(ISERROR(E33),"",IF(E33="","",MAX($D$12:D32)+1))</f>
        <v>20</v>
      </c>
      <c r="E33" t="s">
        <v>266</v>
      </c>
      <c r="F33" s="22"/>
      <c r="G33" s="125">
        <f t="shared" si="3"/>
        <v>0.74149659863945583</v>
      </c>
      <c r="H33" s="125">
        <f t="shared" si="4"/>
        <v>0.8571428571428571</v>
      </c>
      <c r="I33" s="125"/>
      <c r="J33" s="125">
        <f t="shared" si="5"/>
        <v>1.3</v>
      </c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17"/>
      <c r="V33" s="17"/>
      <c r="W33" s="17"/>
    </row>
    <row r="34" spans="1:23">
      <c r="A34" s="51" t="s">
        <v>20</v>
      </c>
      <c r="B34" s="46">
        <f t="shared" si="2"/>
        <v>36</v>
      </c>
      <c r="C34" s="46"/>
      <c r="D34" s="1">
        <f>IF(ISERROR(E34),"",IF(E34="","",MAX($D$12:D33)+1))</f>
        <v>21</v>
      </c>
      <c r="E34" t="s">
        <v>104</v>
      </c>
      <c r="F34" s="22"/>
      <c r="G34" s="125">
        <f t="shared" si="3"/>
        <v>1.0545454545454545</v>
      </c>
      <c r="H34" s="125">
        <f t="shared" si="4"/>
        <v>1.4038461538461537</v>
      </c>
      <c r="I34" s="125"/>
      <c r="J34" s="125">
        <f t="shared" si="5"/>
        <v>2.5</v>
      </c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17"/>
      <c r="V34" s="17"/>
      <c r="W34" s="17"/>
    </row>
    <row r="35" spans="1:23">
      <c r="A35" s="51" t="s">
        <v>21</v>
      </c>
      <c r="B35" s="46">
        <f t="shared" si="2"/>
        <v>37</v>
      </c>
      <c r="C35" s="46"/>
      <c r="D35" s="1">
        <f>IF(ISERROR(E35),"",IF(E35="","",MAX($D$12:D34)+1))</f>
        <v>22</v>
      </c>
      <c r="E35" t="s">
        <v>58</v>
      </c>
      <c r="F35" s="22"/>
      <c r="G35" s="125">
        <f t="shared" si="3"/>
        <v>1.028169014084507</v>
      </c>
      <c r="H35" s="125">
        <f t="shared" si="4"/>
        <v>0.91566265060240948</v>
      </c>
      <c r="I35" s="125"/>
      <c r="J35" s="125">
        <f t="shared" si="5"/>
        <v>1.0625</v>
      </c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17"/>
      <c r="V35" s="17"/>
      <c r="W35" s="17"/>
    </row>
    <row r="36" spans="1:23">
      <c r="A36" s="51" t="s">
        <v>22</v>
      </c>
      <c r="B36" s="46">
        <f t="shared" si="2"/>
        <v>38</v>
      </c>
      <c r="C36" s="46"/>
      <c r="D36" s="1">
        <f>IF(ISERROR(E36),"",IF(E36="","",MAX($D$12:D35)+1))</f>
        <v>23</v>
      </c>
      <c r="E36" t="s">
        <v>59</v>
      </c>
      <c r="F36" s="22"/>
      <c r="G36" s="125">
        <f t="shared" si="3"/>
        <v>1.1307692307692307</v>
      </c>
      <c r="H36" s="125">
        <f t="shared" si="4"/>
        <v>1.1755725190839694</v>
      </c>
      <c r="I36" s="125"/>
      <c r="J36" s="125">
        <f t="shared" si="5"/>
        <v>1.2962962962962963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17"/>
      <c r="V36" s="17"/>
      <c r="W36" s="17"/>
    </row>
    <row r="37" spans="1:23">
      <c r="A37" s="51" t="s">
        <v>25</v>
      </c>
      <c r="B37" s="46">
        <f t="shared" si="2"/>
        <v>39</v>
      </c>
      <c r="C37" s="46"/>
      <c r="D37" s="1">
        <f>IF(ISERROR(E37),"",IF(E37="","",MAX($D$12:D36)+1))</f>
        <v>24</v>
      </c>
      <c r="E37" t="s">
        <v>61</v>
      </c>
      <c r="F37" s="22"/>
      <c r="G37" s="125">
        <f t="shared" si="3"/>
        <v>1.5306122448979591</v>
      </c>
      <c r="H37" s="125">
        <f t="shared" si="4"/>
        <v>1.537037037037037</v>
      </c>
      <c r="I37" s="125"/>
      <c r="J37" s="125">
        <f t="shared" si="5"/>
        <v>1.5652173913043479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17"/>
      <c r="V37" s="17"/>
      <c r="W37" s="17"/>
    </row>
    <row r="38" spans="1:23">
      <c r="A38" s="51" t="s">
        <v>141</v>
      </c>
      <c r="B38" s="46">
        <f t="shared" si="2"/>
        <v>42</v>
      </c>
      <c r="C38" s="46"/>
      <c r="D38" s="1">
        <f>IF(ISERROR(E38),"",IF(E38="","",MAX($D$12:D37)+1))</f>
        <v>25</v>
      </c>
      <c r="E38" t="s">
        <v>209</v>
      </c>
      <c r="F38" s="22"/>
      <c r="G38" s="125">
        <f t="shared" si="3"/>
        <v>0.9285714285714286</v>
      </c>
      <c r="H38" s="125">
        <f t="shared" si="4"/>
        <v>0.96666666666666667</v>
      </c>
      <c r="I38" s="125"/>
      <c r="J38" s="125">
        <f t="shared" si="5"/>
        <v>1.0298507462686568</v>
      </c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17"/>
      <c r="V38" s="17"/>
      <c r="W38" s="17"/>
    </row>
    <row r="39" spans="1:23">
      <c r="A39" s="51" t="s">
        <v>144</v>
      </c>
      <c r="B39" s="46">
        <f t="shared" si="2"/>
        <v>45</v>
      </c>
      <c r="C39" s="46"/>
      <c r="D39" s="1">
        <f>IF(ISERROR(E39),"",IF(E39="","",MAX($D$12:D38)+1))</f>
        <v>26</v>
      </c>
      <c r="E39" t="s">
        <v>94</v>
      </c>
      <c r="F39" s="22"/>
      <c r="G39" s="125">
        <f t="shared" si="3"/>
        <v>1.1300813008130082</v>
      </c>
      <c r="H39" s="125">
        <f t="shared" si="4"/>
        <v>1.0909090909090911</v>
      </c>
      <c r="I39" s="125"/>
      <c r="J39" s="125">
        <f t="shared" si="5"/>
        <v>1.2222222222222223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17"/>
      <c r="V39" s="17"/>
      <c r="W39" s="17"/>
    </row>
    <row r="40" spans="1:23">
      <c r="A40" s="51" t="s">
        <v>27</v>
      </c>
      <c r="B40" s="46">
        <f t="shared" si="2"/>
        <v>46</v>
      </c>
      <c r="C40" s="46"/>
      <c r="D40" s="1">
        <f>IF(ISERROR(E40),"",IF(E40="","",MAX($D$12:D39)+1))</f>
        <v>27</v>
      </c>
      <c r="E40" t="s">
        <v>67</v>
      </c>
      <c r="F40" s="22"/>
      <c r="G40" s="125">
        <f t="shared" si="3"/>
        <v>0.69072164948453618</v>
      </c>
      <c r="H40" s="125">
        <f t="shared" si="4"/>
        <v>1.2068965517241379</v>
      </c>
      <c r="I40" s="125"/>
      <c r="J40" s="125">
        <f t="shared" si="5"/>
        <v>2.4285714285714284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17"/>
      <c r="V40" s="17"/>
      <c r="W40" s="17"/>
    </row>
    <row r="41" spans="1:23">
      <c r="A41" s="51" t="s">
        <v>28</v>
      </c>
      <c r="B41" s="46">
        <f t="shared" si="2"/>
        <v>48</v>
      </c>
      <c r="C41" s="46"/>
      <c r="D41" s="1">
        <f>IF(ISERROR(E41),"",IF(E41="","",MAX($D$12:D40)+1))</f>
        <v>28</v>
      </c>
      <c r="E41" t="s">
        <v>68</v>
      </c>
      <c r="F41" s="22"/>
      <c r="G41" s="125">
        <f t="shared" si="3"/>
        <v>0.97333333333333327</v>
      </c>
      <c r="H41" s="125">
        <f t="shared" si="4"/>
        <v>0.83870967741935476</v>
      </c>
      <c r="I41" s="125"/>
      <c r="J41" s="125">
        <f t="shared" si="5"/>
        <v>2.3333333333333335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17"/>
      <c r="V41" s="17"/>
      <c r="W41" s="17"/>
    </row>
    <row r="42" spans="1:23">
      <c r="A42" s="51" t="s">
        <v>30</v>
      </c>
      <c r="B42" s="46">
        <f t="shared" si="2"/>
        <v>49</v>
      </c>
      <c r="C42" s="46"/>
      <c r="D42" s="1">
        <f>IF(ISERROR(E42),"",IF(E42="","",MAX($D$12:D41)+1))</f>
        <v>29</v>
      </c>
      <c r="E42" t="s">
        <v>71</v>
      </c>
      <c r="F42" s="22"/>
      <c r="G42" s="125">
        <f t="shared" si="3"/>
        <v>0.79399141630901282</v>
      </c>
      <c r="H42" s="125">
        <f t="shared" si="4"/>
        <v>0.8398268398268397</v>
      </c>
      <c r="I42" s="125"/>
      <c r="J42" s="125">
        <f t="shared" si="5"/>
        <v>0.93478260869565222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17"/>
      <c r="V42" s="17"/>
      <c r="W42" s="17"/>
    </row>
    <row r="43" spans="1:23">
      <c r="A43" s="51" t="s">
        <v>31</v>
      </c>
      <c r="B43" s="46">
        <f t="shared" si="2"/>
        <v>50</v>
      </c>
      <c r="C43" s="46"/>
      <c r="D43" s="1">
        <f>IF(ISERROR(E43),"",IF(E43="","",MAX($D$12:D42)+1))</f>
        <v>30</v>
      </c>
      <c r="E43" t="s">
        <v>72</v>
      </c>
      <c r="F43" s="22"/>
      <c r="G43" s="125">
        <f t="shared" si="3"/>
        <v>0.78884462151394419</v>
      </c>
      <c r="H43" s="125">
        <f t="shared" si="4"/>
        <v>0.98571428571428565</v>
      </c>
      <c r="I43" s="125"/>
      <c r="J43" s="125">
        <f t="shared" si="5"/>
        <v>1.2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17"/>
      <c r="V43" s="17"/>
      <c r="W43" s="17"/>
    </row>
    <row r="44" spans="1:23">
      <c r="A44" s="51" t="s">
        <v>32</v>
      </c>
      <c r="B44" s="46">
        <f t="shared" si="2"/>
        <v>51</v>
      </c>
      <c r="C44" s="46"/>
      <c r="D44" s="1">
        <f>IF(ISERROR(E44),"",IF(E44="","",MAX($D$12:D43)+1))</f>
        <v>31</v>
      </c>
      <c r="E44" t="s">
        <v>74</v>
      </c>
      <c r="F44" s="22"/>
      <c r="G44" s="125">
        <f t="shared" si="3"/>
        <v>0.79646017699115035</v>
      </c>
      <c r="H44" s="125">
        <f t="shared" si="4"/>
        <v>0.84545454545454557</v>
      </c>
      <c r="I44" s="125"/>
      <c r="J44" s="125">
        <f t="shared" si="5"/>
        <v>0.85454545454545461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17"/>
      <c r="V44" s="17"/>
      <c r="W44" s="17"/>
    </row>
    <row r="45" spans="1:23">
      <c r="A45" s="51" t="s">
        <v>33</v>
      </c>
      <c r="B45" s="46">
        <f t="shared" si="2"/>
        <v>52</v>
      </c>
      <c r="C45" s="46"/>
      <c r="D45" s="1">
        <f>IF(ISERROR(E45),"",IF(E45="","",MAX($D$12:D44)+1))</f>
        <v>32</v>
      </c>
      <c r="E45" t="s">
        <v>92</v>
      </c>
      <c r="F45" s="22"/>
      <c r="G45" s="125">
        <f t="shared" si="3"/>
        <v>0.90370370370370368</v>
      </c>
      <c r="H45" s="125">
        <f t="shared" si="4"/>
        <v>1.2745098039215688</v>
      </c>
      <c r="I45" s="125"/>
      <c r="J45" s="125">
        <f t="shared" si="5"/>
        <v>2.3846153846153846</v>
      </c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17"/>
      <c r="V45" s="17"/>
      <c r="W45" s="17"/>
    </row>
    <row r="46" spans="1:23">
      <c r="A46" s="51" t="s">
        <v>34</v>
      </c>
      <c r="B46" s="46">
        <f t="shared" si="2"/>
        <v>53</v>
      </c>
      <c r="C46" s="46"/>
      <c r="D46" s="1">
        <f>IF(ISERROR(E46),"",IF(E46="","",MAX($D$12:D45)+1))</f>
        <v>33</v>
      </c>
      <c r="E46" t="s">
        <v>70</v>
      </c>
      <c r="F46" s="22"/>
      <c r="G46" s="125">
        <f t="shared" si="3"/>
        <v>0.72727272727272729</v>
      </c>
      <c r="H46" s="125">
        <f t="shared" si="4"/>
        <v>0.79381443298969079</v>
      </c>
      <c r="I46" s="125"/>
      <c r="J46" s="125">
        <f t="shared" si="5"/>
        <v>1.2</v>
      </c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17"/>
      <c r="V46" s="17"/>
      <c r="W46" s="17"/>
    </row>
    <row r="47" spans="1:23">
      <c r="A47" s="51" t="s">
        <v>35</v>
      </c>
      <c r="B47" s="46">
        <f t="shared" si="2"/>
        <v>54</v>
      </c>
      <c r="C47" s="46"/>
      <c r="D47" s="1">
        <f>IF(ISERROR(E47),"",IF(E47="","",MAX($D$12:D46)+1))</f>
        <v>34</v>
      </c>
      <c r="E47" t="s">
        <v>75</v>
      </c>
      <c r="F47" s="22"/>
      <c r="G47" s="125">
        <f t="shared" si="3"/>
        <v>0.62087912087912089</v>
      </c>
      <c r="H47" s="125">
        <f t="shared" si="4"/>
        <v>0.90624999999999989</v>
      </c>
      <c r="I47" s="125"/>
      <c r="J47" s="125">
        <f t="shared" si="5"/>
        <v>1.3333333333333333</v>
      </c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17"/>
      <c r="V47" s="17"/>
      <c r="W47" s="17"/>
    </row>
    <row r="48" spans="1:23">
      <c r="A48" s="51" t="s">
        <v>36</v>
      </c>
      <c r="B48" s="46">
        <f t="shared" si="2"/>
        <v>56</v>
      </c>
      <c r="C48" s="46"/>
      <c r="D48" s="1">
        <f>IF(ISERROR(E48),"",IF(E48="","",MAX($D$12:D47)+1))</f>
        <v>35</v>
      </c>
      <c r="E48" t="s">
        <v>76</v>
      </c>
      <c r="F48" s="22"/>
      <c r="G48" s="125">
        <f t="shared" si="3"/>
        <v>0.63675213675213682</v>
      </c>
      <c r="H48" s="125">
        <f t="shared" si="4"/>
        <v>1.2325581395348837</v>
      </c>
      <c r="I48" s="125"/>
      <c r="J48" s="125">
        <f t="shared" si="5"/>
        <v>1.3448275862068966</v>
      </c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17"/>
      <c r="V48" s="17"/>
      <c r="W48" s="17"/>
    </row>
    <row r="49" spans="1:23">
      <c r="A49" s="51" t="s">
        <v>37</v>
      </c>
      <c r="B49" s="46">
        <f t="shared" si="2"/>
        <v>57</v>
      </c>
      <c r="C49" s="46"/>
      <c r="D49" s="1">
        <f>IF(ISERROR(E49),"",IF(E49="","",MAX($D$12:D48)+1))</f>
        <v>36</v>
      </c>
      <c r="E49" t="s">
        <v>54</v>
      </c>
      <c r="F49" s="22"/>
      <c r="G49" s="125">
        <f t="shared" si="3"/>
        <v>0.8037037037037037</v>
      </c>
      <c r="H49" s="125">
        <f t="shared" si="4"/>
        <v>1.1148325358851676</v>
      </c>
      <c r="I49" s="125"/>
      <c r="J49" s="125">
        <f t="shared" si="5"/>
        <v>1.3478260869565217</v>
      </c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17"/>
      <c r="V49" s="17"/>
      <c r="W49" s="17"/>
    </row>
    <row r="50" spans="1:23">
      <c r="A50" s="51" t="s">
        <v>38</v>
      </c>
      <c r="B50" s="46">
        <f t="shared" si="2"/>
        <v>60</v>
      </c>
      <c r="C50" s="46"/>
      <c r="D50" s="1">
        <f>IF(ISERROR(E50),"",IF(E50="","",MAX($D$12:D49)+1))</f>
        <v>37</v>
      </c>
      <c r="E50" t="s">
        <v>77</v>
      </c>
      <c r="F50" s="22"/>
      <c r="G50" s="125">
        <f t="shared" si="3"/>
        <v>0.71839080459770122</v>
      </c>
      <c r="H50" s="125">
        <f t="shared" si="4"/>
        <v>0.80503144654088055</v>
      </c>
      <c r="I50" s="125"/>
      <c r="J50" s="125">
        <f t="shared" si="5"/>
        <v>1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17"/>
      <c r="V50" s="17"/>
      <c r="W50" s="17"/>
    </row>
    <row r="51" spans="1:23">
      <c r="A51" s="51" t="s">
        <v>42</v>
      </c>
      <c r="B51" s="46">
        <f t="shared" si="2"/>
        <v>66</v>
      </c>
      <c r="C51" s="46"/>
      <c r="D51" s="1">
        <f>IF(ISERROR(E51),"",IF(E51="","",MAX($D$12:D50)+1))</f>
        <v>38</v>
      </c>
      <c r="E51" t="s">
        <v>89</v>
      </c>
      <c r="F51" s="22"/>
      <c r="G51" s="125">
        <f t="shared" si="3"/>
        <v>0.83571428571428563</v>
      </c>
      <c r="H51" s="125">
        <f t="shared" si="4"/>
        <v>0.83221476510067116</v>
      </c>
      <c r="I51" s="125"/>
      <c r="J51" s="125">
        <f t="shared" si="5"/>
        <v>0.86111111111111116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17"/>
      <c r="V51" s="17"/>
      <c r="W51" s="17"/>
    </row>
    <row r="52" spans="1:23">
      <c r="A52" s="51" t="s">
        <v>44</v>
      </c>
      <c r="B52" s="46">
        <f t="shared" si="2"/>
        <v>67</v>
      </c>
      <c r="C52" s="46"/>
      <c r="D52" s="1">
        <f>IF(ISERROR(E52),"",IF(E52="","",MAX($D$12:D51)+1))</f>
        <v>39</v>
      </c>
      <c r="E52" t="s">
        <v>217</v>
      </c>
      <c r="F52" s="22"/>
      <c r="G52" s="125">
        <f t="shared" si="3"/>
        <v>0.79999999999999993</v>
      </c>
      <c r="H52" s="125">
        <f t="shared" si="4"/>
        <v>0.92857142857142849</v>
      </c>
      <c r="I52" s="125"/>
      <c r="J52" s="125">
        <f t="shared" si="5"/>
        <v>1.173913043478261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17"/>
      <c r="V52" s="17"/>
      <c r="W52" s="17"/>
    </row>
    <row r="53" spans="1:23">
      <c r="A53" s="51" t="s">
        <v>43</v>
      </c>
      <c r="B53" s="46">
        <f t="shared" si="2"/>
        <v>68</v>
      </c>
      <c r="C53" s="46"/>
      <c r="D53" s="1">
        <f>IF(ISERROR(E53),"",IF(E53="","",MAX($D$12:D52)+1))</f>
        <v>40</v>
      </c>
      <c r="E53" t="s">
        <v>87</v>
      </c>
      <c r="F53" s="22"/>
      <c r="G53" s="125">
        <f t="shared" si="3"/>
        <v>0.86725663716814161</v>
      </c>
      <c r="H53" s="125">
        <f t="shared" si="4"/>
        <v>0.7846153846153846</v>
      </c>
      <c r="I53" s="125"/>
      <c r="J53" s="125">
        <f t="shared" si="5"/>
        <v>0.77852348993288589</v>
      </c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17"/>
      <c r="V53" s="17"/>
      <c r="W53" s="17"/>
    </row>
    <row r="54" spans="1:23">
      <c r="A54" s="51" t="s">
        <v>45</v>
      </c>
      <c r="B54" s="46">
        <f t="shared" si="2"/>
        <v>70</v>
      </c>
      <c r="C54" s="46"/>
      <c r="D54" s="1">
        <f>IF(ISERROR(E54),"",IF(E54="","",MAX($D$12:D53)+1))</f>
        <v>41</v>
      </c>
      <c r="E54" t="s">
        <v>65</v>
      </c>
      <c r="F54" s="22"/>
      <c r="G54" s="125">
        <f t="shared" si="3"/>
        <v>0.76388888888888884</v>
      </c>
      <c r="H54" s="125">
        <f t="shared" si="4"/>
        <v>0.69277108433734935</v>
      </c>
      <c r="I54" s="125"/>
      <c r="J54" s="125">
        <f t="shared" si="5"/>
        <v>1.173913043478261</v>
      </c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17"/>
      <c r="V54" s="17"/>
      <c r="W54" s="17"/>
    </row>
    <row r="55" spans="1:23" hidden="1">
      <c r="A55" s="51" t="e">
        <f>#REF!</f>
        <v>#REF!</v>
      </c>
      <c r="B55" s="46" t="e">
        <f t="shared" si="2"/>
        <v>#REF!</v>
      </c>
      <c r="C55" s="46"/>
      <c r="D55" s="1" t="str">
        <f>IF(ISERROR(E55),"",IF(E55="","",MAX($D$12:D54)+1))</f>
        <v/>
      </c>
      <c r="E55" t="e">
        <f>#REF!</f>
        <v>#REF!</v>
      </c>
      <c r="F55" s="22"/>
      <c r="G55" s="99" t="str">
        <f t="shared" si="3"/>
        <v>N/A</v>
      </c>
      <c r="H55" s="99" t="str">
        <f t="shared" si="4"/>
        <v>N/A</v>
      </c>
      <c r="I55" s="99"/>
      <c r="J55" s="99" t="str">
        <f t="shared" si="5"/>
        <v>N/A</v>
      </c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17"/>
      <c r="V55" s="17"/>
      <c r="W55" s="17"/>
    </row>
    <row r="56" spans="1:23" hidden="1">
      <c r="A56" s="51" t="e">
        <f>#REF!</f>
        <v>#REF!</v>
      </c>
      <c r="B56" s="46" t="e">
        <f t="shared" si="2"/>
        <v>#REF!</v>
      </c>
      <c r="C56" s="46"/>
      <c r="D56" s="1" t="str">
        <f>IF(ISERROR(E56),"",IF(E56="","",MAX($D$12:D55)+1))</f>
        <v/>
      </c>
      <c r="E56" t="e">
        <f>#REF!</f>
        <v>#REF!</v>
      </c>
      <c r="G56" s="99" t="str">
        <f t="shared" si="3"/>
        <v>N/A</v>
      </c>
      <c r="H56" s="99" t="str">
        <f t="shared" si="4"/>
        <v>N/A</v>
      </c>
      <c r="I56" s="99"/>
      <c r="J56" s="99" t="str">
        <f t="shared" si="5"/>
        <v>N/A</v>
      </c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17"/>
      <c r="V56" s="17"/>
      <c r="W56" s="17"/>
    </row>
    <row r="57" spans="1:23" hidden="1">
      <c r="A57" s="51" t="e">
        <f>#REF!</f>
        <v>#REF!</v>
      </c>
      <c r="B57" s="46" t="e">
        <f t="shared" si="2"/>
        <v>#REF!</v>
      </c>
      <c r="C57" s="46"/>
      <c r="D57" s="1" t="str">
        <f>IF(ISERROR(E57),"",IF(E57="","",MAX($D$12:D56)+1))</f>
        <v/>
      </c>
      <c r="E57" t="e">
        <f>#REF!</f>
        <v>#REF!</v>
      </c>
      <c r="G57" s="99" t="str">
        <f t="shared" si="3"/>
        <v>N/A</v>
      </c>
      <c r="H57" s="99" t="str">
        <f t="shared" si="4"/>
        <v>N/A</v>
      </c>
      <c r="I57" s="99"/>
      <c r="J57" s="99" t="str">
        <f t="shared" si="5"/>
        <v>N/A</v>
      </c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17"/>
      <c r="V57" s="17"/>
      <c r="W57" s="17"/>
    </row>
    <row r="58" spans="1:23" hidden="1">
      <c r="A58" s="51" t="e">
        <f>#REF!</f>
        <v>#REF!</v>
      </c>
      <c r="B58" s="46" t="e">
        <f t="shared" si="2"/>
        <v>#REF!</v>
      </c>
      <c r="C58" s="46"/>
      <c r="D58" s="1" t="str">
        <f>IF(ISERROR(E58),"",IF(E58="","",MAX($D$12:D57)+1))</f>
        <v/>
      </c>
      <c r="E58" t="e">
        <f>#REF!</f>
        <v>#REF!</v>
      </c>
      <c r="G58" s="99" t="str">
        <f t="shared" si="3"/>
        <v>N/A</v>
      </c>
      <c r="H58" s="99" t="str">
        <f t="shared" si="4"/>
        <v>N/A</v>
      </c>
      <c r="I58" s="99"/>
      <c r="J58" s="99" t="str">
        <f t="shared" si="5"/>
        <v>N/A</v>
      </c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17"/>
      <c r="V58" s="17"/>
      <c r="W58" s="17"/>
    </row>
    <row r="59" spans="1:23">
      <c r="A59" s="31"/>
      <c r="B59" s="31"/>
      <c r="C59" s="31"/>
      <c r="D59" s="1" t="str">
        <f>IF(ISERROR(E59),"",IF(E59="","",MAX($D$12:D58)+1))</f>
        <v/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17"/>
      <c r="V59" s="17"/>
    </row>
    <row r="60" spans="1:23">
      <c r="A60" s="31"/>
      <c r="B60" s="31"/>
      <c r="C60" s="31"/>
      <c r="D60" s="1">
        <f>IF(ISERROR(E60),"",IF(E60="","",MAX($D$12:D59)+1))</f>
        <v>42</v>
      </c>
      <c r="E60" t="s">
        <v>98</v>
      </c>
      <c r="G60" s="125">
        <f t="shared" ref="G60:J60" si="6">AVERAGE(G14:G59)</f>
        <v>0.8769249382346701</v>
      </c>
      <c r="H60" s="125">
        <f t="shared" si="6"/>
        <v>0.95469055100967948</v>
      </c>
      <c r="I60" s="125"/>
      <c r="J60" s="125">
        <f t="shared" si="6"/>
        <v>1.2745387976809623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17"/>
      <c r="V60" s="17"/>
      <c r="W60" s="17"/>
    </row>
    <row r="61" spans="1:23">
      <c r="A61" s="31"/>
      <c r="B61" s="31"/>
      <c r="C61" s="31"/>
      <c r="D61" s="1">
        <f>IF(ISERROR(E61),"",IF(E61="","",MAX($D$12:D60)+1))</f>
        <v>43</v>
      </c>
      <c r="E61" t="s">
        <v>257</v>
      </c>
      <c r="G61" s="125">
        <f>MEDIAN(G14:G59)</f>
        <v>0.8037037037037037</v>
      </c>
      <c r="H61" s="125">
        <f t="shared" ref="H61:J61" si="7">MEDIAN(H14:H59)</f>
        <v>0.88524590163934436</v>
      </c>
      <c r="I61" s="125"/>
      <c r="J61" s="125">
        <f t="shared" si="7"/>
        <v>1.1212121212121211</v>
      </c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17"/>
      <c r="V61" s="17"/>
      <c r="W61" s="17"/>
    </row>
    <row r="62" spans="1:23">
      <c r="A62" s="31"/>
      <c r="B62" s="31"/>
      <c r="C62" s="31"/>
      <c r="D62" s="1"/>
    </row>
    <row r="63" spans="1:23">
      <c r="A63" s="31"/>
      <c r="B63" s="31"/>
      <c r="C63" s="31"/>
      <c r="E63" s="18"/>
      <c r="F63" s="91"/>
    </row>
    <row r="64" spans="1:23">
      <c r="A64" s="31"/>
      <c r="B64" s="31"/>
      <c r="C64" s="31"/>
      <c r="E64" s="20" t="s">
        <v>107</v>
      </c>
    </row>
    <row r="65" spans="1:6" ht="16.5">
      <c r="A65" s="31"/>
      <c r="B65" s="31"/>
      <c r="C65" s="31"/>
      <c r="E65" s="79"/>
      <c r="F65" s="21" t="str">
        <f>"The Value Line Investment Survey Investment Analyzer Software,"</f>
        <v>The Value Line Investment Survey Investment Analyzer Software,</v>
      </c>
    </row>
    <row r="66" spans="1:6" ht="16.5">
      <c r="A66" s="31"/>
      <c r="B66" s="31"/>
      <c r="C66" s="31"/>
      <c r="E66" s="79"/>
      <c r="F66" s="21" t="str">
        <f>" downloaded on "&amp;TEXT(CapSpendCashFlow!$A$1,"mmmm d, yyyy.")</f>
        <v xml:space="preserve"> downloaded on September 21, 2017.</v>
      </c>
    </row>
    <row r="67" spans="1:6">
      <c r="A67" s="31"/>
      <c r="B67" s="31"/>
      <c r="C67" s="31"/>
      <c r="E67" s="20" t="s">
        <v>336</v>
      </c>
    </row>
    <row r="68" spans="1:6" ht="16.5">
      <c r="A68" s="31"/>
      <c r="B68" s="31"/>
      <c r="C68" s="31"/>
      <c r="E68" s="93"/>
      <c r="F68" s="21" t="s">
        <v>395</v>
      </c>
    </row>
    <row r="69" spans="1:6">
      <c r="A69" s="31"/>
      <c r="B69" s="31"/>
      <c r="C69" s="31"/>
      <c r="F69" s="23"/>
    </row>
    <row r="70" spans="1:6">
      <c r="A70" s="31"/>
      <c r="B70" s="31"/>
      <c r="C70" s="31"/>
      <c r="E70" s="21"/>
    </row>
    <row r="71" spans="1:6">
      <c r="E71" s="23"/>
    </row>
  </sheetData>
  <mergeCells count="5">
    <mergeCell ref="E11:F11"/>
    <mergeCell ref="D4:J4"/>
    <mergeCell ref="D5:J5"/>
    <mergeCell ref="C1:K1"/>
    <mergeCell ref="G9:J9"/>
  </mergeCells>
  <printOptions horizontalCentered="1"/>
  <pageMargins left="0.7" right="0.7" top="1" bottom="0.75" header="0.55000000000000004" footer="0.51"/>
  <pageSetup scale="64" orientation="portrait" useFirstPageNumber="1" r:id="rId1"/>
  <headerFooter>
    <oddHeader>&amp;R&amp;20 Exhibit MPG-2
Page 4 of 4</oddHeader>
  </headerFooter>
  <rowBreaks count="1" manualBreakCount="1">
    <brk id="7" min="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1">
    <pageSetUpPr fitToPage="1"/>
  </sheetPr>
  <dimension ref="A1:V193"/>
  <sheetViews>
    <sheetView topLeftCell="A7" zoomScale="80" zoomScaleNormal="80" workbookViewId="0"/>
  </sheetViews>
  <sheetFormatPr defaultRowHeight="14.25"/>
  <cols>
    <col min="1" max="2" width="8" customWidth="1"/>
    <col min="3" max="3" width="4.75" bestFit="1" customWidth="1"/>
    <col min="4" max="4" width="2.125" customWidth="1"/>
    <col min="5" max="5" width="18.75" customWidth="1"/>
    <col min="6" max="18" width="9" customWidth="1"/>
    <col min="19" max="19" width="9" hidden="1" customWidth="1"/>
    <col min="20" max="22" width="0" hidden="1" customWidth="1"/>
  </cols>
  <sheetData>
    <row r="1" spans="1:22" ht="27.75">
      <c r="C1" s="140" t="str">
        <f>ElectricU</f>
        <v>Avista Corporation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2"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</row>
    <row r="3" spans="1:22"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</row>
    <row r="4" spans="1:22" ht="20.25">
      <c r="C4" s="141" t="s">
        <v>273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ht="18">
      <c r="C5" s="142" t="s">
        <v>275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</row>
    <row r="6" spans="1:22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7.25">
      <c r="C8" s="6"/>
      <c r="D8" s="7"/>
      <c r="E8" s="7"/>
      <c r="F8" s="143" t="s">
        <v>337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1:22" ht="15">
      <c r="A9" s="42" t="s">
        <v>99</v>
      </c>
      <c r="B9" s="42" t="s">
        <v>241</v>
      </c>
      <c r="C9" s="6"/>
      <c r="D9" s="7"/>
      <c r="E9" s="7"/>
      <c r="F9" s="8" t="s">
        <v>258</v>
      </c>
      <c r="G9" s="8"/>
      <c r="H9" s="8"/>
      <c r="I9" s="8"/>
      <c r="J9" s="8"/>
      <c r="K9" s="8"/>
      <c r="L9" s="8"/>
      <c r="M9" s="7"/>
      <c r="N9" s="7"/>
      <c r="O9" s="7"/>
      <c r="P9" s="7"/>
      <c r="Q9" s="7"/>
      <c r="R9" s="7"/>
      <c r="S9" s="7"/>
      <c r="T9" s="7"/>
      <c r="U9" s="7"/>
    </row>
    <row r="10" spans="1:22" ht="17.25">
      <c r="A10" s="42" t="s">
        <v>100</v>
      </c>
      <c r="B10" s="42" t="s">
        <v>242</v>
      </c>
      <c r="C10" s="9" t="s">
        <v>96</v>
      </c>
      <c r="D10" s="138" t="s">
        <v>97</v>
      </c>
      <c r="E10" s="138"/>
      <c r="F10" s="10" t="s">
        <v>98</v>
      </c>
      <c r="G10" s="41" t="s">
        <v>330</v>
      </c>
      <c r="H10" s="41">
        <v>2016</v>
      </c>
      <c r="I10" s="41">
        <v>2015</v>
      </c>
      <c r="J10" s="41">
        <v>2014</v>
      </c>
      <c r="K10" s="41">
        <v>2013</v>
      </c>
      <c r="L10" s="41">
        <v>2012</v>
      </c>
      <c r="M10" s="41">
        <v>2011</v>
      </c>
      <c r="N10" s="41">
        <v>2010</v>
      </c>
      <c r="O10" s="41">
        <v>2009</v>
      </c>
      <c r="P10" s="41">
        <v>2008</v>
      </c>
      <c r="Q10" s="41">
        <v>2007</v>
      </c>
      <c r="R10" s="41">
        <v>2006</v>
      </c>
      <c r="S10" s="41">
        <v>2005</v>
      </c>
      <c r="T10" s="41">
        <v>2004</v>
      </c>
      <c r="U10" s="41">
        <v>2003</v>
      </c>
      <c r="V10" s="41">
        <v>2002</v>
      </c>
    </row>
    <row r="11" spans="1:22" ht="15">
      <c r="A11" s="42"/>
      <c r="B11" s="42"/>
      <c r="C11" s="9"/>
      <c r="D11" s="85"/>
      <c r="E11" s="85"/>
      <c r="F11" s="12">
        <v>-1</v>
      </c>
      <c r="G11" s="12">
        <f>+F11-1</f>
        <v>-2</v>
      </c>
      <c r="H11" s="12">
        <f>+G11-1</f>
        <v>-3</v>
      </c>
      <c r="I11" s="12">
        <f>+H11-1</f>
        <v>-4</v>
      </c>
      <c r="J11" s="12">
        <f>+I11-1</f>
        <v>-5</v>
      </c>
      <c r="K11" s="12">
        <f t="shared" ref="K11:V11" si="0">+J11-1</f>
        <v>-6</v>
      </c>
      <c r="L11" s="12">
        <f t="shared" si="0"/>
        <v>-7</v>
      </c>
      <c r="M11" s="12">
        <f t="shared" si="0"/>
        <v>-8</v>
      </c>
      <c r="N11" s="12">
        <f t="shared" si="0"/>
        <v>-9</v>
      </c>
      <c r="O11" s="12">
        <f t="shared" si="0"/>
        <v>-10</v>
      </c>
      <c r="P11" s="12">
        <f t="shared" si="0"/>
        <v>-11</v>
      </c>
      <c r="Q11" s="12">
        <f t="shared" si="0"/>
        <v>-12</v>
      </c>
      <c r="R11" s="12">
        <f t="shared" si="0"/>
        <v>-13</v>
      </c>
      <c r="S11" s="12">
        <f t="shared" si="0"/>
        <v>-14</v>
      </c>
      <c r="T11" s="12">
        <f t="shared" si="0"/>
        <v>-15</v>
      </c>
      <c r="U11" s="12">
        <f t="shared" si="0"/>
        <v>-16</v>
      </c>
      <c r="V11" s="12">
        <f t="shared" si="0"/>
        <v>-17</v>
      </c>
    </row>
    <row r="12" spans="1:22" ht="15">
      <c r="A12" s="43"/>
      <c r="B12" s="44"/>
      <c r="C12" s="9"/>
      <c r="D12" s="14" t="s">
        <v>101</v>
      </c>
      <c r="E12" s="11"/>
      <c r="F12" s="36"/>
      <c r="G12" s="36"/>
      <c r="H12" s="16">
        <f t="shared" ref="H12:V12" ca="1" si="1">MATCH(H10,OFFSET(DIV_BV_WP,-1,0,1,),0)</f>
        <v>6</v>
      </c>
      <c r="I12" s="16">
        <f t="shared" ca="1" si="1"/>
        <v>7</v>
      </c>
      <c r="J12" s="16">
        <f t="shared" ca="1" si="1"/>
        <v>8</v>
      </c>
      <c r="K12" s="16">
        <f t="shared" ca="1" si="1"/>
        <v>9</v>
      </c>
      <c r="L12" s="16">
        <f t="shared" ca="1" si="1"/>
        <v>10</v>
      </c>
      <c r="M12" s="16">
        <f t="shared" ca="1" si="1"/>
        <v>11</v>
      </c>
      <c r="N12" s="16">
        <f t="shared" ca="1" si="1"/>
        <v>12</v>
      </c>
      <c r="O12" s="16">
        <f t="shared" ca="1" si="1"/>
        <v>13</v>
      </c>
      <c r="P12" s="16">
        <f t="shared" ca="1" si="1"/>
        <v>14</v>
      </c>
      <c r="Q12" s="16">
        <f t="shared" ca="1" si="1"/>
        <v>15</v>
      </c>
      <c r="R12" s="16">
        <f t="shared" ca="1" si="1"/>
        <v>16</v>
      </c>
      <c r="S12" s="16" t="e">
        <f t="shared" ca="1" si="1"/>
        <v>#N/A</v>
      </c>
      <c r="T12" s="16" t="e">
        <f t="shared" ca="1" si="1"/>
        <v>#N/A</v>
      </c>
      <c r="U12" s="16" t="e">
        <f t="shared" ca="1" si="1"/>
        <v>#N/A</v>
      </c>
      <c r="V12" s="16" t="e">
        <f t="shared" ca="1" si="1"/>
        <v>#N/A</v>
      </c>
    </row>
    <row r="13" spans="1:22">
      <c r="A13" s="45" t="s">
        <v>0</v>
      </c>
      <c r="B13" s="46">
        <f t="shared" ref="B13:B57" ca="1" si="2">IFERROR(MATCH(A13,OFFSET(DIV_BV_WP,0,0,,1),0),"")</f>
        <v>2</v>
      </c>
      <c r="C13" s="1">
        <f>IF(ISERROR(D13),"",IF(D13="","",MAX($C$12:C12)+1))</f>
        <v>1</v>
      </c>
      <c r="D13" t="str">
        <f t="shared" ref="D13:D57" si="3">VLOOKUP(A13,LUCurYr,2,FALSE)</f>
        <v xml:space="preserve">ALLETE                        </v>
      </c>
      <c r="E13" s="15"/>
      <c r="F13" s="80">
        <f ca="1">IFERROR(AVERAGE(G13:R13),"N/A")</f>
        <v>6.1050527495715018E-2</v>
      </c>
      <c r="G13" s="80">
        <f t="shared" ref="G13:G57" si="4">IFERROR(IF(VLOOKUP(A13,LUCurYr,15,FALSE)=0,"",VLOOKUP(A13,LUCurYr,15,FALSE)),"N/A")</f>
        <v>5.3701380175658724E-2</v>
      </c>
      <c r="H13" s="80">
        <f ca="1">IFERROR(VLOOKUP($A13,LASTYR,'2016'!$N$3,FALSE),"N/A")</f>
        <v>5.4500196515131667E-2</v>
      </c>
      <c r="I13" s="80">
        <f t="shared" ref="I13:R28" ca="1" si="5">IFERROR(INDEX(DIV_BV_WP,$B13,I$12),"N/A")</f>
        <v>5.4490032640069061E-2</v>
      </c>
      <c r="J13" s="80">
        <f t="shared" ca="1" si="5"/>
        <v>5.5899381113994805E-2</v>
      </c>
      <c r="K13" s="80">
        <f t="shared" ca="1" si="5"/>
        <v>5.8575084009002069E-2</v>
      </c>
      <c r="L13" s="80">
        <f t="shared" ca="1" si="5"/>
        <v>6.0363493209107021E-2</v>
      </c>
      <c r="M13" s="80">
        <f t="shared" ca="1" si="5"/>
        <v>6.1846356971613219E-2</v>
      </c>
      <c r="N13" s="80">
        <f t="shared" ca="1" si="5"/>
        <v>6.4556358434508299E-2</v>
      </c>
      <c r="O13" s="80">
        <f t="shared" ca="1" si="5"/>
        <v>6.6651518594258885E-2</v>
      </c>
      <c r="P13" s="80">
        <f t="shared" ca="1" si="5"/>
        <v>6.7793937960663755E-2</v>
      </c>
      <c r="Q13" s="80">
        <f t="shared" ca="1" si="5"/>
        <v>6.8021567814184988E-2</v>
      </c>
      <c r="R13" s="80">
        <f t="shared" ca="1" si="5"/>
        <v>6.6207022510387653E-2</v>
      </c>
      <c r="S13" s="63"/>
      <c r="T13" s="63"/>
      <c r="U13" s="63"/>
      <c r="V13" s="63"/>
    </row>
    <row r="14" spans="1:22">
      <c r="A14" s="45" t="s">
        <v>1</v>
      </c>
      <c r="B14" s="46">
        <f t="shared" ca="1" si="2"/>
        <v>3</v>
      </c>
      <c r="C14" s="1">
        <f>IF(ISERROR(D14),"",IF(D14="","",MAX($C$12:C13)+1))</f>
        <v>2</v>
      </c>
      <c r="D14" t="str">
        <f t="shared" si="3"/>
        <v xml:space="preserve">Alliant Energy                </v>
      </c>
      <c r="E14" s="15"/>
      <c r="F14" s="80">
        <f t="shared" ref="F14:F57" ca="1" si="6">IFERROR(AVERAGE(G14:R14),"N/A")</f>
        <v>6.1843014756228783E-2</v>
      </c>
      <c r="G14" s="80">
        <f t="shared" si="4"/>
        <v>7.2206303724928367E-2</v>
      </c>
      <c r="H14" s="80">
        <f ca="1">IFERROR(VLOOKUP($A14,LASTYR,'2016'!$N$3,FALSE),"N/A")</f>
        <v>6.9563166892648701E-2</v>
      </c>
      <c r="I14" s="80">
        <f t="shared" ca="1" si="5"/>
        <v>6.7024128686327081E-2</v>
      </c>
      <c r="J14" s="80">
        <f t="shared" ca="1" si="5"/>
        <v>6.5620174987133295E-2</v>
      </c>
      <c r="K14" s="80">
        <f t="shared" ca="1" si="5"/>
        <v>6.356075461491649E-2</v>
      </c>
      <c r="L14" s="80">
        <f t="shared" ca="1" si="5"/>
        <v>6.3725837286695466E-2</v>
      </c>
      <c r="M14" s="80">
        <f t="shared" ca="1" si="5"/>
        <v>6.2638172439204123E-2</v>
      </c>
      <c r="N14" s="80">
        <f t="shared" ca="1" si="5"/>
        <v>6.0550318080784857E-2</v>
      </c>
      <c r="O14" s="80">
        <f t="shared" ca="1" si="5"/>
        <v>5.9822924144532177E-2</v>
      </c>
      <c r="P14" s="80">
        <f t="shared" ca="1" si="5"/>
        <v>5.4764512595837894E-2</v>
      </c>
      <c r="Q14" s="80">
        <f t="shared" ca="1" si="5"/>
        <v>5.2271978926572274E-2</v>
      </c>
      <c r="R14" s="80">
        <f t="shared" ca="1" si="5"/>
        <v>5.0367904695164674E-2</v>
      </c>
      <c r="S14" s="63"/>
      <c r="T14" s="63"/>
      <c r="U14" s="63"/>
      <c r="V14" s="63"/>
    </row>
    <row r="15" spans="1:22">
      <c r="A15" s="45" t="s">
        <v>3</v>
      </c>
      <c r="B15" s="46">
        <f t="shared" ca="1" si="2"/>
        <v>6</v>
      </c>
      <c r="C15" s="1">
        <f>IF(ISERROR(D15),"",IF(D15="","",MAX($C$12:C14)+1))</f>
        <v>3</v>
      </c>
      <c r="D15" t="str">
        <f t="shared" si="3"/>
        <v xml:space="preserve">Ameren Corp.                  </v>
      </c>
      <c r="E15" s="15"/>
      <c r="F15" s="80">
        <f t="shared" ca="1" si="6"/>
        <v>6.0744952986315361E-2</v>
      </c>
      <c r="G15" s="80">
        <f t="shared" si="4"/>
        <v>5.8745874587458745E-2</v>
      </c>
      <c r="H15" s="80">
        <f ca="1">IFERROR(VLOOKUP($A15,LASTYR,'2016'!$N$3,FALSE),"N/A")</f>
        <v>5.8584409373505501E-2</v>
      </c>
      <c r="I15" s="80">
        <f t="shared" ca="1" si="5"/>
        <v>5.7812554581339298E-2</v>
      </c>
      <c r="J15" s="80">
        <f t="shared" ca="1" si="5"/>
        <v>5.8192069975060538E-2</v>
      </c>
      <c r="K15" s="80">
        <f t="shared" ca="1" si="5"/>
        <v>5.9322976530347411E-2</v>
      </c>
      <c r="L15" s="80">
        <f t="shared" ca="1" si="5"/>
        <v>5.8678989254410098E-2</v>
      </c>
      <c r="M15" s="80">
        <f t="shared" ca="1" si="5"/>
        <v>4.7638012376692601E-2</v>
      </c>
      <c r="N15" s="80">
        <f t="shared" ca="1" si="5"/>
        <v>4.7893018193127038E-2</v>
      </c>
      <c r="O15" s="80">
        <f t="shared" ca="1" si="5"/>
        <v>4.6555216300371835E-2</v>
      </c>
      <c r="P15" s="80">
        <f t="shared" ca="1" si="5"/>
        <v>7.7443746569912791E-2</v>
      </c>
      <c r="Q15" s="80">
        <f t="shared" ca="1" si="5"/>
        <v>7.8358784513342591E-2</v>
      </c>
      <c r="R15" s="80">
        <f t="shared" ca="1" si="5"/>
        <v>7.9713783580215913E-2</v>
      </c>
      <c r="S15" s="63"/>
      <c r="T15" s="63"/>
      <c r="U15" s="63"/>
      <c r="V15" s="63"/>
    </row>
    <row r="16" spans="1:22">
      <c r="A16" s="45" t="s">
        <v>2</v>
      </c>
      <c r="B16" s="46">
        <f t="shared" ca="1" si="2"/>
        <v>7</v>
      </c>
      <c r="C16" s="1">
        <f>IF(ISERROR(D16),"",IF(D16="","",MAX($C$12:C15)+1))</f>
        <v>4</v>
      </c>
      <c r="D16" t="str">
        <f t="shared" si="3"/>
        <v>American Electric Power</v>
      </c>
      <c r="E16" s="15"/>
      <c r="F16" s="80">
        <f t="shared" ca="1" si="6"/>
        <v>6.1285926870699482E-2</v>
      </c>
      <c r="G16" s="80">
        <f t="shared" si="4"/>
        <v>6.4857530529172328E-2</v>
      </c>
      <c r="H16" s="80">
        <f ca="1">IFERROR(VLOOKUP($A16,LASTYR,'2016'!$N$3,FALSE),"N/A")</f>
        <v>6.4160542679479932E-2</v>
      </c>
      <c r="I16" s="80">
        <f t="shared" ca="1" si="5"/>
        <v>5.9009194455880327E-2</v>
      </c>
      <c r="J16" s="80">
        <f t="shared" ca="1" si="5"/>
        <v>5.9066573556797008E-2</v>
      </c>
      <c r="K16" s="80">
        <f t="shared" ca="1" si="5"/>
        <v>5.9133915574963614E-2</v>
      </c>
      <c r="L16" s="80">
        <f t="shared" ca="1" si="5"/>
        <v>5.9924138590507756E-2</v>
      </c>
      <c r="M16" s="80">
        <f t="shared" ca="1" si="5"/>
        <v>6.0987670600646145E-2</v>
      </c>
      <c r="N16" s="80">
        <f t="shared" ca="1" si="5"/>
        <v>6.0355781448538752E-2</v>
      </c>
      <c r="O16" s="80">
        <f t="shared" ca="1" si="5"/>
        <v>5.9666739430983044E-2</v>
      </c>
      <c r="P16" s="80">
        <f t="shared" ca="1" si="5"/>
        <v>6.2279269357839971E-2</v>
      </c>
      <c r="Q16" s="80">
        <f t="shared" ca="1" si="5"/>
        <v>6.2770648762464742E-2</v>
      </c>
      <c r="R16" s="80">
        <f t="shared" ca="1" si="5"/>
        <v>6.3219117461120244E-2</v>
      </c>
      <c r="S16" s="63"/>
      <c r="T16" s="63"/>
      <c r="U16" s="63"/>
      <c r="V16" s="63"/>
    </row>
    <row r="17" spans="1:22">
      <c r="A17" s="45" t="s">
        <v>261</v>
      </c>
      <c r="B17" s="46">
        <f t="shared" ca="1" si="2"/>
        <v>10</v>
      </c>
      <c r="C17" s="1">
        <f>IF(ISERROR(D17),"",IF(D17="","",MAX($C$12:C16)+1))</f>
        <v>5</v>
      </c>
      <c r="D17" t="str">
        <f t="shared" si="3"/>
        <v>Avangrid, Inc.</v>
      </c>
      <c r="E17" s="15"/>
      <c r="F17" s="80">
        <f t="shared" ca="1" si="6"/>
        <v>2.3464864360937209E-2</v>
      </c>
      <c r="G17" s="80">
        <f t="shared" si="4"/>
        <v>3.5055724417426541E-2</v>
      </c>
      <c r="H17" s="80">
        <f ca="1">IFERROR(VLOOKUP($A17,LASTYR,'2016'!$N$3,FALSE),"N/A")</f>
        <v>3.5338868665385083E-2</v>
      </c>
      <c r="I17" s="80">
        <f ca="1">IFERROR(INDEX(DIV_BV_WP,$B17,I$12),"N/A")</f>
        <v>0</v>
      </c>
      <c r="J17" s="80" t="str">
        <f t="shared" ca="1" si="5"/>
        <v>N/A</v>
      </c>
      <c r="K17" s="80" t="str">
        <f t="shared" ca="1" si="5"/>
        <v>N/A</v>
      </c>
      <c r="L17" s="80" t="str">
        <f t="shared" ca="1" si="5"/>
        <v>N/A</v>
      </c>
      <c r="M17" s="80" t="str">
        <f t="shared" ca="1" si="5"/>
        <v>N/A</v>
      </c>
      <c r="N17" s="80" t="str">
        <f t="shared" ca="1" si="5"/>
        <v>N/A</v>
      </c>
      <c r="O17" s="80" t="str">
        <f t="shared" ca="1" si="5"/>
        <v>N/A</v>
      </c>
      <c r="P17" s="80" t="str">
        <f t="shared" ca="1" si="5"/>
        <v>N/A</v>
      </c>
      <c r="Q17" s="80" t="str">
        <f t="shared" ca="1" si="5"/>
        <v>N/A</v>
      </c>
      <c r="R17" s="80" t="str">
        <f t="shared" ca="1" si="5"/>
        <v>N/A</v>
      </c>
      <c r="S17" s="63"/>
      <c r="T17" s="63"/>
      <c r="U17" s="63"/>
      <c r="V17" s="63"/>
    </row>
    <row r="18" spans="1:22">
      <c r="A18" s="45" t="s">
        <v>4</v>
      </c>
      <c r="B18" s="46">
        <f t="shared" ca="1" si="2"/>
        <v>11</v>
      </c>
      <c r="C18" s="1">
        <f>IF(ISERROR(D18),"",IF(D18="","",MAX($C$12:C17)+1))</f>
        <v>6</v>
      </c>
      <c r="D18" t="str">
        <f t="shared" si="3"/>
        <v xml:space="preserve">Avista Corp.                  </v>
      </c>
      <c r="E18" s="15"/>
      <c r="F18" s="80">
        <f t="shared" ca="1" si="6"/>
        <v>4.8143463265084986E-2</v>
      </c>
      <c r="G18" s="80">
        <f t="shared" si="4"/>
        <v>5.3759398496240597E-2</v>
      </c>
      <c r="H18" s="80">
        <f ca="1">IFERROR(VLOOKUP($A18,LASTYR,'2016'!$N$3,FALSE),"N/A")</f>
        <v>5.3336447870435261E-2</v>
      </c>
      <c r="I18" s="80">
        <f t="shared" ca="1" si="5"/>
        <v>5.3807272134355127E-2</v>
      </c>
      <c r="J18" s="80">
        <f t="shared" ca="1" si="5"/>
        <v>5.3278516591853002E-2</v>
      </c>
      <c r="K18" s="80">
        <f t="shared" ca="1" si="5"/>
        <v>5.6455344747801943E-2</v>
      </c>
      <c r="L18" s="80">
        <f t="shared" ca="1" si="5"/>
        <v>5.5088569121907204E-2</v>
      </c>
      <c r="M18" s="80">
        <f t="shared" ca="1" si="5"/>
        <v>5.4200542005420051E-2</v>
      </c>
      <c r="N18" s="80">
        <f t="shared" ca="1" si="5"/>
        <v>5.0738241412552641E-2</v>
      </c>
      <c r="O18" s="80">
        <f t="shared" ca="1" si="5"/>
        <v>4.2251317093526683E-2</v>
      </c>
      <c r="P18" s="80">
        <f t="shared" ca="1" si="5"/>
        <v>3.7713161346742456E-2</v>
      </c>
      <c r="Q18" s="80">
        <f t="shared" ca="1" si="5"/>
        <v>3.4444830380919299E-2</v>
      </c>
      <c r="R18" s="80">
        <f t="shared" ca="1" si="5"/>
        <v>3.2647917979265709E-2</v>
      </c>
      <c r="S18" s="63"/>
      <c r="T18" s="63"/>
      <c r="U18" s="63"/>
      <c r="V18" s="63"/>
    </row>
    <row r="19" spans="1:22">
      <c r="A19" s="45" t="s">
        <v>5</v>
      </c>
      <c r="B19" s="46">
        <f t="shared" ca="1" si="2"/>
        <v>12</v>
      </c>
      <c r="C19" s="1">
        <f>IF(ISERROR(D19),"",IF(D19="","",MAX($C$12:C18)+1))</f>
        <v>7</v>
      </c>
      <c r="D19" t="str">
        <f t="shared" si="3"/>
        <v xml:space="preserve">Black Hills                   </v>
      </c>
      <c r="E19" s="15"/>
      <c r="F19" s="80">
        <f t="shared" ca="1" si="6"/>
        <v>5.3292833336025559E-2</v>
      </c>
      <c r="G19" s="80">
        <f t="shared" si="4"/>
        <v>5.5886970172684458E-2</v>
      </c>
      <c r="H19" s="80">
        <f ca="1">IFERROR(VLOOKUP($A19,LASTYR,'2016'!$N$3,FALSE),"N/A")</f>
        <v>5.5542698449432999E-2</v>
      </c>
      <c r="I19" s="80">
        <f t="shared" ca="1" si="5"/>
        <v>5.6574122577265587E-2</v>
      </c>
      <c r="J19" s="80">
        <f t="shared" ca="1" si="5"/>
        <v>5.0644417751517706E-2</v>
      </c>
      <c r="K19" s="80">
        <f t="shared" ca="1" si="5"/>
        <v>5.1721791207295489E-2</v>
      </c>
      <c r="L19" s="80">
        <f t="shared" ca="1" si="5"/>
        <v>5.3082744521358631E-2</v>
      </c>
      <c r="M19" s="80">
        <f t="shared" ca="1" si="5"/>
        <v>5.3029202382681967E-2</v>
      </c>
      <c r="N19" s="80">
        <f t="shared" ca="1" si="5"/>
        <v>5.1393697134087583E-2</v>
      </c>
      <c r="O19" s="80">
        <f t="shared" ca="1" si="5"/>
        <v>5.1007579295233307E-2</v>
      </c>
      <c r="P19" s="80">
        <f t="shared" ca="1" si="5"/>
        <v>5.1487624581663047E-2</v>
      </c>
      <c r="Q19" s="80">
        <f t="shared" ca="1" si="5"/>
        <v>5.3390491036632896E-2</v>
      </c>
      <c r="R19" s="80">
        <f t="shared" ca="1" si="5"/>
        <v>5.5752660922453123E-2</v>
      </c>
      <c r="S19" s="63"/>
      <c r="T19" s="63"/>
      <c r="U19" s="63"/>
      <c r="V19" s="63"/>
    </row>
    <row r="20" spans="1:22">
      <c r="A20" s="45" t="s">
        <v>6</v>
      </c>
      <c r="B20" s="46">
        <f t="shared" ca="1" si="2"/>
        <v>14</v>
      </c>
      <c r="C20" s="1">
        <f>IF(ISERROR(D20),"",IF(D20="","",MAX($C$12:C19)+1))</f>
        <v>8</v>
      </c>
      <c r="D20" t="str">
        <f t="shared" si="3"/>
        <v xml:space="preserve">CenterPoint Energy            </v>
      </c>
      <c r="E20" s="15"/>
      <c r="F20" s="80">
        <f t="shared" ca="1" si="6"/>
        <v>0.1078368327125126</v>
      </c>
      <c r="G20" s="80">
        <f t="shared" si="4"/>
        <v>0.1281437125748503</v>
      </c>
      <c r="H20" s="80">
        <f ca="1">IFERROR(VLOOKUP($A20,LASTYR,'2016'!$N$3,FALSE),"N/A")</f>
        <v>0.12820512820512819</v>
      </c>
      <c r="I20" s="80">
        <f t="shared" ca="1" si="5"/>
        <v>0.12299664554603057</v>
      </c>
      <c r="J20" s="80">
        <f t="shared" ca="1" si="5"/>
        <v>8.9614187340816887E-2</v>
      </c>
      <c r="K20" s="80">
        <f t="shared" ca="1" si="5"/>
        <v>8.2251511247646417E-2</v>
      </c>
      <c r="L20" s="80">
        <f t="shared" ca="1" si="5"/>
        <v>8.050089445438284E-2</v>
      </c>
      <c r="M20" s="80">
        <f t="shared" ca="1" si="5"/>
        <v>7.9717457114026238E-2</v>
      </c>
      <c r="N20" s="80">
        <f t="shared" ca="1" si="5"/>
        <v>0.10358565737051793</v>
      </c>
      <c r="O20" s="80">
        <f t="shared" ca="1" si="5"/>
        <v>0.11282660332541568</v>
      </c>
      <c r="P20" s="80">
        <f t="shared" ca="1" si="5"/>
        <v>0.12402310567448181</v>
      </c>
      <c r="Q20" s="80">
        <f t="shared" ca="1" si="5"/>
        <v>0.12123373150294171</v>
      </c>
      <c r="R20" s="80">
        <f t="shared" ca="1" si="5"/>
        <v>0.12094335819391251</v>
      </c>
      <c r="S20" s="63"/>
      <c r="T20" s="63"/>
      <c r="U20" s="63"/>
      <c r="V20" s="63"/>
    </row>
    <row r="21" spans="1:22">
      <c r="A21" s="45" t="s">
        <v>9</v>
      </c>
      <c r="B21" s="46">
        <f t="shared" ca="1" si="2"/>
        <v>18</v>
      </c>
      <c r="C21" s="1">
        <f>IF(ISERROR(D21),"",IF(D21="","",MAX($C$12:C20)+1))</f>
        <v>9</v>
      </c>
      <c r="D21" t="str">
        <f t="shared" si="3"/>
        <v xml:space="preserve">CMS Energy Corp.              </v>
      </c>
      <c r="E21" s="15"/>
      <c r="F21" s="80">
        <f t="shared" ca="1" si="6"/>
        <v>5.9277942863064877E-2</v>
      </c>
      <c r="G21" s="80">
        <f t="shared" si="4"/>
        <v>8.1846153846153846E-2</v>
      </c>
      <c r="H21" s="80">
        <f ca="1">IFERROR(VLOOKUP($A21,LASTYR,'2016'!$N$3,FALSE),"N/A")</f>
        <v>8.1407563025210086E-2</v>
      </c>
      <c r="I21" s="80">
        <f t="shared" ca="1" si="5"/>
        <v>8.1644144144144143E-2</v>
      </c>
      <c r="J21" s="80">
        <f t="shared" ca="1" si="5"/>
        <v>8.0983803239352128E-2</v>
      </c>
      <c r="K21" s="80">
        <f t="shared" ca="1" si="5"/>
        <v>7.8582434514637908E-2</v>
      </c>
      <c r="L21" s="80">
        <f t="shared" ca="1" si="5"/>
        <v>7.9378204068132965E-2</v>
      </c>
      <c r="M21" s="80">
        <f t="shared" ca="1" si="5"/>
        <v>7.0487538810103209E-2</v>
      </c>
      <c r="N21" s="80">
        <f t="shared" ca="1" si="5"/>
        <v>5.8981233243967833E-2</v>
      </c>
      <c r="O21" s="80">
        <f t="shared" ca="1" si="5"/>
        <v>4.3790506218251889E-2</v>
      </c>
      <c r="P21" s="80">
        <f t="shared" ca="1" si="5"/>
        <v>3.3094318808604521E-2</v>
      </c>
      <c r="Q21" s="80">
        <f t="shared" ca="1" si="5"/>
        <v>2.1139414438220063E-2</v>
      </c>
      <c r="R21" s="80">
        <f t="shared" ca="1" si="5"/>
        <v>0</v>
      </c>
      <c r="S21" s="63"/>
      <c r="T21" s="63"/>
      <c r="U21" s="63"/>
      <c r="V21" s="63"/>
    </row>
    <row r="22" spans="1:22">
      <c r="A22" s="45" t="s">
        <v>10</v>
      </c>
      <c r="B22" s="46">
        <f t="shared" ca="1" si="2"/>
        <v>20</v>
      </c>
      <c r="C22" s="1">
        <f>IF(ISERROR(D22),"",IF(D22="","",MAX($C$12:C21)+1))</f>
        <v>10</v>
      </c>
      <c r="D22" t="str">
        <f t="shared" si="3"/>
        <v xml:space="preserve">Consol. Edison                </v>
      </c>
      <c r="E22" s="15"/>
      <c r="F22" s="80">
        <f t="shared" ca="1" si="6"/>
        <v>6.2468853934892508E-2</v>
      </c>
      <c r="G22" s="80">
        <f t="shared" si="4"/>
        <v>5.6673511293634488E-2</v>
      </c>
      <c r="H22" s="80">
        <f ca="1">IFERROR(VLOOKUP($A22,LASTYR,'2016'!$N$3,FALSE),"N/A")</f>
        <v>5.7168454958510216E-2</v>
      </c>
      <c r="I22" s="80">
        <f t="shared" ca="1" si="5"/>
        <v>5.8366632245319447E-2</v>
      </c>
      <c r="J22" s="80">
        <f t="shared" ca="1" si="5"/>
        <v>5.8686539357242669E-2</v>
      </c>
      <c r="K22" s="80">
        <f t="shared" ca="1" si="5"/>
        <v>5.8837598660607504E-2</v>
      </c>
      <c r="L22" s="80">
        <f t="shared" ca="1" si="5"/>
        <v>5.9714751024033945E-2</v>
      </c>
      <c r="M22" s="80">
        <f t="shared" ca="1" si="5"/>
        <v>6.1465963222865336E-2</v>
      </c>
      <c r="N22" s="80">
        <f t="shared" ca="1" si="5"/>
        <v>6.2747165831795404E-2</v>
      </c>
      <c r="O22" s="80">
        <f t="shared" ca="1" si="5"/>
        <v>6.4733795978824366E-2</v>
      </c>
      <c r="P22" s="80">
        <f t="shared" ca="1" si="5"/>
        <v>6.6045723962743441E-2</v>
      </c>
      <c r="Q22" s="80">
        <f t="shared" ca="1" si="5"/>
        <v>7.1204959793751146E-2</v>
      </c>
      <c r="R22" s="80">
        <f t="shared" ca="1" si="5"/>
        <v>7.3981150889382091E-2</v>
      </c>
      <c r="S22" s="63"/>
      <c r="T22" s="63"/>
      <c r="U22" s="63"/>
      <c r="V22" s="63"/>
    </row>
    <row r="23" spans="1:22">
      <c r="A23" s="45" t="s">
        <v>11</v>
      </c>
      <c r="B23" s="46">
        <f t="shared" ca="1" si="2"/>
        <v>22</v>
      </c>
      <c r="C23" s="1">
        <f>IF(ISERROR(D23),"",IF(D23="","",MAX($C$12:C22)+1))</f>
        <v>11</v>
      </c>
      <c r="D23" t="str">
        <f t="shared" si="3"/>
        <v xml:space="preserve">Dominion Resources            </v>
      </c>
      <c r="E23" s="15"/>
      <c r="F23" s="80">
        <f t="shared" ca="1" si="6"/>
        <v>0.1039667025205831</v>
      </c>
      <c r="G23" s="80">
        <f t="shared" si="4"/>
        <v>0.12031872509960159</v>
      </c>
      <c r="H23" s="80">
        <f ca="1">IFERROR(VLOOKUP($A23,LASTYR,'2016'!$N$3,FALSE),"N/A")</f>
        <v>0.12035763411279229</v>
      </c>
      <c r="I23" s="80">
        <f t="shared" ca="1" si="5"/>
        <v>0.12195121951219512</v>
      </c>
      <c r="J23" s="80">
        <f t="shared" ca="1" si="5"/>
        <v>0.12156823016918245</v>
      </c>
      <c r="K23" s="80">
        <f t="shared" ca="1" si="5"/>
        <v>0.11238199890115379</v>
      </c>
      <c r="L23" s="80">
        <f t="shared" ca="1" si="5"/>
        <v>0.11502398604448319</v>
      </c>
      <c r="M23" s="80">
        <f t="shared" ca="1" si="5"/>
        <v>9.8053854959932296E-2</v>
      </c>
      <c r="N23" s="80">
        <f t="shared" ca="1" si="5"/>
        <v>8.8594113090627424E-2</v>
      </c>
      <c r="O23" s="80">
        <f t="shared" ca="1" si="5"/>
        <v>9.3783494105037515E-2</v>
      </c>
      <c r="P23" s="80">
        <f t="shared" ca="1" si="5"/>
        <v>9.1440476879449048E-2</v>
      </c>
      <c r="Q23" s="80">
        <f t="shared" ca="1" si="5"/>
        <v>8.9532102777948125E-2</v>
      </c>
      <c r="R23" s="80">
        <f t="shared" ca="1" si="5"/>
        <v>7.4594594594594582E-2</v>
      </c>
      <c r="S23" s="63"/>
      <c r="T23" s="63"/>
      <c r="U23" s="63"/>
      <c r="V23" s="63"/>
    </row>
    <row r="24" spans="1:22">
      <c r="A24" s="45" t="s">
        <v>12</v>
      </c>
      <c r="B24" s="46">
        <f t="shared" ca="1" si="2"/>
        <v>23</v>
      </c>
      <c r="C24" s="1">
        <f>IF(ISERROR(D24),"",IF(D24="","",MAX($C$12:C23)+1))</f>
        <v>12</v>
      </c>
      <c r="D24" t="str">
        <f t="shared" si="3"/>
        <v xml:space="preserve">DTE Energy                    </v>
      </c>
      <c r="E24" s="15"/>
      <c r="F24" s="80">
        <f t="shared" ca="1" si="6"/>
        <v>5.8411782949967829E-2</v>
      </c>
      <c r="G24" s="80">
        <f t="shared" si="4"/>
        <v>6.3817663817663822E-2</v>
      </c>
      <c r="H24" s="80">
        <f ca="1">IFERROR(VLOOKUP($A24,LASTYR,'2016'!$N$3,FALSE),"N/A")</f>
        <v>6.0933112965212366E-2</v>
      </c>
      <c r="I24" s="80">
        <f t="shared" ca="1" si="5"/>
        <v>5.8105039179982401E-2</v>
      </c>
      <c r="J24" s="80">
        <f t="shared" ca="1" si="5"/>
        <v>5.7175650399591903E-2</v>
      </c>
      <c r="K24" s="80">
        <f t="shared" ca="1" si="5"/>
        <v>5.7904267924612667E-2</v>
      </c>
      <c r="L24" s="80">
        <f t="shared" ca="1" si="5"/>
        <v>5.6569812291077388E-2</v>
      </c>
      <c r="M24" s="80">
        <f t="shared" ca="1" si="5"/>
        <v>5.6021056190085239E-2</v>
      </c>
      <c r="N24" s="80">
        <f t="shared" ca="1" si="5"/>
        <v>5.4946439823566486E-2</v>
      </c>
      <c r="O24" s="80">
        <f t="shared" ca="1" si="5"/>
        <v>5.5854146906944881E-2</v>
      </c>
      <c r="P24" s="80">
        <f t="shared" ca="1" si="5"/>
        <v>5.7647858599592122E-2</v>
      </c>
      <c r="Q24" s="80">
        <f t="shared" ca="1" si="5"/>
        <v>5.9123741528850714E-2</v>
      </c>
      <c r="R24" s="80">
        <f t="shared" ca="1" si="5"/>
        <v>6.2842605772434057E-2</v>
      </c>
      <c r="S24" s="63"/>
      <c r="T24" s="63"/>
      <c r="U24" s="63"/>
      <c r="V24" s="63"/>
    </row>
    <row r="25" spans="1:22">
      <c r="A25" s="45" t="s">
        <v>13</v>
      </c>
      <c r="B25" s="46">
        <f t="shared" ca="1" si="2"/>
        <v>24</v>
      </c>
      <c r="C25" s="1">
        <f>IF(ISERROR(D25),"",IF(D25="","",MAX($C$12:C24)+1))</f>
        <v>13</v>
      </c>
      <c r="D25" t="str">
        <f t="shared" si="3"/>
        <v xml:space="preserve">Duke Energy                   </v>
      </c>
      <c r="E25" s="15"/>
      <c r="F25" s="80">
        <f t="shared" ca="1" si="6"/>
        <v>5.0751241727437439E-2</v>
      </c>
      <c r="G25" s="80">
        <f t="shared" si="4"/>
        <v>5.8507963118189441E-2</v>
      </c>
      <c r="H25" s="80">
        <f ca="1">IFERROR(VLOOKUP($A25,LASTYR,'2016'!$N$3,FALSE),"N/A")</f>
        <v>5.7319299203329975E-2</v>
      </c>
      <c r="I25" s="80">
        <f t="shared" ca="1" si="5"/>
        <v>5.6110697400550719E-2</v>
      </c>
      <c r="J25" s="80">
        <f t="shared" ca="1" si="5"/>
        <v>5.4484130415982011E-2</v>
      </c>
      <c r="K25" s="80">
        <f t="shared" ca="1" si="5"/>
        <v>5.2783519242923765E-2</v>
      </c>
      <c r="L25" s="80">
        <f t="shared" ca="1" si="5"/>
        <v>5.220177796154641E-2</v>
      </c>
      <c r="M25" s="80">
        <f t="shared" ca="1" si="5"/>
        <v>5.8075870160344156E-2</v>
      </c>
      <c r="N25" s="80">
        <f t="shared" ca="1" si="5"/>
        <v>5.7232766250368772E-2</v>
      </c>
      <c r="O25" s="80">
        <f t="shared" ca="1" si="5"/>
        <v>5.6567439621278984E-2</v>
      </c>
      <c r="P25" s="80">
        <f t="shared" ca="1" si="5"/>
        <v>5.4539945460054542E-2</v>
      </c>
      <c r="Q25" s="80">
        <f t="shared" ca="1" si="5"/>
        <v>5.1191491894680453E-2</v>
      </c>
      <c r="R25" s="80">
        <f t="shared" ca="1" si="5"/>
        <v>0</v>
      </c>
      <c r="S25" s="63"/>
      <c r="T25" s="63"/>
      <c r="U25" s="63"/>
      <c r="V25" s="63"/>
    </row>
    <row r="26" spans="1:22">
      <c r="A26" s="45" t="s">
        <v>14</v>
      </c>
      <c r="B26" s="46">
        <f t="shared" ca="1" si="2"/>
        <v>25</v>
      </c>
      <c r="C26" s="1">
        <f>IF(ISERROR(D26),"",IF(D26="","",MAX($C$12:C25)+1))</f>
        <v>14</v>
      </c>
      <c r="D26" t="str">
        <f t="shared" si="3"/>
        <v xml:space="preserve">Edison Int'l                  </v>
      </c>
      <c r="E26" s="15"/>
      <c r="F26" s="80">
        <f t="shared" ca="1" si="6"/>
        <v>4.592785935280036E-2</v>
      </c>
      <c r="G26" s="80">
        <f t="shared" si="4"/>
        <v>5.7702349869451698E-2</v>
      </c>
      <c r="H26" s="80">
        <f ca="1">IFERROR(VLOOKUP($A26,LASTYR,'2016'!$N$3,FALSE),"N/A")</f>
        <v>5.3858062413427846E-2</v>
      </c>
      <c r="I26" s="80">
        <f t="shared" ca="1" si="5"/>
        <v>4.9668969075119661E-2</v>
      </c>
      <c r="J26" s="80">
        <f t="shared" ca="1" si="5"/>
        <v>4.4085733820862685E-2</v>
      </c>
      <c r="K26" s="80">
        <f t="shared" ca="1" si="5"/>
        <v>4.4849518064389228E-2</v>
      </c>
      <c r="L26" s="80">
        <f t="shared" ca="1" si="5"/>
        <v>4.5355625410204145E-2</v>
      </c>
      <c r="M26" s="80">
        <f t="shared" ca="1" si="5"/>
        <v>4.1638313729302351E-2</v>
      </c>
      <c r="N26" s="80">
        <f t="shared" ca="1" si="5"/>
        <v>3.899266383083657E-2</v>
      </c>
      <c r="O26" s="80">
        <f t="shared" ca="1" si="5"/>
        <v>4.1218341334216195E-2</v>
      </c>
      <c r="P26" s="80">
        <f t="shared" ca="1" si="5"/>
        <v>4.193769257103732E-2</v>
      </c>
      <c r="Q26" s="80">
        <f t="shared" ca="1" si="5"/>
        <v>4.5337037465756069E-2</v>
      </c>
      <c r="R26" s="80">
        <f t="shared" ca="1" si="5"/>
        <v>4.6490004649000466E-2</v>
      </c>
      <c r="S26" s="63"/>
      <c r="T26" s="63"/>
      <c r="U26" s="63"/>
      <c r="V26" s="63"/>
    </row>
    <row r="27" spans="1:22">
      <c r="A27" s="45" t="s">
        <v>15</v>
      </c>
      <c r="B27" s="46">
        <f t="shared" ca="1" si="2"/>
        <v>26</v>
      </c>
      <c r="C27" s="1">
        <f>IF(ISERROR(D27),"",IF(D27="","",MAX($C$12:C26)+1))</f>
        <v>15</v>
      </c>
      <c r="D27" t="str">
        <f t="shared" si="3"/>
        <v xml:space="preserve">El Paso Electric              </v>
      </c>
      <c r="E27" s="15"/>
      <c r="F27" s="80">
        <f t="shared" ca="1" si="6"/>
        <v>2.6002301536182344E-2</v>
      </c>
      <c r="G27" s="80">
        <f t="shared" si="4"/>
        <v>4.7739602169981923E-2</v>
      </c>
      <c r="H27" s="80">
        <f ca="1">IFERROR(VLOOKUP($A27,LASTYR,'2016'!$N$3,FALSE),"N/A")</f>
        <v>4.6196779424520121E-2</v>
      </c>
      <c r="I27" s="80">
        <f t="shared" ca="1" si="5"/>
        <v>4.6349711557589018E-2</v>
      </c>
      <c r="J27" s="80">
        <f t="shared" ca="1" si="5"/>
        <v>4.5307310672844318E-2</v>
      </c>
      <c r="K27" s="80">
        <f t="shared" ca="1" si="5"/>
        <v>4.4581911262798632E-2</v>
      </c>
      <c r="L27" s="80">
        <f t="shared" ca="1" si="5"/>
        <v>4.7162930908737292E-2</v>
      </c>
      <c r="M27" s="80">
        <f t="shared" ca="1" si="5"/>
        <v>3.468937243771681E-2</v>
      </c>
      <c r="N27" s="80">
        <f t="shared" ca="1" si="5"/>
        <v>0</v>
      </c>
      <c r="O27" s="80">
        <f t="shared" ca="1" si="5"/>
        <v>0</v>
      </c>
      <c r="P27" s="80">
        <f t="shared" ca="1" si="5"/>
        <v>0</v>
      </c>
      <c r="Q27" s="80">
        <f t="shared" ca="1" si="5"/>
        <v>0</v>
      </c>
      <c r="R27" s="80">
        <f t="shared" ca="1" si="5"/>
        <v>0</v>
      </c>
      <c r="S27" s="63"/>
      <c r="T27" s="63"/>
      <c r="U27" s="63"/>
      <c r="V27" s="63"/>
    </row>
    <row r="28" spans="1:22">
      <c r="A28" s="45" t="s">
        <v>17</v>
      </c>
      <c r="B28" s="46">
        <f t="shared" ca="1" si="2"/>
        <v>28</v>
      </c>
      <c r="C28" s="1">
        <f>IF(ISERROR(D28),"",IF(D28="","",MAX($C$12:C27)+1))</f>
        <v>16</v>
      </c>
      <c r="D28" t="str">
        <f t="shared" si="3"/>
        <v xml:space="preserve">Entergy Corp.                 </v>
      </c>
      <c r="E28" s="15"/>
      <c r="F28" s="80">
        <f t="shared" ca="1" si="6"/>
        <v>6.558749384150564E-2</v>
      </c>
      <c r="G28" s="80">
        <f t="shared" si="4"/>
        <v>7.4309978768577492E-2</v>
      </c>
      <c r="H28" s="80">
        <f ca="1">IFERROR(VLOOKUP($A28,LASTYR,'2016'!$N$3,FALSE),"N/A")</f>
        <v>7.580291242768801E-2</v>
      </c>
      <c r="I28" s="80">
        <f t="shared" ca="1" si="5"/>
        <v>6.4365689618623656E-2</v>
      </c>
      <c r="J28" s="80">
        <f t="shared" ca="1" si="5"/>
        <v>5.9461976573414045E-2</v>
      </c>
      <c r="K28" s="80">
        <f t="shared" ca="1" si="5"/>
        <v>6.1479204473908367E-2</v>
      </c>
      <c r="L28" s="80">
        <f t="shared" ca="1" si="5"/>
        <v>6.4185596906718212E-2</v>
      </c>
      <c r="M28" s="80">
        <f t="shared" ca="1" si="5"/>
        <v>6.5336324634943127E-2</v>
      </c>
      <c r="N28" s="80">
        <f t="shared" ca="1" si="5"/>
        <v>6.8163170849725452E-2</v>
      </c>
      <c r="O28" s="80">
        <f t="shared" ca="1" si="5"/>
        <v>6.5868920847513446E-2</v>
      </c>
      <c r="P28" s="80">
        <f t="shared" ca="1" si="5"/>
        <v>7.1308026906895486E-2</v>
      </c>
      <c r="Q28" s="80">
        <f t="shared" ca="1" si="5"/>
        <v>6.3368865746426292E-2</v>
      </c>
      <c r="R28" s="80">
        <f t="shared" ca="1" si="5"/>
        <v>5.3399258343634119E-2</v>
      </c>
      <c r="S28" s="63"/>
      <c r="T28" s="63"/>
      <c r="U28" s="63"/>
      <c r="V28" s="63"/>
    </row>
    <row r="29" spans="1:22">
      <c r="A29" s="45" t="s">
        <v>211</v>
      </c>
      <c r="B29" s="46">
        <f t="shared" ca="1" si="2"/>
        <v>29</v>
      </c>
      <c r="C29" s="1">
        <f>IF(ISERROR(D29),"",IF(D29="","",MAX($C$12:C28)+1))</f>
        <v>17</v>
      </c>
      <c r="D29" t="str">
        <f t="shared" si="3"/>
        <v xml:space="preserve">Eversource Energy    </v>
      </c>
      <c r="E29" s="15"/>
      <c r="F29" s="80">
        <f t="shared" ca="1" si="6"/>
        <v>4.7318422623719748E-2</v>
      </c>
      <c r="G29" s="80">
        <f t="shared" si="4"/>
        <v>5.4285714285714284E-2</v>
      </c>
      <c r="H29" s="80">
        <f ca="1">IFERROR(VLOOKUP($A29,LASTYR,'2016'!$N$3,FALSE),"N/A")</f>
        <v>5.2658048102239452E-2</v>
      </c>
      <c r="I29" s="80">
        <f t="shared" ref="I29:R44" ca="1" si="7">IFERROR(INDEX(DIV_BV_WP,$B29,I$12),"N/A")</f>
        <v>5.1168918711891408E-2</v>
      </c>
      <c r="J29" s="80">
        <f t="shared" ca="1" si="7"/>
        <v>4.988244265107708E-2</v>
      </c>
      <c r="K29" s="80">
        <f t="shared" ca="1" si="7"/>
        <v>4.8218854556189725E-2</v>
      </c>
      <c r="L29" s="80">
        <f t="shared" ca="1" si="7"/>
        <v>4.4879640962872301E-2</v>
      </c>
      <c r="M29" s="80">
        <f t="shared" ca="1" si="7"/>
        <v>4.8565121412803537E-2</v>
      </c>
      <c r="N29" s="80">
        <f t="shared" ca="1" si="7"/>
        <v>4.7455900736145189E-2</v>
      </c>
      <c r="O29" s="80">
        <f t="shared" ca="1" si="7"/>
        <v>4.6630344082854755E-2</v>
      </c>
      <c r="P29" s="80">
        <f t="shared" ca="1" si="7"/>
        <v>4.2565266742338244E-2</v>
      </c>
      <c r="Q29" s="80">
        <f t="shared" ca="1" si="7"/>
        <v>4.1550503967402959E-2</v>
      </c>
      <c r="R29" s="80">
        <f t="shared" ca="1" si="7"/>
        <v>3.9960315273108081E-2</v>
      </c>
      <c r="S29" s="63"/>
      <c r="T29" s="63"/>
      <c r="U29" s="63"/>
      <c r="V29" s="63"/>
    </row>
    <row r="30" spans="1:22">
      <c r="A30" s="45" t="s">
        <v>18</v>
      </c>
      <c r="B30" s="46">
        <f t="shared" ca="1" si="2"/>
        <v>30</v>
      </c>
      <c r="C30" s="1">
        <f>IF(ISERROR(D30),"",IF(D30="","",MAX($C$12:C29)+1))</f>
        <v>18</v>
      </c>
      <c r="D30" t="str">
        <f t="shared" si="3"/>
        <v xml:space="preserve">Exelon Corp.                  </v>
      </c>
      <c r="E30" s="15"/>
      <c r="F30" s="80">
        <f t="shared" ca="1" si="6"/>
        <v>8.1698132775591528E-2</v>
      </c>
      <c r="G30" s="80">
        <f t="shared" si="4"/>
        <v>4.540727902946274E-2</v>
      </c>
      <c r="H30" s="80">
        <f ca="1">IFERROR(VLOOKUP($A30,LASTYR,'2016'!$N$3,FALSE),"N/A")</f>
        <v>4.5062765995493727E-2</v>
      </c>
      <c r="I30" s="80">
        <f t="shared" ca="1" si="7"/>
        <v>4.4225693701405236E-2</v>
      </c>
      <c r="J30" s="80">
        <f t="shared" ca="1" si="7"/>
        <v>4.7160841288555889E-2</v>
      </c>
      <c r="K30" s="80">
        <f t="shared" ca="1" si="7"/>
        <v>5.4872529793332334E-2</v>
      </c>
      <c r="L30" s="80">
        <f t="shared" ca="1" si="7"/>
        <v>8.3758774728781113E-2</v>
      </c>
      <c r="M30" s="80">
        <f t="shared" ca="1" si="7"/>
        <v>9.6841134424717562E-2</v>
      </c>
      <c r="N30" s="80">
        <f t="shared" ca="1" si="7"/>
        <v>0.10249902381882078</v>
      </c>
      <c r="O30" s="80">
        <f t="shared" ca="1" si="7"/>
        <v>0.10960906101571065</v>
      </c>
      <c r="P30" s="80">
        <f t="shared" ca="1" si="7"/>
        <v>0.12213285671730711</v>
      </c>
      <c r="Q30" s="80">
        <f t="shared" ca="1" si="7"/>
        <v>0.11865180259469327</v>
      </c>
      <c r="R30" s="80">
        <f t="shared" ca="1" si="7"/>
        <v>0.11015583019881783</v>
      </c>
      <c r="S30" s="63"/>
      <c r="T30" s="63"/>
      <c r="U30" s="63"/>
      <c r="V30" s="63"/>
    </row>
    <row r="31" spans="1:22">
      <c r="A31" s="45" t="s">
        <v>19</v>
      </c>
      <c r="B31" s="46">
        <f t="shared" ca="1" si="2"/>
        <v>31</v>
      </c>
      <c r="C31" s="1">
        <f>IF(ISERROR(D31),"",IF(D31="","",MAX($C$12:C30)+1))</f>
        <v>19</v>
      </c>
      <c r="D31" t="str">
        <f t="shared" si="3"/>
        <v xml:space="preserve">FirstEnergy Corp.             </v>
      </c>
      <c r="E31" s="15"/>
      <c r="F31" s="80">
        <f t="shared" ca="1" si="6"/>
        <v>7.1768232521900413E-2</v>
      </c>
      <c r="G31" s="80">
        <f t="shared" si="4"/>
        <v>9.4426229508196721E-2</v>
      </c>
      <c r="H31" s="80">
        <f ca="1">IFERROR(VLOOKUP($A31,LASTYR,'2016'!$N$3,FALSE),"N/A")</f>
        <v>0.10206251328938974</v>
      </c>
      <c r="I31" s="80">
        <f t="shared" ca="1" si="7"/>
        <v>4.9104859335038366E-2</v>
      </c>
      <c r="J31" s="80">
        <f t="shared" ca="1" si="7"/>
        <v>4.8823489523292872E-2</v>
      </c>
      <c r="K31" s="80">
        <f t="shared" ca="1" si="7"/>
        <v>5.4423114981199283E-2</v>
      </c>
      <c r="L31" s="80">
        <f t="shared" ca="1" si="7"/>
        <v>7.0321240210963726E-2</v>
      </c>
      <c r="M31" s="80">
        <f t="shared" ca="1" si="7"/>
        <v>6.9282610064873726E-2</v>
      </c>
      <c r="N31" s="80">
        <f t="shared" ca="1" si="7"/>
        <v>7.8481735159817365E-2</v>
      </c>
      <c r="O31" s="80">
        <f t="shared" ca="1" si="7"/>
        <v>7.8355949709726827E-2</v>
      </c>
      <c r="P31" s="80">
        <f t="shared" ca="1" si="7"/>
        <v>8.0965699985278972E-2</v>
      </c>
      <c r="Q31" s="80">
        <f t="shared" ca="1" si="7"/>
        <v>6.96118713708445E-2</v>
      </c>
      <c r="R31" s="80">
        <f t="shared" ca="1" si="7"/>
        <v>6.535947712418301E-2</v>
      </c>
      <c r="S31" s="63"/>
      <c r="T31" s="63"/>
      <c r="U31" s="63"/>
      <c r="V31" s="63"/>
    </row>
    <row r="32" spans="1:22">
      <c r="A32" s="45" t="s">
        <v>267</v>
      </c>
      <c r="B32" s="46">
        <f t="shared" ca="1" si="2"/>
        <v>32</v>
      </c>
      <c r="C32" s="1">
        <f>IF(ISERROR(D32),"",IF(D32="","",MAX($C$12:C31)+1))</f>
        <v>20</v>
      </c>
      <c r="D32" t="str">
        <f t="shared" si="3"/>
        <v>Fortis Inc.</v>
      </c>
      <c r="E32" s="15"/>
      <c r="F32" s="80">
        <f t="shared" ca="1" si="6"/>
        <v>5.3695322543956314E-2</v>
      </c>
      <c r="G32" s="80">
        <f t="shared" si="4"/>
        <v>4.8961424332344204E-2</v>
      </c>
      <c r="H32" s="80">
        <f ca="1">IFERROR(VLOOKUP($A32,LASTYR,'2016'!$N$3,FALSE),"N/A")</f>
        <v>4.796534117282996E-2</v>
      </c>
      <c r="I32" s="80">
        <f t="shared" ca="1" si="7"/>
        <v>4.9954586739327879E-2</v>
      </c>
      <c r="J32" s="80">
        <f t="shared" ca="1" si="7"/>
        <v>5.2219321148825069E-2</v>
      </c>
      <c r="K32" s="80">
        <f t="shared" ca="1" si="7"/>
        <v>5.5838470472616815E-2</v>
      </c>
      <c r="L32" s="80">
        <f t="shared" ca="1" si="7"/>
        <v>5.8064206535822262E-2</v>
      </c>
      <c r="M32" s="80">
        <f t="shared" ca="1" si="7"/>
        <v>5.6984219754529511E-2</v>
      </c>
      <c r="N32" s="80">
        <f t="shared" ca="1" si="7"/>
        <v>5.9099783652577703E-2</v>
      </c>
      <c r="O32" s="80">
        <f t="shared" ca="1" si="7"/>
        <v>5.6007324034681463E-2</v>
      </c>
      <c r="P32" s="80">
        <f t="shared" ca="1" si="7"/>
        <v>5.5546297839249012E-2</v>
      </c>
      <c r="Q32" s="80">
        <f t="shared" ca="1" si="7"/>
        <v>4.9031332217172922E-2</v>
      </c>
      <c r="R32" s="80">
        <f t="shared" ca="1" si="7"/>
        <v>5.4671562627498976E-2</v>
      </c>
      <c r="S32" s="63"/>
      <c r="T32" s="63"/>
      <c r="U32" s="63"/>
      <c r="V32" s="63"/>
    </row>
    <row r="33" spans="1:22">
      <c r="A33" s="45" t="s">
        <v>20</v>
      </c>
      <c r="B33" s="46">
        <f t="shared" ca="1" si="2"/>
        <v>34</v>
      </c>
      <c r="C33" s="1">
        <f>IF(ISERROR(D33),"",IF(D33="","",MAX($C$12:C32)+1))</f>
        <v>21</v>
      </c>
      <c r="D33" t="str">
        <f t="shared" si="3"/>
        <v xml:space="preserve">Great Plains Energy             </v>
      </c>
      <c r="E33" s="15"/>
      <c r="F33" s="80">
        <f t="shared" ca="1" si="6"/>
        <v>5.2969553762657974E-2</v>
      </c>
      <c r="G33" s="80">
        <f t="shared" si="4"/>
        <v>4.6280991735537194E-2</v>
      </c>
      <c r="H33" s="80">
        <f ca="1">IFERROR(VLOOKUP($A33,LASTYR,'2016'!$N$3,FALSE),"N/A")</f>
        <v>4.2659010957907077E-2</v>
      </c>
      <c r="I33" s="80">
        <f t="shared" ca="1" si="7"/>
        <v>4.2143490562053965E-2</v>
      </c>
      <c r="J33" s="80">
        <f t="shared" ca="1" si="7"/>
        <v>4.0194308313988479E-2</v>
      </c>
      <c r="K33" s="80">
        <f t="shared" ca="1" si="7"/>
        <v>3.9059386209645275E-2</v>
      </c>
      <c r="L33" s="80">
        <f t="shared" ca="1" si="7"/>
        <v>3.9301310043668124E-2</v>
      </c>
      <c r="M33" s="80">
        <f t="shared" ca="1" si="7"/>
        <v>3.8406697024055927E-2</v>
      </c>
      <c r="N33" s="80">
        <f t="shared" ca="1" si="7"/>
        <v>3.9031272043263579E-2</v>
      </c>
      <c r="O33" s="80">
        <f t="shared" ca="1" si="7"/>
        <v>4.0250230347703801E-2</v>
      </c>
      <c r="P33" s="80">
        <f t="shared" ca="1" si="7"/>
        <v>7.7613615111277345E-2</v>
      </c>
      <c r="Q33" s="80">
        <f t="shared" ca="1" si="7"/>
        <v>9.1299087009129906E-2</v>
      </c>
      <c r="R33" s="80">
        <f t="shared" ca="1" si="7"/>
        <v>9.9395245793665044E-2</v>
      </c>
      <c r="S33" s="63"/>
      <c r="T33" s="63"/>
      <c r="U33" s="63"/>
      <c r="V33" s="63"/>
    </row>
    <row r="34" spans="1:22">
      <c r="A34" s="45" t="s">
        <v>21</v>
      </c>
      <c r="B34" s="46">
        <f t="shared" ca="1" si="2"/>
        <v>35</v>
      </c>
      <c r="C34" s="1">
        <f>IF(ISERROR(D34),"",IF(D34="","",MAX($C$12:C33)+1))</f>
        <v>22</v>
      </c>
      <c r="D34" t="str">
        <f t="shared" si="3"/>
        <v xml:space="preserve">Hawaiian Elec.                </v>
      </c>
      <c r="E34" s="15"/>
      <c r="F34" s="80">
        <f t="shared" ca="1" si="6"/>
        <v>7.5735176686492947E-2</v>
      </c>
      <c r="G34" s="80">
        <f t="shared" si="4"/>
        <v>6.4082687338501282E-2</v>
      </c>
      <c r="H34" s="80">
        <f ca="1">IFERROR(VLOOKUP($A34,LASTYR,'2016'!$N$3,FALSE),"N/A")</f>
        <v>6.5146579804560262E-2</v>
      </c>
      <c r="I34" s="80">
        <f t="shared" ca="1" si="7"/>
        <v>6.912699297580556E-2</v>
      </c>
      <c r="J34" s="80">
        <f t="shared" ca="1" si="7"/>
        <v>7.0995076147944577E-2</v>
      </c>
      <c r="K34" s="80">
        <f t="shared" ca="1" si="7"/>
        <v>7.2701688555347088E-2</v>
      </c>
      <c r="L34" s="80">
        <f t="shared" ca="1" si="7"/>
        <v>7.6185795035635287E-2</v>
      </c>
      <c r="M34" s="80">
        <f t="shared" ca="1" si="7"/>
        <v>7.7738072848097292E-2</v>
      </c>
      <c r="N34" s="80">
        <f t="shared" ca="1" si="7"/>
        <v>7.9142200663773296E-2</v>
      </c>
      <c r="O34" s="80">
        <f t="shared" ca="1" si="7"/>
        <v>7.9579001411885508E-2</v>
      </c>
      <c r="P34" s="80">
        <f t="shared" ca="1" si="7"/>
        <v>8.0781758957654728E-2</v>
      </c>
      <c r="Q34" s="80">
        <f t="shared" ca="1" si="7"/>
        <v>8.111467259763197E-2</v>
      </c>
      <c r="R34" s="80">
        <f t="shared" ca="1" si="7"/>
        <v>9.2227593901078458E-2</v>
      </c>
      <c r="S34" s="63"/>
      <c r="T34" s="63"/>
      <c r="U34" s="63"/>
      <c r="V34" s="63"/>
    </row>
    <row r="35" spans="1:22">
      <c r="A35" s="45" t="s">
        <v>22</v>
      </c>
      <c r="B35" s="46">
        <f t="shared" ca="1" si="2"/>
        <v>36</v>
      </c>
      <c r="C35" s="1">
        <f>IF(ISERROR(D35),"",IF(D35="","",MAX($C$12:C34)+1))</f>
        <v>23</v>
      </c>
      <c r="D35" t="str">
        <f t="shared" si="3"/>
        <v xml:space="preserve">IDACORP, Inc.                 </v>
      </c>
      <c r="E35" s="15"/>
      <c r="F35" s="80">
        <f t="shared" ca="1" si="6"/>
        <v>4.3632721282407645E-2</v>
      </c>
      <c r="G35" s="80">
        <f t="shared" si="4"/>
        <v>5.0393700787401574E-2</v>
      </c>
      <c r="H35" s="80">
        <f ca="1">IFERROR(VLOOKUP($A35,LASTYR,'2016'!$N$3,FALSE),"N/A")</f>
        <v>4.8667493390112081E-2</v>
      </c>
      <c r="I35" s="80">
        <f t="shared" ca="1" si="7"/>
        <v>4.6967880819002425E-2</v>
      </c>
      <c r="J35" s="80">
        <f t="shared" ca="1" si="7"/>
        <v>4.5297781438204565E-2</v>
      </c>
      <c r="K35" s="80">
        <f t="shared" ca="1" si="7"/>
        <v>4.2614407469735632E-2</v>
      </c>
      <c r="L35" s="80">
        <f t="shared" ca="1" si="7"/>
        <v>3.9070298017966638E-2</v>
      </c>
      <c r="M35" s="80">
        <f t="shared" ca="1" si="7"/>
        <v>3.6160916076540602E-2</v>
      </c>
      <c r="N35" s="80">
        <f t="shared" ca="1" si="7"/>
        <v>3.8695946599593689E-2</v>
      </c>
      <c r="O35" s="80">
        <f t="shared" ca="1" si="7"/>
        <v>4.1132515253307737E-2</v>
      </c>
      <c r="P35" s="80">
        <f t="shared" ca="1" si="7"/>
        <v>4.3229222954717386E-2</v>
      </c>
      <c r="Q35" s="80">
        <f t="shared" ca="1" si="7"/>
        <v>4.4789489399820838E-2</v>
      </c>
      <c r="R35" s="80">
        <f t="shared" ca="1" si="7"/>
        <v>4.6573003182488554E-2</v>
      </c>
      <c r="S35" s="63"/>
      <c r="T35" s="63"/>
      <c r="U35" s="63"/>
      <c r="V35" s="63"/>
    </row>
    <row r="36" spans="1:22">
      <c r="A36" s="45" t="s">
        <v>25</v>
      </c>
      <c r="B36" s="46">
        <f t="shared" ca="1" si="2"/>
        <v>40</v>
      </c>
      <c r="C36" s="1">
        <f>IF(ISERROR(D36),"",IF(D36="","",MAX($C$12:C35)+1))</f>
        <v>24</v>
      </c>
      <c r="D36" t="str">
        <f t="shared" si="3"/>
        <v xml:space="preserve">MGE Energy                    </v>
      </c>
      <c r="E36" s="15"/>
      <c r="F36" s="80">
        <f t="shared" ca="1" si="6"/>
        <v>6.4108196697769473E-2</v>
      </c>
      <c r="G36" s="80">
        <f t="shared" si="4"/>
        <v>5.7272727272727274E-2</v>
      </c>
      <c r="H36" s="80">
        <f ca="1">IFERROR(VLOOKUP($A36,LASTYR,'2016'!$N$3,FALSE),"N/A")</f>
        <v>5.7933544000766064E-2</v>
      </c>
      <c r="I36" s="80">
        <f t="shared" ca="1" si="7"/>
        <v>5.8244627435227951E-2</v>
      </c>
      <c r="J36" s="80">
        <f t="shared" ca="1" si="7"/>
        <v>5.8359621451104106E-2</v>
      </c>
      <c r="K36" s="80">
        <f t="shared" ca="1" si="7"/>
        <v>6.0071861666292387E-2</v>
      </c>
      <c r="L36" s="80">
        <f t="shared" ca="1" si="7"/>
        <v>6.2230732407850646E-2</v>
      </c>
      <c r="M36" s="80">
        <f t="shared" ca="1" si="7"/>
        <v>6.3624921334172427E-2</v>
      </c>
      <c r="N36" s="80">
        <f t="shared" ca="1" si="7"/>
        <v>6.5570522979397777E-2</v>
      </c>
      <c r="O36" s="80">
        <f t="shared" ca="1" si="7"/>
        <v>6.7228632626269602E-2</v>
      </c>
      <c r="P36" s="80">
        <f t="shared" ca="1" si="7"/>
        <v>6.8688029889351923E-2</v>
      </c>
      <c r="Q36" s="80">
        <f t="shared" ca="1" si="7"/>
        <v>7.2363356428021552E-2</v>
      </c>
      <c r="R36" s="80">
        <f t="shared" ca="1" si="7"/>
        <v>7.7709782882052145E-2</v>
      </c>
      <c r="S36" s="63"/>
      <c r="T36" s="63"/>
      <c r="U36" s="63"/>
      <c r="V36" s="63"/>
    </row>
    <row r="37" spans="1:22">
      <c r="A37" s="45" t="s">
        <v>141</v>
      </c>
      <c r="B37" s="46">
        <f t="shared" ca="1" si="2"/>
        <v>43</v>
      </c>
      <c r="C37" s="1">
        <f>IF(ISERROR(D37),"",IF(D37="","",MAX($C$12:C36)+1))</f>
        <v>25</v>
      </c>
      <c r="D37" t="str">
        <f t="shared" si="3"/>
        <v>NextEra Energy, Inc.</v>
      </c>
      <c r="E37" s="15"/>
      <c r="F37" s="80">
        <f t="shared" ca="1" si="6"/>
        <v>6.323362301349017E-2</v>
      </c>
      <c r="G37" s="80">
        <f t="shared" si="4"/>
        <v>7.1978021978021986E-2</v>
      </c>
      <c r="H37" s="80">
        <f ca="1">IFERROR(VLOOKUP($A37,LASTYR,'2016'!$N$3,FALSE),"N/A")</f>
        <v>6.6908923112418528E-2</v>
      </c>
      <c r="I37" s="80">
        <f t="shared" ca="1" si="7"/>
        <v>6.2899503747421731E-2</v>
      </c>
      <c r="J37" s="80">
        <f t="shared" ca="1" si="7"/>
        <v>6.4506083590986946E-2</v>
      </c>
      <c r="K37" s="80">
        <f t="shared" ca="1" si="7"/>
        <v>6.3658942393479787E-2</v>
      </c>
      <c r="L37" s="80">
        <f t="shared" ca="1" si="7"/>
        <v>6.333122229259025E-2</v>
      </c>
      <c r="M37" s="80">
        <f t="shared" ca="1" si="7"/>
        <v>6.1245510982433679E-2</v>
      </c>
      <c r="N37" s="80">
        <f t="shared" ca="1" si="7"/>
        <v>5.8207217694994179E-2</v>
      </c>
      <c r="O37" s="80">
        <f t="shared" ca="1" si="7"/>
        <v>6.028708133971291E-2</v>
      </c>
      <c r="P37" s="80">
        <f t="shared" ca="1" si="7"/>
        <v>6.23118392494574E-2</v>
      </c>
      <c r="Q37" s="80">
        <f t="shared" ca="1" si="7"/>
        <v>6.2229642559004324E-2</v>
      </c>
      <c r="R37" s="80">
        <f t="shared" ca="1" si="7"/>
        <v>6.1239487221360335E-2</v>
      </c>
      <c r="S37" s="63"/>
      <c r="T37" s="63"/>
      <c r="U37" s="63"/>
      <c r="V37" s="63"/>
    </row>
    <row r="38" spans="1:22">
      <c r="A38" s="45" t="s">
        <v>144</v>
      </c>
      <c r="B38" s="46">
        <f t="shared" ca="1" si="2"/>
        <v>46</v>
      </c>
      <c r="C38" s="1">
        <f>IF(ISERROR(D38),"",IF(D38="","",MAX($C$12:C37)+1))</f>
        <v>26</v>
      </c>
      <c r="D38" t="str">
        <f t="shared" si="3"/>
        <v xml:space="preserve">NorthWestern Corp             </v>
      </c>
      <c r="E38" s="15"/>
      <c r="F38" s="80">
        <f t="shared" ca="1" si="6"/>
        <v>5.8818010817053797E-2</v>
      </c>
      <c r="G38" s="80">
        <f t="shared" si="4"/>
        <v>5.8495821727019504E-2</v>
      </c>
      <c r="H38" s="80">
        <f ca="1">IFERROR(VLOOKUP($A38,LASTYR,'2016'!$N$3,FALSE),"N/A")</f>
        <v>5.7666801222536181E-2</v>
      </c>
      <c r="I38" s="80">
        <f t="shared" ca="1" si="7"/>
        <v>5.7799987958335831E-2</v>
      </c>
      <c r="J38" s="80">
        <f t="shared" ca="1" si="7"/>
        <v>5.0795263341693389E-2</v>
      </c>
      <c r="K38" s="80">
        <f t="shared" ca="1" si="7"/>
        <v>5.7140708995902414E-2</v>
      </c>
      <c r="L38" s="80">
        <f t="shared" ca="1" si="7"/>
        <v>5.8978241810791421E-2</v>
      </c>
      <c r="M38" s="80">
        <f t="shared" ca="1" si="7"/>
        <v>6.0808242895148003E-2</v>
      </c>
      <c r="N38" s="80">
        <f t="shared" ca="1" si="7"/>
        <v>6.0062712538091242E-2</v>
      </c>
      <c r="O38" s="80">
        <f t="shared" ca="1" si="7"/>
        <v>6.1299176578225076E-2</v>
      </c>
      <c r="P38" s="80">
        <f t="shared" ca="1" si="7"/>
        <v>6.2114724012987621E-2</v>
      </c>
      <c r="Q38" s="80">
        <f t="shared" ca="1" si="7"/>
        <v>6.0608930347080828E-2</v>
      </c>
      <c r="R38" s="80">
        <f t="shared" ca="1" si="7"/>
        <v>6.0045518376834049E-2</v>
      </c>
      <c r="S38" s="63"/>
      <c r="T38" s="63"/>
      <c r="U38" s="63"/>
      <c r="V38" s="63"/>
    </row>
    <row r="39" spans="1:22">
      <c r="A39" s="45" t="s">
        <v>27</v>
      </c>
      <c r="B39" s="46">
        <f t="shared" ca="1" si="2"/>
        <v>47</v>
      </c>
      <c r="C39" s="1">
        <f>IF(ISERROR(D39),"",IF(D39="","",MAX($C$12:C38)+1))</f>
        <v>27</v>
      </c>
      <c r="D39" t="str">
        <f t="shared" si="3"/>
        <v xml:space="preserve">OGE Energy                    </v>
      </c>
      <c r="E39" s="15"/>
      <c r="F39" s="80">
        <f t="shared" ca="1" si="6"/>
        <v>6.4986906308117917E-2</v>
      </c>
      <c r="G39" s="80">
        <f t="shared" si="4"/>
        <v>7.0752089136490254E-2</v>
      </c>
      <c r="H39" s="80">
        <f ca="1">IFERROR(VLOOKUP($A39,LASTYR,'2016'!$N$3,FALSE),"N/A")</f>
        <v>6.6975935053638733E-2</v>
      </c>
      <c r="I39" s="80">
        <f t="shared" ca="1" si="7"/>
        <v>6.3044130891624139E-2</v>
      </c>
      <c r="J39" s="80">
        <f t="shared" ca="1" si="7"/>
        <v>5.8386085673898344E-2</v>
      </c>
      <c r="K39" s="80">
        <f t="shared" ca="1" si="7"/>
        <v>5.5620915032679734E-2</v>
      </c>
      <c r="L39" s="80">
        <f t="shared" ca="1" si="7"/>
        <v>5.698371893744645E-2</v>
      </c>
      <c r="M39" s="80">
        <f t="shared" ca="1" si="7"/>
        <v>5.8094144661308841E-2</v>
      </c>
      <c r="N39" s="80">
        <f t="shared" ca="1" si="7"/>
        <v>6.2404092071611253E-2</v>
      </c>
      <c r="O39" s="80">
        <f t="shared" ca="1" si="7"/>
        <v>6.7870722433460082E-2</v>
      </c>
      <c r="P39" s="80">
        <f t="shared" ca="1" si="7"/>
        <v>6.8914522330671385E-2</v>
      </c>
      <c r="Q39" s="80">
        <f t="shared" ca="1" si="7"/>
        <v>7.4713271436373574E-2</v>
      </c>
      <c r="R39" s="80">
        <f t="shared" ca="1" si="7"/>
        <v>7.6083248038212231E-2</v>
      </c>
      <c r="S39" s="63"/>
      <c r="T39" s="63"/>
      <c r="U39" s="63"/>
      <c r="V39" s="63"/>
    </row>
    <row r="40" spans="1:22">
      <c r="A40" s="45" t="s">
        <v>28</v>
      </c>
      <c r="B40" s="46">
        <f t="shared" ca="1" si="2"/>
        <v>49</v>
      </c>
      <c r="C40" s="1">
        <f>IF(ISERROR(D40),"",IF(D40="","",MAX($C$12:C39)+1))</f>
        <v>28</v>
      </c>
      <c r="D40" t="str">
        <f t="shared" si="3"/>
        <v xml:space="preserve">Otter Tail Corp.              </v>
      </c>
      <c r="E40" s="15"/>
      <c r="F40" s="80">
        <f t="shared" ca="1" si="6"/>
        <v>7.2364679530774398E-2</v>
      </c>
      <c r="G40" s="80">
        <f t="shared" si="4"/>
        <v>7.2112676056338032E-2</v>
      </c>
      <c r="H40" s="80">
        <f ca="1">IFERROR(VLOOKUP($A40,LASTYR,'2016'!$N$3,FALSE),"N/A")</f>
        <v>7.3399882560187896E-2</v>
      </c>
      <c r="I40" s="80">
        <f t="shared" ca="1" si="7"/>
        <v>7.6961581779501936E-2</v>
      </c>
      <c r="J40" s="80">
        <f t="shared" ca="1" si="7"/>
        <v>7.8627591136526093E-2</v>
      </c>
      <c r="K40" s="80">
        <f t="shared" ca="1" si="7"/>
        <v>8.0705323838589346E-2</v>
      </c>
      <c r="L40" s="80">
        <f t="shared" ca="1" si="7"/>
        <v>8.2455654101995554E-2</v>
      </c>
      <c r="M40" s="80">
        <f t="shared" ca="1" si="7"/>
        <v>7.5178469897024439E-2</v>
      </c>
      <c r="N40" s="80">
        <f t="shared" ca="1" si="7"/>
        <v>6.7748363222317101E-2</v>
      </c>
      <c r="O40" s="80">
        <f t="shared" ca="1" si="7"/>
        <v>6.3348416289592757E-2</v>
      </c>
      <c r="P40" s="80">
        <f t="shared" ca="1" si="7"/>
        <v>6.2176707246982599E-2</v>
      </c>
      <c r="Q40" s="80">
        <f t="shared" ca="1" si="7"/>
        <v>6.6662868212637463E-2</v>
      </c>
      <c r="R40" s="80">
        <f t="shared" ca="1" si="7"/>
        <v>6.8998620027599433E-2</v>
      </c>
      <c r="S40" s="63"/>
      <c r="T40" s="63"/>
      <c r="U40" s="63"/>
      <c r="V40" s="63"/>
    </row>
    <row r="41" spans="1:22">
      <c r="A41" s="45" t="s">
        <v>30</v>
      </c>
      <c r="B41" s="46">
        <f t="shared" ca="1" si="2"/>
        <v>51</v>
      </c>
      <c r="C41" s="1">
        <f>IF(ISERROR(D41),"",IF(D41="","",MAX($C$12:C40)+1))</f>
        <v>29</v>
      </c>
      <c r="D41" t="str">
        <f t="shared" si="3"/>
        <v xml:space="preserve">PG&amp;E Corp.                    </v>
      </c>
      <c r="E41" s="15"/>
      <c r="F41" s="80">
        <f t="shared" ca="1" si="6"/>
        <v>5.8432072289390229E-2</v>
      </c>
      <c r="G41" s="80">
        <f t="shared" si="4"/>
        <v>5.5392809587217047E-2</v>
      </c>
      <c r="H41" s="80">
        <f ca="1">IFERROR(VLOOKUP($A41,LASTYR,'2016'!$N$3,FALSE),"N/A")</f>
        <v>5.4390822784810125E-2</v>
      </c>
      <c r="I41" s="80">
        <f t="shared" ca="1" si="7"/>
        <v>5.4023568523850519E-2</v>
      </c>
      <c r="J41" s="80">
        <f t="shared" ca="1" si="7"/>
        <v>5.5001511030522809E-2</v>
      </c>
      <c r="K41" s="80">
        <f t="shared" ca="1" si="7"/>
        <v>5.7950710055403427E-2</v>
      </c>
      <c r="L41" s="80">
        <f t="shared" ca="1" si="7"/>
        <v>5.9959148711866646E-2</v>
      </c>
      <c r="M41" s="80">
        <f t="shared" ca="1" si="7"/>
        <v>6.2003883759751986E-2</v>
      </c>
      <c r="N41" s="80">
        <f t="shared" ca="1" si="7"/>
        <v>6.3756743501716534E-2</v>
      </c>
      <c r="O41" s="80">
        <f t="shared" ca="1" si="7"/>
        <v>6.0253927264902085E-2</v>
      </c>
      <c r="P41" s="80">
        <f t="shared" ca="1" si="7"/>
        <v>6.0066997805244313E-2</v>
      </c>
      <c r="Q41" s="80">
        <f t="shared" ca="1" si="7"/>
        <v>5.9553349875930521E-2</v>
      </c>
      <c r="R41" s="80">
        <f t="shared" ca="1" si="7"/>
        <v>5.8831394571466772E-2</v>
      </c>
      <c r="S41" s="63"/>
      <c r="T41" s="63"/>
      <c r="U41" s="63"/>
      <c r="V41" s="63"/>
    </row>
    <row r="42" spans="1:22">
      <c r="A42" s="45" t="s">
        <v>31</v>
      </c>
      <c r="B42" s="46">
        <f t="shared" ca="1" si="2"/>
        <v>52</v>
      </c>
      <c r="C42" s="1">
        <f>IF(ISERROR(D42),"",IF(D42="","",MAX($C$12:C41)+1))</f>
        <v>30</v>
      </c>
      <c r="D42" t="str">
        <f t="shared" si="3"/>
        <v xml:space="preserve">Pinnacle West Capital         </v>
      </c>
      <c r="E42" s="15"/>
      <c r="F42" s="80">
        <f t="shared" ca="1" si="6"/>
        <v>6.1317639043666057E-2</v>
      </c>
      <c r="G42" s="80">
        <f t="shared" si="4"/>
        <v>6.0089686098654713E-2</v>
      </c>
      <c r="H42" s="80">
        <f ca="1">IFERROR(VLOOKUP($A42,LASTYR,'2016'!$N$3,FALSE),"N/A")</f>
        <v>5.9334801251593461E-2</v>
      </c>
      <c r="I42" s="80">
        <f t="shared" ca="1" si="7"/>
        <v>5.9074181677319385E-2</v>
      </c>
      <c r="J42" s="80">
        <f t="shared" ca="1" si="7"/>
        <v>5.8862249677207018E-2</v>
      </c>
      <c r="K42" s="80">
        <f t="shared" ca="1" si="7"/>
        <v>5.8446505030339643E-2</v>
      </c>
      <c r="L42" s="80">
        <f t="shared" ca="1" si="7"/>
        <v>7.3754868650037289E-2</v>
      </c>
      <c r="M42" s="80">
        <f t="shared" ca="1" si="7"/>
        <v>6.0027441115938718E-2</v>
      </c>
      <c r="N42" s="80">
        <f t="shared" ca="1" si="7"/>
        <v>6.2012756909992924E-2</v>
      </c>
      <c r="O42" s="80">
        <f t="shared" ca="1" si="7"/>
        <v>6.4235898690811213E-2</v>
      </c>
      <c r="P42" s="80">
        <f t="shared" ca="1" si="7"/>
        <v>6.1482609204824928E-2</v>
      </c>
      <c r="Q42" s="80">
        <f t="shared" ca="1" si="7"/>
        <v>5.9752454118651301E-2</v>
      </c>
      <c r="R42" s="80">
        <f t="shared" ca="1" si="7"/>
        <v>5.8738216098622183E-2</v>
      </c>
      <c r="S42" s="63"/>
      <c r="T42" s="63"/>
      <c r="U42" s="63"/>
      <c r="V42" s="63"/>
    </row>
    <row r="43" spans="1:22">
      <c r="A43" s="45" t="s">
        <v>32</v>
      </c>
      <c r="B43" s="46">
        <f t="shared" ca="1" si="2"/>
        <v>53</v>
      </c>
      <c r="C43" s="1">
        <f>IF(ISERROR(D43),"",IF(D43="","",MAX($C$12:C42)+1))</f>
        <v>31</v>
      </c>
      <c r="D43" t="str">
        <f t="shared" si="3"/>
        <v xml:space="preserve">PNM Resources                 </v>
      </c>
      <c r="E43" s="15"/>
      <c r="F43" s="80">
        <f t="shared" ca="1" si="6"/>
        <v>3.4107365890415554E-2</v>
      </c>
      <c r="G43" s="80">
        <f t="shared" si="4"/>
        <v>4.1101694915254235E-2</v>
      </c>
      <c r="H43" s="80">
        <f ca="1">IFERROR(VLOOKUP($A43,LASTYR,'2016'!$N$3,FALSE),"N/A")</f>
        <v>4.1825095057034224E-2</v>
      </c>
      <c r="I43" s="80">
        <f t="shared" ca="1" si="7"/>
        <v>3.8507821901323708E-2</v>
      </c>
      <c r="J43" s="80">
        <f t="shared" ca="1" si="7"/>
        <v>3.3718904917154215E-2</v>
      </c>
      <c r="K43" s="80">
        <f t="shared" ca="1" si="7"/>
        <v>3.2588900603853159E-2</v>
      </c>
      <c r="L43" s="80">
        <f t="shared" ca="1" si="7"/>
        <v>2.893489648291344E-2</v>
      </c>
      <c r="M43" s="80">
        <f t="shared" ca="1" si="7"/>
        <v>2.5489396411092987E-2</v>
      </c>
      <c r="N43" s="80">
        <f t="shared" ca="1" si="7"/>
        <v>2.8413934193328407E-2</v>
      </c>
      <c r="O43" s="80">
        <f t="shared" ca="1" si="7"/>
        <v>2.6453626792233214E-2</v>
      </c>
      <c r="P43" s="80">
        <f t="shared" ca="1" si="7"/>
        <v>3.2022442174350289E-2</v>
      </c>
      <c r="Q43" s="80">
        <f t="shared" ca="1" si="7"/>
        <v>4.1303558460421205E-2</v>
      </c>
      <c r="R43" s="80">
        <f t="shared" ca="1" si="7"/>
        <v>3.8928118776027525E-2</v>
      </c>
      <c r="S43" s="63"/>
      <c r="T43" s="63"/>
      <c r="U43" s="63"/>
      <c r="V43" s="63"/>
    </row>
    <row r="44" spans="1:22">
      <c r="A44" s="45" t="s">
        <v>33</v>
      </c>
      <c r="B44" s="46">
        <f t="shared" ca="1" si="2"/>
        <v>54</v>
      </c>
      <c r="C44" s="1">
        <f>IF(ISERROR(D44),"",IF(D44="","",MAX($C$12:C43)+1))</f>
        <v>32</v>
      </c>
      <c r="D44" t="str">
        <f t="shared" si="3"/>
        <v xml:space="preserve">Portland General              </v>
      </c>
      <c r="E44" s="15"/>
      <c r="F44" s="80">
        <f t="shared" ca="1" si="6"/>
        <v>4.6054897302622973E-2</v>
      </c>
      <c r="G44" s="80">
        <f t="shared" si="4"/>
        <v>4.9264705882352947E-2</v>
      </c>
      <c r="H44" s="80">
        <f ca="1">IFERROR(VLOOKUP($A44,LASTYR,'2016'!$N$3,FALSE),"N/A")</f>
        <v>4.7812393275907861E-2</v>
      </c>
      <c r="I44" s="80">
        <f t="shared" ca="1" si="7"/>
        <v>4.640188753440818E-2</v>
      </c>
      <c r="J44" s="80">
        <f t="shared" ca="1" si="7"/>
        <v>4.5644342557720645E-2</v>
      </c>
      <c r="K44" s="80">
        <f t="shared" ca="1" si="7"/>
        <v>4.7005795235028972E-2</v>
      </c>
      <c r="L44" s="80">
        <f t="shared" ca="1" si="7"/>
        <v>4.7004809794490593E-2</v>
      </c>
      <c r="M44" s="80">
        <f t="shared" ca="1" si="7"/>
        <v>4.7808945484207187E-2</v>
      </c>
      <c r="N44" s="80">
        <f t="shared" ca="1" si="7"/>
        <v>4.8966267682263323E-2</v>
      </c>
      <c r="O44" s="80">
        <f t="shared" ca="1" si="7"/>
        <v>4.9263486489123015E-2</v>
      </c>
      <c r="P44" s="80">
        <f t="shared" ca="1" si="7"/>
        <v>4.4828542379147789E-2</v>
      </c>
      <c r="Q44" s="80">
        <f t="shared" ca="1" si="7"/>
        <v>4.4188919509645541E-2</v>
      </c>
      <c r="R44" s="80">
        <f t="shared" ca="1" si="7"/>
        <v>3.4468671807179704E-2</v>
      </c>
      <c r="S44" s="63"/>
      <c r="T44" s="63"/>
      <c r="U44" s="63"/>
      <c r="V44" s="63"/>
    </row>
    <row r="45" spans="1:22">
      <c r="A45" s="45" t="s">
        <v>34</v>
      </c>
      <c r="B45" s="46">
        <f t="shared" ca="1" si="2"/>
        <v>55</v>
      </c>
      <c r="C45" s="1">
        <f>IF(ISERROR(D45),"",IF(D45="","",MAX($C$12:C44)+1))</f>
        <v>33</v>
      </c>
      <c r="D45" t="str">
        <f t="shared" si="3"/>
        <v xml:space="preserve">PPL Corp.                     </v>
      </c>
      <c r="E45" s="15"/>
      <c r="F45" s="80">
        <f t="shared" ca="1" si="6"/>
        <v>8.7672690913127696E-2</v>
      </c>
      <c r="G45" s="80">
        <f t="shared" si="4"/>
        <v>0.10326797385620914</v>
      </c>
      <c r="H45" s="80">
        <f ca="1">IFERROR(VLOOKUP($A45,LASTYR,'2016'!$N$3,FALSE),"N/A")</f>
        <v>0.10437409874339078</v>
      </c>
      <c r="I45" s="80">
        <f t="shared" ref="I45:R57" ca="1" si="8">IFERROR(INDEX(DIV_BV_WP,$B45,I$12),"N/A")</f>
        <v>0.10190217391304347</v>
      </c>
      <c r="J45" s="80">
        <f t="shared" ca="1" si="8"/>
        <v>7.2800117261933847E-2</v>
      </c>
      <c r="K45" s="80">
        <f t="shared" ca="1" si="8"/>
        <v>7.4328765737978461E-2</v>
      </c>
      <c r="L45" s="80">
        <f t="shared" ca="1" si="8"/>
        <v>7.9960019990004988E-2</v>
      </c>
      <c r="M45" s="80">
        <f t="shared" ca="1" si="8"/>
        <v>7.4786324786324784E-2</v>
      </c>
      <c r="N45" s="80">
        <f t="shared" ca="1" si="8"/>
        <v>8.2430522845030607E-2</v>
      </c>
      <c r="O45" s="80">
        <f t="shared" ca="1" si="8"/>
        <v>9.4708667901997112E-2</v>
      </c>
      <c r="P45" s="80">
        <f t="shared" ca="1" si="8"/>
        <v>9.8863804043086909E-2</v>
      </c>
      <c r="Q45" s="80">
        <f t="shared" ca="1" si="8"/>
        <v>8.1961706415854887E-2</v>
      </c>
      <c r="R45" s="80">
        <f t="shared" ca="1" si="8"/>
        <v>8.2688115462677597E-2</v>
      </c>
      <c r="S45" s="63"/>
      <c r="T45" s="63"/>
      <c r="U45" s="63"/>
      <c r="V45" s="63"/>
    </row>
    <row r="46" spans="1:22">
      <c r="A46" s="45" t="s">
        <v>35</v>
      </c>
      <c r="B46" s="46">
        <f t="shared" ca="1" si="2"/>
        <v>56</v>
      </c>
      <c r="C46" s="1">
        <f>IF(ISERROR(D46),"",IF(D46="","",MAX($C$12:C45)+1))</f>
        <v>34</v>
      </c>
      <c r="D46" t="str">
        <f>VLOOKUP(A46,LUCurYr,2,FALSE)</f>
        <v xml:space="preserve">Public Serv. Enterprise       </v>
      </c>
      <c r="E46" s="15"/>
      <c r="F46" s="80">
        <f t="shared" ca="1" si="6"/>
        <v>7.0607390852177335E-2</v>
      </c>
      <c r="G46" s="80">
        <f t="shared" si="4"/>
        <v>6.6153846153846146E-2</v>
      </c>
      <c r="H46" s="80">
        <f ca="1">IFERROR(VLOOKUP($A46,LASTYR,'2016'!$N$3,FALSE),"N/A")</f>
        <v>6.3059945399315559E-2</v>
      </c>
      <c r="I46" s="80">
        <f t="shared" ca="1" si="8"/>
        <v>6.0327158822846977E-2</v>
      </c>
      <c r="J46" s="80">
        <f t="shared" ca="1" si="8"/>
        <v>6.1438831001702027E-2</v>
      </c>
      <c r="K46" s="80">
        <f t="shared" ca="1" si="8"/>
        <v>6.2753301085109167E-2</v>
      </c>
      <c r="L46" s="80">
        <f t="shared" ca="1" si="8"/>
        <v>6.6638509549955413E-2</v>
      </c>
      <c r="M46" s="80">
        <f t="shared" ca="1" si="8"/>
        <v>6.7491009409330519E-2</v>
      </c>
      <c r="N46" s="80">
        <f t="shared" ca="1" si="8"/>
        <v>7.1957560796260311E-2</v>
      </c>
      <c r="O46" s="80">
        <f t="shared" ca="1" si="8"/>
        <v>7.6577614002763708E-2</v>
      </c>
      <c r="P46" s="80">
        <f t="shared" ca="1" si="8"/>
        <v>8.40007814026177E-2</v>
      </c>
      <c r="Q46" s="80">
        <f t="shared" ca="1" si="8"/>
        <v>8.1516059360412452E-2</v>
      </c>
      <c r="R46" s="80">
        <f t="shared" ca="1" si="8"/>
        <v>8.5374073241968093E-2</v>
      </c>
      <c r="S46" s="63"/>
      <c r="T46" s="63"/>
      <c r="U46" s="63"/>
      <c r="V46" s="63"/>
    </row>
    <row r="47" spans="1:22">
      <c r="A47" s="45" t="s">
        <v>36</v>
      </c>
      <c r="B47" s="46">
        <f t="shared" ca="1" si="2"/>
        <v>57</v>
      </c>
      <c r="C47" s="1">
        <f>IF(ISERROR(D47),"",IF(D47="","",MAX($C$12:C46)+1))</f>
        <v>35</v>
      </c>
      <c r="D47" t="str">
        <f t="shared" si="3"/>
        <v xml:space="preserve">SCANA Corp.                   </v>
      </c>
      <c r="E47" s="15"/>
      <c r="F47" s="80">
        <f t="shared" ca="1" si="6"/>
        <v>6.3785322306616987E-2</v>
      </c>
      <c r="G47" s="80">
        <f t="shared" si="4"/>
        <v>5.8752997601918468E-2</v>
      </c>
      <c r="H47" s="80">
        <f ca="1">IFERROR(VLOOKUP($A47,LASTYR,'2016'!$N$3,FALSE),"N/A")</f>
        <v>5.7409579911639162E-2</v>
      </c>
      <c r="I47" s="80">
        <f t="shared" ca="1" si="8"/>
        <v>5.7232869519558936E-2</v>
      </c>
      <c r="J47" s="80">
        <f t="shared" ca="1" si="8"/>
        <v>6.0090994935187568E-2</v>
      </c>
      <c r="K47" s="80">
        <f t="shared" ca="1" si="8"/>
        <v>6.1370094927141898E-2</v>
      </c>
      <c r="L47" s="80">
        <f t="shared" ca="1" si="8"/>
        <v>6.2923062255696452E-2</v>
      </c>
      <c r="M47" s="80">
        <f t="shared" ca="1" si="8"/>
        <v>6.4789767224393002E-2</v>
      </c>
      <c r="N47" s="80">
        <f t="shared" ca="1" si="8"/>
        <v>6.5408978242908297E-2</v>
      </c>
      <c r="O47" s="80">
        <f t="shared" ca="1" si="8"/>
        <v>6.8039520828055436E-2</v>
      </c>
      <c r="P47" s="80">
        <f t="shared" ca="1" si="8"/>
        <v>7.117162418288013E-2</v>
      </c>
      <c r="Q47" s="80">
        <f t="shared" ca="1" si="8"/>
        <v>6.9367807031373172E-2</v>
      </c>
      <c r="R47" s="80">
        <f t="shared" ca="1" si="8"/>
        <v>6.886657101865136E-2</v>
      </c>
      <c r="S47" s="63"/>
      <c r="T47" s="63"/>
      <c r="U47" s="63"/>
      <c r="V47" s="63"/>
    </row>
    <row r="48" spans="1:22">
      <c r="A48" s="45" t="s">
        <v>37</v>
      </c>
      <c r="B48" s="46">
        <f t="shared" ca="1" si="2"/>
        <v>58</v>
      </c>
      <c r="C48" s="1">
        <f>IF(ISERROR(D48),"",IF(D48="","",MAX($C$12:C47)+1))</f>
        <v>36</v>
      </c>
      <c r="D48" t="str">
        <f t="shared" si="3"/>
        <v xml:space="preserve">Sempra Energy                 </v>
      </c>
      <c r="E48" s="15"/>
      <c r="F48" s="80">
        <f t="shared" ca="1" si="6"/>
        <v>5.0200017074635055E-2</v>
      </c>
      <c r="G48" s="80">
        <f t="shared" si="4"/>
        <v>6.1552853133769875E-2</v>
      </c>
      <c r="H48" s="80">
        <f ca="1">IFERROR(VLOOKUP($A48,LASTYR,'2016'!$N$3,FALSE),"N/A")</f>
        <v>5.8332689484663525E-2</v>
      </c>
      <c r="I48" s="80">
        <f t="shared" ca="1" si="8"/>
        <v>5.8873002523128673E-2</v>
      </c>
      <c r="J48" s="80">
        <f t="shared" ca="1" si="8"/>
        <v>5.741751669240306E-2</v>
      </c>
      <c r="K48" s="80">
        <f t="shared" ca="1" si="8"/>
        <v>5.5962691538974013E-2</v>
      </c>
      <c r="L48" s="80">
        <f t="shared" ca="1" si="8"/>
        <v>5.6573085354642526E-2</v>
      </c>
      <c r="M48" s="80">
        <f t="shared" ca="1" si="8"/>
        <v>4.6825842011560127E-2</v>
      </c>
      <c r="N48" s="80">
        <f t="shared" ca="1" si="8"/>
        <v>4.1552353301547558E-2</v>
      </c>
      <c r="O48" s="80">
        <f t="shared" ca="1" si="8"/>
        <v>4.2695276150856651E-2</v>
      </c>
      <c r="P48" s="80">
        <f t="shared" ca="1" si="8"/>
        <v>4.1830783792861294E-2</v>
      </c>
      <c r="Q48" s="80">
        <f t="shared" ca="1" si="8"/>
        <v>3.8908064010040787E-2</v>
      </c>
      <c r="R48" s="80">
        <f t="shared" ca="1" si="8"/>
        <v>4.1876046901172533E-2</v>
      </c>
      <c r="S48" s="63"/>
      <c r="T48" s="63"/>
      <c r="U48" s="63"/>
      <c r="V48" s="63"/>
    </row>
    <row r="49" spans="1:22">
      <c r="A49" s="45" t="s">
        <v>38</v>
      </c>
      <c r="B49" s="46">
        <f t="shared" ca="1" si="2"/>
        <v>62</v>
      </c>
      <c r="C49" s="1">
        <f>IF(ISERROR(D49),"",IF(D49="","",MAX($C$12:C48)+1))</f>
        <v>37</v>
      </c>
      <c r="D49" t="str">
        <f t="shared" si="3"/>
        <v xml:space="preserve">Southern Co.                  </v>
      </c>
      <c r="E49" s="15"/>
      <c r="F49" s="80">
        <f t="shared" ca="1" si="6"/>
        <v>9.4804881597160842E-2</v>
      </c>
      <c r="G49" s="80">
        <f t="shared" si="4"/>
        <v>9.4650205761316858E-2</v>
      </c>
      <c r="H49" s="80">
        <f ca="1">IFERROR(VLOOKUP($A49,LASTYR,'2016'!$N$3,FALSE),"N/A")</f>
        <v>8.8927114169133528E-2</v>
      </c>
      <c r="I49" s="80">
        <f t="shared" ca="1" si="8"/>
        <v>9.5324537324006031E-2</v>
      </c>
      <c r="J49" s="80">
        <f t="shared" ca="1" si="8"/>
        <v>9.4785220240262119E-2</v>
      </c>
      <c r="K49" s="80">
        <f t="shared" ca="1" si="8"/>
        <v>9.394688943855882E-2</v>
      </c>
      <c r="L49" s="80">
        <f t="shared" ca="1" si="8"/>
        <v>9.2150818117144886E-2</v>
      </c>
      <c r="M49" s="80">
        <f t="shared" ca="1" si="8"/>
        <v>9.2184270105325317E-2</v>
      </c>
      <c r="N49" s="80">
        <f t="shared" ca="1" si="8"/>
        <v>9.3847595252966889E-2</v>
      </c>
      <c r="O49" s="80">
        <f t="shared" ca="1" si="8"/>
        <v>9.5471573380343761E-2</v>
      </c>
      <c r="P49" s="80">
        <f t="shared" ca="1" si="8"/>
        <v>9.7353939819693244E-2</v>
      </c>
      <c r="Q49" s="80">
        <f t="shared" ca="1" si="8"/>
        <v>9.8274799753542821E-2</v>
      </c>
      <c r="R49" s="80">
        <f t="shared" ca="1" si="8"/>
        <v>0.10074161580363589</v>
      </c>
      <c r="S49" s="63"/>
      <c r="T49" s="63"/>
      <c r="U49" s="63"/>
      <c r="V49" s="63"/>
    </row>
    <row r="50" spans="1:22">
      <c r="A50" s="45" t="s">
        <v>42</v>
      </c>
      <c r="B50" s="46">
        <f t="shared" ca="1" si="2"/>
        <v>70</v>
      </c>
      <c r="C50" s="1">
        <f>IF(ISERROR(D50),"",IF(D50="","",MAX($C$12:C49)+1))</f>
        <v>38</v>
      </c>
      <c r="D50" t="str">
        <f t="shared" si="3"/>
        <v xml:space="preserve">Vectren Corp.                 </v>
      </c>
      <c r="E50" s="15"/>
      <c r="F50" s="80">
        <f t="shared" ca="1" si="6"/>
        <v>7.7166226243158317E-2</v>
      </c>
      <c r="G50" s="80">
        <f t="shared" si="4"/>
        <v>7.7625570776255717E-2</v>
      </c>
      <c r="H50" s="80">
        <f ca="1">IFERROR(VLOOKUP($A50,LASTYR,'2016'!$N$3,FALSE),"N/A")</f>
        <v>7.5956489122280577E-2</v>
      </c>
      <c r="I50" s="80">
        <f t="shared" ca="1" si="8"/>
        <v>7.5727773406766327E-2</v>
      </c>
      <c r="J50" s="80">
        <f t="shared" ca="1" si="8"/>
        <v>7.5064267352185091E-2</v>
      </c>
      <c r="K50" s="80">
        <f t="shared" ca="1" si="8"/>
        <v>7.5544717171181677E-2</v>
      </c>
      <c r="L50" s="80">
        <f t="shared" ca="1" si="8"/>
        <v>7.5675966821070778E-2</v>
      </c>
      <c r="M50" s="80">
        <f t="shared" ca="1" si="8"/>
        <v>7.7400245892477931E-2</v>
      </c>
      <c r="N50" s="80">
        <f t="shared" ca="1" si="8"/>
        <v>7.7787871905518974E-2</v>
      </c>
      <c r="O50" s="80">
        <f t="shared" ca="1" si="8"/>
        <v>7.8360807986997905E-2</v>
      </c>
      <c r="P50" s="80">
        <f t="shared" ca="1" si="8"/>
        <v>7.8532462082608959E-2</v>
      </c>
      <c r="Q50" s="80">
        <f t="shared" ca="1" si="8"/>
        <v>7.8603701182150154E-2</v>
      </c>
      <c r="R50" s="80">
        <f t="shared" ca="1" si="8"/>
        <v>7.9714841218405705E-2</v>
      </c>
      <c r="S50" s="63"/>
      <c r="T50" s="63"/>
      <c r="U50" s="63"/>
      <c r="V50" s="63"/>
    </row>
    <row r="51" spans="1:22">
      <c r="A51" s="45" t="s">
        <v>44</v>
      </c>
      <c r="B51" s="46">
        <f t="shared" ca="1" si="2"/>
        <v>71</v>
      </c>
      <c r="C51" s="1">
        <f>IF(ISERROR(D51),"",IF(D51="","",MAX($C$12:C50)+1))</f>
        <v>39</v>
      </c>
      <c r="D51" t="str">
        <f t="shared" si="3"/>
        <v>WEC Energy Group</v>
      </c>
      <c r="E51" s="15"/>
      <c r="F51" s="80">
        <f t="shared" ca="1" si="6"/>
        <v>5.786546971890353E-2</v>
      </c>
      <c r="G51" s="80">
        <f t="shared" si="4"/>
        <v>7.0989761092150175E-2</v>
      </c>
      <c r="H51" s="80">
        <f ca="1">IFERROR(VLOOKUP($A51,LASTYR,'2016'!$N$3,FALSE),"N/A")</f>
        <v>6.9981974339942743E-2</v>
      </c>
      <c r="I51" s="80">
        <f t="shared" ca="1" si="8"/>
        <v>6.3466588853224398E-2</v>
      </c>
      <c r="J51" s="80">
        <f t="shared" ca="1" si="8"/>
        <v>7.9599959179508115E-2</v>
      </c>
      <c r="K51" s="80">
        <f t="shared" ca="1" si="8"/>
        <v>7.7136603854161101E-2</v>
      </c>
      <c r="L51" s="80">
        <f t="shared" ca="1" si="8"/>
        <v>6.6467264872050513E-2</v>
      </c>
      <c r="M51" s="80">
        <f t="shared" ca="1" si="8"/>
        <v>6.0482698458854317E-2</v>
      </c>
      <c r="N51" s="80">
        <f t="shared" ca="1" si="8"/>
        <v>4.9188391539596657E-2</v>
      </c>
      <c r="O51" s="80">
        <f t="shared" ca="1" si="8"/>
        <v>4.4247787610619468E-2</v>
      </c>
      <c r="P51" s="80">
        <f t="shared" ca="1" si="8"/>
        <v>3.7841625788367209E-2</v>
      </c>
      <c r="Q51" s="80">
        <f t="shared" ca="1" si="8"/>
        <v>3.7733001282922042E-2</v>
      </c>
      <c r="R51" s="80">
        <f t="shared" ca="1" si="8"/>
        <v>3.7249979755445785E-2</v>
      </c>
      <c r="S51" s="63"/>
      <c r="T51" s="63"/>
      <c r="U51" s="63"/>
      <c r="V51" s="63"/>
    </row>
    <row r="52" spans="1:22">
      <c r="A52" s="45" t="s">
        <v>43</v>
      </c>
      <c r="B52" s="46">
        <f t="shared" ca="1" si="2"/>
        <v>72</v>
      </c>
      <c r="C52" s="1">
        <f>IF(ISERROR(D52),"",IF(D52="","",MAX($C$12:C51)+1))</f>
        <v>40</v>
      </c>
      <c r="D52" t="str">
        <f t="shared" si="3"/>
        <v xml:space="preserve">Westar Energy                 </v>
      </c>
      <c r="E52" s="15"/>
      <c r="F52" s="80">
        <f t="shared" ca="1" si="6"/>
        <v>5.701492260782387E-2</v>
      </c>
      <c r="G52" s="80">
        <f t="shared" si="4"/>
        <v>5.7040998217468809E-2</v>
      </c>
      <c r="H52" s="80">
        <f ca="1">IFERROR(VLOOKUP($A52,LASTYR,'2016'!$N$3,FALSE),"N/A")</f>
        <v>5.662978279497783E-2</v>
      </c>
      <c r="I52" s="80">
        <f t="shared" ca="1" si="8"/>
        <v>5.5665081758088833E-2</v>
      </c>
      <c r="J52" s="80">
        <f t="shared" ca="1" si="8"/>
        <v>5.5955235811350916E-2</v>
      </c>
      <c r="K52" s="80">
        <f t="shared" ca="1" si="8"/>
        <v>5.6953808785962561E-2</v>
      </c>
      <c r="L52" s="80">
        <f t="shared" ca="1" si="8"/>
        <v>5.765702804228183E-2</v>
      </c>
      <c r="M52" s="80">
        <f t="shared" ca="1" si="8"/>
        <v>5.8099950070355413E-2</v>
      </c>
      <c r="N52" s="80">
        <f t="shared" ca="1" si="8"/>
        <v>5.8350195284927762E-2</v>
      </c>
      <c r="O52" s="80">
        <f t="shared" ca="1" si="8"/>
        <v>5.8292043136111922E-2</v>
      </c>
      <c r="P52" s="80">
        <f t="shared" ca="1" si="8"/>
        <v>5.7471264367816084E-2</v>
      </c>
      <c r="Q52" s="80">
        <f t="shared" ca="1" si="8"/>
        <v>5.6429280526673294E-2</v>
      </c>
      <c r="R52" s="80">
        <f t="shared" ca="1" si="8"/>
        <v>5.563440249787114E-2</v>
      </c>
      <c r="S52" s="63"/>
      <c r="T52" s="63"/>
      <c r="U52" s="63"/>
      <c r="V52" s="63"/>
    </row>
    <row r="53" spans="1:22">
      <c r="A53" s="45" t="s">
        <v>45</v>
      </c>
      <c r="B53" s="46">
        <f t="shared" ca="1" si="2"/>
        <v>74</v>
      </c>
      <c r="C53" s="1">
        <f>IF(ISERROR(D53),"",IF(D53="","",MAX($C$12:C52)+1))</f>
        <v>41</v>
      </c>
      <c r="D53" t="str">
        <f t="shared" si="3"/>
        <v xml:space="preserve">Xcel Energy Inc.              </v>
      </c>
      <c r="E53" s="15"/>
      <c r="F53" s="80">
        <f t="shared" ca="1" si="6"/>
        <v>6.0674975420840827E-2</v>
      </c>
      <c r="G53" s="80">
        <f t="shared" si="4"/>
        <v>6.3716814159292035E-2</v>
      </c>
      <c r="H53" s="80">
        <f ca="1">IFERROR(VLOOKUP($A53,LASTYR,'2016'!$N$3,FALSE),"N/A")</f>
        <v>6.2592047128129602E-2</v>
      </c>
      <c r="I53" s="80">
        <f t="shared" ca="1" si="8"/>
        <v>6.1282137214535355E-2</v>
      </c>
      <c r="J53" s="80">
        <f t="shared" ca="1" si="8"/>
        <v>5.9414764568995394E-2</v>
      </c>
      <c r="K53" s="80">
        <f t="shared" ca="1" si="8"/>
        <v>5.7782404997397188E-2</v>
      </c>
      <c r="L53" s="80">
        <f t="shared" ca="1" si="8"/>
        <v>5.8836467612449143E-2</v>
      </c>
      <c r="M53" s="80">
        <f t="shared" ca="1" si="8"/>
        <v>5.9076570117579587E-2</v>
      </c>
      <c r="N53" s="80">
        <f t="shared" ca="1" si="8"/>
        <v>5.9669431350319227E-2</v>
      </c>
      <c r="O53" s="80">
        <f t="shared" ca="1" si="8"/>
        <v>6.0933475720836731E-2</v>
      </c>
      <c r="P53" s="80">
        <f t="shared" ca="1" si="8"/>
        <v>6.1253746904730871E-2</v>
      </c>
      <c r="Q53" s="80">
        <f t="shared" ca="1" si="8"/>
        <v>6.1925825110581832E-2</v>
      </c>
      <c r="R53" s="80">
        <f t="shared" ca="1" si="8"/>
        <v>6.1616020165242966E-2</v>
      </c>
      <c r="S53" s="63"/>
      <c r="T53" s="63"/>
      <c r="U53" s="63"/>
      <c r="V53" s="63"/>
    </row>
    <row r="54" spans="1:22" hidden="1">
      <c r="A54" s="45"/>
      <c r="B54" s="46" t="str">
        <f t="shared" ca="1" si="2"/>
        <v/>
      </c>
      <c r="C54" s="1" t="str">
        <f>IF(ISERROR(D54),"",IF(D54="","",MAX($C$12:C53)+1))</f>
        <v/>
      </c>
      <c r="D54" t="e">
        <f t="shared" si="3"/>
        <v>#N/A</v>
      </c>
      <c r="E54" s="15"/>
      <c r="F54" s="80" t="str">
        <f t="shared" ca="1" si="6"/>
        <v>N/A</v>
      </c>
      <c r="G54" s="80" t="str">
        <f t="shared" si="4"/>
        <v>N/A</v>
      </c>
      <c r="H54" s="80" t="str">
        <f ca="1">IFERROR(VLOOKUP($A54,LASTYR,'2016'!$N$3,FALSE),"N/A")</f>
        <v>N/A</v>
      </c>
      <c r="I54" s="80" t="str">
        <f t="shared" ca="1" si="8"/>
        <v>N/A</v>
      </c>
      <c r="J54" s="80" t="str">
        <f t="shared" ca="1" si="8"/>
        <v>N/A</v>
      </c>
      <c r="K54" s="80" t="str">
        <f t="shared" ca="1" si="8"/>
        <v>N/A</v>
      </c>
      <c r="L54" s="80" t="str">
        <f t="shared" ca="1" si="8"/>
        <v>N/A</v>
      </c>
      <c r="M54" s="80" t="str">
        <f t="shared" ca="1" si="8"/>
        <v>N/A</v>
      </c>
      <c r="N54" s="80" t="str">
        <f t="shared" ca="1" si="8"/>
        <v>N/A</v>
      </c>
      <c r="O54" s="80" t="str">
        <f t="shared" ca="1" si="8"/>
        <v>N/A</v>
      </c>
      <c r="P54" s="80" t="str">
        <f t="shared" ca="1" si="8"/>
        <v>N/A</v>
      </c>
      <c r="Q54" s="80" t="str">
        <f t="shared" ca="1" si="8"/>
        <v>N/A</v>
      </c>
      <c r="R54" s="80" t="str">
        <f t="shared" ca="1" si="8"/>
        <v>N/A</v>
      </c>
      <c r="S54" s="63"/>
      <c r="T54" s="63"/>
      <c r="U54" s="63"/>
      <c r="V54" s="63"/>
    </row>
    <row r="55" spans="1:22" hidden="1">
      <c r="A55" s="51"/>
      <c r="B55" s="46" t="str">
        <f t="shared" ca="1" si="2"/>
        <v/>
      </c>
      <c r="C55" s="1" t="str">
        <f>IF(ISERROR(D55),"",IF(D55="","",MAX($C$12:C54)+1))</f>
        <v/>
      </c>
      <c r="D55" t="e">
        <f t="shared" si="3"/>
        <v>#N/A</v>
      </c>
      <c r="F55" s="80" t="str">
        <f t="shared" ca="1" si="6"/>
        <v>N/A</v>
      </c>
      <c r="G55" s="80" t="str">
        <f t="shared" si="4"/>
        <v>N/A</v>
      </c>
      <c r="H55" s="80" t="str">
        <f ca="1">IFERROR(VLOOKUP($A55,LASTYR,'2016'!$N$3,FALSE),"N/A")</f>
        <v>N/A</v>
      </c>
      <c r="I55" s="80" t="str">
        <f t="shared" ca="1" si="8"/>
        <v>N/A</v>
      </c>
      <c r="J55" s="80" t="str">
        <f t="shared" ca="1" si="8"/>
        <v>N/A</v>
      </c>
      <c r="K55" s="80" t="str">
        <f t="shared" ca="1" si="8"/>
        <v>N/A</v>
      </c>
      <c r="L55" s="80" t="str">
        <f t="shared" ca="1" si="8"/>
        <v>N/A</v>
      </c>
      <c r="M55" s="80" t="str">
        <f t="shared" ca="1" si="8"/>
        <v>N/A</v>
      </c>
      <c r="N55" s="80" t="str">
        <f t="shared" ca="1" si="8"/>
        <v>N/A</v>
      </c>
      <c r="O55" s="80" t="str">
        <f t="shared" ca="1" si="8"/>
        <v>N/A</v>
      </c>
      <c r="P55" s="80" t="str">
        <f t="shared" ca="1" si="8"/>
        <v>N/A</v>
      </c>
      <c r="Q55" s="80" t="str">
        <f t="shared" ca="1" si="8"/>
        <v>N/A</v>
      </c>
      <c r="R55" s="80" t="str">
        <f t="shared" ca="1" si="8"/>
        <v>N/A</v>
      </c>
      <c r="S55" s="63"/>
      <c r="T55" s="63"/>
      <c r="U55" s="63"/>
      <c r="V55" s="63"/>
    </row>
    <row r="56" spans="1:22" hidden="1">
      <c r="A56" s="51"/>
      <c r="B56" s="46" t="str">
        <f t="shared" ca="1" si="2"/>
        <v/>
      </c>
      <c r="C56" s="1" t="str">
        <f>IF(ISERROR(D56),"",IF(D56="","",MAX($C$12:C55)+1))</f>
        <v/>
      </c>
      <c r="D56" t="e">
        <f t="shared" si="3"/>
        <v>#N/A</v>
      </c>
      <c r="F56" s="80" t="str">
        <f t="shared" ca="1" si="6"/>
        <v>N/A</v>
      </c>
      <c r="G56" s="80" t="str">
        <f t="shared" si="4"/>
        <v>N/A</v>
      </c>
      <c r="H56" s="80" t="str">
        <f ca="1">IFERROR(VLOOKUP($A56,LASTYR,'2016'!$N$3,FALSE),"N/A")</f>
        <v>N/A</v>
      </c>
      <c r="I56" s="80" t="str">
        <f t="shared" ca="1" si="8"/>
        <v>N/A</v>
      </c>
      <c r="J56" s="80" t="str">
        <f t="shared" ca="1" si="8"/>
        <v>N/A</v>
      </c>
      <c r="K56" s="80" t="str">
        <f t="shared" ca="1" si="8"/>
        <v>N/A</v>
      </c>
      <c r="L56" s="80" t="str">
        <f t="shared" ca="1" si="8"/>
        <v>N/A</v>
      </c>
      <c r="M56" s="80" t="str">
        <f t="shared" ca="1" si="8"/>
        <v>N/A</v>
      </c>
      <c r="N56" s="80" t="str">
        <f t="shared" ca="1" si="8"/>
        <v>N/A</v>
      </c>
      <c r="O56" s="80" t="str">
        <f t="shared" ca="1" si="8"/>
        <v>N/A</v>
      </c>
      <c r="P56" s="80" t="str">
        <f t="shared" ca="1" si="8"/>
        <v>N/A</v>
      </c>
      <c r="Q56" s="80" t="str">
        <f t="shared" ca="1" si="8"/>
        <v>N/A</v>
      </c>
      <c r="R56" s="80" t="str">
        <f t="shared" ca="1" si="8"/>
        <v>N/A</v>
      </c>
      <c r="S56" s="63"/>
      <c r="T56" s="63"/>
      <c r="U56" s="63"/>
      <c r="V56" s="63"/>
    </row>
    <row r="57" spans="1:22" hidden="1">
      <c r="A57" s="51"/>
      <c r="B57" s="46" t="str">
        <f t="shared" ca="1" si="2"/>
        <v/>
      </c>
      <c r="C57" s="1" t="str">
        <f>IF(ISERROR(D57),"",IF(D57="","",MAX($C$12:C56)+1))</f>
        <v/>
      </c>
      <c r="D57" t="e">
        <f t="shared" si="3"/>
        <v>#N/A</v>
      </c>
      <c r="F57" s="80" t="str">
        <f t="shared" ca="1" si="6"/>
        <v>N/A</v>
      </c>
      <c r="G57" s="80" t="str">
        <f t="shared" si="4"/>
        <v>N/A</v>
      </c>
      <c r="H57" s="80" t="str">
        <f ca="1">IFERROR(VLOOKUP($A57,LASTYR,'2016'!$N$3,FALSE),"N/A")</f>
        <v>N/A</v>
      </c>
      <c r="I57" s="80" t="str">
        <f t="shared" ca="1" si="8"/>
        <v>N/A</v>
      </c>
      <c r="J57" s="80" t="str">
        <f t="shared" ca="1" si="8"/>
        <v>N/A</v>
      </c>
      <c r="K57" s="80" t="str">
        <f t="shared" ca="1" si="8"/>
        <v>N/A</v>
      </c>
      <c r="L57" s="80" t="str">
        <f t="shared" ca="1" si="8"/>
        <v>N/A</v>
      </c>
      <c r="M57" s="80" t="str">
        <f t="shared" ca="1" si="8"/>
        <v>N/A</v>
      </c>
      <c r="N57" s="80" t="str">
        <f t="shared" ca="1" si="8"/>
        <v>N/A</v>
      </c>
      <c r="O57" s="80" t="str">
        <f t="shared" ca="1" si="8"/>
        <v>N/A</v>
      </c>
      <c r="P57" s="80" t="str">
        <f t="shared" ca="1" si="8"/>
        <v>N/A</v>
      </c>
      <c r="Q57" s="80" t="str">
        <f t="shared" ca="1" si="8"/>
        <v>N/A</v>
      </c>
      <c r="R57" s="80" t="str">
        <f t="shared" ca="1" si="8"/>
        <v>N/A</v>
      </c>
      <c r="S57" s="63"/>
      <c r="T57" s="63"/>
      <c r="U57" s="63"/>
      <c r="V57" s="63"/>
    </row>
    <row r="58" spans="1:22">
      <c r="A58" s="31"/>
      <c r="B58" s="31"/>
      <c r="C58" s="1" t="str">
        <f>IF(ISERROR(D58),"",IF(D58="","",MAX($C$12:C57)+1))</f>
        <v/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63"/>
      <c r="T58" s="63"/>
      <c r="U58" s="63"/>
      <c r="V58" s="63"/>
    </row>
    <row r="59" spans="1:22">
      <c r="A59" s="31"/>
      <c r="B59" s="31"/>
      <c r="C59" s="1">
        <f>IF(ISERROR(D59),"",IF(D59="","",MAX($C$12:C58)+1))</f>
        <v>42</v>
      </c>
      <c r="D59" t="s">
        <v>98</v>
      </c>
      <c r="F59" s="80">
        <f ca="1">AVERAGE(G59:R59)</f>
        <v>6.2164655157519101E-2</v>
      </c>
      <c r="G59" s="80">
        <f t="shared" ref="G59:R59" si="9">AVERAGE(G13:G58)</f>
        <v>6.5300539587442336E-2</v>
      </c>
      <c r="H59" s="80">
        <f t="shared" ca="1" si="9"/>
        <v>6.4390462178213106E-2</v>
      </c>
      <c r="I59" s="80">
        <f t="shared" ca="1" si="9"/>
        <v>6.1164075389842157E-2</v>
      </c>
      <c r="J59" s="80">
        <f t="shared" ca="1" si="9"/>
        <v>6.0727762922446894E-2</v>
      </c>
      <c r="K59" s="80">
        <f t="shared" ca="1" si="9"/>
        <v>6.097798058507764E-2</v>
      </c>
      <c r="L59" s="80">
        <f t="shared" ca="1" si="9"/>
        <v>6.282635330985728E-2</v>
      </c>
      <c r="M59" s="80">
        <f t="shared" ca="1" si="9"/>
        <v>6.1130552856461864E-2</v>
      </c>
      <c r="N59" s="80">
        <f t="shared" ca="1" si="9"/>
        <v>6.0761799974544638E-2</v>
      </c>
      <c r="O59" s="80">
        <f t="shared" ca="1" si="9"/>
        <v>6.1293267606879309E-2</v>
      </c>
      <c r="P59" s="80">
        <f t="shared" ca="1" si="9"/>
        <v>6.3632014156525529E-2</v>
      </c>
      <c r="Q59" s="80">
        <f t="shared" ca="1" si="9"/>
        <v>6.2838375034017638E-2</v>
      </c>
      <c r="R59" s="80">
        <f t="shared" ca="1" si="9"/>
        <v>6.0932678288920759E-2</v>
      </c>
      <c r="S59" s="63"/>
      <c r="T59" s="63"/>
      <c r="U59" s="63"/>
      <c r="V59" s="63"/>
    </row>
    <row r="60" spans="1:22">
      <c r="A60" s="31"/>
      <c r="B60" s="31"/>
      <c r="C60" s="1">
        <f>IF(ISERROR(D60),"",IF(D60="","",MAX($C$12:C59)+1))</f>
        <v>43</v>
      </c>
      <c r="D60" t="s">
        <v>257</v>
      </c>
      <c r="F60" s="80">
        <f ca="1">AVERAGE(G60:R60)</f>
        <v>5.9886311197942077E-2</v>
      </c>
      <c r="G60" s="80">
        <f>MEDIAN(G13:G58)</f>
        <v>5.8752997601918468E-2</v>
      </c>
      <c r="H60" s="80">
        <f t="shared" ref="H60:R60" ca="1" si="10">MEDIAN(H13:H58)</f>
        <v>5.8332689484663525E-2</v>
      </c>
      <c r="I60" s="80">
        <f t="shared" ca="1" si="10"/>
        <v>5.8105039179982401E-2</v>
      </c>
      <c r="J60" s="80">
        <f t="shared" ca="1" si="10"/>
        <v>5.8275845713082322E-2</v>
      </c>
      <c r="K60" s="80">
        <f t="shared" ca="1" si="10"/>
        <v>5.8198607542871539E-2</v>
      </c>
      <c r="L60" s="80">
        <f t="shared" ca="1" si="10"/>
        <v>5.9941643651187204E-2</v>
      </c>
      <c r="M60" s="80">
        <f t="shared" ca="1" si="10"/>
        <v>6.0897956747897074E-2</v>
      </c>
      <c r="N60" s="80">
        <f t="shared" ca="1" si="10"/>
        <v>6.0209246993314994E-2</v>
      </c>
      <c r="O60" s="80">
        <f t="shared" ca="1" si="10"/>
        <v>6.0270504302307501E-2</v>
      </c>
      <c r="P60" s="80">
        <f t="shared" ca="1" si="10"/>
        <v>6.214571562998511E-2</v>
      </c>
      <c r="Q60" s="80">
        <f t="shared" ca="1" si="10"/>
        <v>6.2077733834793078E-2</v>
      </c>
      <c r="R60" s="80">
        <f t="shared" ca="1" si="10"/>
        <v>6.1427753693301654E-2</v>
      </c>
      <c r="S60" s="63"/>
      <c r="T60" s="63"/>
      <c r="U60" s="63"/>
      <c r="V60" s="63"/>
    </row>
    <row r="61" spans="1:22">
      <c r="A61" s="31"/>
      <c r="B61" s="31"/>
      <c r="C61" s="1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>
      <c r="A62" s="31"/>
      <c r="B62" s="31"/>
      <c r="C62" s="1"/>
      <c r="D62" s="18"/>
      <c r="E62" s="91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>
      <c r="A63" s="31"/>
      <c r="B63" s="31"/>
      <c r="C63" s="1"/>
      <c r="D63" s="20" t="s">
        <v>107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 ht="16.5">
      <c r="A64" s="31"/>
      <c r="B64" s="31"/>
      <c r="C64" s="1"/>
      <c r="D64" s="79">
        <v>1</v>
      </c>
      <c r="E64" s="21" t="str">
        <f>"The Value Line Investment Survey Investment Analyzer Software, downloaded on "&amp;TEXT('2016'!$A$1,"mmmm d, yyyy.")</f>
        <v>The Value Line Investment Survey Investment Analyzer Software, downloaded on June 21, 2017.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ht="16.5">
      <c r="A65" s="31"/>
      <c r="B65" s="31"/>
      <c r="C65" s="1"/>
      <c r="D65" s="79">
        <v>2</v>
      </c>
      <c r="E65" s="21" t="str">
        <f>"The Value Line Investment Survey, "&amp;'2017 Data (WP)'!$D$1</f>
        <v>The Value Line Investment Survey, July 28, August 18, and September 15, 2017.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 ht="16.5">
      <c r="A66" s="31"/>
      <c r="B66" s="31"/>
      <c r="C66" s="1"/>
      <c r="D66" s="93" t="s">
        <v>362</v>
      </c>
      <c r="E66" s="21" t="s">
        <v>369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>
      <c r="A67" s="31"/>
      <c r="B67" s="31"/>
      <c r="C67" s="1"/>
      <c r="E67" s="23" t="str">
        <f>"published in The Value Line Investment Survey, "&amp;'2017 Data (WP)'!$D$1</f>
        <v>published in The Value Line Investment Survey, July 28, August 18, and September 15, 2017.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>
      <c r="A68" s="31"/>
      <c r="B68" s="31"/>
      <c r="C68" s="1"/>
    </row>
    <row r="69" spans="1:22" ht="17.25">
      <c r="A69" s="31"/>
      <c r="B69" s="31"/>
      <c r="C69" s="6"/>
      <c r="D69" s="6"/>
      <c r="E69" s="19"/>
      <c r="F69" s="139" t="s">
        <v>332</v>
      </c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</row>
    <row r="70" spans="1:22" ht="15">
      <c r="A70" s="31"/>
      <c r="B70" s="31"/>
      <c r="C70" s="6"/>
      <c r="D70" s="7"/>
      <c r="E70" s="7"/>
      <c r="F70" s="8" t="s">
        <v>258</v>
      </c>
      <c r="G70" s="8"/>
      <c r="H70" s="8"/>
      <c r="I70" s="8"/>
      <c r="J70" s="8"/>
      <c r="K70" s="8"/>
      <c r="L70" s="8"/>
      <c r="M70" s="8"/>
      <c r="N70" s="8"/>
      <c r="O70" s="7"/>
      <c r="P70" s="7"/>
      <c r="Q70" s="7"/>
      <c r="R70" s="7"/>
      <c r="S70" s="7"/>
      <c r="T70" s="7"/>
      <c r="U70" s="7"/>
    </row>
    <row r="71" spans="1:22" ht="17.25">
      <c r="A71" s="31"/>
      <c r="B71" s="31"/>
      <c r="C71" s="9" t="s">
        <v>96</v>
      </c>
      <c r="D71" s="138" t="s">
        <v>97</v>
      </c>
      <c r="E71" s="138"/>
      <c r="F71" s="10" t="s">
        <v>98</v>
      </c>
      <c r="G71" s="10" t="s">
        <v>334</v>
      </c>
      <c r="H71" s="41">
        <v>2016</v>
      </c>
      <c r="I71" s="41">
        <v>2015</v>
      </c>
      <c r="J71" s="41">
        <v>2014</v>
      </c>
      <c r="K71" s="41">
        <v>2013</v>
      </c>
      <c r="L71" s="41">
        <v>2012</v>
      </c>
      <c r="M71" s="41">
        <v>2011</v>
      </c>
      <c r="N71" s="41">
        <v>2010</v>
      </c>
      <c r="O71" s="41">
        <v>2009</v>
      </c>
      <c r="P71" s="41">
        <v>2008</v>
      </c>
      <c r="Q71" s="41">
        <v>2007</v>
      </c>
      <c r="R71" s="41">
        <v>2006</v>
      </c>
      <c r="S71" s="41">
        <v>2005</v>
      </c>
      <c r="T71" s="41">
        <v>2004</v>
      </c>
      <c r="U71" s="41">
        <v>2003</v>
      </c>
      <c r="V71" s="41">
        <v>2002</v>
      </c>
    </row>
    <row r="72" spans="1:22" ht="15">
      <c r="A72" s="42"/>
      <c r="B72" s="42"/>
      <c r="C72" s="9"/>
      <c r="D72" s="11"/>
      <c r="E72" s="11"/>
      <c r="F72" s="12">
        <v>-1</v>
      </c>
      <c r="G72" s="12">
        <f t="shared" ref="G72:V72" si="11">+F72-1</f>
        <v>-2</v>
      </c>
      <c r="H72" s="12">
        <f t="shared" si="11"/>
        <v>-3</v>
      </c>
      <c r="I72" s="12">
        <f t="shared" si="11"/>
        <v>-4</v>
      </c>
      <c r="J72" s="12">
        <f t="shared" si="11"/>
        <v>-5</v>
      </c>
      <c r="K72" s="12">
        <f t="shared" si="11"/>
        <v>-6</v>
      </c>
      <c r="L72" s="12">
        <f t="shared" si="11"/>
        <v>-7</v>
      </c>
      <c r="M72" s="12">
        <f t="shared" si="11"/>
        <v>-8</v>
      </c>
      <c r="N72" s="12">
        <f t="shared" si="11"/>
        <v>-9</v>
      </c>
      <c r="O72" s="12">
        <f t="shared" si="11"/>
        <v>-10</v>
      </c>
      <c r="P72" s="12">
        <f t="shared" si="11"/>
        <v>-11</v>
      </c>
      <c r="Q72" s="12">
        <f t="shared" si="11"/>
        <v>-12</v>
      </c>
      <c r="R72" s="12">
        <f t="shared" si="11"/>
        <v>-13</v>
      </c>
      <c r="S72" s="12">
        <f t="shared" si="11"/>
        <v>-14</v>
      </c>
      <c r="T72" s="12">
        <f t="shared" si="11"/>
        <v>-15</v>
      </c>
      <c r="U72" s="12">
        <f t="shared" si="11"/>
        <v>-16</v>
      </c>
      <c r="V72" s="12">
        <f t="shared" si="11"/>
        <v>-17</v>
      </c>
    </row>
    <row r="73" spans="1:22">
      <c r="A73" s="43"/>
      <c r="B73" s="44"/>
      <c r="C73" s="6"/>
      <c r="E73" s="22"/>
      <c r="F73" s="36"/>
      <c r="G73" s="36"/>
      <c r="H73" s="16">
        <f t="shared" ref="H73:R73" ca="1" si="12">MATCH(VALUE(LEFT(H71,4)),OFFSET(DIV_EARN_WP,-1,0,1,),0)</f>
        <v>6</v>
      </c>
      <c r="I73" s="16">
        <f t="shared" ca="1" si="12"/>
        <v>7</v>
      </c>
      <c r="J73" s="16">
        <f t="shared" ca="1" si="12"/>
        <v>8</v>
      </c>
      <c r="K73" s="16">
        <f t="shared" ca="1" si="12"/>
        <v>9</v>
      </c>
      <c r="L73" s="16">
        <f t="shared" ca="1" si="12"/>
        <v>10</v>
      </c>
      <c r="M73" s="16">
        <f t="shared" ca="1" si="12"/>
        <v>11</v>
      </c>
      <c r="N73" s="16">
        <f t="shared" ca="1" si="12"/>
        <v>12</v>
      </c>
      <c r="O73" s="16">
        <f t="shared" ca="1" si="12"/>
        <v>13</v>
      </c>
      <c r="P73" s="16">
        <f t="shared" ca="1" si="12"/>
        <v>14</v>
      </c>
      <c r="Q73" s="16">
        <f t="shared" ca="1" si="12"/>
        <v>15</v>
      </c>
      <c r="R73" s="16">
        <f t="shared" ca="1" si="12"/>
        <v>16</v>
      </c>
      <c r="S73" s="16">
        <f t="shared" ref="S73:V73" ca="1" si="13">MATCH(VALUE(LEFT(S71,4)),OFFSET(MP_CF_WP,-1,0,1,),0)</f>
        <v>17</v>
      </c>
      <c r="T73" s="16">
        <f t="shared" ca="1" si="13"/>
        <v>18</v>
      </c>
      <c r="U73" s="16">
        <f t="shared" ca="1" si="13"/>
        <v>19</v>
      </c>
      <c r="V73" s="16">
        <f t="shared" ca="1" si="13"/>
        <v>20</v>
      </c>
    </row>
    <row r="74" spans="1:22">
      <c r="A74" s="51" t="str">
        <f t="shared" ref="A74:A118" si="14">A13</f>
        <v>ALE</v>
      </c>
      <c r="B74" s="46">
        <f t="shared" ref="B74:B118" ca="1" si="15">IFERROR(MATCH(A74,OFFSET(DIV_EARN_WP,0,0,,1),0),"")</f>
        <v>2</v>
      </c>
      <c r="C74" s="1">
        <f>IF(ISERROR(D74),"",IF(D74="","",MAX($C$72:C73)+1))</f>
        <v>1</v>
      </c>
      <c r="D74" t="str">
        <f t="shared" ref="D74:D118" si="16">D13</f>
        <v xml:space="preserve">ALLETE                        </v>
      </c>
      <c r="E74" s="22"/>
      <c r="F74" s="63">
        <f ca="1">IFERROR(AVERAGE(G74:R74),"N/A")</f>
        <v>0.67437020977284823</v>
      </c>
      <c r="G74" s="63">
        <f t="shared" ref="G74:G118" si="17">IFERROR(IF(VLOOKUP(A74,LUCurYr,16,FALSE)=0,"",VLOOKUP(A74,LUCurYr,16,FALSE)),"N/A")</f>
        <v>0.64848484848484855</v>
      </c>
      <c r="H74" s="63">
        <f ca="1">IFERROR(VLOOKUP($A74,LASTYR,'2016'!$O$3,FALSE),"N/A")</f>
        <v>0.66242038216560506</v>
      </c>
      <c r="I74" s="63">
        <f t="shared" ref="I74:R89" ca="1" si="18">IFERROR(IF(INDEX(DIV_EARN_WP,$B74,I$73)=0,"N/A",INDEX(DIV_EARN_WP,$B74,I$73)),"N/A")</f>
        <v>0.59763313609467461</v>
      </c>
      <c r="J74" s="63">
        <f t="shared" ca="1" si="18"/>
        <v>0.67586206896551726</v>
      </c>
      <c r="K74" s="63">
        <f t="shared" ca="1" si="18"/>
        <v>0.72243346007604559</v>
      </c>
      <c r="L74" s="63">
        <f t="shared" ca="1" si="18"/>
        <v>0.71317829457364346</v>
      </c>
      <c r="M74" s="63">
        <f t="shared" ca="1" si="18"/>
        <v>0.67169811320754724</v>
      </c>
      <c r="N74" s="63">
        <f t="shared" ca="1" si="18"/>
        <v>0.80365296803652975</v>
      </c>
      <c r="O74" s="63">
        <f t="shared" ca="1" si="18"/>
        <v>0.93121693121693128</v>
      </c>
      <c r="P74" s="63">
        <f t="shared" ca="1" si="18"/>
        <v>0.60992907801418439</v>
      </c>
      <c r="Q74" s="63">
        <f t="shared" ca="1" si="18"/>
        <v>0.53246753246753242</v>
      </c>
      <c r="R74" s="63">
        <f t="shared" ca="1" si="18"/>
        <v>0.52346570397111913</v>
      </c>
      <c r="S74" s="63"/>
      <c r="T74" s="63"/>
      <c r="U74" s="63"/>
      <c r="V74" s="63"/>
    </row>
    <row r="75" spans="1:22">
      <c r="A75" s="51" t="str">
        <f t="shared" si="14"/>
        <v>LNT</v>
      </c>
      <c r="B75" s="46">
        <f t="shared" ca="1" si="15"/>
        <v>3</v>
      </c>
      <c r="C75" s="1">
        <f>IF(ISERROR(D75),"",IF(D75="","",MAX($C$72:C74)+1))</f>
        <v>2</v>
      </c>
      <c r="D75" t="str">
        <f t="shared" si="16"/>
        <v xml:space="preserve">Alliant Energy                </v>
      </c>
      <c r="E75" s="22"/>
      <c r="F75" s="63">
        <f t="shared" ref="F75:F118" ca="1" si="19">IFERROR(AVERAGE(G75:R75),"N/A")</f>
        <v>0.60931408721292335</v>
      </c>
      <c r="G75" s="63">
        <f t="shared" si="17"/>
        <v>0.63</v>
      </c>
      <c r="H75" s="63">
        <f ca="1">IFERROR(VLOOKUP($A75,LASTYR,'2016'!$O$3,FALSE),"N/A")</f>
        <v>0.7151515151515152</v>
      </c>
      <c r="I75" s="63">
        <f t="shared" ca="1" si="18"/>
        <v>0.65088757396449715</v>
      </c>
      <c r="J75" s="63">
        <f t="shared" ca="1" si="18"/>
        <v>0.5862068965517242</v>
      </c>
      <c r="K75" s="63">
        <f t="shared" ca="1" si="18"/>
        <v>0.5714285714285714</v>
      </c>
      <c r="L75" s="63">
        <f t="shared" ca="1" si="18"/>
        <v>0.59016393442622961</v>
      </c>
      <c r="M75" s="63">
        <f t="shared" ca="1" si="18"/>
        <v>0.61818181818181817</v>
      </c>
      <c r="N75" s="63">
        <f t="shared" ca="1" si="18"/>
        <v>0.57454545454545458</v>
      </c>
      <c r="O75" s="63">
        <f t="shared" ca="1" si="18"/>
        <v>0.79365079365079372</v>
      </c>
      <c r="P75" s="63">
        <f t="shared" ca="1" si="18"/>
        <v>0.55118110236220463</v>
      </c>
      <c r="Q75" s="63">
        <f t="shared" ca="1" si="18"/>
        <v>0.47211895910780671</v>
      </c>
      <c r="R75" s="63">
        <f t="shared" ca="1" si="18"/>
        <v>0.55825242718446599</v>
      </c>
      <c r="S75" s="63"/>
      <c r="T75" s="63"/>
      <c r="U75" s="63"/>
      <c r="V75" s="63"/>
    </row>
    <row r="76" spans="1:22">
      <c r="A76" s="51" t="str">
        <f t="shared" si="14"/>
        <v>AEE</v>
      </c>
      <c r="B76" s="46">
        <f t="shared" ca="1" si="15"/>
        <v>6</v>
      </c>
      <c r="C76" s="1">
        <f>IF(ISERROR(D76),"",IF(D76="","",MAX($C$72:C75)+1))</f>
        <v>3</v>
      </c>
      <c r="D76" t="str">
        <f t="shared" si="16"/>
        <v xml:space="preserve">Ameren Corp.                  </v>
      </c>
      <c r="E76" s="22"/>
      <c r="F76" s="63">
        <f t="shared" ca="1" si="19"/>
        <v>0.70802542876385832</v>
      </c>
      <c r="G76" s="63">
        <f t="shared" si="17"/>
        <v>0.63571428571428579</v>
      </c>
      <c r="H76" s="63">
        <f ca="1">IFERROR(VLOOKUP($A76,LASTYR,'2016'!$O$3,FALSE),"N/A")</f>
        <v>0.6399253731343284</v>
      </c>
      <c r="I76" s="63">
        <f t="shared" ca="1" si="18"/>
        <v>0.69537815126050428</v>
      </c>
      <c r="J76" s="63">
        <f t="shared" ca="1" si="18"/>
        <v>0.67083333333333339</v>
      </c>
      <c r="K76" s="63">
        <f t="shared" ca="1" si="18"/>
        <v>0.76190476190476186</v>
      </c>
      <c r="L76" s="63">
        <f t="shared" ca="1" si="18"/>
        <v>0.66390041493775931</v>
      </c>
      <c r="M76" s="63">
        <f t="shared" ca="1" si="18"/>
        <v>0.62955465587044523</v>
      </c>
      <c r="N76" s="63">
        <f t="shared" ca="1" si="18"/>
        <v>0.55595667870036103</v>
      </c>
      <c r="O76" s="63">
        <f t="shared" ca="1" si="18"/>
        <v>0.5539568345323741</v>
      </c>
      <c r="P76" s="63">
        <f t="shared" ca="1" si="18"/>
        <v>0.88194444444444453</v>
      </c>
      <c r="Q76" s="63">
        <f t="shared" ca="1" si="18"/>
        <v>0.8523489932885906</v>
      </c>
      <c r="R76" s="63">
        <f t="shared" ca="1" si="18"/>
        <v>0.95488721804511278</v>
      </c>
      <c r="S76" s="63"/>
      <c r="T76" s="63"/>
      <c r="U76" s="63"/>
      <c r="V76" s="63"/>
    </row>
    <row r="77" spans="1:22">
      <c r="A77" s="51" t="str">
        <f t="shared" si="14"/>
        <v>AEP</v>
      </c>
      <c r="B77" s="46">
        <f t="shared" ca="1" si="15"/>
        <v>7</v>
      </c>
      <c r="C77" s="1">
        <f>IF(ISERROR(D77),"",IF(D77="","",MAX($C$72:C76)+1))</f>
        <v>4</v>
      </c>
      <c r="D77" t="str">
        <f t="shared" si="16"/>
        <v>American Electric Power</v>
      </c>
      <c r="E77" s="22"/>
      <c r="F77" s="63">
        <f t="shared" ca="1" si="19"/>
        <v>0.5890450862611768</v>
      </c>
      <c r="G77" s="63">
        <f t="shared" si="17"/>
        <v>0.65479452054794529</v>
      </c>
      <c r="H77" s="63">
        <f ca="1">IFERROR(VLOOKUP($A77,LASTYR,'2016'!$O$3,FALSE),"N/A")</f>
        <v>0.53664302600472813</v>
      </c>
      <c r="I77" s="63">
        <f t="shared" ca="1" si="18"/>
        <v>0.59888579387186625</v>
      </c>
      <c r="J77" s="63">
        <f t="shared" ca="1" si="18"/>
        <v>0.60778443113772451</v>
      </c>
      <c r="K77" s="63">
        <f t="shared" ca="1" si="18"/>
        <v>0.6132075471698113</v>
      </c>
      <c r="L77" s="63">
        <f t="shared" ca="1" si="18"/>
        <v>0.63087248322147649</v>
      </c>
      <c r="M77" s="63">
        <f t="shared" ca="1" si="18"/>
        <v>0.59105431309904155</v>
      </c>
      <c r="N77" s="63">
        <f t="shared" ca="1" si="18"/>
        <v>0.65769230769230769</v>
      </c>
      <c r="O77" s="63">
        <f t="shared" ca="1" si="18"/>
        <v>0.55218855218855212</v>
      </c>
      <c r="P77" s="63">
        <f t="shared" ca="1" si="18"/>
        <v>0.54849498327759194</v>
      </c>
      <c r="Q77" s="63">
        <f t="shared" ca="1" si="18"/>
        <v>0.5524475524475525</v>
      </c>
      <c r="R77" s="63">
        <f t="shared" ca="1" si="18"/>
        <v>0.52447552447552448</v>
      </c>
      <c r="S77" s="63"/>
      <c r="T77" s="63"/>
      <c r="U77" s="63"/>
      <c r="V77" s="63"/>
    </row>
    <row r="78" spans="1:22">
      <c r="A78" s="51" t="str">
        <f t="shared" si="14"/>
        <v>AGR</v>
      </c>
      <c r="B78" s="46">
        <f t="shared" ca="1" si="15"/>
        <v>10</v>
      </c>
      <c r="C78" s="1">
        <f>IF(ISERROR(D78),"",IF(D78="","",MAX($C$72:C77)+1))</f>
        <v>5</v>
      </c>
      <c r="D78" t="str">
        <f t="shared" si="16"/>
        <v>Avangrid, Inc.</v>
      </c>
      <c r="E78" s="22"/>
      <c r="F78" s="63">
        <f t="shared" ca="1" si="19"/>
        <v>0.83868921775898519</v>
      </c>
      <c r="G78" s="63">
        <f t="shared" si="17"/>
        <v>0.8046511627906977</v>
      </c>
      <c r="H78" s="63">
        <f ca="1">IFERROR(VLOOKUP($A78,LASTYR,'2016'!$O$3,FALSE),"N/A")</f>
        <v>0.87272727272727268</v>
      </c>
      <c r="I78" s="63" t="str">
        <f t="shared" ca="1" si="18"/>
        <v>N/A</v>
      </c>
      <c r="J78" s="63" t="str">
        <f t="shared" ca="1" si="18"/>
        <v>N/A</v>
      </c>
      <c r="K78" s="63" t="str">
        <f t="shared" ca="1" si="18"/>
        <v>N/A</v>
      </c>
      <c r="L78" s="63" t="str">
        <f t="shared" ca="1" si="18"/>
        <v>N/A</v>
      </c>
      <c r="M78" s="63" t="str">
        <f t="shared" ca="1" si="18"/>
        <v>N/A</v>
      </c>
      <c r="N78" s="63" t="str">
        <f t="shared" ca="1" si="18"/>
        <v>N/A</v>
      </c>
      <c r="O78" s="63" t="str">
        <f t="shared" ca="1" si="18"/>
        <v>N/A</v>
      </c>
      <c r="P78" s="63" t="str">
        <f t="shared" ca="1" si="18"/>
        <v>N/A</v>
      </c>
      <c r="Q78" s="63" t="str">
        <f t="shared" ca="1" si="18"/>
        <v>N/A</v>
      </c>
      <c r="R78" s="63" t="str">
        <f t="shared" ca="1" si="18"/>
        <v>N/A</v>
      </c>
      <c r="S78" s="63"/>
      <c r="T78" s="63"/>
      <c r="U78" s="63"/>
      <c r="V78" s="63"/>
    </row>
    <row r="79" spans="1:22">
      <c r="A79" s="51" t="str">
        <f t="shared" si="14"/>
        <v>AVA</v>
      </c>
      <c r="B79" s="46">
        <f t="shared" ca="1" si="15"/>
        <v>11</v>
      </c>
      <c r="C79" s="1">
        <f>IF(ISERROR(D79),"",IF(D79="","",MAX($C$72:C78)+1))</f>
        <v>6</v>
      </c>
      <c r="D79" t="str">
        <f t="shared" si="16"/>
        <v xml:space="preserve">Avista Corp.                  </v>
      </c>
      <c r="E79" s="22"/>
      <c r="F79" s="63">
        <f t="shared" ca="1" si="19"/>
        <v>0.64656978166881507</v>
      </c>
      <c r="G79" s="63">
        <f t="shared" si="17"/>
        <v>0.71499999999999997</v>
      </c>
      <c r="H79" s="63">
        <f ca="1">IFERROR(VLOOKUP($A79,LASTYR,'2016'!$O$3,FALSE),"N/A")</f>
        <v>0.63720930232558148</v>
      </c>
      <c r="I79" s="63">
        <f t="shared" ca="1" si="18"/>
        <v>0.69841269841269848</v>
      </c>
      <c r="J79" s="63">
        <f t="shared" ca="1" si="18"/>
        <v>0.69021739130434778</v>
      </c>
      <c r="K79" s="63">
        <f t="shared" ca="1" si="18"/>
        <v>0.65945945945945939</v>
      </c>
      <c r="L79" s="63">
        <f t="shared" ca="1" si="18"/>
        <v>0.87878787878787867</v>
      </c>
      <c r="M79" s="63">
        <f t="shared" ca="1" si="18"/>
        <v>0.63953488372093026</v>
      </c>
      <c r="N79" s="63">
        <f t="shared" ca="1" si="18"/>
        <v>0.60606060606060608</v>
      </c>
      <c r="O79" s="63">
        <f t="shared" ca="1" si="18"/>
        <v>0.51265822784810122</v>
      </c>
      <c r="P79" s="63">
        <f t="shared" ca="1" si="18"/>
        <v>0.50735294117647056</v>
      </c>
      <c r="Q79" s="63">
        <f t="shared" ca="1" si="18"/>
        <v>0.82638888888888884</v>
      </c>
      <c r="R79" s="63">
        <f t="shared" ca="1" si="18"/>
        <v>0.38775510204081631</v>
      </c>
      <c r="S79" s="63"/>
      <c r="T79" s="63"/>
      <c r="U79" s="63"/>
      <c r="V79" s="63"/>
    </row>
    <row r="80" spans="1:22">
      <c r="A80" s="51" t="str">
        <f t="shared" si="14"/>
        <v>BKH</v>
      </c>
      <c r="B80" s="46">
        <f t="shared" ca="1" si="15"/>
        <v>12</v>
      </c>
      <c r="C80" s="1">
        <f>IF(ISERROR(D80),"",IF(D80="","",MAX($C$72:C79)+1))</f>
        <v>7</v>
      </c>
      <c r="D80" t="str">
        <f t="shared" si="16"/>
        <v xml:space="preserve">Black Hills                   </v>
      </c>
      <c r="E80" s="22"/>
      <c r="F80" s="63">
        <f t="shared" ca="1" si="19"/>
        <v>1.2831172550172008</v>
      </c>
      <c r="G80" s="63">
        <f t="shared" si="17"/>
        <v>0.50140845070422535</v>
      </c>
      <c r="H80" s="63">
        <f ca="1">IFERROR(VLOOKUP($A80,LASTYR,'2016'!$O$3,FALSE),"N/A")</f>
        <v>0.63878326996197721</v>
      </c>
      <c r="I80" s="63">
        <f t="shared" ca="1" si="18"/>
        <v>0.57243816254416968</v>
      </c>
      <c r="J80" s="63">
        <f t="shared" ca="1" si="18"/>
        <v>0.53979238754325254</v>
      </c>
      <c r="K80" s="63">
        <f t="shared" ca="1" si="18"/>
        <v>0.58237547892720309</v>
      </c>
      <c r="L80" s="63">
        <f t="shared" ca="1" si="18"/>
        <v>0.75126903553299496</v>
      </c>
      <c r="M80" s="63">
        <f t="shared" ca="1" si="18"/>
        <v>1.4455445544554455</v>
      </c>
      <c r="N80" s="63">
        <f t="shared" ca="1" si="18"/>
        <v>0.86746987951807231</v>
      </c>
      <c r="O80" s="63">
        <f t="shared" ca="1" si="18"/>
        <v>0.61206896551724144</v>
      </c>
      <c r="P80" s="63">
        <f t="shared" ca="1" si="18"/>
        <v>7.7777777777777777</v>
      </c>
      <c r="Q80" s="63">
        <f t="shared" ca="1" si="18"/>
        <v>0.51119402985074625</v>
      </c>
      <c r="R80" s="63">
        <f t="shared" ca="1" si="18"/>
        <v>0.59728506787330315</v>
      </c>
      <c r="S80" s="63"/>
      <c r="T80" s="63"/>
      <c r="U80" s="63"/>
      <c r="V80" s="63"/>
    </row>
    <row r="81" spans="1:22">
      <c r="A81" s="51" t="str">
        <f t="shared" si="14"/>
        <v>CNP</v>
      </c>
      <c r="B81" s="46">
        <f t="shared" ca="1" si="15"/>
        <v>14</v>
      </c>
      <c r="C81" s="1">
        <f>IF(ISERROR(D81),"",IF(D81="","",MAX($C$72:C80)+1))</f>
        <v>8</v>
      </c>
      <c r="D81" t="str">
        <f t="shared" si="16"/>
        <v xml:space="preserve">CenterPoint Energy            </v>
      </c>
      <c r="E81" s="22"/>
      <c r="F81" s="63">
        <f t="shared" ca="1" si="19"/>
        <v>0.69555655172408981</v>
      </c>
      <c r="G81" s="63">
        <f t="shared" si="17"/>
        <v>0.76428571428571435</v>
      </c>
      <c r="H81" s="63">
        <f ca="1">IFERROR(VLOOKUP($A81,LASTYR,'2016'!$O$3,FALSE),"N/A")</f>
        <v>1.03</v>
      </c>
      <c r="I81" s="63">
        <f t="shared" ca="1" si="18"/>
        <v>0.91666666666666663</v>
      </c>
      <c r="J81" s="63">
        <f t="shared" ca="1" si="18"/>
        <v>0.66901408450704225</v>
      </c>
      <c r="K81" s="63">
        <f t="shared" ca="1" si="18"/>
        <v>0.66935483870967738</v>
      </c>
      <c r="L81" s="63">
        <f t="shared" ca="1" si="18"/>
        <v>0.6</v>
      </c>
      <c r="M81" s="63">
        <f t="shared" ca="1" si="18"/>
        <v>0.62204724409448819</v>
      </c>
      <c r="N81" s="63">
        <f t="shared" ca="1" si="18"/>
        <v>0.7289719626168224</v>
      </c>
      <c r="O81" s="63">
        <f t="shared" ca="1" si="18"/>
        <v>0.75247524752475248</v>
      </c>
      <c r="P81" s="63">
        <f t="shared" ca="1" si="18"/>
        <v>0.56153846153846154</v>
      </c>
      <c r="Q81" s="63">
        <f t="shared" ca="1" si="18"/>
        <v>0.58119658119658124</v>
      </c>
      <c r="R81" s="63">
        <f t="shared" ca="1" si="18"/>
        <v>0.45112781954887216</v>
      </c>
      <c r="S81" s="63"/>
      <c r="T81" s="63"/>
      <c r="U81" s="63"/>
      <c r="V81" s="63"/>
    </row>
    <row r="82" spans="1:22">
      <c r="A82" s="51" t="str">
        <f t="shared" si="14"/>
        <v>CMS</v>
      </c>
      <c r="B82" s="46">
        <f t="shared" ca="1" si="15"/>
        <v>18</v>
      </c>
      <c r="C82" s="1">
        <f>IF(ISERROR(D82),"",IF(D82="","",MAX($C$72:C81)+1))</f>
        <v>9</v>
      </c>
      <c r="D82" t="str">
        <f t="shared" si="16"/>
        <v xml:space="preserve">CMS Energy Corp.              </v>
      </c>
      <c r="E82" s="22"/>
      <c r="F82" s="63">
        <f t="shared" ca="1" si="19"/>
        <v>0.53996278543951526</v>
      </c>
      <c r="G82" s="63">
        <f t="shared" si="17"/>
        <v>0.61860465116279073</v>
      </c>
      <c r="H82" s="63">
        <f ca="1">IFERROR(VLOOKUP($A82,LASTYR,'2016'!$O$3,FALSE),"N/A")</f>
        <v>0.6262626262626263</v>
      </c>
      <c r="I82" s="63">
        <f t="shared" ca="1" si="18"/>
        <v>0.61375661375661372</v>
      </c>
      <c r="J82" s="63">
        <f t="shared" ca="1" si="18"/>
        <v>0.62068965517241381</v>
      </c>
      <c r="K82" s="63">
        <f t="shared" ca="1" si="18"/>
        <v>0.6144578313253013</v>
      </c>
      <c r="L82" s="63">
        <f t="shared" ca="1" si="18"/>
        <v>0.62745098039215685</v>
      </c>
      <c r="M82" s="63">
        <f t="shared" ca="1" si="18"/>
        <v>0.57931034482758625</v>
      </c>
      <c r="N82" s="63">
        <f t="shared" ca="1" si="18"/>
        <v>0.49624060150375937</v>
      </c>
      <c r="O82" s="63">
        <f t="shared" ca="1" si="18"/>
        <v>0.5376344086021505</v>
      </c>
      <c r="P82" s="63">
        <f t="shared" ca="1" si="18"/>
        <v>0.29268292682926828</v>
      </c>
      <c r="Q82" s="63">
        <f t="shared" ca="1" si="18"/>
        <v>0.3125</v>
      </c>
      <c r="R82" s="63" t="str">
        <f t="shared" ca="1" si="18"/>
        <v>N/A</v>
      </c>
      <c r="S82" s="63"/>
      <c r="T82" s="63"/>
      <c r="U82" s="63"/>
      <c r="V82" s="63"/>
    </row>
    <row r="83" spans="1:22">
      <c r="A83" s="51" t="str">
        <f t="shared" si="14"/>
        <v>ED</v>
      </c>
      <c r="B83" s="46">
        <f t="shared" ca="1" si="15"/>
        <v>20</v>
      </c>
      <c r="C83" s="1">
        <f>IF(ISERROR(D83),"",IF(D83="","",MAX($C$72:C82)+1))</f>
        <v>10</v>
      </c>
      <c r="D83" t="str">
        <f t="shared" si="16"/>
        <v xml:space="preserve">Consol. Edison                </v>
      </c>
      <c r="E83" s="22"/>
      <c r="F83" s="63">
        <f t="shared" ca="1" si="19"/>
        <v>0.68376550983164874</v>
      </c>
      <c r="G83" s="63">
        <f t="shared" si="17"/>
        <v>0.68148148148148147</v>
      </c>
      <c r="H83" s="63">
        <f ca="1">IFERROR(VLOOKUP($A83,LASTYR,'2016'!$O$3,FALSE),"N/A")</f>
        <v>0.68020304568527923</v>
      </c>
      <c r="I83" s="63">
        <f t="shared" ca="1" si="18"/>
        <v>0.64197530864197538</v>
      </c>
      <c r="J83" s="63">
        <f t="shared" ca="1" si="18"/>
        <v>0.69613259668508287</v>
      </c>
      <c r="K83" s="63">
        <f t="shared" ca="1" si="18"/>
        <v>0.62595419847328237</v>
      </c>
      <c r="L83" s="63">
        <f t="shared" ca="1" si="18"/>
        <v>0.62694300518134716</v>
      </c>
      <c r="M83" s="63">
        <f t="shared" ca="1" si="18"/>
        <v>0.67226890756302526</v>
      </c>
      <c r="N83" s="63">
        <f t="shared" ca="1" si="18"/>
        <v>0.68587896253602298</v>
      </c>
      <c r="O83" s="63">
        <f t="shared" ca="1" si="18"/>
        <v>0.75159235668789803</v>
      </c>
      <c r="P83" s="63">
        <f t="shared" ca="1" si="18"/>
        <v>0.6964285714285714</v>
      </c>
      <c r="Q83" s="63">
        <f t="shared" ca="1" si="18"/>
        <v>0.66666666666666663</v>
      </c>
      <c r="R83" s="63">
        <f t="shared" ca="1" si="18"/>
        <v>0.77966101694915246</v>
      </c>
      <c r="S83" s="63"/>
      <c r="T83" s="63"/>
      <c r="U83" s="63"/>
      <c r="V83" s="63"/>
    </row>
    <row r="84" spans="1:22">
      <c r="A84" s="51" t="str">
        <f t="shared" si="14"/>
        <v>D</v>
      </c>
      <c r="B84" s="46">
        <f t="shared" ca="1" si="15"/>
        <v>22</v>
      </c>
      <c r="C84" s="1">
        <f>IF(ISERROR(D84),"",IF(D84="","",MAX($C$72:C83)+1))</f>
        <v>11</v>
      </c>
      <c r="D84" t="str">
        <f t="shared" si="16"/>
        <v xml:space="preserve">Dominion Resources            </v>
      </c>
      <c r="E84" s="22"/>
      <c r="F84" s="63">
        <f t="shared" ca="1" si="19"/>
        <v>0.71532707032210574</v>
      </c>
      <c r="G84" s="63">
        <f t="shared" si="17"/>
        <v>0.88823529411764712</v>
      </c>
      <c r="H84" s="63">
        <f ca="1">IFERROR(VLOOKUP($A84,LASTYR,'2016'!$O$3,FALSE),"N/A")</f>
        <v>0.81395348837209303</v>
      </c>
      <c r="I84" s="63">
        <f t="shared" ca="1" si="18"/>
        <v>0.80937499999999996</v>
      </c>
      <c r="J84" s="63">
        <f t="shared" ca="1" si="18"/>
        <v>0.78688524590163933</v>
      </c>
      <c r="K84" s="63">
        <f t="shared" ca="1" si="18"/>
        <v>0.72815533980582525</v>
      </c>
      <c r="L84" s="63">
        <f t="shared" ca="1" si="18"/>
        <v>0.76727272727272722</v>
      </c>
      <c r="M84" s="63">
        <f t="shared" ca="1" si="18"/>
        <v>0.71376811594202905</v>
      </c>
      <c r="N84" s="63">
        <f t="shared" ca="1" si="18"/>
        <v>0.63321799307958482</v>
      </c>
      <c r="O84" s="63">
        <f t="shared" ca="1" si="18"/>
        <v>0.66287878787878785</v>
      </c>
      <c r="P84" s="63">
        <f t="shared" ca="1" si="18"/>
        <v>0.51973684210526316</v>
      </c>
      <c r="Q84" s="63">
        <f t="shared" ca="1" si="18"/>
        <v>0.68544600938967137</v>
      </c>
      <c r="R84" s="63">
        <f t="shared" ca="1" si="18"/>
        <v>0.57499999999999996</v>
      </c>
      <c r="S84" s="63">
        <f t="shared" ref="S84:V99" ca="1" si="20">IFERROR(IF(INDEX(MP_CF_WP,$B84,S$73)=0,"N/A",INDEX(MP_CF_WP,$B84,S$73)),"N/A")</f>
        <v>10.089435287760065</v>
      </c>
      <c r="T84" s="63">
        <f t="shared" ca="1" si="20"/>
        <v>7.6822210000000002</v>
      </c>
      <c r="U84" s="63">
        <f t="shared" ca="1" si="20"/>
        <v>7.50718</v>
      </c>
      <c r="V84" s="63">
        <f t="shared" ca="1" si="20"/>
        <v>6.5263039999999997</v>
      </c>
    </row>
    <row r="85" spans="1:22">
      <c r="A85" s="51" t="str">
        <f t="shared" si="14"/>
        <v>DTE</v>
      </c>
      <c r="B85" s="46">
        <f t="shared" ca="1" si="15"/>
        <v>23</v>
      </c>
      <c r="C85" s="1">
        <f>IF(ISERROR(D85),"",IF(D85="","",MAX($C$72:C84)+1))</f>
        <v>12</v>
      </c>
      <c r="D85" t="str">
        <f t="shared" si="16"/>
        <v xml:space="preserve">DTE Energy                    </v>
      </c>
      <c r="E85" s="22"/>
      <c r="F85" s="63">
        <f t="shared" ca="1" si="19"/>
        <v>0.66519431458211209</v>
      </c>
      <c r="G85" s="63">
        <f t="shared" si="17"/>
        <v>0.57931034482758625</v>
      </c>
      <c r="H85" s="63">
        <f ca="1">IFERROR(VLOOKUP($A85,LASTYR,'2016'!$O$3,FALSE),"N/A")</f>
        <v>0.63354037267080743</v>
      </c>
      <c r="I85" s="63">
        <f t="shared" ca="1" si="18"/>
        <v>0.63963963963963955</v>
      </c>
      <c r="J85" s="63">
        <f t="shared" ca="1" si="18"/>
        <v>0.52745098039215688</v>
      </c>
      <c r="K85" s="63">
        <f t="shared" ca="1" si="18"/>
        <v>0.68882978723404253</v>
      </c>
      <c r="L85" s="63">
        <f t="shared" ca="1" si="18"/>
        <v>0.62371134020618557</v>
      </c>
      <c r="M85" s="63">
        <f t="shared" ca="1" si="18"/>
        <v>0.63215258855585832</v>
      </c>
      <c r="N85" s="63">
        <f t="shared" ca="1" si="18"/>
        <v>0.58288770053475936</v>
      </c>
      <c r="O85" s="63">
        <f t="shared" ca="1" si="18"/>
        <v>0.65432098765432101</v>
      </c>
      <c r="P85" s="63">
        <f t="shared" ca="1" si="18"/>
        <v>0.77655677655677657</v>
      </c>
      <c r="Q85" s="63">
        <f t="shared" ca="1" si="18"/>
        <v>0.79699248120300747</v>
      </c>
      <c r="R85" s="63">
        <f t="shared" ca="1" si="18"/>
        <v>0.84693877551020413</v>
      </c>
      <c r="S85" s="63">
        <f t="shared" ca="1" si="20"/>
        <v>5.5403413975193416</v>
      </c>
      <c r="T85" s="63">
        <f t="shared" ca="1" si="20"/>
        <v>6.0036690000000004</v>
      </c>
      <c r="U85" s="63">
        <f t="shared" ca="1" si="20"/>
        <v>5.6177109999999999</v>
      </c>
      <c r="V85" s="63">
        <f t="shared" ca="1" si="20"/>
        <v>5.20106</v>
      </c>
    </row>
    <row r="86" spans="1:22">
      <c r="A86" s="51" t="str">
        <f t="shared" si="14"/>
        <v>DUK</v>
      </c>
      <c r="B86" s="46">
        <f t="shared" ca="1" si="15"/>
        <v>24</v>
      </c>
      <c r="C86" s="1">
        <f>IF(ISERROR(D86),"",IF(D86="","",MAX($C$72:C85)+1))</f>
        <v>13</v>
      </c>
      <c r="D86" t="str">
        <f t="shared" si="16"/>
        <v xml:space="preserve">Duke Energy                   </v>
      </c>
      <c r="E86" s="22"/>
      <c r="F86" s="63">
        <f t="shared" ca="1" si="19"/>
        <v>0.7901173982038544</v>
      </c>
      <c r="G86" s="63">
        <f t="shared" si="17"/>
        <v>0.7586956521739131</v>
      </c>
      <c r="H86" s="63">
        <f ca="1">IFERROR(VLOOKUP($A86,LASTYR,'2016'!$O$3,FALSE),"N/A")</f>
        <v>0.90566037735849059</v>
      </c>
      <c r="I86" s="63">
        <f t="shared" ca="1" si="18"/>
        <v>0.79024390243902454</v>
      </c>
      <c r="J86" s="63">
        <f t="shared" ca="1" si="18"/>
        <v>0.76271186440677963</v>
      </c>
      <c r="K86" s="63">
        <f t="shared" ca="1" si="18"/>
        <v>0.77638190954773867</v>
      </c>
      <c r="L86" s="63">
        <f t="shared" ca="1" si="18"/>
        <v>0.81671159029649587</v>
      </c>
      <c r="M86" s="63">
        <f t="shared" ca="1" si="18"/>
        <v>0.71739130434782616</v>
      </c>
      <c r="N86" s="63">
        <f t="shared" ca="1" si="18"/>
        <v>0.72388059701492546</v>
      </c>
      <c r="O86" s="63">
        <f t="shared" ca="1" si="18"/>
        <v>0.83185840707964598</v>
      </c>
      <c r="P86" s="63">
        <f t="shared" ca="1" si="18"/>
        <v>0.89108910891089121</v>
      </c>
      <c r="Q86" s="63">
        <f t="shared" ca="1" si="18"/>
        <v>0.71666666666666667</v>
      </c>
      <c r="R86" s="63" t="str">
        <f t="shared" ca="1" si="18"/>
        <v>N/A</v>
      </c>
      <c r="S86" s="63" t="str">
        <f t="shared" ca="1" si="20"/>
        <v>N/A</v>
      </c>
      <c r="T86" s="63" t="str">
        <f t="shared" ca="1" si="20"/>
        <v>N/A</v>
      </c>
      <c r="U86" s="63" t="str">
        <f t="shared" ca="1" si="20"/>
        <v>N/A</v>
      </c>
      <c r="V86" s="63" t="str">
        <f t="shared" ca="1" si="20"/>
        <v>N/A</v>
      </c>
    </row>
    <row r="87" spans="1:22">
      <c r="A87" s="51" t="str">
        <f t="shared" si="14"/>
        <v>EIX</v>
      </c>
      <c r="B87" s="46">
        <f t="shared" ca="1" si="15"/>
        <v>25</v>
      </c>
      <c r="C87" s="1">
        <f>IF(ISERROR(D87),"",IF(D87="","",MAX($C$72:C86)+1))</f>
        <v>14</v>
      </c>
      <c r="D87" t="str">
        <f t="shared" si="16"/>
        <v xml:space="preserve">Edison Int'l                  </v>
      </c>
      <c r="E87" s="22"/>
      <c r="F87" s="63">
        <f t="shared" ca="1" si="19"/>
        <v>0.38464385321855676</v>
      </c>
      <c r="G87" s="63">
        <f t="shared" si="17"/>
        <v>0.52</v>
      </c>
      <c r="H87" s="63">
        <f ca="1">IFERROR(VLOOKUP($A87,LASTYR,'2016'!$O$3,FALSE),"N/A")</f>
        <v>0.50329949238578686</v>
      </c>
      <c r="I87" s="63">
        <f t="shared" ca="1" si="18"/>
        <v>0.4175903614457831</v>
      </c>
      <c r="J87" s="63">
        <f t="shared" ca="1" si="18"/>
        <v>0.34249422632794457</v>
      </c>
      <c r="K87" s="63">
        <f t="shared" ca="1" si="18"/>
        <v>0.36190476190476195</v>
      </c>
      <c r="L87" s="63">
        <f t="shared" ca="1" si="18"/>
        <v>0.28857142857142859</v>
      </c>
      <c r="M87" s="63">
        <f t="shared" ca="1" si="18"/>
        <v>0.39783281733746129</v>
      </c>
      <c r="N87" s="63">
        <f t="shared" ca="1" si="18"/>
        <v>0.37761194029850742</v>
      </c>
      <c r="O87" s="63">
        <f t="shared" ca="1" si="18"/>
        <v>0.38425925925925924</v>
      </c>
      <c r="P87" s="63">
        <f t="shared" ca="1" si="18"/>
        <v>0.3328804347826087</v>
      </c>
      <c r="Q87" s="63">
        <f t="shared" ca="1" si="18"/>
        <v>0.35391566265060243</v>
      </c>
      <c r="R87" s="63">
        <f t="shared" ca="1" si="18"/>
        <v>0.33536585365853661</v>
      </c>
      <c r="S87" s="63">
        <f t="shared" ca="1" si="20"/>
        <v>5.6129401660463794</v>
      </c>
      <c r="T87" s="63">
        <f t="shared" ca="1" si="20"/>
        <v>6.8365840000000002</v>
      </c>
      <c r="U87" s="63">
        <f t="shared" ca="1" si="20"/>
        <v>2.8197589999999999</v>
      </c>
      <c r="V87" s="63">
        <f t="shared" ca="1" si="20"/>
        <v>2.960502</v>
      </c>
    </row>
    <row r="88" spans="1:22">
      <c r="A88" s="51" t="str">
        <f t="shared" si="14"/>
        <v>EE</v>
      </c>
      <c r="B88" s="46">
        <f t="shared" ca="1" si="15"/>
        <v>26</v>
      </c>
      <c r="C88" s="1">
        <f>IF(ISERROR(D88),"",IF(D88="","",MAX($C$72:C87)+1))</f>
        <v>15</v>
      </c>
      <c r="D88" t="str">
        <f t="shared" si="16"/>
        <v xml:space="preserve">El Paso Electric              </v>
      </c>
      <c r="E88" s="22"/>
      <c r="F88" s="63">
        <f t="shared" ca="1" si="19"/>
        <v>0.46890516430361595</v>
      </c>
      <c r="G88" s="63">
        <f t="shared" si="17"/>
        <v>0.53877551020408165</v>
      </c>
      <c r="H88" s="63">
        <f ca="1">IFERROR(VLOOKUP($A88,LASTYR,'2016'!$O$3,FALSE),"N/A")</f>
        <v>0.5125523012552301</v>
      </c>
      <c r="I88" s="63">
        <f t="shared" ca="1" si="18"/>
        <v>0.57389162561576357</v>
      </c>
      <c r="J88" s="63">
        <f t="shared" ca="1" si="18"/>
        <v>0.486784140969163</v>
      </c>
      <c r="K88" s="63">
        <f t="shared" ca="1" si="18"/>
        <v>0.47499999999999992</v>
      </c>
      <c r="L88" s="63">
        <f t="shared" ca="1" si="18"/>
        <v>0.42920353982300885</v>
      </c>
      <c r="M88" s="63">
        <f t="shared" ca="1" si="18"/>
        <v>0.26612903225806456</v>
      </c>
      <c r="N88" s="63" t="str">
        <f t="shared" ca="1" si="18"/>
        <v>N/A</v>
      </c>
      <c r="O88" s="63" t="str">
        <f t="shared" ca="1" si="18"/>
        <v>N/A</v>
      </c>
      <c r="P88" s="63" t="str">
        <f t="shared" ca="1" si="18"/>
        <v>N/A</v>
      </c>
      <c r="Q88" s="63" t="str">
        <f t="shared" ca="1" si="18"/>
        <v>N/A</v>
      </c>
      <c r="R88" s="63" t="str">
        <f t="shared" ca="1" si="18"/>
        <v>N/A</v>
      </c>
      <c r="S88" s="63">
        <f t="shared" ca="1" si="20"/>
        <v>6.6677609980302037</v>
      </c>
      <c r="T88" s="63">
        <f t="shared" ca="1" si="20"/>
        <v>4.6549300000000002</v>
      </c>
      <c r="U88" s="63">
        <f t="shared" ca="1" si="20"/>
        <v>3.8985989999999999</v>
      </c>
      <c r="V88" s="63">
        <f t="shared" ca="1" si="20"/>
        <v>4.3862110000000003</v>
      </c>
    </row>
    <row r="89" spans="1:22">
      <c r="A89" s="51" t="str">
        <f t="shared" si="14"/>
        <v>ETR</v>
      </c>
      <c r="B89" s="46">
        <f t="shared" ca="1" si="15"/>
        <v>28</v>
      </c>
      <c r="C89" s="1">
        <f>IF(ISERROR(D89),"",IF(D89="","",MAX($C$72:C88)+1))</f>
        <v>16</v>
      </c>
      <c r="D89" t="str">
        <f t="shared" si="16"/>
        <v xml:space="preserve">Entergy Corp.                 </v>
      </c>
      <c r="E89" s="22"/>
      <c r="F89" s="63">
        <f t="shared" ca="1" si="19"/>
        <v>0.51305397228028049</v>
      </c>
      <c r="G89" s="63">
        <f t="shared" si="17"/>
        <v>0.53846153846153844</v>
      </c>
      <c r="H89" s="63">
        <f ca="1">IFERROR(VLOOKUP($A89,LASTYR,'2016'!$O$3,FALSE),"N/A")</f>
        <v>0.49709302325581395</v>
      </c>
      <c r="I89" s="63">
        <f t="shared" ca="1" si="18"/>
        <v>0.57487091222030984</v>
      </c>
      <c r="J89" s="63">
        <f t="shared" ca="1" si="18"/>
        <v>0.57538994800693244</v>
      </c>
      <c r="K89" s="63">
        <f t="shared" ca="1" si="18"/>
        <v>0.66935483870967738</v>
      </c>
      <c r="L89" s="63">
        <f t="shared" ca="1" si="18"/>
        <v>0.55149501661129574</v>
      </c>
      <c r="M89" s="63">
        <f t="shared" ca="1" si="18"/>
        <v>0.43973509933774835</v>
      </c>
      <c r="N89" s="63">
        <f t="shared" ca="1" si="18"/>
        <v>0.48648648648648651</v>
      </c>
      <c r="O89" s="63">
        <f t="shared" ca="1" si="18"/>
        <v>0.47619047619047622</v>
      </c>
      <c r="P89" s="63">
        <f t="shared" ca="1" si="18"/>
        <v>0.48387096774193544</v>
      </c>
      <c r="Q89" s="63">
        <f t="shared" ca="1" si="18"/>
        <v>0.46071428571428574</v>
      </c>
      <c r="R89" s="63">
        <f t="shared" ca="1" si="18"/>
        <v>0.40298507462686567</v>
      </c>
      <c r="S89" s="63">
        <f t="shared" ca="1" si="20"/>
        <v>8.756049865558543</v>
      </c>
      <c r="T89" s="63">
        <f t="shared" ca="1" si="20"/>
        <v>7.1220420000000004</v>
      </c>
      <c r="U89" s="63">
        <f t="shared" ca="1" si="20"/>
        <v>6.8374600000000001</v>
      </c>
      <c r="V89" s="63">
        <f t="shared" ca="1" si="20"/>
        <v>5.5696649999999996</v>
      </c>
    </row>
    <row r="90" spans="1:22">
      <c r="A90" s="51" t="str">
        <f t="shared" si="14"/>
        <v>ES</v>
      </c>
      <c r="B90" s="46">
        <f t="shared" ca="1" si="15"/>
        <v>29</v>
      </c>
      <c r="C90" s="1">
        <f>IF(ISERROR(D90),"",IF(D90="","",MAX($C$72:C89)+1))</f>
        <v>17</v>
      </c>
      <c r="D90" t="str">
        <f t="shared" si="16"/>
        <v xml:space="preserve">Eversource Energy    </v>
      </c>
      <c r="E90" s="22"/>
      <c r="F90" s="63">
        <f t="shared" ca="1" si="19"/>
        <v>0.58439311347135792</v>
      </c>
      <c r="G90" s="63">
        <f t="shared" si="17"/>
        <v>0.61290322580645151</v>
      </c>
      <c r="H90" s="63">
        <f ca="1">IFERROR(VLOOKUP($A90,LASTYR,'2016'!$O$3,FALSE),"N/A")</f>
        <v>0.60135135135135132</v>
      </c>
      <c r="I90" s="63">
        <f t="shared" ref="I90:R105" ca="1" si="21">IFERROR(IF(INDEX(DIV_EARN_WP,$B90,I$73)=0,"N/A",INDEX(DIV_EARN_WP,$B90,I$73)),"N/A")</f>
        <v>0.60507246376811596</v>
      </c>
      <c r="J90" s="63">
        <f t="shared" ca="1" si="21"/>
        <v>0.60852713178294571</v>
      </c>
      <c r="K90" s="63">
        <f t="shared" ca="1" si="21"/>
        <v>0.59036144578313243</v>
      </c>
      <c r="L90" s="63">
        <f t="shared" ca="1" si="21"/>
        <v>0.69841269841269848</v>
      </c>
      <c r="M90" s="63">
        <f t="shared" ca="1" si="21"/>
        <v>0.49549549549549549</v>
      </c>
      <c r="N90" s="63">
        <f t="shared" ca="1" si="21"/>
        <v>0.48809523809523803</v>
      </c>
      <c r="O90" s="63">
        <f t="shared" ca="1" si="21"/>
        <v>0.49738219895287961</v>
      </c>
      <c r="P90" s="63">
        <f t="shared" ca="1" si="21"/>
        <v>0.44354838709677413</v>
      </c>
      <c r="Q90" s="63">
        <f t="shared" ca="1" si="21"/>
        <v>0.48742138364779874</v>
      </c>
      <c r="R90" s="63">
        <f t="shared" ca="1" si="21"/>
        <v>0.88414634146341464</v>
      </c>
      <c r="S90" s="63">
        <f t="shared" ca="1" si="20"/>
        <v>3.5481033534909288</v>
      </c>
      <c r="T90" s="63">
        <f t="shared" ca="1" si="20"/>
        <v>3.782826</v>
      </c>
      <c r="U90" s="63">
        <f t="shared" ca="1" si="20"/>
        <v>2.852541</v>
      </c>
      <c r="V90" s="63">
        <f t="shared" ca="1" si="20"/>
        <v>2.746715</v>
      </c>
    </row>
    <row r="91" spans="1:22">
      <c r="A91" s="51" t="str">
        <f t="shared" si="14"/>
        <v>EXC</v>
      </c>
      <c r="B91" s="46">
        <f t="shared" ca="1" si="15"/>
        <v>30</v>
      </c>
      <c r="C91" s="1">
        <f>IF(ISERROR(D91),"",IF(D91="","",MAX($C$72:C90)+1))</f>
        <v>18</v>
      </c>
      <c r="D91" t="str">
        <f t="shared" si="16"/>
        <v xml:space="preserve">Exelon Corp.                  </v>
      </c>
      <c r="E91" s="22"/>
      <c r="F91" s="63">
        <f t="shared" ca="1" si="19"/>
        <v>0.58487182756607337</v>
      </c>
      <c r="G91" s="63">
        <f t="shared" si="17"/>
        <v>0.50384615384615383</v>
      </c>
      <c r="H91" s="63">
        <f ca="1">IFERROR(VLOOKUP($A91,LASTYR,'2016'!$O$3,FALSE),"N/A")</f>
        <v>0.7</v>
      </c>
      <c r="I91" s="63">
        <f t="shared" ca="1" si="21"/>
        <v>0.48818897637795272</v>
      </c>
      <c r="J91" s="63">
        <f t="shared" ca="1" si="21"/>
        <v>0.59047619047619049</v>
      </c>
      <c r="K91" s="63">
        <f t="shared" ca="1" si="21"/>
        <v>0.62987012987012991</v>
      </c>
      <c r="L91" s="63">
        <f t="shared" ca="1" si="21"/>
        <v>1.09375</v>
      </c>
      <c r="M91" s="63">
        <f t="shared" ca="1" si="21"/>
        <v>0.56000000000000005</v>
      </c>
      <c r="N91" s="63">
        <f t="shared" ca="1" si="21"/>
        <v>0.54263565891472865</v>
      </c>
      <c r="O91" s="63">
        <f t="shared" ca="1" si="21"/>
        <v>0.48951048951048953</v>
      </c>
      <c r="P91" s="63">
        <f t="shared" ca="1" si="21"/>
        <v>0.5</v>
      </c>
      <c r="Q91" s="63">
        <f t="shared" ca="1" si="21"/>
        <v>0.45161290322580644</v>
      </c>
      <c r="R91" s="63">
        <f t="shared" ca="1" si="21"/>
        <v>0.46857142857142853</v>
      </c>
      <c r="S91" s="63">
        <f t="shared" ca="1" si="20"/>
        <v>7.9709208400646201</v>
      </c>
      <c r="T91" s="63">
        <f t="shared" ca="1" si="20"/>
        <v>6.2868700000000004</v>
      </c>
      <c r="U91" s="63">
        <f t="shared" ca="1" si="20"/>
        <v>5.7122630000000001</v>
      </c>
      <c r="V91" s="63">
        <f t="shared" ca="1" si="20"/>
        <v>4.9749699999999999</v>
      </c>
    </row>
    <row r="92" spans="1:22">
      <c r="A92" s="51" t="str">
        <f t="shared" si="14"/>
        <v>FE</v>
      </c>
      <c r="B92" s="46">
        <f t="shared" ca="1" si="15"/>
        <v>31</v>
      </c>
      <c r="C92" s="1">
        <f>IF(ISERROR(D92),"",IF(D92="","",MAX($C$72:C91)+1))</f>
        <v>19</v>
      </c>
      <c r="D92" t="str">
        <f t="shared" si="16"/>
        <v xml:space="preserve">FirstEnergy Corp.             </v>
      </c>
      <c r="E92" s="22"/>
      <c r="F92" s="63">
        <f t="shared" ca="1" si="19"/>
        <v>0.77053300605379338</v>
      </c>
      <c r="G92" s="63">
        <f t="shared" si="17"/>
        <v>0.57599999999999996</v>
      </c>
      <c r="H92" s="63">
        <f ca="1">IFERROR(VLOOKUP($A92,LASTYR,'2016'!$O$3,FALSE),"N/A")</f>
        <v>0.68571428571428561</v>
      </c>
      <c r="I92" s="63">
        <f t="shared" ca="1" si="21"/>
        <v>0.72</v>
      </c>
      <c r="J92" s="63">
        <f t="shared" ca="1" si="21"/>
        <v>1.6941176470588235</v>
      </c>
      <c r="K92" s="63">
        <f t="shared" ca="1" si="21"/>
        <v>0.55555555555555547</v>
      </c>
      <c r="L92" s="63">
        <f t="shared" ca="1" si="21"/>
        <v>1.0328638497652582</v>
      </c>
      <c r="M92" s="63">
        <f t="shared" ca="1" si="21"/>
        <v>1.1702127659574471</v>
      </c>
      <c r="N92" s="63">
        <f t="shared" ca="1" si="21"/>
        <v>0.67692307692307696</v>
      </c>
      <c r="O92" s="63">
        <f t="shared" ca="1" si="21"/>
        <v>0.66265060240963869</v>
      </c>
      <c r="P92" s="63">
        <f t="shared" ca="1" si="21"/>
        <v>0.50228310502283113</v>
      </c>
      <c r="Q92" s="63">
        <f t="shared" ca="1" si="21"/>
        <v>0.48578199052132698</v>
      </c>
      <c r="R92" s="63">
        <f t="shared" ca="1" si="21"/>
        <v>0.48429319371727753</v>
      </c>
      <c r="S92" s="63">
        <f t="shared" ca="1" si="20"/>
        <v>6.0413135593220346</v>
      </c>
      <c r="T92" s="63">
        <f t="shared" ca="1" si="20"/>
        <v>5.149756</v>
      </c>
      <c r="U92" s="63">
        <f t="shared" ca="1" si="20"/>
        <v>6.8987049999999996</v>
      </c>
      <c r="V92" s="63">
        <f t="shared" ca="1" si="20"/>
        <v>5.104406</v>
      </c>
    </row>
    <row r="93" spans="1:22">
      <c r="A93" s="51" t="str">
        <f t="shared" si="14"/>
        <v>FTS.TO</v>
      </c>
      <c r="B93" s="46">
        <f t="shared" ca="1" si="15"/>
        <v>32</v>
      </c>
      <c r="C93" s="1">
        <f>IF(ISERROR(D93),"",IF(D93="","",MAX($C$72:C92)+1))</f>
        <v>20</v>
      </c>
      <c r="D93" t="str">
        <f t="shared" si="16"/>
        <v>Fortis Inc.</v>
      </c>
      <c r="E93" s="22"/>
      <c r="F93" s="63">
        <f t="shared" ca="1" si="19"/>
        <v>0.70027203433308738</v>
      </c>
      <c r="G93" s="63">
        <f t="shared" si="17"/>
        <v>0.62264150943396224</v>
      </c>
      <c r="H93" s="63">
        <f ca="1">IFERROR(VLOOKUP($A93,LASTYR,'2016'!$O$3,FALSE),"N/A")</f>
        <v>0.82010582010582023</v>
      </c>
      <c r="I93" s="63">
        <f t="shared" ca="1" si="21"/>
        <v>0.67772511848341233</v>
      </c>
      <c r="J93" s="63">
        <f t="shared" ca="1" si="21"/>
        <v>0.94202898550724645</v>
      </c>
      <c r="K93" s="63">
        <f t="shared" ca="1" si="21"/>
        <v>0.76687116564417179</v>
      </c>
      <c r="L93" s="63">
        <f t="shared" ca="1" si="21"/>
        <v>0.73333333333333339</v>
      </c>
      <c r="M93" s="63">
        <f t="shared" ca="1" si="21"/>
        <v>0.67241379310344829</v>
      </c>
      <c r="N93" s="63">
        <f t="shared" ca="1" si="21"/>
        <v>0.6913580246913581</v>
      </c>
      <c r="O93" s="63">
        <f t="shared" ca="1" si="21"/>
        <v>0.6887417218543046</v>
      </c>
      <c r="P93" s="63">
        <f t="shared" ca="1" si="21"/>
        <v>0.65789473684210531</v>
      </c>
      <c r="Q93" s="63">
        <f t="shared" ca="1" si="21"/>
        <v>0.63714063714063718</v>
      </c>
      <c r="R93" s="63">
        <f t="shared" ca="1" si="21"/>
        <v>0.49300956585724803</v>
      </c>
      <c r="S93" s="63" t="str">
        <f t="shared" ca="1" si="20"/>
        <v>N/A</v>
      </c>
      <c r="T93" s="63" t="str">
        <f t="shared" ca="1" si="20"/>
        <v>N/A</v>
      </c>
      <c r="U93" s="63" t="str">
        <f t="shared" ca="1" si="20"/>
        <v>N/A</v>
      </c>
      <c r="V93" s="63" t="str">
        <f t="shared" ca="1" si="20"/>
        <v>N/A</v>
      </c>
    </row>
    <row r="94" spans="1:22">
      <c r="A94" s="51" t="str">
        <f t="shared" si="14"/>
        <v>GXP</v>
      </c>
      <c r="B94" s="46">
        <f t="shared" ca="1" si="15"/>
        <v>34</v>
      </c>
      <c r="C94" s="1">
        <f>IF(ISERROR(D94),"",IF(D94="","",MAX($C$72:C93)+1))</f>
        <v>21</v>
      </c>
      <c r="D94" t="str">
        <f t="shared" si="16"/>
        <v xml:space="preserve">Great Plains Energy             </v>
      </c>
      <c r="E94" s="22"/>
      <c r="F94" s="63">
        <f t="shared" ca="1" si="19"/>
        <v>0.86608871191986392</v>
      </c>
      <c r="G94" s="63">
        <f t="shared" si="17"/>
        <v>1.8666666666666669</v>
      </c>
      <c r="H94" s="63">
        <f ca="1">IFERROR(VLOOKUP($A94,LASTYR,'2016'!$O$3,FALSE),"N/A")</f>
        <v>0.65527950310559002</v>
      </c>
      <c r="I94" s="63">
        <f t="shared" ca="1" si="21"/>
        <v>0.72846715328467149</v>
      </c>
      <c r="J94" s="63">
        <f t="shared" ca="1" si="21"/>
        <v>0.59554140127388533</v>
      </c>
      <c r="K94" s="63">
        <f t="shared" ca="1" si="21"/>
        <v>0.5444444444444444</v>
      </c>
      <c r="L94" s="63">
        <f t="shared" ca="1" si="21"/>
        <v>0.6333333333333333</v>
      </c>
      <c r="M94" s="63">
        <f t="shared" ca="1" si="21"/>
        <v>0.66799999999999993</v>
      </c>
      <c r="N94" s="63">
        <f t="shared" ca="1" si="21"/>
        <v>0.54248366013071891</v>
      </c>
      <c r="O94" s="63">
        <f t="shared" ca="1" si="21"/>
        <v>0.80582524271844658</v>
      </c>
      <c r="P94" s="63">
        <f t="shared" ca="1" si="21"/>
        <v>1.4310344827586208</v>
      </c>
      <c r="Q94" s="63">
        <f t="shared" ca="1" si="21"/>
        <v>0.89729729729729724</v>
      </c>
      <c r="R94" s="63">
        <f t="shared" ca="1" si="21"/>
        <v>1.0246913580246912</v>
      </c>
      <c r="S94" s="63">
        <f t="shared" ca="1" si="20"/>
        <v>6.6982834507042259</v>
      </c>
      <c r="T94" s="63">
        <f t="shared" ca="1" si="20"/>
        <v>6.5216839999999996</v>
      </c>
      <c r="U94" s="63">
        <f t="shared" ca="1" si="20"/>
        <v>5.9151930000000004</v>
      </c>
      <c r="V94" s="63">
        <f t="shared" ca="1" si="20"/>
        <v>5.1369210000000001</v>
      </c>
    </row>
    <row r="95" spans="1:22">
      <c r="A95" s="51" t="str">
        <f t="shared" si="14"/>
        <v>HE</v>
      </c>
      <c r="B95" s="46">
        <f t="shared" ca="1" si="15"/>
        <v>35</v>
      </c>
      <c r="C95" s="1">
        <f>IF(ISERROR(D95),"",IF(D95="","",MAX($C$72:C94)+1))</f>
        <v>22</v>
      </c>
      <c r="D95" t="str">
        <f t="shared" si="16"/>
        <v xml:space="preserve">Hawaiian Elec.                </v>
      </c>
      <c r="E95" s="22"/>
      <c r="F95" s="63">
        <f t="shared" ca="1" si="19"/>
        <v>0.90533869363839192</v>
      </c>
      <c r="G95" s="63">
        <f t="shared" si="17"/>
        <v>0.77499999999999991</v>
      </c>
      <c r="H95" s="63">
        <f ca="1">IFERROR(VLOOKUP($A95,LASTYR,'2016'!$O$3,FALSE),"N/A")</f>
        <v>0.54148471615720528</v>
      </c>
      <c r="I95" s="63">
        <f t="shared" ca="1" si="21"/>
        <v>0.82666666666666666</v>
      </c>
      <c r="J95" s="63">
        <f t="shared" ca="1" si="21"/>
        <v>0.75609756097560976</v>
      </c>
      <c r="K95" s="63">
        <f t="shared" ca="1" si="21"/>
        <v>0.76543209876543206</v>
      </c>
      <c r="L95" s="63">
        <f t="shared" ca="1" si="21"/>
        <v>0.74251497005988032</v>
      </c>
      <c r="M95" s="63">
        <f t="shared" ca="1" si="21"/>
        <v>0.86111111111111116</v>
      </c>
      <c r="N95" s="63">
        <f t="shared" ca="1" si="21"/>
        <v>1.024793388429752</v>
      </c>
      <c r="O95" s="63">
        <f t="shared" ca="1" si="21"/>
        <v>1.3626373626373627</v>
      </c>
      <c r="P95" s="63">
        <f t="shared" ca="1" si="21"/>
        <v>1.1588785046728971</v>
      </c>
      <c r="Q95" s="63">
        <f t="shared" ca="1" si="21"/>
        <v>1.117117117117117</v>
      </c>
      <c r="R95" s="63">
        <f t="shared" ca="1" si="21"/>
        <v>0.93233082706766912</v>
      </c>
      <c r="S95" s="63">
        <f t="shared" ca="1" si="20"/>
        <v>8.290553138595401</v>
      </c>
      <c r="T95" s="63">
        <f t="shared" ca="1" si="20"/>
        <v>8.4448039999999995</v>
      </c>
      <c r="U95" s="63">
        <f t="shared" ca="1" si="20"/>
        <v>6.1214690000000003</v>
      </c>
      <c r="V95" s="63">
        <f t="shared" ca="1" si="20"/>
        <v>6.1993749999999999</v>
      </c>
    </row>
    <row r="96" spans="1:22">
      <c r="A96" s="51" t="str">
        <f t="shared" si="14"/>
        <v>IDA</v>
      </c>
      <c r="B96" s="46">
        <f t="shared" ca="1" si="15"/>
        <v>36</v>
      </c>
      <c r="C96" s="1">
        <f>IF(ISERROR(D96),"",IF(D96="","",MAX($C$72:C95)+1))</f>
        <v>23</v>
      </c>
      <c r="D96" t="str">
        <f t="shared" si="16"/>
        <v xml:space="preserve">IDACORP, Inc.                 </v>
      </c>
      <c r="E96" s="22"/>
      <c r="F96" s="63">
        <f t="shared" ca="1" si="19"/>
        <v>0.48307043644631303</v>
      </c>
      <c r="G96" s="63">
        <f t="shared" si="17"/>
        <v>0.55308641975308648</v>
      </c>
      <c r="H96" s="63">
        <f ca="1">IFERROR(VLOOKUP($A96,LASTYR,'2016'!$O$3,FALSE),"N/A")</f>
        <v>0.52791878172588835</v>
      </c>
      <c r="I96" s="63">
        <f t="shared" ca="1" si="21"/>
        <v>0.49612403100775193</v>
      </c>
      <c r="J96" s="63">
        <f t="shared" ca="1" si="21"/>
        <v>0.45714285714285713</v>
      </c>
      <c r="K96" s="63">
        <f t="shared" ca="1" si="21"/>
        <v>0.43131868131868134</v>
      </c>
      <c r="L96" s="63">
        <f t="shared" ca="1" si="21"/>
        <v>0.40652818991097922</v>
      </c>
      <c r="M96" s="63">
        <f t="shared" ca="1" si="21"/>
        <v>0.35714285714285715</v>
      </c>
      <c r="N96" s="63">
        <f t="shared" ca="1" si="21"/>
        <v>0.40677966101694912</v>
      </c>
      <c r="O96" s="63">
        <f t="shared" ca="1" si="21"/>
        <v>0.45454545454545453</v>
      </c>
      <c r="P96" s="63">
        <f t="shared" ca="1" si="21"/>
        <v>0.55045871559633019</v>
      </c>
      <c r="Q96" s="63">
        <f t="shared" ca="1" si="21"/>
        <v>0.64516129032258063</v>
      </c>
      <c r="R96" s="63">
        <f t="shared" ca="1" si="21"/>
        <v>0.51063829787234039</v>
      </c>
      <c r="S96" s="63">
        <f t="shared" ca="1" si="20"/>
        <v>7.5475206611570247</v>
      </c>
      <c r="T96" s="63">
        <f t="shared" ca="1" si="20"/>
        <v>7.1459450000000002</v>
      </c>
      <c r="U96" s="63">
        <f t="shared" ca="1" si="20"/>
        <v>7.2654870000000003</v>
      </c>
      <c r="V96" s="63">
        <f t="shared" ca="1" si="20"/>
        <v>7.5333009999999998</v>
      </c>
    </row>
    <row r="97" spans="1:22">
      <c r="A97" s="51" t="str">
        <f t="shared" si="14"/>
        <v>MGEE</v>
      </c>
      <c r="B97" s="46">
        <f t="shared" ca="1" si="15"/>
        <v>40</v>
      </c>
      <c r="C97" s="1">
        <f>IF(ISERROR(D97),"",IF(D97="","",MAX($C$72:C96)+1))</f>
        <v>24</v>
      </c>
      <c r="D97" t="str">
        <f t="shared" si="16"/>
        <v xml:space="preserve">MGE Energy                    </v>
      </c>
      <c r="E97" s="22"/>
      <c r="F97" s="63">
        <f t="shared" ca="1" si="19"/>
        <v>0.57737059210670327</v>
      </c>
      <c r="G97" s="63">
        <f t="shared" si="17"/>
        <v>0.5478260869565218</v>
      </c>
      <c r="H97" s="63">
        <f ca="1">IFERROR(VLOOKUP($A97,LASTYR,'2016'!$O$3,FALSE),"N/A")</f>
        <v>0.55504587155963292</v>
      </c>
      <c r="I97" s="63">
        <f t="shared" ca="1" si="21"/>
        <v>0.56310679611650483</v>
      </c>
      <c r="J97" s="63">
        <f t="shared" ca="1" si="21"/>
        <v>0.47844827586206906</v>
      </c>
      <c r="K97" s="63">
        <f t="shared" ca="1" si="21"/>
        <v>0.49537037037037035</v>
      </c>
      <c r="L97" s="63">
        <f t="shared" ca="1" si="21"/>
        <v>0.55913978494623651</v>
      </c>
      <c r="M97" s="63">
        <f t="shared" ca="1" si="21"/>
        <v>0.5744318181818181</v>
      </c>
      <c r="N97" s="63">
        <f t="shared" ca="1" si="21"/>
        <v>0.59568086382723451</v>
      </c>
      <c r="O97" s="63">
        <f t="shared" ca="1" si="21"/>
        <v>0.66055668703326542</v>
      </c>
      <c r="P97" s="63">
        <f t="shared" ca="1" si="21"/>
        <v>0.60239445494643984</v>
      </c>
      <c r="Q97" s="63">
        <f t="shared" ca="1" si="21"/>
        <v>0.62128222075346995</v>
      </c>
      <c r="R97" s="63">
        <f t="shared" ca="1" si="21"/>
        <v>0.67516387472687545</v>
      </c>
      <c r="S97" s="63">
        <f t="shared" ca="1" si="20"/>
        <v>11.727</v>
      </c>
      <c r="T97" s="63">
        <f t="shared" ca="1" si="20"/>
        <v>11.044409999999999</v>
      </c>
      <c r="U97" s="63">
        <f t="shared" ca="1" si="20"/>
        <v>10.19708</v>
      </c>
      <c r="V97" s="63">
        <f t="shared" ca="1" si="20"/>
        <v>8.0936369999999993</v>
      </c>
    </row>
    <row r="98" spans="1:22">
      <c r="A98" s="51" t="str">
        <f t="shared" si="14"/>
        <v>NEE</v>
      </c>
      <c r="B98" s="46">
        <f t="shared" ca="1" si="15"/>
        <v>43</v>
      </c>
      <c r="C98" s="1">
        <f>IF(ISERROR(D98),"",IF(D98="","",MAX($C$72:C97)+1))</f>
        <v>25</v>
      </c>
      <c r="D98" t="str">
        <f t="shared" si="16"/>
        <v>NextEra Energy, Inc.</v>
      </c>
      <c r="E98" s="22"/>
      <c r="F98" s="63">
        <f t="shared" ca="1" si="19"/>
        <v>0.50378047198021025</v>
      </c>
      <c r="G98" s="63">
        <f t="shared" si="17"/>
        <v>0.58656716417910448</v>
      </c>
      <c r="H98" s="63">
        <f ca="1">IFERROR(VLOOKUP($A98,LASTYR,'2016'!$O$3,FALSE),"N/A")</f>
        <v>0.60207612456747406</v>
      </c>
      <c r="I98" s="63">
        <f t="shared" ca="1" si="21"/>
        <v>0.5082508250825083</v>
      </c>
      <c r="J98" s="63">
        <f t="shared" ca="1" si="21"/>
        <v>0.5178571428571429</v>
      </c>
      <c r="K98" s="63">
        <f t="shared" ca="1" si="21"/>
        <v>0.54658385093167705</v>
      </c>
      <c r="L98" s="63">
        <f t="shared" ca="1" si="21"/>
        <v>0.52631578947368418</v>
      </c>
      <c r="M98" s="63">
        <f t="shared" ca="1" si="21"/>
        <v>0.45643153526970953</v>
      </c>
      <c r="N98" s="63">
        <f t="shared" ca="1" si="21"/>
        <v>0.42194092827004215</v>
      </c>
      <c r="O98" s="63">
        <f t="shared" ca="1" si="21"/>
        <v>0.47607052896725438</v>
      </c>
      <c r="P98" s="63">
        <f t="shared" ca="1" si="21"/>
        <v>0.4373464373464373</v>
      </c>
      <c r="Q98" s="63">
        <f t="shared" ca="1" si="21"/>
        <v>0.50152905198776754</v>
      </c>
      <c r="R98" s="63">
        <f t="shared" ca="1" si="21"/>
        <v>0.46439628482972134</v>
      </c>
      <c r="S98" s="63">
        <f t="shared" ca="1" si="20"/>
        <v>6.7148405890920859</v>
      </c>
      <c r="T98" s="63">
        <f t="shared" ca="1" si="20"/>
        <v>6.7148405890920859</v>
      </c>
      <c r="U98" s="63">
        <f t="shared" ca="1" si="20"/>
        <v>5.9742903053026248</v>
      </c>
      <c r="V98" s="63">
        <f t="shared" ca="1" si="20"/>
        <v>5.7684701492537309</v>
      </c>
    </row>
    <row r="99" spans="1:22">
      <c r="A99" s="51" t="str">
        <f t="shared" si="14"/>
        <v>NWE</v>
      </c>
      <c r="B99" s="46">
        <f t="shared" ca="1" si="15"/>
        <v>46</v>
      </c>
      <c r="C99" s="1">
        <f>IF(ISERROR(D99),"",IF(D99="","",MAX($C$72:C98)+1))</f>
        <v>26</v>
      </c>
      <c r="D99" t="str">
        <f t="shared" si="16"/>
        <v xml:space="preserve">NorthWestern Corp             </v>
      </c>
      <c r="E99" s="22"/>
      <c r="F99" s="63">
        <f t="shared" ca="1" si="19"/>
        <v>0.67648936779752189</v>
      </c>
      <c r="G99" s="63">
        <f t="shared" si="17"/>
        <v>0.60869565217391308</v>
      </c>
      <c r="H99" s="63">
        <f ca="1">IFERROR(VLOOKUP($A99,LASTYR,'2016'!$O$3,FALSE),"N/A")</f>
        <v>0.58997050147492625</v>
      </c>
      <c r="I99" s="63">
        <f t="shared" ca="1" si="21"/>
        <v>0.66206896551724137</v>
      </c>
      <c r="J99" s="63">
        <f t="shared" ca="1" si="21"/>
        <v>0.53511705685618727</v>
      </c>
      <c r="K99" s="63">
        <f t="shared" ca="1" si="21"/>
        <v>0.61788617886178865</v>
      </c>
      <c r="L99" s="63">
        <f t="shared" ca="1" si="21"/>
        <v>0.65486725663716816</v>
      </c>
      <c r="M99" s="63">
        <f t="shared" ca="1" si="21"/>
        <v>0.56916996047430835</v>
      </c>
      <c r="N99" s="63">
        <f t="shared" ca="1" si="21"/>
        <v>0.63551401869158874</v>
      </c>
      <c r="O99" s="63">
        <f t="shared" ca="1" si="21"/>
        <v>0.6633663366336634</v>
      </c>
      <c r="P99" s="63">
        <f t="shared" ca="1" si="21"/>
        <v>0.74576271186440679</v>
      </c>
      <c r="Q99" s="63">
        <f t="shared" ca="1" si="21"/>
        <v>0.88888888888888895</v>
      </c>
      <c r="R99" s="63">
        <f t="shared" ca="1" si="21"/>
        <v>0.94656488549618312</v>
      </c>
      <c r="S99" s="63">
        <f t="shared" ca="1" si="20"/>
        <v>7.3119839879909936</v>
      </c>
      <c r="T99" s="63">
        <f t="shared" ca="1" si="20"/>
        <v>8.1297280000000001</v>
      </c>
      <c r="U99" s="63" t="str">
        <f t="shared" ca="1" si="20"/>
        <v>N/A</v>
      </c>
      <c r="V99" s="63" t="str">
        <f t="shared" ca="1" si="20"/>
        <v>N/A</v>
      </c>
    </row>
    <row r="100" spans="1:22">
      <c r="A100" s="51" t="str">
        <f t="shared" si="14"/>
        <v>OGE</v>
      </c>
      <c r="B100" s="46">
        <f t="shared" ca="1" si="15"/>
        <v>47</v>
      </c>
      <c r="C100" s="1">
        <f>IF(ISERROR(D100),"",IF(D100="","",MAX($C$72:C99)+1))</f>
        <v>27</v>
      </c>
      <c r="D100" t="str">
        <f t="shared" si="16"/>
        <v xml:space="preserve">OGE Energy                    </v>
      </c>
      <c r="E100" s="22"/>
      <c r="F100" s="63">
        <f t="shared" ca="1" si="19"/>
        <v>0.5343756559292957</v>
      </c>
      <c r="G100" s="63">
        <f t="shared" si="17"/>
        <v>0.6512820512820513</v>
      </c>
      <c r="H100" s="63">
        <f ca="1">IFERROR(VLOOKUP($A100,LASTYR,'2016'!$O$3,FALSE),"N/A")</f>
        <v>0.68343195266272194</v>
      </c>
      <c r="I100" s="63">
        <f t="shared" ca="1" si="21"/>
        <v>0.62130177514792906</v>
      </c>
      <c r="J100" s="63">
        <f t="shared" ca="1" si="21"/>
        <v>0.47979797979797978</v>
      </c>
      <c r="K100" s="63">
        <f t="shared" ca="1" si="21"/>
        <v>0.43865979381443299</v>
      </c>
      <c r="L100" s="63">
        <f t="shared" ca="1" si="21"/>
        <v>0.44581005586592182</v>
      </c>
      <c r="M100" s="63">
        <f t="shared" ca="1" si="21"/>
        <v>0.44</v>
      </c>
      <c r="N100" s="63">
        <f t="shared" ca="1" si="21"/>
        <v>0.48963210702341131</v>
      </c>
      <c r="O100" s="63">
        <f t="shared" ca="1" si="21"/>
        <v>0.53684210526315779</v>
      </c>
      <c r="P100" s="63">
        <f t="shared" ca="1" si="21"/>
        <v>0.56144578313253002</v>
      </c>
      <c r="Q100" s="63">
        <f t="shared" ca="1" si="21"/>
        <v>0.51818181818181819</v>
      </c>
      <c r="R100" s="63">
        <f t="shared" ca="1" si="21"/>
        <v>0.54612244897959183</v>
      </c>
      <c r="S100" s="63">
        <f t="shared" ref="S100:V117" ca="1" si="22">IFERROR(IF(INDEX(MP_CF_WP,$B100,S$73)=0,"N/A",INDEX(MP_CF_WP,$B100,S$73)),"N/A")</f>
        <v>7.0365226337448563</v>
      </c>
      <c r="T100" s="63">
        <f t="shared" ca="1" si="22"/>
        <v>6.7290000000000001</v>
      </c>
      <c r="U100" s="63">
        <f t="shared" ca="1" si="22"/>
        <v>5.6171150000000001</v>
      </c>
      <c r="V100" s="63">
        <f t="shared" ca="1" si="22"/>
        <v>5.3884740000000004</v>
      </c>
    </row>
    <row r="101" spans="1:22">
      <c r="A101" s="51" t="str">
        <f t="shared" si="14"/>
        <v>OTTR</v>
      </c>
      <c r="B101" s="46">
        <f t="shared" ca="1" si="15"/>
        <v>49</v>
      </c>
      <c r="C101" s="1">
        <f>IF(ISERROR(D101),"",IF(D101="","",MAX($C$72:C100)+1))</f>
        <v>28</v>
      </c>
      <c r="D101" t="str">
        <f t="shared" si="16"/>
        <v xml:space="preserve">Otter Tail Corp.              </v>
      </c>
      <c r="E101" s="22"/>
      <c r="F101" s="63">
        <f t="shared" ca="1" si="19"/>
        <v>1.2471109446562141</v>
      </c>
      <c r="G101" s="63">
        <f t="shared" si="17"/>
        <v>0.73142857142857143</v>
      </c>
      <c r="H101" s="63">
        <f ca="1">IFERROR(VLOOKUP($A101,LASTYR,'2016'!$O$3,FALSE),"N/A")</f>
        <v>0.78125</v>
      </c>
      <c r="I101" s="63">
        <f t="shared" ca="1" si="21"/>
        <v>0.78846153846153844</v>
      </c>
      <c r="J101" s="63">
        <f t="shared" ca="1" si="21"/>
        <v>0.78064516129032258</v>
      </c>
      <c r="K101" s="63">
        <f t="shared" ca="1" si="21"/>
        <v>0.86861313868613133</v>
      </c>
      <c r="L101" s="63">
        <f t="shared" ca="1" si="21"/>
        <v>1.1333333333333333</v>
      </c>
      <c r="M101" s="63">
        <f t="shared" ca="1" si="21"/>
        <v>2.6444444444444444</v>
      </c>
      <c r="N101" s="63">
        <f t="shared" ca="1" si="21"/>
        <v>3.1315789473684208</v>
      </c>
      <c r="O101" s="63">
        <f t="shared" ca="1" si="21"/>
        <v>1.676056338028169</v>
      </c>
      <c r="P101" s="63">
        <f t="shared" ca="1" si="21"/>
        <v>1.0917431192660549</v>
      </c>
      <c r="Q101" s="63">
        <f t="shared" ca="1" si="21"/>
        <v>0.65730337078651679</v>
      </c>
      <c r="R101" s="63">
        <f t="shared" ca="1" si="21"/>
        <v>0.68047337278106501</v>
      </c>
      <c r="S101" s="63">
        <f t="shared" ca="1" si="22"/>
        <v>8.1753653444676395</v>
      </c>
      <c r="T101" s="63">
        <f t="shared" ca="1" si="22"/>
        <v>9.0128249999999994</v>
      </c>
      <c r="U101" s="63">
        <f t="shared" ca="1" si="22"/>
        <v>8.1296970000000002</v>
      </c>
      <c r="V101" s="63">
        <f t="shared" ca="1" si="22"/>
        <v>8.3335279999999994</v>
      </c>
    </row>
    <row r="102" spans="1:22">
      <c r="A102" s="51" t="str">
        <f t="shared" si="14"/>
        <v>PCG</v>
      </c>
      <c r="B102" s="46">
        <f t="shared" ca="1" si="15"/>
        <v>51</v>
      </c>
      <c r="C102" s="1">
        <f>IF(ISERROR(D102),"",IF(D102="","",MAX($C$72:C101)+1))</f>
        <v>29</v>
      </c>
      <c r="D102" t="str">
        <f t="shared" si="16"/>
        <v xml:space="preserve">PG&amp;E Corp.                    </v>
      </c>
      <c r="E102" s="22"/>
      <c r="F102" s="63">
        <f t="shared" ca="1" si="19"/>
        <v>0.66301235805142333</v>
      </c>
      <c r="G102" s="63">
        <f t="shared" si="17"/>
        <v>0.56216216216216219</v>
      </c>
      <c r="H102" s="63">
        <f ca="1">IFERROR(VLOOKUP($A102,LASTYR,'2016'!$O$3,FALSE),"N/A")</f>
        <v>0.68021201413427557</v>
      </c>
      <c r="I102" s="63">
        <f t="shared" ca="1" si="21"/>
        <v>0.91</v>
      </c>
      <c r="J102" s="63">
        <f t="shared" ca="1" si="21"/>
        <v>0.59477124183006536</v>
      </c>
      <c r="K102" s="63">
        <f t="shared" ca="1" si="21"/>
        <v>0.99453551912568305</v>
      </c>
      <c r="L102" s="63">
        <f t="shared" ca="1" si="21"/>
        <v>0.87922705314009675</v>
      </c>
      <c r="M102" s="63">
        <f t="shared" ca="1" si="21"/>
        <v>0.65467625899280579</v>
      </c>
      <c r="N102" s="63">
        <f t="shared" ca="1" si="21"/>
        <v>0.64539007092198586</v>
      </c>
      <c r="O102" s="63">
        <f t="shared" ca="1" si="21"/>
        <v>0.5544554455445545</v>
      </c>
      <c r="P102" s="63">
        <f t="shared" ca="1" si="21"/>
        <v>0.48447204968944096</v>
      </c>
      <c r="Q102" s="63">
        <f t="shared" ca="1" si="21"/>
        <v>0.51798561151079137</v>
      </c>
      <c r="R102" s="63">
        <f t="shared" ca="1" si="21"/>
        <v>0.47826086956521746</v>
      </c>
      <c r="S102" s="63">
        <f t="shared" ca="1" si="22"/>
        <v>5.069493191071178</v>
      </c>
      <c r="T102" s="63">
        <f t="shared" ca="1" si="22"/>
        <v>5.1284159999999996</v>
      </c>
      <c r="U102" s="63">
        <f t="shared" ca="1" si="22"/>
        <v>4.0549770000000001</v>
      </c>
      <c r="V102" s="63">
        <f t="shared" ca="1" si="22"/>
        <v>14.685969999999999</v>
      </c>
    </row>
    <row r="103" spans="1:22">
      <c r="A103" s="51" t="str">
        <f t="shared" si="14"/>
        <v>PNW</v>
      </c>
      <c r="B103" s="46">
        <f t="shared" ca="1" si="15"/>
        <v>52</v>
      </c>
      <c r="C103" s="1">
        <f>IF(ISERROR(D103),"",IF(D103="","",MAX($C$72:C102)+1))</f>
        <v>30</v>
      </c>
      <c r="D103" t="str">
        <f t="shared" si="16"/>
        <v xml:space="preserve">Pinnacle West Capital         </v>
      </c>
      <c r="E103" s="22"/>
      <c r="F103" s="63">
        <f t="shared" ca="1" si="19"/>
        <v>0.71446250661713862</v>
      </c>
      <c r="G103" s="63">
        <f t="shared" si="17"/>
        <v>0.63058823529411767</v>
      </c>
      <c r="H103" s="63">
        <f ca="1">IFERROR(VLOOKUP($A103,LASTYR,'2016'!$O$3,FALSE),"N/A")</f>
        <v>0.64810126582278482</v>
      </c>
      <c r="I103" s="63">
        <f t="shared" ca="1" si="21"/>
        <v>0.62244897959183676</v>
      </c>
      <c r="J103" s="63">
        <f t="shared" ca="1" si="21"/>
        <v>0.6494413407821229</v>
      </c>
      <c r="K103" s="63">
        <f t="shared" ca="1" si="21"/>
        <v>0.60792349726775952</v>
      </c>
      <c r="L103" s="63">
        <f t="shared" ca="1" si="21"/>
        <v>0.76285714285714279</v>
      </c>
      <c r="M103" s="63">
        <f t="shared" ca="1" si="21"/>
        <v>0.7023411371237458</v>
      </c>
      <c r="N103" s="63">
        <f t="shared" ca="1" si="21"/>
        <v>0.68181818181818188</v>
      </c>
      <c r="O103" s="63">
        <f t="shared" ca="1" si="21"/>
        <v>0.92920353982300896</v>
      </c>
      <c r="P103" s="63">
        <f t="shared" ca="1" si="21"/>
        <v>0.99056603773584906</v>
      </c>
      <c r="Q103" s="63">
        <f t="shared" ca="1" si="21"/>
        <v>0.70945945945945954</v>
      </c>
      <c r="R103" s="63">
        <f t="shared" ca="1" si="21"/>
        <v>0.63880126182965302</v>
      </c>
      <c r="S103" s="63">
        <f t="shared" ca="1" si="22"/>
        <v>7.479257073424753</v>
      </c>
      <c r="T103" s="63">
        <f t="shared" ca="1" si="22"/>
        <v>5.8802649999999996</v>
      </c>
      <c r="U103" s="63">
        <f t="shared" ca="1" si="22"/>
        <v>4.8030030000000004</v>
      </c>
      <c r="V103" s="63">
        <f t="shared" ca="1" si="22"/>
        <v>5.2054470000000004</v>
      </c>
    </row>
    <row r="104" spans="1:22">
      <c r="A104" s="51" t="str">
        <f t="shared" si="14"/>
        <v>PNM</v>
      </c>
      <c r="B104" s="46">
        <f t="shared" ca="1" si="15"/>
        <v>53</v>
      </c>
      <c r="C104" s="1">
        <f>IF(ISERROR(D104),"",IF(D104="","",MAX($C$72:C103)+1))</f>
        <v>31</v>
      </c>
      <c r="D104" t="str">
        <f t="shared" si="16"/>
        <v xml:space="preserve">PNM Resources                 </v>
      </c>
      <c r="E104" s="22"/>
      <c r="F104" s="63">
        <f t="shared" ca="1" si="19"/>
        <v>1.0073568982699168</v>
      </c>
      <c r="G104" s="63">
        <f t="shared" si="17"/>
        <v>0.5243243243243243</v>
      </c>
      <c r="H104" s="63">
        <f ca="1">IFERROR(VLOOKUP($A104,LASTYR,'2016'!$O$3,FALSE),"N/A")</f>
        <v>0.53333333333333333</v>
      </c>
      <c r="I104" s="63">
        <f t="shared" ca="1" si="21"/>
        <v>0.48780487804878053</v>
      </c>
      <c r="J104" s="63">
        <f t="shared" ca="1" si="21"/>
        <v>0.52068965517241383</v>
      </c>
      <c r="K104" s="63">
        <f t="shared" ca="1" si="21"/>
        <v>0.48226950354609938</v>
      </c>
      <c r="L104" s="63">
        <f t="shared" ca="1" si="21"/>
        <v>0.4427480916030534</v>
      </c>
      <c r="M104" s="63">
        <f t="shared" ca="1" si="21"/>
        <v>0.46296296296296291</v>
      </c>
      <c r="N104" s="63">
        <f t="shared" ca="1" si="21"/>
        <v>0.57471264367816088</v>
      </c>
      <c r="O104" s="63">
        <f t="shared" ca="1" si="21"/>
        <v>0.86206896551724144</v>
      </c>
      <c r="P104" s="63">
        <f t="shared" ca="1" si="21"/>
        <v>5.5</v>
      </c>
      <c r="Q104" s="63">
        <f t="shared" ca="1" si="21"/>
        <v>1.1973684210526316</v>
      </c>
      <c r="R104" s="63">
        <f t="shared" ca="1" si="21"/>
        <v>0.5</v>
      </c>
      <c r="S104" s="63">
        <f t="shared" ca="1" si="22"/>
        <v>7.6200112422709383</v>
      </c>
      <c r="T104" s="63">
        <f t="shared" ca="1" si="22"/>
        <v>6.8385860000000003</v>
      </c>
      <c r="U104" s="63">
        <f t="shared" ca="1" si="22"/>
        <v>5.5484400000000003</v>
      </c>
      <c r="V104" s="63">
        <f t="shared" ca="1" si="22"/>
        <v>5.7152950000000002</v>
      </c>
    </row>
    <row r="105" spans="1:22">
      <c r="A105" s="51" t="str">
        <f t="shared" si="14"/>
        <v>POR</v>
      </c>
      <c r="B105" s="46">
        <f t="shared" ca="1" si="15"/>
        <v>54</v>
      </c>
      <c r="C105" s="1">
        <f>IF(ISERROR(D105),"",IF(D105="","",MAX($C$72:C104)+1))</f>
        <v>32</v>
      </c>
      <c r="D105" t="str">
        <f t="shared" si="16"/>
        <v xml:space="preserve">Portland General              </v>
      </c>
      <c r="E105" s="22"/>
      <c r="F105" s="63">
        <f t="shared" ca="1" si="19"/>
        <v>0.59057492777688003</v>
      </c>
      <c r="G105" s="63">
        <f t="shared" si="17"/>
        <v>0.59555555555555562</v>
      </c>
      <c r="H105" s="63">
        <f ca="1">IFERROR(VLOOKUP($A105,LASTYR,'2016'!$O$3,FALSE),"N/A")</f>
        <v>0.58333333333333326</v>
      </c>
      <c r="I105" s="63">
        <f t="shared" ca="1" si="21"/>
        <v>0.57843137254901955</v>
      </c>
      <c r="J105" s="63">
        <f t="shared" ca="1" si="21"/>
        <v>0.51146788990825687</v>
      </c>
      <c r="K105" s="63">
        <f t="shared" ca="1" si="21"/>
        <v>0.61864406779661019</v>
      </c>
      <c r="L105" s="63">
        <f t="shared" ca="1" si="21"/>
        <v>0.57486631016042777</v>
      </c>
      <c r="M105" s="63">
        <f t="shared" ca="1" si="21"/>
        <v>0.54102564102564099</v>
      </c>
      <c r="N105" s="63">
        <f t="shared" ca="1" si="21"/>
        <v>0.62349397590361444</v>
      </c>
      <c r="O105" s="63">
        <f t="shared" ca="1" si="21"/>
        <v>0.77099236641221369</v>
      </c>
      <c r="P105" s="63">
        <f t="shared" ca="1" si="21"/>
        <v>0.69784172661870503</v>
      </c>
      <c r="Q105" s="63">
        <f t="shared" ca="1" si="21"/>
        <v>0.39914163090128757</v>
      </c>
      <c r="R105" s="63">
        <f t="shared" ca="1" si="21"/>
        <v>0.5921052631578948</v>
      </c>
      <c r="S105" s="63" t="str">
        <f t="shared" ca="1" si="22"/>
        <v>N/A</v>
      </c>
      <c r="T105" s="63" t="str">
        <f t="shared" ca="1" si="22"/>
        <v>N/A</v>
      </c>
      <c r="U105" s="63" t="str">
        <f t="shared" ca="1" si="22"/>
        <v>N/A</v>
      </c>
      <c r="V105" s="63" t="str">
        <f t="shared" ca="1" si="22"/>
        <v>N/A</v>
      </c>
    </row>
    <row r="106" spans="1:22">
      <c r="A106" s="51" t="str">
        <f t="shared" si="14"/>
        <v>PPL</v>
      </c>
      <c r="B106" s="46">
        <f t="shared" ca="1" si="15"/>
        <v>55</v>
      </c>
      <c r="C106" s="1">
        <f>IF(ISERROR(D106),"",IF(D106="","",MAX($C$72:C105)+1))</f>
        <v>33</v>
      </c>
      <c r="D106" t="str">
        <f t="shared" si="16"/>
        <v xml:space="preserve">PPL Corp.                     </v>
      </c>
      <c r="E106" s="22"/>
      <c r="F106" s="63">
        <f t="shared" ca="1" si="19"/>
        <v>0.62853750635686756</v>
      </c>
      <c r="G106" s="63">
        <f t="shared" si="17"/>
        <v>0.7707317073170733</v>
      </c>
      <c r="H106" s="63">
        <f ca="1">IFERROR(VLOOKUP($A106,LASTYR,'2016'!$O$3,FALSE),"N/A")</f>
        <v>0.54480286738351258</v>
      </c>
      <c r="I106" s="63">
        <f t="shared" ref="I106:R118" ca="1" si="23">IFERROR(IF(INDEX(DIV_EARN_WP,$B106,I$73)=0,"N/A",INDEX(DIV_EARN_WP,$B106,I$73)),"N/A")</f>
        <v>0.63291139240506322</v>
      </c>
      <c r="J106" s="63">
        <f t="shared" ca="1" si="23"/>
        <v>0.62605042016806722</v>
      </c>
      <c r="K106" s="63">
        <f t="shared" ca="1" si="23"/>
        <v>0.61764705882352944</v>
      </c>
      <c r="L106" s="63">
        <f t="shared" ca="1" si="23"/>
        <v>0.55172413793103448</v>
      </c>
      <c r="M106" s="63">
        <f t="shared" ca="1" si="23"/>
        <v>0.53639846743295017</v>
      </c>
      <c r="N106" s="63">
        <f t="shared" ca="1" si="23"/>
        <v>0.611353711790393</v>
      </c>
      <c r="O106" s="63">
        <f t="shared" ca="1" si="23"/>
        <v>1.1596638655462184</v>
      </c>
      <c r="P106" s="63">
        <f t="shared" ca="1" si="23"/>
        <v>0.54693877551020409</v>
      </c>
      <c r="Q106" s="63">
        <f t="shared" ca="1" si="23"/>
        <v>0.46387832699619774</v>
      </c>
      <c r="R106" s="63">
        <f t="shared" ca="1" si="23"/>
        <v>0.48034934497816595</v>
      </c>
      <c r="S106" s="63">
        <f t="shared" ca="1" si="22"/>
        <v>7.5679269882659712</v>
      </c>
      <c r="T106" s="63">
        <f t="shared" ca="1" si="22"/>
        <v>6.493322</v>
      </c>
      <c r="U106" s="63">
        <f t="shared" ca="1" si="22"/>
        <v>5.4071610000000003</v>
      </c>
      <c r="V106" s="63">
        <f t="shared" ca="1" si="22"/>
        <v>5.3008740000000003</v>
      </c>
    </row>
    <row r="107" spans="1:22">
      <c r="A107" s="51" t="str">
        <f t="shared" si="14"/>
        <v>PEG</v>
      </c>
      <c r="B107" s="46">
        <f t="shared" ca="1" si="15"/>
        <v>56</v>
      </c>
      <c r="C107" s="1">
        <f>IF(ISERROR(D107),"",IF(D107="","",MAX($C$72:C106)+1))</f>
        <v>34</v>
      </c>
      <c r="D107" t="str">
        <f t="shared" si="16"/>
        <v xml:space="preserve">Public Serv. Enterprise       </v>
      </c>
      <c r="E107" s="22"/>
      <c r="F107" s="63">
        <f t="shared" ca="1" si="19"/>
        <v>0.51108557941872768</v>
      </c>
      <c r="G107" s="63">
        <f t="shared" si="17"/>
        <v>0.58305084745762703</v>
      </c>
      <c r="H107" s="63">
        <f ca="1">IFERROR(VLOOKUP($A107,LASTYR,'2016'!$O$3,FALSE),"N/A")</f>
        <v>0.57950530035335679</v>
      </c>
      <c r="I107" s="63">
        <f t="shared" ca="1" si="23"/>
        <v>0.47272727272727277</v>
      </c>
      <c r="J107" s="63">
        <f t="shared" ca="1" si="23"/>
        <v>0.49498327759197319</v>
      </c>
      <c r="K107" s="63">
        <f t="shared" ca="1" si="23"/>
        <v>0.58775510204081627</v>
      </c>
      <c r="L107" s="63">
        <f t="shared" ca="1" si="23"/>
        <v>0.58196721311475408</v>
      </c>
      <c r="M107" s="63">
        <f t="shared" ca="1" si="23"/>
        <v>0.44051446945337625</v>
      </c>
      <c r="N107" s="63">
        <f t="shared" ca="1" si="23"/>
        <v>0.44625407166123782</v>
      </c>
      <c r="O107" s="63">
        <f t="shared" ca="1" si="23"/>
        <v>0.43181818181818182</v>
      </c>
      <c r="P107" s="63">
        <f t="shared" ca="1" si="23"/>
        <v>0.44482758620689655</v>
      </c>
      <c r="Q107" s="63">
        <f t="shared" ca="1" si="23"/>
        <v>0.45173745173745172</v>
      </c>
      <c r="R107" s="63">
        <f t="shared" ca="1" si="23"/>
        <v>0.61788617886178854</v>
      </c>
      <c r="S107" s="63">
        <f t="shared" ca="1" si="22"/>
        <v>8.5944997074312468</v>
      </c>
      <c r="T107" s="63">
        <f t="shared" ca="1" si="22"/>
        <v>7.1653440000000002</v>
      </c>
      <c r="U107" s="63">
        <f t="shared" ca="1" si="22"/>
        <v>6.7910959999999996</v>
      </c>
      <c r="V107" s="63">
        <f t="shared" ca="1" si="22"/>
        <v>6.2383800000000003</v>
      </c>
    </row>
    <row r="108" spans="1:22">
      <c r="A108" s="51" t="str">
        <f t="shared" si="14"/>
        <v>SCG</v>
      </c>
      <c r="B108" s="46">
        <f t="shared" ca="1" si="15"/>
        <v>57</v>
      </c>
      <c r="C108" s="1">
        <f>IF(ISERROR(D108),"",IF(D108="","",MAX($C$72:C107)+1))</f>
        <v>35</v>
      </c>
      <c r="D108" t="str">
        <f t="shared" si="16"/>
        <v xml:space="preserve">SCANA Corp.                   </v>
      </c>
      <c r="E108" s="22"/>
      <c r="F108" s="63">
        <f t="shared" ca="1" si="19"/>
        <v>0.61350421945362477</v>
      </c>
      <c r="G108" s="63">
        <f t="shared" si="17"/>
        <v>0.59036144578313254</v>
      </c>
      <c r="H108" s="63">
        <f ca="1">IFERROR(VLOOKUP($A108,LASTYR,'2016'!$O$3,FALSE),"N/A")</f>
        <v>0.55288461538461531</v>
      </c>
      <c r="I108" s="63">
        <f t="shared" ca="1" si="23"/>
        <v>0.57217847769028873</v>
      </c>
      <c r="J108" s="63">
        <f t="shared" ca="1" si="23"/>
        <v>0.55408970976253302</v>
      </c>
      <c r="K108" s="63">
        <f t="shared" ca="1" si="23"/>
        <v>0.59882005899705004</v>
      </c>
      <c r="L108" s="63">
        <f t="shared" ca="1" si="23"/>
        <v>0.62857142857142856</v>
      </c>
      <c r="M108" s="63">
        <f t="shared" ca="1" si="23"/>
        <v>0.65319865319865311</v>
      </c>
      <c r="N108" s="63">
        <f t="shared" ca="1" si="23"/>
        <v>0.63758389261744963</v>
      </c>
      <c r="O108" s="63">
        <f t="shared" ca="1" si="23"/>
        <v>0.65964912280701749</v>
      </c>
      <c r="P108" s="63">
        <f t="shared" ca="1" si="23"/>
        <v>0.62372881355932197</v>
      </c>
      <c r="Q108" s="63">
        <f t="shared" ca="1" si="23"/>
        <v>0.64233576642335766</v>
      </c>
      <c r="R108" s="63">
        <f t="shared" ca="1" si="23"/>
        <v>0.64864864864864868</v>
      </c>
      <c r="S108" s="63">
        <f t="shared" ca="1" si="22"/>
        <v>5.4041722745625842</v>
      </c>
      <c r="T108" s="63">
        <f t="shared" ca="1" si="22"/>
        <v>6.8624739999999997</v>
      </c>
      <c r="U108" s="63">
        <f t="shared" ca="1" si="22"/>
        <v>6.5898159999999999</v>
      </c>
      <c r="V108" s="63">
        <f t="shared" ca="1" si="22"/>
        <v>6.3557940000000004</v>
      </c>
    </row>
    <row r="109" spans="1:22">
      <c r="A109" s="51" t="str">
        <f t="shared" si="14"/>
        <v>SRE</v>
      </c>
      <c r="B109" s="46">
        <f t="shared" ca="1" si="15"/>
        <v>58</v>
      </c>
      <c r="C109" s="1">
        <f>IF(ISERROR(D109),"",IF(D109="","",MAX($C$72:C108)+1))</f>
        <v>36</v>
      </c>
      <c r="D109" t="str">
        <f t="shared" si="16"/>
        <v xml:space="preserve">Sempra Energy                 </v>
      </c>
      <c r="E109" s="22"/>
      <c r="F109" s="63">
        <f t="shared" ca="1" si="19"/>
        <v>0.4705141365698105</v>
      </c>
      <c r="G109" s="63">
        <f t="shared" si="17"/>
        <v>0.65148514851485151</v>
      </c>
      <c r="H109" s="63">
        <f ca="1">IFERROR(VLOOKUP($A109,LASTYR,'2016'!$O$3,FALSE),"N/A")</f>
        <v>0.71226415094339623</v>
      </c>
      <c r="I109" s="63">
        <f t="shared" ca="1" si="23"/>
        <v>0.53537284894837467</v>
      </c>
      <c r="J109" s="63">
        <f t="shared" ca="1" si="23"/>
        <v>0.57019438444924408</v>
      </c>
      <c r="K109" s="63">
        <f t="shared" ca="1" si="23"/>
        <v>0.59715639810426546</v>
      </c>
      <c r="L109" s="63">
        <f t="shared" ca="1" si="23"/>
        <v>0.55172413793103448</v>
      </c>
      <c r="M109" s="63">
        <f t="shared" ca="1" si="23"/>
        <v>0.42953020134228187</v>
      </c>
      <c r="N109" s="63">
        <f t="shared" ca="1" si="23"/>
        <v>0.38805970149253738</v>
      </c>
      <c r="O109" s="63">
        <f t="shared" ca="1" si="23"/>
        <v>0.32635983263598328</v>
      </c>
      <c r="P109" s="63">
        <f t="shared" ca="1" si="23"/>
        <v>0.30925507900677207</v>
      </c>
      <c r="Q109" s="63">
        <f t="shared" ca="1" si="23"/>
        <v>0.29107981220657281</v>
      </c>
      <c r="R109" s="63">
        <f t="shared" ca="1" si="23"/>
        <v>0.28368794326241131</v>
      </c>
      <c r="S109" s="63">
        <f t="shared" ca="1" si="22"/>
        <v>6.9599329421626148</v>
      </c>
      <c r="T109" s="63">
        <f t="shared" ca="1" si="22"/>
        <v>5.163653</v>
      </c>
      <c r="U109" s="63">
        <f t="shared" ca="1" si="22"/>
        <v>4.8501799999999999</v>
      </c>
      <c r="V109" s="63">
        <f t="shared" ca="1" si="22"/>
        <v>3.9982500000000001</v>
      </c>
    </row>
    <row r="110" spans="1:22">
      <c r="A110" s="51" t="str">
        <f t="shared" si="14"/>
        <v>SO</v>
      </c>
      <c r="B110" s="46">
        <f t="shared" ca="1" si="15"/>
        <v>62</v>
      </c>
      <c r="C110" s="1">
        <f>IF(ISERROR(D110),"",IF(D110="","",MAX($C$72:C109)+1))</f>
        <v>37</v>
      </c>
      <c r="D110" t="str">
        <f t="shared" si="16"/>
        <v xml:space="preserve">Southern Co.                  </v>
      </c>
      <c r="E110" s="22"/>
      <c r="F110" s="63">
        <f t="shared" ca="1" si="19"/>
        <v>0.74696907965659831</v>
      </c>
      <c r="G110" s="63">
        <f t="shared" si="17"/>
        <v>0.77966101694915246</v>
      </c>
      <c r="H110" s="63">
        <f ca="1">IFERROR(VLOOKUP($A110,LASTYR,'2016'!$O$3,FALSE),"N/A")</f>
        <v>0.78551236749116604</v>
      </c>
      <c r="I110" s="63">
        <f t="shared" ca="1" si="23"/>
        <v>0.75809859154929582</v>
      </c>
      <c r="J110" s="63">
        <f t="shared" ca="1" si="23"/>
        <v>0.75198555956678703</v>
      </c>
      <c r="K110" s="63">
        <f t="shared" ca="1" si="23"/>
        <v>0.74555555555555542</v>
      </c>
      <c r="L110" s="63">
        <f t="shared" ca="1" si="23"/>
        <v>0.72771535580524349</v>
      </c>
      <c r="M110" s="63">
        <f t="shared" ca="1" si="23"/>
        <v>0.73450980392156873</v>
      </c>
      <c r="N110" s="63">
        <f t="shared" ca="1" si="23"/>
        <v>0.76398305084745766</v>
      </c>
      <c r="O110" s="63">
        <f t="shared" ca="1" si="23"/>
        <v>0.74698275862068975</v>
      </c>
      <c r="P110" s="63">
        <f t="shared" ca="1" si="23"/>
        <v>0.73911111111111116</v>
      </c>
      <c r="Q110" s="63">
        <f t="shared" ca="1" si="23"/>
        <v>0.69956140350877194</v>
      </c>
      <c r="R110" s="63">
        <f t="shared" ca="1" si="23"/>
        <v>0.73095238095238091</v>
      </c>
      <c r="S110" s="63">
        <f t="shared" ca="1" si="22"/>
        <v>8.4108161746464916</v>
      </c>
      <c r="T110" s="63">
        <f t="shared" ca="1" si="22"/>
        <v>8.2763340000000003</v>
      </c>
      <c r="U110" s="63">
        <f t="shared" ca="1" si="22"/>
        <v>8.2793989999999997</v>
      </c>
      <c r="V110" s="63">
        <f t="shared" ca="1" si="22"/>
        <v>7.832465</v>
      </c>
    </row>
    <row r="111" spans="1:22">
      <c r="A111" s="51" t="str">
        <f t="shared" si="14"/>
        <v>VVC</v>
      </c>
      <c r="B111" s="46">
        <f t="shared" ca="1" si="15"/>
        <v>70</v>
      </c>
      <c r="C111" s="1">
        <f>IF(ISERROR(D111),"",IF(D111="","",MAX($C$72:C110)+1))</f>
        <v>38</v>
      </c>
      <c r="D111" t="str">
        <f t="shared" si="16"/>
        <v xml:space="preserve">Vectren Corp.                 </v>
      </c>
      <c r="E111" s="22"/>
      <c r="F111" s="63">
        <f t="shared" ca="1" si="19"/>
        <v>0.74737986534253065</v>
      </c>
      <c r="G111" s="63">
        <f t="shared" si="17"/>
        <v>0.64150943396226412</v>
      </c>
      <c r="H111" s="63">
        <f ca="1">IFERROR(VLOOKUP($A111,LASTYR,'2016'!$O$3,FALSE),"N/A")</f>
        <v>0.6352941176470589</v>
      </c>
      <c r="I111" s="63">
        <f t="shared" ca="1" si="23"/>
        <v>0.64435146443514646</v>
      </c>
      <c r="J111" s="63">
        <f t="shared" ca="1" si="23"/>
        <v>0.72277227722772275</v>
      </c>
      <c r="K111" s="63">
        <f t="shared" ca="1" si="23"/>
        <v>0.85843373493975905</v>
      </c>
      <c r="L111" s="63">
        <f t="shared" ca="1" si="23"/>
        <v>0.72422680412371132</v>
      </c>
      <c r="M111" s="63">
        <f t="shared" ca="1" si="23"/>
        <v>0.80057803468208089</v>
      </c>
      <c r="N111" s="63">
        <f t="shared" ca="1" si="23"/>
        <v>0.83536585365853666</v>
      </c>
      <c r="O111" s="63">
        <f t="shared" ca="1" si="23"/>
        <v>0.75418994413407825</v>
      </c>
      <c r="P111" s="63">
        <f t="shared" ca="1" si="23"/>
        <v>0.80368098159509216</v>
      </c>
      <c r="Q111" s="63">
        <f t="shared" ca="1" si="23"/>
        <v>0.69398907103825136</v>
      </c>
      <c r="R111" s="63">
        <f t="shared" ca="1" si="23"/>
        <v>0.85416666666666674</v>
      </c>
      <c r="S111" s="63">
        <f t="shared" ca="1" si="22"/>
        <v>7.0612086776859506</v>
      </c>
      <c r="T111" s="63">
        <f t="shared" ca="1" si="22"/>
        <v>7.6323040000000004</v>
      </c>
      <c r="U111" s="63">
        <f t="shared" ca="1" si="22"/>
        <v>7.2745040000000003</v>
      </c>
      <c r="V111" s="63">
        <f t="shared" ca="1" si="22"/>
        <v>6.9240180000000002</v>
      </c>
    </row>
    <row r="112" spans="1:22">
      <c r="A112" s="51" t="str">
        <f t="shared" si="14"/>
        <v>WEC</v>
      </c>
      <c r="B112" s="46">
        <f t="shared" ca="1" si="15"/>
        <v>71</v>
      </c>
      <c r="C112" s="1">
        <f>IF(ISERROR(D112),"",IF(D112="","",MAX($C$72:C111)+1))</f>
        <v>39</v>
      </c>
      <c r="D112" t="str">
        <f t="shared" si="16"/>
        <v>WEC Energy Group</v>
      </c>
      <c r="E112" s="22"/>
      <c r="F112" s="63">
        <f t="shared" ca="1" si="19"/>
        <v>0.51206396422868039</v>
      </c>
      <c r="G112" s="63">
        <f t="shared" si="17"/>
        <v>0.67096774193548392</v>
      </c>
      <c r="H112" s="63">
        <f ca="1">IFERROR(VLOOKUP($A112,LASTYR,'2016'!$O$3,FALSE),"N/A")</f>
        <v>0.66891891891891897</v>
      </c>
      <c r="I112" s="63">
        <f t="shared" ca="1" si="23"/>
        <v>0.74358974358974361</v>
      </c>
      <c r="J112" s="63">
        <f t="shared" ca="1" si="23"/>
        <v>0.60231660231660233</v>
      </c>
      <c r="K112" s="63">
        <f t="shared" ca="1" si="23"/>
        <v>0.57569721115537853</v>
      </c>
      <c r="L112" s="63">
        <f t="shared" ca="1" si="23"/>
        <v>0.51063829787234039</v>
      </c>
      <c r="M112" s="63">
        <f t="shared" ca="1" si="23"/>
        <v>0.47706422018348621</v>
      </c>
      <c r="N112" s="63">
        <f t="shared" ca="1" si="23"/>
        <v>0.41666666666666669</v>
      </c>
      <c r="O112" s="63">
        <f t="shared" ca="1" si="23"/>
        <v>0.421875</v>
      </c>
      <c r="P112" s="63">
        <f t="shared" ca="1" si="23"/>
        <v>0.35643564356435647</v>
      </c>
      <c r="Q112" s="63">
        <f t="shared" ca="1" si="23"/>
        <v>0.35211267605633806</v>
      </c>
      <c r="R112" s="63">
        <f t="shared" ca="1" si="23"/>
        <v>0.34848484848484851</v>
      </c>
      <c r="S112" s="63">
        <f t="shared" ca="1" si="22"/>
        <v>6.4014522821576767</v>
      </c>
      <c r="T112" s="63">
        <f t="shared" ca="1" si="22"/>
        <v>6.2742060000000004</v>
      </c>
      <c r="U112" s="63">
        <f t="shared" ca="1" si="22"/>
        <v>4.9149459999999996</v>
      </c>
      <c r="V112" s="63">
        <f t="shared" ca="1" si="22"/>
        <v>4.2733350000000003</v>
      </c>
    </row>
    <row r="113" spans="1:22">
      <c r="A113" s="51" t="str">
        <f t="shared" si="14"/>
        <v>WR</v>
      </c>
      <c r="B113" s="46">
        <f t="shared" ca="1" si="15"/>
        <v>72</v>
      </c>
      <c r="C113" s="1">
        <f>IF(ISERROR(D113),"",IF(D113="","",MAX($C$72:C112)+1))</f>
        <v>40</v>
      </c>
      <c r="D113" t="str">
        <f t="shared" si="16"/>
        <v xml:space="preserve">Westar Energy                 </v>
      </c>
      <c r="E113" s="22"/>
      <c r="F113" s="63">
        <f t="shared" ca="1" si="19"/>
        <v>0.67596582862574206</v>
      </c>
      <c r="G113" s="63">
        <f t="shared" si="17"/>
        <v>0.65306122448979587</v>
      </c>
      <c r="H113" s="63">
        <f ca="1">IFERROR(VLOOKUP($A113,LASTYR,'2016'!$O$3,FALSE),"N/A")</f>
        <v>0.625514403292181</v>
      </c>
      <c r="I113" s="63">
        <f t="shared" ca="1" si="23"/>
        <v>0.68899521531100483</v>
      </c>
      <c r="J113" s="63">
        <f t="shared" ca="1" si="23"/>
        <v>0.5957446808510638</v>
      </c>
      <c r="K113" s="63">
        <f t="shared" ca="1" si="23"/>
        <v>0.59911894273127753</v>
      </c>
      <c r="L113" s="63">
        <f t="shared" ca="1" si="23"/>
        <v>0.61395348837209307</v>
      </c>
      <c r="M113" s="63">
        <f t="shared" ca="1" si="23"/>
        <v>0.71508379888268159</v>
      </c>
      <c r="N113" s="63">
        <f t="shared" ca="1" si="23"/>
        <v>0.68888888888888888</v>
      </c>
      <c r="O113" s="63">
        <f t="shared" ca="1" si="23"/>
        <v>0.9375</v>
      </c>
      <c r="P113" s="63">
        <f t="shared" ca="1" si="23"/>
        <v>0.88549618320610679</v>
      </c>
      <c r="Q113" s="63">
        <f t="shared" ca="1" si="23"/>
        <v>0.58695652173913049</v>
      </c>
      <c r="R113" s="63">
        <f t="shared" ca="1" si="23"/>
        <v>0.52127659574468088</v>
      </c>
      <c r="S113" s="63">
        <f t="shared" ca="1" si="22"/>
        <v>6.9972519083969464</v>
      </c>
      <c r="T113" s="63">
        <f t="shared" ca="1" si="22"/>
        <v>6.538462</v>
      </c>
      <c r="U113" s="63">
        <f t="shared" ca="1" si="22"/>
        <v>4.2357319999999996</v>
      </c>
      <c r="V113" s="63">
        <f t="shared" ca="1" si="22"/>
        <v>2.941065</v>
      </c>
    </row>
    <row r="114" spans="1:22">
      <c r="A114" s="51" t="str">
        <f t="shared" si="14"/>
        <v>XEL</v>
      </c>
      <c r="B114" s="46">
        <f t="shared" ca="1" si="15"/>
        <v>74</v>
      </c>
      <c r="C114" s="1">
        <f>IF(ISERROR(D114),"",IF(D114="","",MAX($C$72:C113)+1))</f>
        <v>41</v>
      </c>
      <c r="D114" t="str">
        <f t="shared" si="16"/>
        <v xml:space="preserve">Xcel Energy Inc.              </v>
      </c>
      <c r="E114" s="22"/>
      <c r="F114" s="63">
        <f t="shared" ca="1" si="19"/>
        <v>0.62185747510808576</v>
      </c>
      <c r="G114" s="63">
        <f t="shared" si="17"/>
        <v>0.62608695652173918</v>
      </c>
      <c r="H114" s="63">
        <f ca="1">IFERROR(VLOOKUP($A114,LASTYR,'2016'!$O$3,FALSE),"N/A")</f>
        <v>0.61538461538461542</v>
      </c>
      <c r="I114" s="63">
        <f t="shared" ca="1" si="23"/>
        <v>0.60952380952380947</v>
      </c>
      <c r="J114" s="63">
        <f t="shared" ca="1" si="23"/>
        <v>0.59113300492610843</v>
      </c>
      <c r="K114" s="63">
        <f t="shared" ca="1" si="23"/>
        <v>0.5811518324607331</v>
      </c>
      <c r="L114" s="63">
        <f t="shared" ca="1" si="23"/>
        <v>0.57837837837837835</v>
      </c>
      <c r="M114" s="63">
        <f t="shared" ca="1" si="23"/>
        <v>0.59883720930232565</v>
      </c>
      <c r="N114" s="63">
        <f t="shared" ca="1" si="23"/>
        <v>0.64102564102564097</v>
      </c>
      <c r="O114" s="63">
        <f t="shared" ca="1" si="23"/>
        <v>0.65100671140939592</v>
      </c>
      <c r="P114" s="63">
        <f t="shared" ca="1" si="23"/>
        <v>0.64383561643835618</v>
      </c>
      <c r="Q114" s="63">
        <f t="shared" ca="1" si="23"/>
        <v>0.67407407407407405</v>
      </c>
      <c r="R114" s="63">
        <f t="shared" ca="1" si="23"/>
        <v>0.65185185185185179</v>
      </c>
      <c r="S114" s="63">
        <f t="shared" ca="1" si="22"/>
        <v>5.6238560097620498</v>
      </c>
      <c r="T114" s="63">
        <f t="shared" ca="1" si="22"/>
        <v>5.3087289999999996</v>
      </c>
      <c r="U114" s="63">
        <f t="shared" ca="1" si="22"/>
        <v>4.2676220000000002</v>
      </c>
      <c r="V114" s="63">
        <f t="shared" ca="1" si="22"/>
        <v>5.4642860000000004</v>
      </c>
    </row>
    <row r="115" spans="1:22" hidden="1">
      <c r="A115" s="51">
        <f t="shared" si="14"/>
        <v>0</v>
      </c>
      <c r="B115" s="46" t="str">
        <f t="shared" ca="1" si="15"/>
        <v/>
      </c>
      <c r="C115" s="1" t="str">
        <f>IF(ISERROR(D115),"",IF(D115="","",MAX($C$72:C114)+1))</f>
        <v/>
      </c>
      <c r="D115" t="e">
        <f t="shared" si="16"/>
        <v>#N/A</v>
      </c>
      <c r="E115" s="22"/>
      <c r="F115" s="63" t="str">
        <f t="shared" ca="1" si="19"/>
        <v>N/A</v>
      </c>
      <c r="G115" s="63" t="str">
        <f t="shared" si="17"/>
        <v>N/A</v>
      </c>
      <c r="H115" s="63" t="str">
        <f ca="1">IFERROR(VLOOKUP($A115,LASTYR,'2016'!$O$3,FALSE),"N/A")</f>
        <v>N/A</v>
      </c>
      <c r="I115" s="63" t="str">
        <f t="shared" ca="1" si="23"/>
        <v>N/A</v>
      </c>
      <c r="J115" s="63" t="str">
        <f t="shared" ca="1" si="23"/>
        <v>N/A</v>
      </c>
      <c r="K115" s="63" t="str">
        <f t="shared" ca="1" si="23"/>
        <v>N/A</v>
      </c>
      <c r="L115" s="63" t="str">
        <f t="shared" ca="1" si="23"/>
        <v>N/A</v>
      </c>
      <c r="M115" s="63" t="str">
        <f t="shared" ca="1" si="23"/>
        <v>N/A</v>
      </c>
      <c r="N115" s="63" t="str">
        <f t="shared" ca="1" si="23"/>
        <v>N/A</v>
      </c>
      <c r="O115" s="63" t="str">
        <f t="shared" ca="1" si="23"/>
        <v>N/A</v>
      </c>
      <c r="P115" s="63" t="str">
        <f t="shared" ca="1" si="23"/>
        <v>N/A</v>
      </c>
      <c r="Q115" s="63" t="str">
        <f t="shared" ca="1" si="23"/>
        <v>N/A</v>
      </c>
      <c r="R115" s="63" t="str">
        <f t="shared" ca="1" si="23"/>
        <v>N/A</v>
      </c>
      <c r="S115" s="63" t="str">
        <f t="shared" ca="1" si="22"/>
        <v>N/A</v>
      </c>
      <c r="T115" s="63" t="str">
        <f t="shared" ca="1" si="22"/>
        <v>N/A</v>
      </c>
      <c r="U115" s="63" t="str">
        <f t="shared" ca="1" si="22"/>
        <v>N/A</v>
      </c>
      <c r="V115" s="63" t="str">
        <f t="shared" ca="1" si="22"/>
        <v>N/A</v>
      </c>
    </row>
    <row r="116" spans="1:22" hidden="1">
      <c r="A116" s="51">
        <f t="shared" si="14"/>
        <v>0</v>
      </c>
      <c r="B116" s="46" t="str">
        <f t="shared" ca="1" si="15"/>
        <v/>
      </c>
      <c r="C116" s="1" t="str">
        <f>IF(ISERROR(D116),"",IF(D116="","",MAX($C$72:C115)+1))</f>
        <v/>
      </c>
      <c r="D116" t="e">
        <f t="shared" si="16"/>
        <v>#N/A</v>
      </c>
      <c r="F116" s="63" t="str">
        <f t="shared" ca="1" si="19"/>
        <v>N/A</v>
      </c>
      <c r="G116" s="63" t="str">
        <f t="shared" si="17"/>
        <v>N/A</v>
      </c>
      <c r="H116" s="63" t="str">
        <f ca="1">IFERROR(VLOOKUP($A116,LASTYR,'2016'!$O$3,FALSE),"N/A")</f>
        <v>N/A</v>
      </c>
      <c r="I116" s="63" t="str">
        <f t="shared" ca="1" si="23"/>
        <v>N/A</v>
      </c>
      <c r="J116" s="63" t="str">
        <f t="shared" ca="1" si="23"/>
        <v>N/A</v>
      </c>
      <c r="K116" s="63" t="str">
        <f t="shared" ca="1" si="23"/>
        <v>N/A</v>
      </c>
      <c r="L116" s="63" t="str">
        <f t="shared" ca="1" si="23"/>
        <v>N/A</v>
      </c>
      <c r="M116" s="63" t="str">
        <f t="shared" ca="1" si="23"/>
        <v>N/A</v>
      </c>
      <c r="N116" s="63" t="str">
        <f t="shared" ca="1" si="23"/>
        <v>N/A</v>
      </c>
      <c r="O116" s="63" t="str">
        <f t="shared" ca="1" si="23"/>
        <v>N/A</v>
      </c>
      <c r="P116" s="63" t="str">
        <f t="shared" ca="1" si="23"/>
        <v>N/A</v>
      </c>
      <c r="Q116" s="63" t="str">
        <f t="shared" ca="1" si="23"/>
        <v>N/A</v>
      </c>
      <c r="R116" s="63" t="str">
        <f t="shared" ca="1" si="23"/>
        <v>N/A</v>
      </c>
      <c r="S116" s="63" t="str">
        <f t="shared" ca="1" si="22"/>
        <v>N/A</v>
      </c>
      <c r="T116" s="63" t="str">
        <f t="shared" ca="1" si="22"/>
        <v>N/A</v>
      </c>
      <c r="U116" s="63" t="str">
        <f t="shared" ca="1" si="22"/>
        <v>N/A</v>
      </c>
      <c r="V116" s="63" t="str">
        <f t="shared" ca="1" si="22"/>
        <v>N/A</v>
      </c>
    </row>
    <row r="117" spans="1:22" hidden="1">
      <c r="A117" s="51">
        <f t="shared" si="14"/>
        <v>0</v>
      </c>
      <c r="B117" s="46" t="str">
        <f t="shared" ca="1" si="15"/>
        <v/>
      </c>
      <c r="C117" s="1" t="str">
        <f>IF(ISERROR(D117),"",IF(D117="","",MAX($C$72:C116)+1))</f>
        <v/>
      </c>
      <c r="D117" t="e">
        <f t="shared" si="16"/>
        <v>#N/A</v>
      </c>
      <c r="F117" s="63" t="str">
        <f t="shared" ca="1" si="19"/>
        <v>N/A</v>
      </c>
      <c r="G117" s="63" t="str">
        <f t="shared" si="17"/>
        <v>N/A</v>
      </c>
      <c r="H117" s="63" t="str">
        <f ca="1">IFERROR(VLOOKUP($A117,LASTYR,'2016'!$O$3,FALSE),"N/A")</f>
        <v>N/A</v>
      </c>
      <c r="I117" s="63" t="str">
        <f t="shared" ca="1" si="23"/>
        <v>N/A</v>
      </c>
      <c r="J117" s="63" t="str">
        <f t="shared" ca="1" si="23"/>
        <v>N/A</v>
      </c>
      <c r="K117" s="63" t="str">
        <f t="shared" ca="1" si="23"/>
        <v>N/A</v>
      </c>
      <c r="L117" s="63" t="str">
        <f t="shared" ca="1" si="23"/>
        <v>N/A</v>
      </c>
      <c r="M117" s="63" t="str">
        <f t="shared" ca="1" si="23"/>
        <v>N/A</v>
      </c>
      <c r="N117" s="63" t="str">
        <f t="shared" ca="1" si="23"/>
        <v>N/A</v>
      </c>
      <c r="O117" s="63" t="str">
        <f t="shared" ca="1" si="23"/>
        <v>N/A</v>
      </c>
      <c r="P117" s="63" t="str">
        <f t="shared" ca="1" si="23"/>
        <v>N/A</v>
      </c>
      <c r="Q117" s="63" t="str">
        <f t="shared" ca="1" si="23"/>
        <v>N/A</v>
      </c>
      <c r="R117" s="63" t="str">
        <f t="shared" ca="1" si="23"/>
        <v>N/A</v>
      </c>
      <c r="S117" s="63" t="str">
        <f t="shared" ca="1" si="22"/>
        <v>N/A</v>
      </c>
      <c r="T117" s="63" t="str">
        <f t="shared" ca="1" si="22"/>
        <v>N/A</v>
      </c>
      <c r="U117" s="63" t="str">
        <f t="shared" ca="1" si="22"/>
        <v>N/A</v>
      </c>
      <c r="V117" s="63" t="str">
        <f t="shared" ca="1" si="22"/>
        <v>N/A</v>
      </c>
    </row>
    <row r="118" spans="1:22" hidden="1">
      <c r="A118" s="51">
        <f t="shared" si="14"/>
        <v>0</v>
      </c>
      <c r="B118" s="46" t="str">
        <f t="shared" ca="1" si="15"/>
        <v/>
      </c>
      <c r="C118" s="1" t="str">
        <f>IF(ISERROR(D118),"",IF(D118="","",MAX($C$72:C117)+1))</f>
        <v/>
      </c>
      <c r="D118" t="e">
        <f t="shared" si="16"/>
        <v>#N/A</v>
      </c>
      <c r="F118" s="63" t="str">
        <f t="shared" ca="1" si="19"/>
        <v>N/A</v>
      </c>
      <c r="G118" s="63" t="str">
        <f t="shared" si="17"/>
        <v>N/A</v>
      </c>
      <c r="H118" s="63" t="str">
        <f ca="1">IFERROR(VLOOKUP($A118,LASTYR,'2016'!$O$3,FALSE),"N/A")</f>
        <v>N/A</v>
      </c>
      <c r="I118" s="63" t="str">
        <f t="shared" ca="1" si="23"/>
        <v>N/A</v>
      </c>
      <c r="J118" s="63" t="str">
        <f t="shared" ca="1" si="23"/>
        <v>N/A</v>
      </c>
      <c r="K118" s="63" t="str">
        <f t="shared" ca="1" si="23"/>
        <v>N/A</v>
      </c>
      <c r="L118" s="63" t="str">
        <f t="shared" ca="1" si="23"/>
        <v>N/A</v>
      </c>
      <c r="M118" s="63" t="str">
        <f t="shared" ca="1" si="23"/>
        <v>N/A</v>
      </c>
      <c r="N118" s="63" t="str">
        <f t="shared" ca="1" si="23"/>
        <v>N/A</v>
      </c>
      <c r="O118" s="63" t="str">
        <f t="shared" ca="1" si="23"/>
        <v>N/A</v>
      </c>
      <c r="P118" s="63" t="str">
        <f t="shared" ca="1" si="23"/>
        <v>N/A</v>
      </c>
      <c r="Q118" s="63" t="str">
        <f t="shared" ca="1" si="23"/>
        <v>N/A</v>
      </c>
      <c r="R118" s="63" t="str">
        <f t="shared" ca="1" si="23"/>
        <v>N/A</v>
      </c>
      <c r="S118" s="63" t="str">
        <f t="shared" ref="S118:V118" ca="1" si="24">IFERROR(IF(INDEX(MP_CF_WP,$B118,S$73)=0,"N/A",INDEX(MP_CF_WP,$B118,S$73)),"N/A")</f>
        <v>N/A</v>
      </c>
      <c r="T118" s="63" t="str">
        <f t="shared" ca="1" si="24"/>
        <v>N/A</v>
      </c>
      <c r="U118" s="63" t="str">
        <f t="shared" ca="1" si="24"/>
        <v>N/A</v>
      </c>
      <c r="V118" s="63" t="str">
        <f t="shared" ca="1" si="24"/>
        <v>N/A</v>
      </c>
    </row>
    <row r="119" spans="1:22">
      <c r="A119" s="31"/>
      <c r="B119" s="31"/>
      <c r="C119" s="1" t="str">
        <f>IF(ISERROR(D119),"",IF(D119="","",MAX($C$72:C118)+1))</f>
        <v/>
      </c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spans="1:22">
      <c r="A120" s="31"/>
      <c r="B120" s="31"/>
      <c r="C120" s="1">
        <f>IF(ISERROR(D120),"",IF(D120="","",MAX($C$72:C119)+1))</f>
        <v>42</v>
      </c>
      <c r="D120" t="s">
        <v>98</v>
      </c>
      <c r="F120" s="63">
        <f ca="1">AVERAGE(G120:R120)</f>
        <v>0.67558896690913917</v>
      </c>
      <c r="G120" s="63">
        <f t="shared" ref="G120:R120" si="25">AVERAGE(G74:G119)</f>
        <v>0.66813153065245168</v>
      </c>
      <c r="H120" s="63">
        <f t="shared" ca="1" si="25"/>
        <v>0.65400280684303869</v>
      </c>
      <c r="I120" s="63">
        <f t="shared" ca="1" si="25"/>
        <v>0.64333784757145307</v>
      </c>
      <c r="J120" s="63">
        <f t="shared" ca="1" si="25"/>
        <v>0.63649216716598178</v>
      </c>
      <c r="K120" s="63">
        <f t="shared" ca="1" si="25"/>
        <v>0.63089695303166549</v>
      </c>
      <c r="L120" s="63">
        <f t="shared" ca="1" si="25"/>
        <v>0.6587083026191799</v>
      </c>
      <c r="M120" s="63">
        <f t="shared" ca="1" si="25"/>
        <v>0.67129446081211275</v>
      </c>
      <c r="N120" s="63">
        <f t="shared" ca="1" si="25"/>
        <v>0.67647605289685819</v>
      </c>
      <c r="O120" s="63">
        <f t="shared" ca="1" si="25"/>
        <v>0.69710002663215276</v>
      </c>
      <c r="P120" s="63">
        <f t="shared" ca="1" si="25"/>
        <v>0.95231908871113091</v>
      </c>
      <c r="Q120" s="63">
        <f t="shared" ca="1" si="25"/>
        <v>0.61306314118240857</v>
      </c>
      <c r="R120" s="63">
        <f t="shared" ca="1" si="25"/>
        <v>0.60524522479123477</v>
      </c>
      <c r="S120" s="63"/>
      <c r="T120" s="63"/>
      <c r="U120" s="63"/>
      <c r="V120" s="63"/>
    </row>
    <row r="121" spans="1:22">
      <c r="A121" s="31"/>
      <c r="B121" s="31"/>
      <c r="C121" s="1">
        <f>IF(ISERROR(D121),"",IF(D121="","",MAX($C$72:C120)+1))</f>
        <v>43</v>
      </c>
      <c r="D121" t="s">
        <v>257</v>
      </c>
      <c r="F121" s="63">
        <f ca="1">AVERAGE(G121:R121)</f>
        <v>0.61534541842174384</v>
      </c>
      <c r="G121" s="63">
        <f>MEDIAN(G74:G119)</f>
        <v>0.63</v>
      </c>
      <c r="H121" s="63">
        <f t="shared" ref="H121:R121" ca="1" si="26">MEDIAN(H74:H119)</f>
        <v>0.63720930232558148</v>
      </c>
      <c r="I121" s="63">
        <f t="shared" ca="1" si="26"/>
        <v>0.62768018599844999</v>
      </c>
      <c r="J121" s="63">
        <f t="shared" ca="1" si="26"/>
        <v>0.59564304106247457</v>
      </c>
      <c r="K121" s="63">
        <f t="shared" ca="1" si="26"/>
        <v>0.6138326892475563</v>
      </c>
      <c r="L121" s="63">
        <f t="shared" ca="1" si="26"/>
        <v>0.62801120448179271</v>
      </c>
      <c r="M121" s="63">
        <f t="shared" ca="1" si="26"/>
        <v>0.62011453113815318</v>
      </c>
      <c r="N121" s="63">
        <f t="shared" ca="1" si="26"/>
        <v>0.62349397590361444</v>
      </c>
      <c r="O121" s="63">
        <f t="shared" ca="1" si="26"/>
        <v>0.66055668703326542</v>
      </c>
      <c r="P121" s="63">
        <f t="shared" ca="1" si="26"/>
        <v>0.60239445494643984</v>
      </c>
      <c r="Q121" s="63">
        <f t="shared" ca="1" si="26"/>
        <v>0.58695652173913049</v>
      </c>
      <c r="R121" s="63">
        <f t="shared" ca="1" si="26"/>
        <v>0.55825242718446599</v>
      </c>
      <c r="S121" s="63"/>
      <c r="T121" s="63"/>
      <c r="U121" s="63"/>
      <c r="V121" s="63"/>
    </row>
    <row r="122" spans="1:22">
      <c r="A122" s="31"/>
      <c r="B122" s="31"/>
      <c r="C122" s="1"/>
    </row>
    <row r="123" spans="1:22">
      <c r="A123" s="31"/>
      <c r="B123" s="31"/>
      <c r="D123" s="18"/>
      <c r="E123" s="91"/>
    </row>
    <row r="124" spans="1:22">
      <c r="A124" s="31"/>
      <c r="B124" s="31"/>
      <c r="D124" s="20" t="s">
        <v>107</v>
      </c>
    </row>
    <row r="125" spans="1:22" ht="16.5">
      <c r="A125" s="31"/>
      <c r="B125" s="31"/>
      <c r="D125" s="79">
        <v>1</v>
      </c>
      <c r="E125" s="21" t="str">
        <f>"The Value Line Investment Survey Investment Analyzer Software, downloaded on "&amp;TEXT('2016'!$A$1,"mmmm d, yyyy.")</f>
        <v>The Value Line Investment Survey Investment Analyzer Software, downloaded on June 21, 2017.</v>
      </c>
    </row>
    <row r="126" spans="1:22" ht="16.5">
      <c r="A126" s="31"/>
      <c r="B126" s="31"/>
      <c r="D126" s="79">
        <v>2</v>
      </c>
      <c r="E126" s="21" t="str">
        <f>"The Value Line Investment Survey, "&amp;'2017 Data (WP)'!$D$1</f>
        <v>The Value Line Investment Survey, July 28, August 18, and September 15, 2017.</v>
      </c>
    </row>
    <row r="127" spans="1:22">
      <c r="A127" s="31"/>
      <c r="B127" s="31"/>
      <c r="D127" s="20" t="s">
        <v>108</v>
      </c>
    </row>
    <row r="128" spans="1:22" ht="16.5">
      <c r="A128" s="31"/>
      <c r="B128" s="31"/>
      <c r="D128" s="93" t="s">
        <v>363</v>
      </c>
      <c r="E128" s="21" t="s">
        <v>367</v>
      </c>
    </row>
    <row r="129" spans="1:22">
      <c r="E129" s="23" t="str">
        <f>"published in The Value Line Investment Survey, "&amp;'2017 Data (WP)'!$D$1</f>
        <v>published in The Value Line Investment Survey, July 28, August 18, and September 15, 2017.</v>
      </c>
    </row>
    <row r="130" spans="1:22">
      <c r="A130" s="31"/>
      <c r="B130" s="31"/>
      <c r="C130" s="1"/>
    </row>
    <row r="131" spans="1:22" ht="17.25">
      <c r="A131" s="31"/>
      <c r="B131" s="31"/>
      <c r="C131" s="6"/>
      <c r="D131" s="6"/>
      <c r="E131" s="19"/>
      <c r="F131" s="139" t="s">
        <v>333</v>
      </c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</row>
    <row r="132" spans="1:22" ht="15">
      <c r="A132" s="31"/>
      <c r="B132" s="31"/>
      <c r="C132" s="6"/>
      <c r="D132" s="7"/>
      <c r="E132" s="7"/>
      <c r="F132" s="8" t="s">
        <v>258</v>
      </c>
      <c r="G132" s="8"/>
      <c r="H132" s="8"/>
      <c r="I132" s="8"/>
      <c r="J132" s="8"/>
      <c r="K132" s="8"/>
      <c r="L132" s="8"/>
      <c r="M132" s="8"/>
      <c r="N132" s="8"/>
      <c r="O132" s="7"/>
      <c r="P132" s="7"/>
      <c r="Q132" s="7"/>
      <c r="R132" s="7"/>
      <c r="S132" s="7"/>
      <c r="T132" s="7"/>
      <c r="U132" s="7"/>
    </row>
    <row r="133" spans="1:22" ht="17.25">
      <c r="A133" s="31"/>
      <c r="B133" s="31"/>
      <c r="C133" s="9" t="s">
        <v>96</v>
      </c>
      <c r="D133" s="138" t="s">
        <v>97</v>
      </c>
      <c r="E133" s="138"/>
      <c r="F133" s="10" t="s">
        <v>98</v>
      </c>
      <c r="G133" s="10" t="s">
        <v>335</v>
      </c>
      <c r="H133" s="41">
        <v>2016</v>
      </c>
      <c r="I133" s="41">
        <v>2015</v>
      </c>
      <c r="J133" s="41">
        <v>2014</v>
      </c>
      <c r="K133" s="41">
        <v>2013</v>
      </c>
      <c r="L133" s="41">
        <v>2012</v>
      </c>
      <c r="M133" s="41">
        <v>2011</v>
      </c>
      <c r="N133" s="41">
        <v>2010</v>
      </c>
      <c r="O133" s="41">
        <v>2009</v>
      </c>
      <c r="P133" s="41">
        <v>2008</v>
      </c>
      <c r="Q133" s="41">
        <v>2007</v>
      </c>
      <c r="R133" s="41">
        <v>2006</v>
      </c>
      <c r="S133" s="41">
        <v>2005</v>
      </c>
      <c r="T133" s="41"/>
      <c r="U133" s="41"/>
      <c r="V133" s="41"/>
    </row>
    <row r="134" spans="1:22" ht="15">
      <c r="A134" s="42"/>
      <c r="B134" s="42"/>
      <c r="C134" s="9"/>
      <c r="D134" s="11"/>
      <c r="E134" s="11"/>
      <c r="F134" s="12">
        <v>-1</v>
      </c>
      <c r="G134" s="12">
        <f t="shared" ref="G134:S134" si="27">+F134-1</f>
        <v>-2</v>
      </c>
      <c r="H134" s="12">
        <f t="shared" si="27"/>
        <v>-3</v>
      </c>
      <c r="I134" s="12">
        <f t="shared" si="27"/>
        <v>-4</v>
      </c>
      <c r="J134" s="12">
        <f t="shared" si="27"/>
        <v>-5</v>
      </c>
      <c r="K134" s="12">
        <f t="shared" si="27"/>
        <v>-6</v>
      </c>
      <c r="L134" s="12">
        <f t="shared" si="27"/>
        <v>-7</v>
      </c>
      <c r="M134" s="12">
        <f t="shared" si="27"/>
        <v>-8</v>
      </c>
      <c r="N134" s="12">
        <f t="shared" si="27"/>
        <v>-9</v>
      </c>
      <c r="O134" s="12">
        <f t="shared" si="27"/>
        <v>-10</v>
      </c>
      <c r="P134" s="12">
        <f t="shared" si="27"/>
        <v>-11</v>
      </c>
      <c r="Q134" s="12">
        <f t="shared" si="27"/>
        <v>-12</v>
      </c>
      <c r="R134" s="12">
        <f t="shared" si="27"/>
        <v>-13</v>
      </c>
      <c r="S134" s="12">
        <f t="shared" si="27"/>
        <v>-14</v>
      </c>
      <c r="T134" s="12"/>
      <c r="U134" s="12"/>
      <c r="V134" s="12"/>
    </row>
    <row r="135" spans="1:22">
      <c r="A135" s="43"/>
      <c r="B135" s="44"/>
      <c r="C135" s="6"/>
      <c r="E135" s="22"/>
      <c r="F135" s="36"/>
      <c r="G135" s="36"/>
      <c r="H135" s="16">
        <f t="shared" ref="H135:V135" ca="1" si="28">MATCH(VALUE(LEFT(H133,4)),OFFSET(CF_CAP_WP,-1,0,1,),0)</f>
        <v>6</v>
      </c>
      <c r="I135" s="16">
        <f t="shared" ca="1" si="28"/>
        <v>7</v>
      </c>
      <c r="J135" s="16">
        <f t="shared" ca="1" si="28"/>
        <v>8</v>
      </c>
      <c r="K135" s="16">
        <f t="shared" ca="1" si="28"/>
        <v>9</v>
      </c>
      <c r="L135" s="16">
        <f t="shared" ca="1" si="28"/>
        <v>10</v>
      </c>
      <c r="M135" s="16">
        <f t="shared" ca="1" si="28"/>
        <v>11</v>
      </c>
      <c r="N135" s="16">
        <f t="shared" ca="1" si="28"/>
        <v>12</v>
      </c>
      <c r="O135" s="16">
        <f t="shared" ca="1" si="28"/>
        <v>13</v>
      </c>
      <c r="P135" s="16">
        <f t="shared" ca="1" si="28"/>
        <v>14</v>
      </c>
      <c r="Q135" s="16">
        <f t="shared" ca="1" si="28"/>
        <v>15</v>
      </c>
      <c r="R135" s="16">
        <f t="shared" ca="1" si="28"/>
        <v>16</v>
      </c>
      <c r="S135" s="16" t="e">
        <f t="shared" ca="1" si="28"/>
        <v>#N/A</v>
      </c>
      <c r="T135" s="16" t="e">
        <f t="shared" ca="1" si="28"/>
        <v>#VALUE!</v>
      </c>
      <c r="U135" s="16" t="e">
        <f t="shared" ca="1" si="28"/>
        <v>#VALUE!</v>
      </c>
      <c r="V135" s="16" t="e">
        <f t="shared" ca="1" si="28"/>
        <v>#VALUE!</v>
      </c>
    </row>
    <row r="136" spans="1:22">
      <c r="A136" s="51" t="str">
        <f t="shared" ref="A136:A180" si="29">A13</f>
        <v>ALE</v>
      </c>
      <c r="B136" s="46">
        <f t="shared" ref="B136:B180" ca="1" si="30">MATCH(A136,OFFSET(CF_CAP_WP,0,0,,1),0)</f>
        <v>2</v>
      </c>
      <c r="C136" s="1">
        <f>IF(ISERROR(D136),"",IF(D136="","",MAX($C$134:C135)+1))</f>
        <v>1</v>
      </c>
      <c r="D136" t="str">
        <f t="shared" ref="D136:D180" si="31">D13</f>
        <v xml:space="preserve">ALLETE                        </v>
      </c>
      <c r="E136" s="22"/>
      <c r="F136" s="63">
        <f ca="1">AVERAGE(G136:R136)</f>
        <v>0.81784964266492288</v>
      </c>
      <c r="G136" s="63">
        <f t="shared" ref="G136:G180" si="32">IFERROR(IF(VLOOKUP(A136,LUCurYr,17,FALSE)=0,"",VLOOKUP(A136,LUCurYr,17,FALSE)),"N/A")</f>
        <v>1.5869565217391306</v>
      </c>
      <c r="H136" s="63">
        <f ca="1">IFERROR(VLOOKUP($A136,LASTYR,'2016'!$P$3,FALSE),"N/A")</f>
        <v>1.321942110177404</v>
      </c>
      <c r="I136" s="63">
        <f t="shared" ref="I136:R151" ca="1" si="33">IFERROR(IF(INDEX(CF_CAP_WP,$B136,I$135)=0,"N/A",INDEX(CF_CAP_WP,$B136,I$135)),"N/A")</f>
        <v>1.162472179421332</v>
      </c>
      <c r="J136" s="63">
        <f t="shared" ca="1" si="33"/>
        <v>0.45476400352592355</v>
      </c>
      <c r="K136" s="63">
        <f t="shared" ca="1" si="33"/>
        <v>0.67359798361688716</v>
      </c>
      <c r="L136" s="63">
        <f t="shared" ca="1" si="33"/>
        <v>0.48626080201961358</v>
      </c>
      <c r="M136" s="63">
        <f t="shared" ca="1" si="33"/>
        <v>0.77002664994513248</v>
      </c>
      <c r="N136" s="63">
        <f t="shared" ca="1" si="33"/>
        <v>0.62591687041564792</v>
      </c>
      <c r="O136" s="63">
        <f t="shared" ca="1" si="33"/>
        <v>0.39467285587975243</v>
      </c>
      <c r="P136" s="63">
        <f t="shared" ca="1" si="33"/>
        <v>0.45831528800346466</v>
      </c>
      <c r="Q136" s="63">
        <f t="shared" ca="1" si="33"/>
        <v>0.64747252747252737</v>
      </c>
      <c r="R136" s="63">
        <f t="shared" ca="1" si="33"/>
        <v>1.2317979197622584</v>
      </c>
      <c r="S136" s="63"/>
      <c r="T136" s="17"/>
      <c r="U136" s="17"/>
      <c r="V136" s="17"/>
    </row>
    <row r="137" spans="1:22">
      <c r="A137" s="51" t="str">
        <f t="shared" si="29"/>
        <v>LNT</v>
      </c>
      <c r="B137" s="46">
        <f t="shared" ca="1" si="30"/>
        <v>3</v>
      </c>
      <c r="C137" s="1">
        <f>IF(ISERROR(D137),"",IF(D137="","",MAX($C$134:C136)+1))</f>
        <v>2</v>
      </c>
      <c r="D137" t="str">
        <f t="shared" si="31"/>
        <v xml:space="preserve">Alliant Energy                </v>
      </c>
      <c r="E137" s="22"/>
      <c r="F137" s="63">
        <f t="shared" ref="F137:F180" ca="1" si="34">AVERAGE(G137:R137)</f>
        <v>0.79914478349202878</v>
      </c>
      <c r="G137" s="63">
        <f t="shared" si="32"/>
        <v>0.65573770491803285</v>
      </c>
      <c r="H137" s="63" t="str">
        <f ca="1">IFERROR(VLOOKUP($A137,LASTYR,'2016'!$P$3,FALSE),"N/A")</f>
        <v/>
      </c>
      <c r="I137" s="63">
        <f t="shared" ca="1" si="33"/>
        <v>0.81120527306967982</v>
      </c>
      <c r="J137" s="63">
        <f t="shared" ca="1" si="33"/>
        <v>0.91007669928590318</v>
      </c>
      <c r="K137" s="63">
        <f t="shared" ca="1" si="33"/>
        <v>1.0075369309617124</v>
      </c>
      <c r="L137" s="63">
        <f t="shared" ca="1" si="33"/>
        <v>0.56507571401188428</v>
      </c>
      <c r="M137" s="63">
        <f t="shared" ca="1" si="33"/>
        <v>0.90801186943620182</v>
      </c>
      <c r="N137" s="63">
        <f t="shared" ca="1" si="33"/>
        <v>0.66615502686108985</v>
      </c>
      <c r="O137" s="63">
        <f t="shared" ca="1" si="33"/>
        <v>0.3870077291129923</v>
      </c>
      <c r="P137" s="63">
        <f t="shared" ca="1" si="33"/>
        <v>0.57250565468710735</v>
      </c>
      <c r="Q137" s="63">
        <f t="shared" ca="1" si="33"/>
        <v>1.0419381107491859</v>
      </c>
      <c r="R137" s="63">
        <f t="shared" ca="1" si="33"/>
        <v>1.2653419053185271</v>
      </c>
      <c r="S137" s="63"/>
      <c r="T137" s="17"/>
      <c r="U137" s="17"/>
      <c r="V137" s="17"/>
    </row>
    <row r="138" spans="1:22">
      <c r="A138" s="51" t="str">
        <f t="shared" si="29"/>
        <v>AEE</v>
      </c>
      <c r="B138" s="46">
        <f t="shared" ca="1" si="30"/>
        <v>6</v>
      </c>
      <c r="C138" s="1">
        <f>IF(ISERROR(D138),"",IF(D138="","",MAX($C$134:C137)+1))</f>
        <v>3</v>
      </c>
      <c r="D138" t="str">
        <f t="shared" si="31"/>
        <v xml:space="preserve">Ameren Corp.                  </v>
      </c>
      <c r="E138" s="22"/>
      <c r="F138" s="63">
        <f t="shared" ca="1" si="34"/>
        <v>0.94022753669868708</v>
      </c>
      <c r="G138" s="63">
        <f t="shared" si="32"/>
        <v>0.7595628415300546</v>
      </c>
      <c r="H138" s="63">
        <f ca="1">IFERROR(VLOOKUP($A138,LASTYR,'2016'!$P$3,FALSE),"N/A")</f>
        <v>0.74985767960833438</v>
      </c>
      <c r="I138" s="63">
        <f t="shared" ca="1" si="33"/>
        <v>0.74910659272951319</v>
      </c>
      <c r="J138" s="63">
        <f t="shared" ca="1" si="33"/>
        <v>0.75306708431218994</v>
      </c>
      <c r="K138" s="63">
        <f t="shared" ca="1" si="33"/>
        <v>0.89401942409269042</v>
      </c>
      <c r="L138" s="63">
        <f t="shared" ca="1" si="33"/>
        <v>1.0705432008749545</v>
      </c>
      <c r="M138" s="63">
        <f t="shared" ca="1" si="33"/>
        <v>1.305043323705843</v>
      </c>
      <c r="N138" s="63">
        <f t="shared" ca="1" si="33"/>
        <v>1.3568518121381083</v>
      </c>
      <c r="O138" s="63">
        <f t="shared" ca="1" si="33"/>
        <v>0.8059880239520959</v>
      </c>
      <c r="P138" s="63">
        <f t="shared" ca="1" si="33"/>
        <v>0.66068130515083112</v>
      </c>
      <c r="Q138" s="63">
        <f t="shared" ca="1" si="33"/>
        <v>0.97239792984473838</v>
      </c>
      <c r="R138" s="63">
        <f t="shared" ca="1" si="33"/>
        <v>1.2056112224448898</v>
      </c>
      <c r="S138" s="63"/>
      <c r="T138" s="17"/>
      <c r="U138" s="17"/>
      <c r="V138" s="17"/>
    </row>
    <row r="139" spans="1:22">
      <c r="A139" s="51" t="str">
        <f t="shared" si="29"/>
        <v>AEP</v>
      </c>
      <c r="B139" s="46">
        <f t="shared" ca="1" si="30"/>
        <v>7</v>
      </c>
      <c r="C139" s="1">
        <f>IF(ISERROR(D139),"",IF(D139="","",MAX($C$134:C138)+1))</f>
        <v>4</v>
      </c>
      <c r="D139" t="str">
        <f t="shared" si="31"/>
        <v>American Electric Power</v>
      </c>
      <c r="E139" s="22"/>
      <c r="F139" s="63">
        <f t="shared" ca="1" si="34"/>
        <v>0.90680522971387523</v>
      </c>
      <c r="G139" s="63">
        <f t="shared" si="32"/>
        <v>0.66806722689075626</v>
      </c>
      <c r="H139" s="63">
        <f ca="1">IFERROR(VLOOKUP($A139,LASTYR,'2016'!$P$3,FALSE),"N/A")</f>
        <v>0.84817225838758137</v>
      </c>
      <c r="I139" s="63">
        <f t="shared" ca="1" si="33"/>
        <v>0.85172929120409901</v>
      </c>
      <c r="J139" s="63">
        <f t="shared" ca="1" si="33"/>
        <v>0.87229387379087986</v>
      </c>
      <c r="K139" s="63">
        <f t="shared" ca="1" si="33"/>
        <v>0.90613298902517747</v>
      </c>
      <c r="L139" s="63">
        <f t="shared" ca="1" si="33"/>
        <v>1.0730345790044968</v>
      </c>
      <c r="M139" s="63">
        <f t="shared" ca="1" si="33"/>
        <v>1.189198606271777</v>
      </c>
      <c r="N139" s="63">
        <f t="shared" ca="1" si="33"/>
        <v>1.2420055270430319</v>
      </c>
      <c r="O139" s="63">
        <f t="shared" ca="1" si="33"/>
        <v>1.0205037132709074</v>
      </c>
      <c r="P139" s="63">
        <f t="shared" ca="1" si="33"/>
        <v>0.69535143932458554</v>
      </c>
      <c r="Q139" s="63">
        <f t="shared" ca="1" si="33"/>
        <v>0.7654543407273956</v>
      </c>
      <c r="R139" s="63">
        <f t="shared" ca="1" si="33"/>
        <v>0.74971891162581517</v>
      </c>
      <c r="S139" s="63"/>
      <c r="T139" s="17"/>
      <c r="U139" s="17"/>
      <c r="V139" s="17"/>
    </row>
    <row r="140" spans="1:22">
      <c r="A140" s="51" t="str">
        <f t="shared" si="29"/>
        <v>AGR</v>
      </c>
      <c r="B140" s="46">
        <f t="shared" ca="1" si="30"/>
        <v>10</v>
      </c>
      <c r="C140" s="1">
        <f>IF(ISERROR(D140),"",IF(D140="","",MAX($C$134:C139)+1))</f>
        <v>5</v>
      </c>
      <c r="D140" t="str">
        <f t="shared" si="31"/>
        <v>Avangrid, Inc.</v>
      </c>
      <c r="E140" s="22"/>
      <c r="F140" s="63">
        <f t="shared" ca="1" si="34"/>
        <v>0.82496359189552348</v>
      </c>
      <c r="G140" s="63">
        <f t="shared" si="32"/>
        <v>0.72794117647058831</v>
      </c>
      <c r="H140" s="63">
        <f ca="1">IFERROR(VLOOKUP($A140,LASTYR,'2016'!$P$3,FALSE),"N/A")</f>
        <v>0.85771180304127448</v>
      </c>
      <c r="I140" s="63">
        <f t="shared" ca="1" si="33"/>
        <v>0.88923779617470744</v>
      </c>
      <c r="J140" s="63" t="str">
        <f t="shared" ca="1" si="33"/>
        <v>N/A</v>
      </c>
      <c r="K140" s="63" t="str">
        <f t="shared" ca="1" si="33"/>
        <v>N/A</v>
      </c>
      <c r="L140" s="63" t="str">
        <f t="shared" ca="1" si="33"/>
        <v>N/A</v>
      </c>
      <c r="M140" s="63" t="str">
        <f t="shared" ca="1" si="33"/>
        <v>N/A</v>
      </c>
      <c r="N140" s="63" t="str">
        <f t="shared" ca="1" si="33"/>
        <v>N/A</v>
      </c>
      <c r="O140" s="63" t="str">
        <f t="shared" ca="1" si="33"/>
        <v>N/A</v>
      </c>
      <c r="P140" s="63" t="str">
        <f t="shared" ca="1" si="33"/>
        <v>N/A</v>
      </c>
      <c r="Q140" s="63" t="str">
        <f t="shared" ca="1" si="33"/>
        <v>N/A</v>
      </c>
      <c r="R140" s="63" t="str">
        <f t="shared" ca="1" si="33"/>
        <v>N/A</v>
      </c>
      <c r="S140" s="63"/>
      <c r="T140" s="17"/>
      <c r="U140" s="17"/>
      <c r="V140" s="17"/>
    </row>
    <row r="141" spans="1:22">
      <c r="A141" s="51" t="str">
        <f t="shared" si="29"/>
        <v>AVA</v>
      </c>
      <c r="B141" s="46">
        <f t="shared" ca="1" si="30"/>
        <v>11</v>
      </c>
      <c r="C141" s="1">
        <f>IF(ISERROR(D141),"",IF(D141="","",MAX($C$134:C140)+1))</f>
        <v>6</v>
      </c>
      <c r="D141" t="str">
        <f t="shared" si="31"/>
        <v xml:space="preserve">Avista Corp.                  </v>
      </c>
      <c r="E141" s="22"/>
      <c r="F141" s="63">
        <f t="shared" ca="1" si="34"/>
        <v>0.91688783034205146</v>
      </c>
      <c r="G141" s="63">
        <f t="shared" si="32"/>
        <v>0.84</v>
      </c>
      <c r="H141" s="63">
        <f ca="1">IFERROR(VLOOKUP($A141,LASTYR,'2016'!$P$3,FALSE),"N/A")</f>
        <v>0.83504179151553382</v>
      </c>
      <c r="I141" s="63">
        <f t="shared" ca="1" si="33"/>
        <v>0.76183844011142066</v>
      </c>
      <c r="J141" s="63">
        <f t="shared" ca="1" si="33"/>
        <v>0.79576178297405908</v>
      </c>
      <c r="K141" s="63">
        <f t="shared" ca="1" si="33"/>
        <v>0.86422200198216059</v>
      </c>
      <c r="L141" s="63">
        <f t="shared" ca="1" si="33"/>
        <v>0.80212397052449069</v>
      </c>
      <c r="M141" s="63">
        <f t="shared" ca="1" si="33"/>
        <v>0.89938154138915327</v>
      </c>
      <c r="N141" s="63">
        <f t="shared" ca="1" si="33"/>
        <v>0.99450851180669964</v>
      </c>
      <c r="O141" s="63">
        <f t="shared" ca="1" si="33"/>
        <v>1.1526697770865733</v>
      </c>
      <c r="P141" s="63">
        <f t="shared" ca="1" si="33"/>
        <v>0.97333007095669211</v>
      </c>
      <c r="Q141" s="63">
        <f t="shared" ca="1" si="33"/>
        <v>0.72531551596139565</v>
      </c>
      <c r="R141" s="63">
        <f t="shared" ca="1" si="33"/>
        <v>1.3584605597964376</v>
      </c>
      <c r="S141" s="63"/>
      <c r="T141" s="17"/>
      <c r="U141" s="17"/>
      <c r="V141" s="17"/>
    </row>
    <row r="142" spans="1:22">
      <c r="A142" s="51" t="str">
        <f t="shared" si="29"/>
        <v>BKH</v>
      </c>
      <c r="B142" s="46">
        <f t="shared" ca="1" si="30"/>
        <v>12</v>
      </c>
      <c r="C142" s="1">
        <f>IF(ISERROR(D142),"",IF(D142="","",MAX($C$134:C141)+1))</f>
        <v>7</v>
      </c>
      <c r="D142" t="str">
        <f t="shared" si="31"/>
        <v xml:space="preserve">Black Hills                   </v>
      </c>
      <c r="E142" s="22"/>
      <c r="F142" s="63">
        <f t="shared" ca="1" si="34"/>
        <v>0.6516971646987586</v>
      </c>
      <c r="G142" s="63">
        <f t="shared" si="32"/>
        <v>1.2564102564102564</v>
      </c>
      <c r="H142" s="63">
        <f ca="1">IFERROR(VLOOKUP($A142,LASTYR,'2016'!$P$3,FALSE),"N/A")</f>
        <v>0.70665617270069714</v>
      </c>
      <c r="I142" s="63">
        <f t="shared" ca="1" si="33"/>
        <v>0.63673148252219847</v>
      </c>
      <c r="J142" s="63">
        <f t="shared" ca="1" si="33"/>
        <v>0.70011210762331844</v>
      </c>
      <c r="K142" s="63">
        <f t="shared" ca="1" si="33"/>
        <v>0.74372804816859006</v>
      </c>
      <c r="L142" s="63">
        <f t="shared" ca="1" si="33"/>
        <v>0.70777412003038742</v>
      </c>
      <c r="M142" s="63">
        <f t="shared" ca="1" si="33"/>
        <v>0.39928236818498958</v>
      </c>
      <c r="N142" s="63">
        <f t="shared" ca="1" si="33"/>
        <v>0.4050843233363795</v>
      </c>
      <c r="O142" s="63">
        <f t="shared" ca="1" si="33"/>
        <v>0.60813391753735535</v>
      </c>
      <c r="P142" s="63">
        <f t="shared" ca="1" si="33"/>
        <v>0.34688124045577351</v>
      </c>
      <c r="Q142" s="63">
        <f t="shared" ca="1" si="33"/>
        <v>0.76456977584960228</v>
      </c>
      <c r="R142" s="63">
        <f t="shared" ca="1" si="33"/>
        <v>0.54500216356555609</v>
      </c>
      <c r="S142" s="63"/>
      <c r="T142" s="17"/>
      <c r="U142" s="17"/>
      <c r="V142" s="17"/>
    </row>
    <row r="143" spans="1:22">
      <c r="A143" s="51" t="str">
        <f t="shared" si="29"/>
        <v>CNP</v>
      </c>
      <c r="B143" s="46">
        <f t="shared" ca="1" si="30"/>
        <v>14</v>
      </c>
      <c r="C143" s="1">
        <f>IF(ISERROR(D143),"",IF(D143="","",MAX($C$134:C142)+1))</f>
        <v>8</v>
      </c>
      <c r="D143" t="str">
        <f t="shared" si="31"/>
        <v xml:space="preserve">CenterPoint Energy            </v>
      </c>
      <c r="E143" s="22"/>
      <c r="F143" s="63">
        <f t="shared" ca="1" si="34"/>
        <v>1.0947625068998919</v>
      </c>
      <c r="G143" s="63">
        <f t="shared" si="32"/>
        <v>1.1142857142857143</v>
      </c>
      <c r="H143" s="63">
        <f ca="1">IFERROR(VLOOKUP($A143,LASTYR,'2016'!$P$3,FALSE),"N/A")</f>
        <v>1.1203167834297898</v>
      </c>
      <c r="I143" s="63">
        <f t="shared" ca="1" si="33"/>
        <v>0.92290988056460366</v>
      </c>
      <c r="J143" s="63">
        <f t="shared" ca="1" si="33"/>
        <v>1.2041901188242652</v>
      </c>
      <c r="K143" s="63">
        <f t="shared" ca="1" si="33"/>
        <v>1.1817878585723816</v>
      </c>
      <c r="L143" s="63">
        <f t="shared" ca="1" si="33"/>
        <v>1.3724867724867724</v>
      </c>
      <c r="M143" s="63">
        <f t="shared" ca="1" si="33"/>
        <v>1.1223021582733814</v>
      </c>
      <c r="N143" s="63">
        <f t="shared" ca="1" si="33"/>
        <v>0.88347875035181533</v>
      </c>
      <c r="O143" s="63">
        <f t="shared" ca="1" si="33"/>
        <v>0.99324552516041875</v>
      </c>
      <c r="P143" s="63">
        <f t="shared" ca="1" si="33"/>
        <v>1.1598235493722431</v>
      </c>
      <c r="Q143" s="63">
        <f t="shared" ca="1" si="33"/>
        <v>0.98290845886442635</v>
      </c>
      <c r="R143" s="63">
        <f t="shared" ca="1" si="33"/>
        <v>1.0794145126128933</v>
      </c>
      <c r="S143" s="63"/>
      <c r="T143" s="17"/>
      <c r="U143" s="17"/>
      <c r="V143" s="17"/>
    </row>
    <row r="144" spans="1:22">
      <c r="A144" s="51" t="str">
        <f t="shared" si="29"/>
        <v>CMS</v>
      </c>
      <c r="B144" s="46">
        <f t="shared" ca="1" si="30"/>
        <v>18</v>
      </c>
      <c r="C144" s="1">
        <f>IF(ISERROR(D144),"",IF(D144="","",MAX($C$134:C143)+1))</f>
        <v>9</v>
      </c>
      <c r="D144" t="str">
        <f t="shared" si="31"/>
        <v xml:space="preserve">CMS Energy Corp.              </v>
      </c>
      <c r="E144" s="22"/>
      <c r="F144" s="63">
        <f t="shared" ca="1" si="34"/>
        <v>0.89047996561642029</v>
      </c>
      <c r="G144" s="63">
        <f t="shared" si="32"/>
        <v>0.80916030534351147</v>
      </c>
      <c r="H144" s="63">
        <f ca="1">IFERROR(VLOOKUP($A144,LASTYR,'2016'!$P$3,FALSE),"N/A")</f>
        <v>0.81462925851703405</v>
      </c>
      <c r="I144" s="63">
        <f t="shared" ca="1" si="33"/>
        <v>0.81392876129718239</v>
      </c>
      <c r="J144" s="63">
        <f t="shared" ca="1" si="33"/>
        <v>0.73682373472949392</v>
      </c>
      <c r="K144" s="63">
        <f t="shared" ca="1" si="33"/>
        <v>0.81522394055031133</v>
      </c>
      <c r="L144" s="63">
        <f t="shared" ca="1" si="33"/>
        <v>0.8224278949634094</v>
      </c>
      <c r="M144" s="63">
        <f t="shared" ca="1" si="33"/>
        <v>1.052146355517142</v>
      </c>
      <c r="N144" s="63">
        <f t="shared" ca="1" si="33"/>
        <v>1.1255700820918211</v>
      </c>
      <c r="O144" s="63">
        <f t="shared" ca="1" si="33"/>
        <v>0.96600724435775986</v>
      </c>
      <c r="P144" s="63">
        <f t="shared" ca="1" si="33"/>
        <v>1.1086335048599198</v>
      </c>
      <c r="Q144" s="63">
        <f t="shared" ca="1" si="33"/>
        <v>0.54937611408199638</v>
      </c>
      <c r="R144" s="63">
        <f t="shared" ca="1" si="33"/>
        <v>1.0718323910874625</v>
      </c>
      <c r="S144" s="63"/>
      <c r="T144" s="17"/>
      <c r="U144" s="17"/>
      <c r="V144" s="17"/>
    </row>
    <row r="145" spans="1:22">
      <c r="A145" s="51" t="str">
        <f t="shared" si="29"/>
        <v>ED</v>
      </c>
      <c r="B145" s="46">
        <f t="shared" ca="1" si="30"/>
        <v>20</v>
      </c>
      <c r="C145" s="1">
        <f>IF(ISERROR(D145),"",IF(D145="","",MAX($C$134:C144)+1))</f>
        <v>10</v>
      </c>
      <c r="D145" t="str">
        <f t="shared" si="31"/>
        <v xml:space="preserve">Consol. Edison                </v>
      </c>
      <c r="E145" s="22"/>
      <c r="F145" s="63">
        <f t="shared" ca="1" si="34"/>
        <v>0.81349006262437384</v>
      </c>
      <c r="G145" s="63">
        <f t="shared" si="32"/>
        <v>0.70588235294117652</v>
      </c>
      <c r="H145" s="63">
        <f ca="1">IFERROR(VLOOKUP($A145,LASTYR,'2016'!$P$3,FALSE),"N/A")</f>
        <v>0.65348914304657713</v>
      </c>
      <c r="I145" s="63">
        <f t="shared" ca="1" si="33"/>
        <v>0.76062553967187951</v>
      </c>
      <c r="J145" s="63">
        <f t="shared" ca="1" si="33"/>
        <v>0.88352100738588202</v>
      </c>
      <c r="K145" s="63">
        <f t="shared" ca="1" si="33"/>
        <v>0.85933533348719127</v>
      </c>
      <c r="L145" s="63">
        <f t="shared" ca="1" si="33"/>
        <v>1.0114649681528662</v>
      </c>
      <c r="M145" s="63">
        <f t="shared" ca="1" si="33"/>
        <v>0.98377010125074449</v>
      </c>
      <c r="N145" s="63">
        <f t="shared" ca="1" si="33"/>
        <v>0.89752802529462483</v>
      </c>
      <c r="O145" s="63">
        <f t="shared" ca="1" si="33"/>
        <v>0.75144212280476863</v>
      </c>
      <c r="P145" s="63">
        <f t="shared" ca="1" si="33"/>
        <v>0.70463638503177228</v>
      </c>
      <c r="Q145" s="63">
        <f t="shared" ca="1" si="33"/>
        <v>0.81433408577878108</v>
      </c>
      <c r="R145" s="63">
        <f t="shared" ca="1" si="33"/>
        <v>0.73585168664622247</v>
      </c>
      <c r="S145" s="63"/>
      <c r="T145" s="17"/>
      <c r="U145" s="17"/>
      <c r="V145" s="17"/>
    </row>
    <row r="146" spans="1:22">
      <c r="A146" s="51" t="str">
        <f t="shared" si="29"/>
        <v>D</v>
      </c>
      <c r="B146" s="46">
        <f t="shared" ca="1" si="30"/>
        <v>22</v>
      </c>
      <c r="C146" s="1">
        <f>IF(ISERROR(D146),"",IF(D146="","",MAX($C$134:C145)+1))</f>
        <v>11</v>
      </c>
      <c r="D146" t="str">
        <f t="shared" si="31"/>
        <v xml:space="preserve">Dominion Resources            </v>
      </c>
      <c r="E146" s="22"/>
      <c r="F146" s="63">
        <f t="shared" ca="1" si="34"/>
        <v>0.74972715273760671</v>
      </c>
      <c r="G146" s="63">
        <f t="shared" si="32"/>
        <v>0.75418994413407825</v>
      </c>
      <c r="H146" s="63">
        <f ca="1">IFERROR(VLOOKUP($A146,LASTYR,'2016'!$P$3,FALSE),"N/A")</f>
        <v>0.65273909006499542</v>
      </c>
      <c r="I146" s="63">
        <f t="shared" ca="1" si="33"/>
        <v>0.6400684565194138</v>
      </c>
      <c r="J146" s="63">
        <f t="shared" ca="1" si="33"/>
        <v>0.62527376259307932</v>
      </c>
      <c r="K146" s="63">
        <f t="shared" ca="1" si="33"/>
        <v>0.77458203457069985</v>
      </c>
      <c r="L146" s="63">
        <f t="shared" ca="1" si="33"/>
        <v>0.72883947185545517</v>
      </c>
      <c r="M146" s="63">
        <f t="shared" ca="1" si="33"/>
        <v>0.78705148205928233</v>
      </c>
      <c r="N146" s="63">
        <f t="shared" ca="1" si="33"/>
        <v>0.86642905634758993</v>
      </c>
      <c r="O146" s="63">
        <f t="shared" ca="1" si="33"/>
        <v>0.75238244024371193</v>
      </c>
      <c r="P146" s="63">
        <f t="shared" ca="1" si="33"/>
        <v>0.83147358057105347</v>
      </c>
      <c r="Q146" s="63">
        <f t="shared" ca="1" si="33"/>
        <v>0.73787394713912291</v>
      </c>
      <c r="R146" s="63">
        <f t="shared" ca="1" si="33"/>
        <v>0.84582256675279943</v>
      </c>
      <c r="S146" s="63"/>
      <c r="T146" s="17"/>
      <c r="U146" s="17"/>
      <c r="V146" s="17"/>
    </row>
    <row r="147" spans="1:22">
      <c r="A147" s="51" t="str">
        <f t="shared" si="29"/>
        <v>DTE</v>
      </c>
      <c r="B147" s="46">
        <f t="shared" ca="1" si="30"/>
        <v>23</v>
      </c>
      <c r="C147" s="1">
        <f>IF(ISERROR(D147),"",IF(D147="","",MAX($C$134:C146)+1))</f>
        <v>12</v>
      </c>
      <c r="D147" t="str">
        <f t="shared" si="31"/>
        <v xml:space="preserve">DTE Energy                    </v>
      </c>
      <c r="E147" s="22"/>
      <c r="F147" s="63">
        <f t="shared" ca="1" si="34"/>
        <v>1.0498868224705835</v>
      </c>
      <c r="G147" s="63">
        <f t="shared" si="32"/>
        <v>0.74613003095975239</v>
      </c>
      <c r="H147" s="63">
        <f ca="1">IFERROR(VLOOKUP($A147,LASTYR,'2016'!$P$3,FALSE),"N/A")</f>
        <v>0.93006931648679469</v>
      </c>
      <c r="I147" s="63">
        <f t="shared" ca="1" si="33"/>
        <v>0.83864948911594839</v>
      </c>
      <c r="J147" s="63">
        <f t="shared" ca="1" si="33"/>
        <v>1.023926751317267</v>
      </c>
      <c r="K147" s="63">
        <f t="shared" ca="1" si="33"/>
        <v>0.9557296582971494</v>
      </c>
      <c r="L147" s="63">
        <f t="shared" ca="1" si="33"/>
        <v>0.92528409090909092</v>
      </c>
      <c r="M147" s="63">
        <f t="shared" ca="1" si="33"/>
        <v>1.0910127737226278</v>
      </c>
      <c r="N147" s="63">
        <f t="shared" ca="1" si="33"/>
        <v>1.5076306459071989</v>
      </c>
      <c r="O147" s="63">
        <f t="shared" ca="1" si="33"/>
        <v>1.4993608181527642</v>
      </c>
      <c r="P147" s="63">
        <f t="shared" ca="1" si="33"/>
        <v>0.98040845404891941</v>
      </c>
      <c r="Q147" s="63">
        <f t="shared" ca="1" si="33"/>
        <v>1.0662226690123147</v>
      </c>
      <c r="R147" s="63">
        <f t="shared" ca="1" si="33"/>
        <v>1.0342171717171718</v>
      </c>
      <c r="S147" s="63"/>
      <c r="T147" s="17"/>
      <c r="U147" s="17"/>
      <c r="V147" s="17"/>
    </row>
    <row r="148" spans="1:22">
      <c r="A148" s="51" t="str">
        <f t="shared" si="29"/>
        <v>DUK</v>
      </c>
      <c r="B148" s="46">
        <f t="shared" ca="1" si="30"/>
        <v>24</v>
      </c>
      <c r="C148" s="1">
        <f>IF(ISERROR(D148),"",IF(D148="","",MAX($C$134:C147)+1))</f>
        <v>13</v>
      </c>
      <c r="D148" t="str">
        <f t="shared" si="31"/>
        <v xml:space="preserve">Duke Energy                   </v>
      </c>
      <c r="E148" s="22"/>
      <c r="F148" s="63">
        <f t="shared" ca="1" si="34"/>
        <v>0.91013174264621854</v>
      </c>
      <c r="G148" s="63">
        <f t="shared" si="32"/>
        <v>0.77695167286245348</v>
      </c>
      <c r="H148" s="63">
        <f ca="1">IFERROR(VLOOKUP($A148,LASTYR,'2016'!$P$3,FALSE),"N/A")</f>
        <v>0.81509701426419767</v>
      </c>
      <c r="I148" s="63">
        <f t="shared" ca="1" si="33"/>
        <v>0.95586739882041905</v>
      </c>
      <c r="J148" s="63">
        <f t="shared" ca="1" si="33"/>
        <v>1.196323046618516</v>
      </c>
      <c r="K148" s="63">
        <f t="shared" ca="1" si="33"/>
        <v>1.0933946595119459</v>
      </c>
      <c r="L148" s="63">
        <f t="shared" ca="1" si="33"/>
        <v>0.86997696442283079</v>
      </c>
      <c r="M148" s="63">
        <f t="shared" ca="1" si="33"/>
        <v>0.8858950806286997</v>
      </c>
      <c r="N148" s="63">
        <f t="shared" ca="1" si="33"/>
        <v>0.78262473485197825</v>
      </c>
      <c r="O148" s="63">
        <f t="shared" ca="1" si="33"/>
        <v>0.76977759723773742</v>
      </c>
      <c r="P148" s="63">
        <f t="shared" ca="1" si="33"/>
        <v>0.70981150314161423</v>
      </c>
      <c r="Q148" s="63">
        <f t="shared" ca="1" si="33"/>
        <v>1.0912639655404495</v>
      </c>
      <c r="R148" s="63">
        <f t="shared" ca="1" si="33"/>
        <v>0.97459727385377937</v>
      </c>
      <c r="S148" s="63"/>
      <c r="T148" s="17"/>
      <c r="U148" s="17"/>
      <c r="V148" s="17"/>
    </row>
    <row r="149" spans="1:22">
      <c r="A149" s="51" t="str">
        <f t="shared" si="29"/>
        <v>EIX</v>
      </c>
      <c r="B149" s="46">
        <f t="shared" ca="1" si="30"/>
        <v>25</v>
      </c>
      <c r="C149" s="1">
        <f>IF(ISERROR(D149),"",IF(D149="","",MAX($C$134:C148)+1))</f>
        <v>14</v>
      </c>
      <c r="D149" t="str">
        <f t="shared" si="31"/>
        <v xml:space="preserve">Edison Int'l                  </v>
      </c>
      <c r="E149" s="22"/>
      <c r="F149" s="63">
        <f t="shared" ca="1" si="34"/>
        <v>0.8066607911720074</v>
      </c>
      <c r="G149" s="63">
        <f t="shared" si="32"/>
        <v>0.84351145038167952</v>
      </c>
      <c r="H149" s="63">
        <f ca="1">IFERROR(VLOOKUP($A149,LASTYR,'2016'!$P$3,FALSE),"N/A")</f>
        <v>0.90969374400139602</v>
      </c>
      <c r="I149" s="63">
        <f t="shared" ca="1" si="33"/>
        <v>0.79811844540407151</v>
      </c>
      <c r="J149" s="63">
        <f t="shared" ca="1" si="33"/>
        <v>0.83001084327300023</v>
      </c>
      <c r="K149" s="63">
        <f t="shared" ca="1" si="33"/>
        <v>0.79639688575049805</v>
      </c>
      <c r="L149" s="63">
        <f t="shared" ca="1" si="33"/>
        <v>0.75608606879220985</v>
      </c>
      <c r="M149" s="63">
        <f t="shared" ca="1" si="33"/>
        <v>0.61191299044521241</v>
      </c>
      <c r="N149" s="63">
        <f t="shared" ca="1" si="33"/>
        <v>0.60334193918531265</v>
      </c>
      <c r="O149" s="63">
        <f t="shared" ca="1" si="33"/>
        <v>0.79072768787848702</v>
      </c>
      <c r="P149" s="63">
        <f t="shared" ca="1" si="33"/>
        <v>0.9326257498846332</v>
      </c>
      <c r="Q149" s="63">
        <f t="shared" ca="1" si="33"/>
        <v>0.87572054415494582</v>
      </c>
      <c r="R149" s="63">
        <f t="shared" ca="1" si="33"/>
        <v>0.93178314491264136</v>
      </c>
      <c r="S149" s="63"/>
      <c r="T149" s="17"/>
      <c r="U149" s="17"/>
      <c r="V149" s="17"/>
    </row>
    <row r="150" spans="1:22">
      <c r="A150" s="51" t="str">
        <f t="shared" si="29"/>
        <v>EE</v>
      </c>
      <c r="B150" s="46">
        <f t="shared" ca="1" si="30"/>
        <v>26</v>
      </c>
      <c r="C150" s="1">
        <f>IF(ISERROR(D150),"",IF(D150="","",MAX($C$134:C149)+1))</f>
        <v>15</v>
      </c>
      <c r="D150" t="str">
        <f t="shared" si="31"/>
        <v xml:space="preserve">El Paso Electric              </v>
      </c>
      <c r="E150" s="22"/>
      <c r="F150" s="63">
        <f t="shared" ca="1" si="34"/>
        <v>0.86487765369105274</v>
      </c>
      <c r="G150" s="63">
        <f t="shared" si="32"/>
        <v>0.97637795275590555</v>
      </c>
      <c r="H150" s="63">
        <f ca="1">IFERROR(VLOOKUP($A150,LASTYR,'2016'!$P$3,FALSE),"N/A")</f>
        <v>0.8503130335799659</v>
      </c>
      <c r="I150" s="63">
        <f t="shared" ca="1" si="33"/>
        <v>0.67220014028524666</v>
      </c>
      <c r="J150" s="63">
        <f t="shared" ca="1" si="33"/>
        <v>0.6908598988354312</v>
      </c>
      <c r="K150" s="63">
        <f t="shared" ca="1" si="33"/>
        <v>0.78566457898399444</v>
      </c>
      <c r="L150" s="63">
        <f t="shared" ca="1" si="33"/>
        <v>0.84505150022391395</v>
      </c>
      <c r="M150" s="63">
        <f t="shared" ca="1" si="33"/>
        <v>1.0254237288135593</v>
      </c>
      <c r="N150" s="63">
        <f t="shared" ca="1" si="33"/>
        <v>0.97835580026580582</v>
      </c>
      <c r="O150" s="63">
        <f t="shared" ca="1" si="33"/>
        <v>0.68398923646148679</v>
      </c>
      <c r="P150" s="63">
        <f t="shared" ca="1" si="33"/>
        <v>0.77665732959850597</v>
      </c>
      <c r="Q150" s="63">
        <f t="shared" ca="1" si="33"/>
        <v>0.83531445861249198</v>
      </c>
      <c r="R150" s="63">
        <f t="shared" ca="1" si="33"/>
        <v>1.2583241858763263</v>
      </c>
      <c r="S150" s="63"/>
      <c r="T150" s="17"/>
      <c r="U150" s="17"/>
      <c r="V150" s="17"/>
    </row>
    <row r="151" spans="1:22">
      <c r="A151" s="51" t="str">
        <f t="shared" si="29"/>
        <v>ETR</v>
      </c>
      <c r="B151" s="46">
        <f t="shared" ca="1" si="30"/>
        <v>28</v>
      </c>
      <c r="C151" s="1">
        <f>IF(ISERROR(D151),"",IF(D151="","",MAX($C$134:C150)+1))</f>
        <v>16</v>
      </c>
      <c r="D151" t="str">
        <f t="shared" si="31"/>
        <v xml:space="preserve">Entergy Corp.                 </v>
      </c>
      <c r="E151" s="22"/>
      <c r="F151" s="63">
        <f t="shared" ca="1" si="34"/>
        <v>1.0630127828317579</v>
      </c>
      <c r="G151" s="63">
        <f t="shared" si="32"/>
        <v>0.89688249400479603</v>
      </c>
      <c r="H151" s="63">
        <f ca="1">IFERROR(VLOOKUP($A151,LASTYR,'2016'!$P$3,FALSE),"N/A")</f>
        <v>1.0836902419261489</v>
      </c>
      <c r="I151" s="63">
        <f t="shared" ca="1" si="33"/>
        <v>1.0548075777433574</v>
      </c>
      <c r="J151" s="63">
        <f t="shared" ca="1" si="33"/>
        <v>1.1925516124679529</v>
      </c>
      <c r="K151" s="63">
        <f t="shared" ca="1" si="33"/>
        <v>1.0329348931841302</v>
      </c>
      <c r="L151" s="63">
        <f t="shared" ca="1" si="33"/>
        <v>0.87893289328932889</v>
      </c>
      <c r="M151" s="63">
        <f t="shared" ca="1" si="33"/>
        <v>1.1530417625780993</v>
      </c>
      <c r="N151" s="63">
        <f t="shared" ca="1" si="33"/>
        <v>1.2408074440942518</v>
      </c>
      <c r="O151" s="63">
        <f t="shared" ca="1" si="33"/>
        <v>1.0229407236335644</v>
      </c>
      <c r="P151" s="63">
        <f t="shared" ca="1" si="33"/>
        <v>0.92587271943686256</v>
      </c>
      <c r="Q151" s="63">
        <f t="shared" ca="1" si="33"/>
        <v>1.1403576982892689</v>
      </c>
      <c r="R151" s="63">
        <f t="shared" ca="1" si="33"/>
        <v>1.1333333333333333</v>
      </c>
      <c r="S151" s="63"/>
      <c r="T151" s="17"/>
      <c r="U151" s="17"/>
      <c r="V151" s="17"/>
    </row>
    <row r="152" spans="1:22">
      <c r="A152" s="51" t="str">
        <f t="shared" si="29"/>
        <v>ES</v>
      </c>
      <c r="B152" s="46">
        <f t="shared" ca="1" si="30"/>
        <v>29</v>
      </c>
      <c r="C152" s="1">
        <f>IF(ISERROR(D152),"",IF(D152="","",MAX($C$134:C151)+1))</f>
        <v>17</v>
      </c>
      <c r="D152" t="str">
        <f t="shared" si="31"/>
        <v xml:space="preserve">Eversource Energy    </v>
      </c>
      <c r="E152" s="22"/>
      <c r="F152" s="63">
        <f t="shared" ca="1" si="34"/>
        <v>0.85635400817135743</v>
      </c>
      <c r="G152" s="63">
        <f t="shared" si="32"/>
        <v>0.67836257309941517</v>
      </c>
      <c r="H152" s="63">
        <f ca="1">IFERROR(VLOOKUP($A152,LASTYR,'2016'!$P$3,FALSE),"N/A")</f>
        <v>0.87495992305226034</v>
      </c>
      <c r="I152" s="63">
        <f t="shared" ref="I152:R167" ca="1" si="35">IFERROR(IF(INDEX(CF_CAP_WP,$B152,I$135)=0,"N/A",INDEX(CF_CAP_WP,$B152,I$135)),"N/A")</f>
        <v>0.90857247976453281</v>
      </c>
      <c r="J152" s="63">
        <f t="shared" ca="1" si="35"/>
        <v>0.90096857086380699</v>
      </c>
      <c r="K152" s="63">
        <f t="shared" ca="1" si="35"/>
        <v>1.1296256221597056</v>
      </c>
      <c r="L152" s="63">
        <f t="shared" ca="1" si="35"/>
        <v>0.86049488054607515</v>
      </c>
      <c r="M152" s="63">
        <f t="shared" ca="1" si="35"/>
        <v>0.80223757815070751</v>
      </c>
      <c r="N152" s="63">
        <f t="shared" ca="1" si="35"/>
        <v>1.0493621741541874</v>
      </c>
      <c r="O152" s="63">
        <f t="shared" ca="1" si="35"/>
        <v>0.9590021272481144</v>
      </c>
      <c r="P152" s="63">
        <f t="shared" ca="1" si="35"/>
        <v>0.76501986097318775</v>
      </c>
      <c r="Q152" s="63">
        <f t="shared" ca="1" si="35"/>
        <v>0.67544843049327352</v>
      </c>
      <c r="R152" s="63">
        <f t="shared" ca="1" si="35"/>
        <v>0.67219387755102034</v>
      </c>
      <c r="S152" s="63"/>
      <c r="T152" s="17"/>
      <c r="U152" s="17"/>
      <c r="V152" s="17"/>
    </row>
    <row r="153" spans="1:22">
      <c r="A153" s="51" t="str">
        <f t="shared" si="29"/>
        <v>EXC</v>
      </c>
      <c r="B153" s="46">
        <f t="shared" ca="1" si="30"/>
        <v>30</v>
      </c>
      <c r="C153" s="1">
        <f>IF(ISERROR(D153),"",IF(D153="","",MAX($C$134:C152)+1))</f>
        <v>18</v>
      </c>
      <c r="D153" t="str">
        <f t="shared" si="31"/>
        <v xml:space="preserve">Exelon Corp.                  </v>
      </c>
      <c r="E153" s="22"/>
      <c r="F153" s="63">
        <f t="shared" ca="1" si="34"/>
        <v>1.2749837786965112</v>
      </c>
      <c r="G153" s="63">
        <f t="shared" si="32"/>
        <v>0.93023255813953487</v>
      </c>
      <c r="H153" s="63">
        <f ca="1">IFERROR(VLOOKUP($A153,LASTYR,'2016'!$P$3,FALSE),"N/A")</f>
        <v>0.75680639585133969</v>
      </c>
      <c r="I153" s="63">
        <f t="shared" ca="1" si="35"/>
        <v>0.82058397683397688</v>
      </c>
      <c r="J153" s="63">
        <f t="shared" ca="1" si="35"/>
        <v>0.93477645727221292</v>
      </c>
      <c r="K153" s="63">
        <f t="shared" ca="1" si="35"/>
        <v>1.0686477037978706</v>
      </c>
      <c r="L153" s="63">
        <f t="shared" ca="1" si="35"/>
        <v>0.9754873006497341</v>
      </c>
      <c r="M153" s="63">
        <f t="shared" ca="1" si="35"/>
        <v>1.1872640735269981</v>
      </c>
      <c r="N153" s="63">
        <f t="shared" ca="1" si="35"/>
        <v>1.6555223880597016</v>
      </c>
      <c r="O153" s="63">
        <f t="shared" ca="1" si="35"/>
        <v>1.6623664583753275</v>
      </c>
      <c r="P153" s="63">
        <f t="shared" ca="1" si="35"/>
        <v>1.6121199324324325</v>
      </c>
      <c r="Q153" s="63">
        <f t="shared" ca="1" si="35"/>
        <v>1.8358872960949084</v>
      </c>
      <c r="R153" s="63">
        <f t="shared" ca="1" si="35"/>
        <v>1.8601108033240998</v>
      </c>
      <c r="S153" s="63"/>
      <c r="T153" s="17"/>
      <c r="U153" s="17"/>
      <c r="V153" s="17"/>
    </row>
    <row r="154" spans="1:22">
      <c r="A154" s="51" t="str">
        <f t="shared" si="29"/>
        <v>FE</v>
      </c>
      <c r="B154" s="46">
        <f t="shared" ca="1" si="30"/>
        <v>31</v>
      </c>
      <c r="C154" s="1">
        <f>IF(ISERROR(D154),"",IF(D154="","",MAX($C$134:C153)+1))</f>
        <v>19</v>
      </c>
      <c r="D154" t="str">
        <f t="shared" si="31"/>
        <v xml:space="preserve">FirstEnergy Corp.             </v>
      </c>
      <c r="E154" s="22"/>
      <c r="F154" s="63">
        <f t="shared" ca="1" si="34"/>
        <v>1.0829131615116363</v>
      </c>
      <c r="G154" s="63">
        <f t="shared" si="32"/>
        <v>0.96212121212121215</v>
      </c>
      <c r="H154" s="63">
        <f ca="1">IFERROR(VLOOKUP($A154,LASTYR,'2016'!$P$3,FALSE),"N/A")</f>
        <v>0.94188058840496103</v>
      </c>
      <c r="I154" s="63">
        <f t="shared" ca="1" si="35"/>
        <v>0.92594760720035119</v>
      </c>
      <c r="J154" s="63">
        <f t="shared" ca="1" si="35"/>
        <v>0.54050843430743645</v>
      </c>
      <c r="K154" s="63">
        <f t="shared" ca="1" si="35"/>
        <v>0.91346571966951728</v>
      </c>
      <c r="L154" s="63">
        <f t="shared" ca="1" si="35"/>
        <v>0.8542401580358403</v>
      </c>
      <c r="M154" s="63">
        <f t="shared" ca="1" si="35"/>
        <v>1.054892601431981</v>
      </c>
      <c r="N154" s="63">
        <f t="shared" ca="1" si="35"/>
        <v>1.3203416149068323</v>
      </c>
      <c r="O154" s="63">
        <f t="shared" ca="1" si="35"/>
        <v>1.2173792721737926</v>
      </c>
      <c r="P154" s="63">
        <f t="shared" ca="1" si="35"/>
        <v>0.95429596791218074</v>
      </c>
      <c r="Q154" s="63">
        <f t="shared" ca="1" si="35"/>
        <v>1.5572148590629085</v>
      </c>
      <c r="R154" s="63">
        <f t="shared" ca="1" si="35"/>
        <v>1.7526699029126214</v>
      </c>
      <c r="S154" s="63"/>
      <c r="T154" s="17"/>
      <c r="U154" s="17"/>
      <c r="V154" s="17"/>
    </row>
    <row r="155" spans="1:22">
      <c r="A155" s="51" t="str">
        <f t="shared" si="29"/>
        <v>FTS.TO</v>
      </c>
      <c r="B155" s="46">
        <f t="shared" ca="1" si="30"/>
        <v>32</v>
      </c>
      <c r="C155" s="1">
        <f>IF(ISERROR(D155),"",IF(D155="","",MAX($C$134:C154)+1))</f>
        <v>20</v>
      </c>
      <c r="D155" t="str">
        <f t="shared" si="31"/>
        <v>Fortis Inc.</v>
      </c>
      <c r="E155" s="22"/>
      <c r="F155" s="63">
        <f t="shared" ca="1" si="34"/>
        <v>0.67382326839739315</v>
      </c>
      <c r="G155" s="63">
        <f t="shared" si="32"/>
        <v>0.74149659863945583</v>
      </c>
      <c r="H155" s="63">
        <f ca="1">IFERROR(VLOOKUP($A155,LASTYR,'2016'!$P$3,FALSE),"N/A")</f>
        <v>0.76076368595363331</v>
      </c>
      <c r="I155" s="63">
        <f t="shared" ca="1" si="35"/>
        <v>0.65453175997991464</v>
      </c>
      <c r="J155" s="63">
        <f t="shared" ca="1" si="35"/>
        <v>0.60383333333333333</v>
      </c>
      <c r="K155" s="63">
        <f t="shared" ca="1" si="35"/>
        <v>0.77089201877934277</v>
      </c>
      <c r="L155" s="63">
        <f t="shared" ca="1" si="35"/>
        <v>0.72235915492957747</v>
      </c>
      <c r="M155" s="63">
        <f t="shared" ca="1" si="35"/>
        <v>0.66040609137055839</v>
      </c>
      <c r="N155" s="63">
        <f t="shared" ca="1" si="35"/>
        <v>0.67668534555951765</v>
      </c>
      <c r="O155" s="63">
        <f t="shared" ca="1" si="35"/>
        <v>0.63104281767955794</v>
      </c>
      <c r="P155" s="63">
        <f t="shared" ca="1" si="35"/>
        <v>0.6559985027138312</v>
      </c>
      <c r="Q155" s="63">
        <f t="shared" ca="1" si="35"/>
        <v>0.57389114855704049</v>
      </c>
      <c r="R155" s="63">
        <f t="shared" ca="1" si="35"/>
        <v>0.63397876327295444</v>
      </c>
      <c r="S155" s="63"/>
      <c r="T155" s="17"/>
      <c r="U155" s="17"/>
      <c r="V155" s="17"/>
    </row>
    <row r="156" spans="1:22">
      <c r="A156" s="51" t="str">
        <f t="shared" si="29"/>
        <v>GXP</v>
      </c>
      <c r="B156" s="46">
        <f t="shared" ca="1" si="30"/>
        <v>34</v>
      </c>
      <c r="C156" s="1">
        <f>IF(ISERROR(D156),"",IF(D156="","",MAX($C$134:C155)+1))</f>
        <v>21</v>
      </c>
      <c r="D156" t="str">
        <f t="shared" si="31"/>
        <v xml:space="preserve">Great Plains Energy             </v>
      </c>
      <c r="E156" s="22"/>
      <c r="F156" s="63">
        <f t="shared" ca="1" si="34"/>
        <v>0.81306915865881824</v>
      </c>
      <c r="G156" s="63">
        <f t="shared" si="32"/>
        <v>1.0545454545454545</v>
      </c>
      <c r="H156" s="63">
        <f ca="1">IFERROR(VLOOKUP($A156,LASTYR,'2016'!$P$3,FALSE),"N/A")</f>
        <v>1.1726668996854246</v>
      </c>
      <c r="I156" s="63">
        <f t="shared" ca="1" si="35"/>
        <v>0.9002939181550984</v>
      </c>
      <c r="J156" s="63">
        <f t="shared" ca="1" si="35"/>
        <v>0.78561630413482275</v>
      </c>
      <c r="K156" s="63">
        <f t="shared" ca="1" si="35"/>
        <v>0.90598870056497183</v>
      </c>
      <c r="L156" s="63">
        <f t="shared" ca="1" si="35"/>
        <v>0.85931653778997241</v>
      </c>
      <c r="M156" s="63">
        <f t="shared" ca="1" si="35"/>
        <v>1.0335689045936396</v>
      </c>
      <c r="N156" s="63">
        <f t="shared" ca="1" si="35"/>
        <v>0.86481947942905124</v>
      </c>
      <c r="O156" s="63">
        <f t="shared" ca="1" si="35"/>
        <v>0.50315919247958085</v>
      </c>
      <c r="P156" s="63">
        <f t="shared" ca="1" si="35"/>
        <v>0.34909706546275399</v>
      </c>
      <c r="Q156" s="63">
        <f t="shared" ca="1" si="35"/>
        <v>0.68931880994960171</v>
      </c>
      <c r="R156" s="63">
        <f t="shared" ca="1" si="35"/>
        <v>0.63843863711544813</v>
      </c>
      <c r="S156" s="63"/>
      <c r="T156" s="17"/>
      <c r="U156" s="17"/>
      <c r="V156" s="17"/>
    </row>
    <row r="157" spans="1:22">
      <c r="A157" s="51" t="str">
        <f t="shared" si="29"/>
        <v>HE</v>
      </c>
      <c r="B157" s="46">
        <f t="shared" ca="1" si="30"/>
        <v>35</v>
      </c>
      <c r="C157" s="1">
        <f>IF(ISERROR(D157),"",IF(D157="","",MAX($C$134:C156)+1))</f>
        <v>22</v>
      </c>
      <c r="D157" t="str">
        <f t="shared" si="31"/>
        <v xml:space="preserve">Hawaiian Elec.                </v>
      </c>
      <c r="E157" s="22"/>
      <c r="F157" s="63">
        <f t="shared" ca="1" si="34"/>
        <v>1.0967599052238859</v>
      </c>
      <c r="G157" s="63">
        <f t="shared" si="32"/>
        <v>1.028169014084507</v>
      </c>
      <c r="H157" s="63">
        <f ca="1">IFERROR(VLOOKUP($A157,LASTYR,'2016'!$P$3,FALSE),"N/A")</f>
        <v>1.3723684210526315</v>
      </c>
      <c r="I157" s="63">
        <f t="shared" ca="1" si="35"/>
        <v>0.97725258493353029</v>
      </c>
      <c r="J157" s="63">
        <f t="shared" ca="1" si="35"/>
        <v>1.0289855072463769</v>
      </c>
      <c r="K157" s="63">
        <f t="shared" ca="1" si="35"/>
        <v>0.92188841201716731</v>
      </c>
      <c r="L157" s="63">
        <f t="shared" ca="1" si="35"/>
        <v>0.9873646209386282</v>
      </c>
      <c r="M157" s="63">
        <f t="shared" ca="1" si="35"/>
        <v>1.3002450980392157</v>
      </c>
      <c r="N157" s="63">
        <f t="shared" ca="1" si="35"/>
        <v>1.4976599063962557</v>
      </c>
      <c r="O157" s="63">
        <f t="shared" ca="1" si="35"/>
        <v>0.78658166363084403</v>
      </c>
      <c r="P157" s="63">
        <f t="shared" ca="1" si="35"/>
        <v>0.87355584082156612</v>
      </c>
      <c r="Q157" s="63">
        <f t="shared" ca="1" si="35"/>
        <v>1.1521406727828745</v>
      </c>
      <c r="R157" s="63">
        <f t="shared" ca="1" si="35"/>
        <v>1.234907120743034</v>
      </c>
      <c r="S157" s="63"/>
      <c r="T157" s="17"/>
      <c r="U157" s="17"/>
      <c r="V157" s="17"/>
    </row>
    <row r="158" spans="1:22">
      <c r="A158" s="51" t="str">
        <f t="shared" si="29"/>
        <v>IDA</v>
      </c>
      <c r="B158" s="46">
        <f t="shared" ca="1" si="30"/>
        <v>36</v>
      </c>
      <c r="C158" s="1">
        <f>IF(ISERROR(D158),"",IF(D158="","",MAX($C$134:C157)+1))</f>
        <v>23</v>
      </c>
      <c r="D158" t="str">
        <f t="shared" si="31"/>
        <v xml:space="preserve">IDACORP, Inc.                 </v>
      </c>
      <c r="E158" s="22"/>
      <c r="F158" s="63">
        <f t="shared" ca="1" si="34"/>
        <v>1.0164377449504187</v>
      </c>
      <c r="G158" s="63">
        <f t="shared" si="32"/>
        <v>1.1307692307692307</v>
      </c>
      <c r="H158" s="63">
        <f ca="1">IFERROR(VLOOKUP($A158,LASTYR,'2016'!$P$3,FALSE),"N/A")</f>
        <v>1.1637813985064493</v>
      </c>
      <c r="I158" s="63">
        <f t="shared" ca="1" si="35"/>
        <v>1.1470638589282658</v>
      </c>
      <c r="J158" s="63">
        <f t="shared" ca="1" si="35"/>
        <v>1.2061628760088041</v>
      </c>
      <c r="K158" s="63">
        <f t="shared" ca="1" si="35"/>
        <v>1.3439368061485908</v>
      </c>
      <c r="L158" s="63">
        <f t="shared" ca="1" si="35"/>
        <v>1.2410041841004185</v>
      </c>
      <c r="M158" s="63">
        <f t="shared" ca="1" si="35"/>
        <v>0.86305826678497499</v>
      </c>
      <c r="N158" s="63">
        <f t="shared" ca="1" si="35"/>
        <v>0.78147823546596551</v>
      </c>
      <c r="O158" s="63">
        <f t="shared" ca="1" si="35"/>
        <v>0.96444866920152106</v>
      </c>
      <c r="P158" s="63">
        <f t="shared" ca="1" si="35"/>
        <v>0.82315546137545748</v>
      </c>
      <c r="Q158" s="63">
        <f t="shared" ca="1" si="35"/>
        <v>0.64406514249921709</v>
      </c>
      <c r="R158" s="63">
        <f t="shared" ca="1" si="35"/>
        <v>0.88832880961613014</v>
      </c>
      <c r="S158" s="63"/>
      <c r="T158" s="17"/>
      <c r="U158" s="17"/>
      <c r="V158" s="17"/>
    </row>
    <row r="159" spans="1:22">
      <c r="A159" s="51" t="str">
        <f t="shared" si="29"/>
        <v>MGEE</v>
      </c>
      <c r="B159" s="46">
        <f t="shared" ca="1" si="30"/>
        <v>40</v>
      </c>
      <c r="C159" s="1">
        <f>IF(ISERROR(D159),"",IF(D159="","",MAX($C$134:C158)+1))</f>
        <v>24</v>
      </c>
      <c r="D159" t="str">
        <f t="shared" si="31"/>
        <v xml:space="preserve">MGE Energy                    </v>
      </c>
      <c r="E159" s="22"/>
      <c r="F159" s="63">
        <f t="shared" ca="1" si="34"/>
        <v>1.2004176890126208</v>
      </c>
      <c r="G159" s="63">
        <f t="shared" si="32"/>
        <v>1.5306122448979591</v>
      </c>
      <c r="H159" s="63">
        <f ca="1">IFERROR(VLOOKUP($A159,LASTYR,'2016'!$P$3,FALSE),"N/A")</f>
        <v>1.4368006630750105</v>
      </c>
      <c r="I159" s="63">
        <f t="shared" ca="1" si="35"/>
        <v>1.6044273339749762</v>
      </c>
      <c r="J159" s="63">
        <f t="shared" ca="1" si="35"/>
        <v>1.3060231949120837</v>
      </c>
      <c r="K159" s="63">
        <f t="shared" ca="1" si="35"/>
        <v>0.95544554455445541</v>
      </c>
      <c r="L159" s="63">
        <f t="shared" ca="1" si="35"/>
        <v>1.0479041916167664</v>
      </c>
      <c r="M159" s="63">
        <f t="shared" ca="1" si="35"/>
        <v>1.5627659574468087</v>
      </c>
      <c r="N159" s="63">
        <f t="shared" ca="1" si="35"/>
        <v>1.5711845102505695</v>
      </c>
      <c r="O159" s="63">
        <f t="shared" ca="1" si="35"/>
        <v>1.1282922684791843</v>
      </c>
      <c r="P159" s="63">
        <f t="shared" ca="1" si="35"/>
        <v>0.87008769080870396</v>
      </c>
      <c r="Q159" s="63">
        <f t="shared" ca="1" si="35"/>
        <v>0.59473175447075877</v>
      </c>
      <c r="R159" s="63">
        <f t="shared" ca="1" si="35"/>
        <v>0.79673691366417398</v>
      </c>
      <c r="S159" s="63"/>
      <c r="T159" s="17"/>
      <c r="U159" s="17"/>
      <c r="V159" s="17"/>
    </row>
    <row r="160" spans="1:22">
      <c r="A160" s="51" t="str">
        <f t="shared" si="29"/>
        <v>NEE</v>
      </c>
      <c r="B160" s="46">
        <f t="shared" ca="1" si="30"/>
        <v>43</v>
      </c>
      <c r="C160" s="1">
        <f>IF(ISERROR(D160),"",IF(D160="","",MAX($C$134:C159)+1))</f>
        <v>25</v>
      </c>
      <c r="D160" t="str">
        <f t="shared" si="31"/>
        <v>NextEra Energy, Inc.</v>
      </c>
      <c r="E160" s="22"/>
      <c r="F160" s="63">
        <f t="shared" ca="1" si="34"/>
        <v>0.65864679300642093</v>
      </c>
      <c r="G160" s="63">
        <f t="shared" si="32"/>
        <v>0.9285714285714286</v>
      </c>
      <c r="H160" s="63">
        <f ca="1">IFERROR(VLOOKUP($A160,LASTYR,'2016'!$P$3,FALSE),"N/A")</f>
        <v>0.62991743564837299</v>
      </c>
      <c r="I160" s="63">
        <f t="shared" ca="1" si="35"/>
        <v>0.71091299323097246</v>
      </c>
      <c r="J160" s="63">
        <f t="shared" ca="1" si="35"/>
        <v>0.76401515151515154</v>
      </c>
      <c r="K160" s="63">
        <f t="shared" ca="1" si="35"/>
        <v>0.68589284551786989</v>
      </c>
      <c r="L160" s="63">
        <f t="shared" ca="1" si="35"/>
        <v>0.38926234650891817</v>
      </c>
      <c r="M160" s="63">
        <f t="shared" ca="1" si="35"/>
        <v>0.58312935417058942</v>
      </c>
      <c r="N160" s="63">
        <f t="shared" ca="1" si="35"/>
        <v>0.69260672377798582</v>
      </c>
      <c r="O160" s="63">
        <f t="shared" ca="1" si="35"/>
        <v>0.60261707988980717</v>
      </c>
      <c r="P160" s="63">
        <f t="shared" ca="1" si="35"/>
        <v>0.6267864115579852</v>
      </c>
      <c r="Q160" s="63">
        <f t="shared" ca="1" si="35"/>
        <v>0.55612369125882644</v>
      </c>
      <c r="R160" s="63">
        <f t="shared" ca="1" si="35"/>
        <v>0.73392605442914449</v>
      </c>
      <c r="S160" s="63"/>
      <c r="T160" s="17"/>
      <c r="U160" s="17"/>
      <c r="V160" s="17"/>
    </row>
    <row r="161" spans="1:22">
      <c r="A161" s="51" t="str">
        <f t="shared" si="29"/>
        <v>NWE</v>
      </c>
      <c r="B161" s="46">
        <f t="shared" ca="1" si="30"/>
        <v>46</v>
      </c>
      <c r="C161" s="1">
        <f>IF(ISERROR(D161),"",IF(D161="","",MAX($C$134:C160)+1))</f>
        <v>26</v>
      </c>
      <c r="D161" t="str">
        <f t="shared" si="31"/>
        <v xml:space="preserve">NorthWestern Corp             </v>
      </c>
      <c r="E161" s="22"/>
      <c r="F161" s="63">
        <f t="shared" ca="1" si="34"/>
        <v>1.0388082145351281</v>
      </c>
      <c r="G161" s="63">
        <f t="shared" si="32"/>
        <v>1.1300813008130082</v>
      </c>
      <c r="H161" s="63">
        <f ca="1">IFERROR(VLOOKUP($A161,LASTYR,'2016'!$P$3,FALSE),"N/A")</f>
        <v>1.130938391807957</v>
      </c>
      <c r="I161" s="63">
        <f t="shared" ca="1" si="35"/>
        <v>1.0059432840889795</v>
      </c>
      <c r="J161" s="63">
        <f t="shared" ca="1" si="35"/>
        <v>0.93492972410203024</v>
      </c>
      <c r="K161" s="63">
        <f t="shared" ca="1" si="35"/>
        <v>0.91661062542030924</v>
      </c>
      <c r="L161" s="63">
        <f t="shared" ca="1" si="35"/>
        <v>0.87979626485568774</v>
      </c>
      <c r="M161" s="63">
        <f t="shared" ca="1" si="35"/>
        <v>1.0420991926182239</v>
      </c>
      <c r="N161" s="63">
        <f t="shared" ca="1" si="35"/>
        <v>0.75583055687767731</v>
      </c>
      <c r="O161" s="63">
        <f t="shared" ca="1" si="35"/>
        <v>0.87811370983076631</v>
      </c>
      <c r="P161" s="63">
        <f t="shared" ca="1" si="35"/>
        <v>1.2699740409576001</v>
      </c>
      <c r="Q161" s="63">
        <f t="shared" ca="1" si="35"/>
        <v>1.2330226364846872</v>
      </c>
      <c r="R161" s="63">
        <f t="shared" ca="1" si="35"/>
        <v>1.2883588465646136</v>
      </c>
      <c r="S161" s="63"/>
      <c r="T161" s="17"/>
      <c r="U161" s="17"/>
      <c r="V161" s="17"/>
    </row>
    <row r="162" spans="1:22">
      <c r="A162" s="51" t="str">
        <f t="shared" si="29"/>
        <v>OGE</v>
      </c>
      <c r="B162" s="46">
        <f t="shared" ca="1" si="30"/>
        <v>47</v>
      </c>
      <c r="C162" s="1">
        <f>IF(ISERROR(D162),"",IF(D162="","",MAX($C$134:C161)+1))</f>
        <v>27</v>
      </c>
      <c r="D162" t="str">
        <f t="shared" si="31"/>
        <v xml:space="preserve">OGE Energy                    </v>
      </c>
      <c r="E162" s="22"/>
      <c r="F162" s="63">
        <f t="shared" ca="1" si="34"/>
        <v>0.78529034026437461</v>
      </c>
      <c r="G162" s="63">
        <f t="shared" si="32"/>
        <v>0.69072164948453618</v>
      </c>
      <c r="H162" s="63">
        <f ca="1">IFERROR(VLOOKUP($A162,LASTYR,'2016'!$P$3,FALSE),"N/A")</f>
        <v>1.0012102874432678</v>
      </c>
      <c r="I162" s="63">
        <f t="shared" ca="1" si="35"/>
        <v>1.178271965001823</v>
      </c>
      <c r="J162" s="63">
        <f t="shared" ca="1" si="35"/>
        <v>1.1894921190893171</v>
      </c>
      <c r="K162" s="63">
        <f t="shared" ca="1" si="35"/>
        <v>0.69278557114228456</v>
      </c>
      <c r="L162" s="63">
        <f t="shared" ca="1" si="35"/>
        <v>0.63085070037581137</v>
      </c>
      <c r="M162" s="63">
        <f t="shared" ca="1" si="35"/>
        <v>0.51166023166023167</v>
      </c>
      <c r="N162" s="63">
        <f t="shared" ca="1" si="35"/>
        <v>0.69012147604859042</v>
      </c>
      <c r="O162" s="63">
        <f t="shared" ca="1" si="35"/>
        <v>0.61441647597254001</v>
      </c>
      <c r="P162" s="63">
        <f t="shared" ca="1" si="35"/>
        <v>0.59860383944153572</v>
      </c>
      <c r="Q162" s="63">
        <f t="shared" ca="1" si="35"/>
        <v>0.78801843317972364</v>
      </c>
      <c r="R162" s="63">
        <f t="shared" ca="1" si="35"/>
        <v>0.83733133433283358</v>
      </c>
      <c r="S162" s="63"/>
      <c r="T162" s="17"/>
      <c r="U162" s="17"/>
      <c r="V162" s="17"/>
    </row>
    <row r="163" spans="1:22">
      <c r="A163" s="51" t="str">
        <f t="shared" si="29"/>
        <v>OTTR</v>
      </c>
      <c r="B163" s="46">
        <f t="shared" ca="1" si="30"/>
        <v>49</v>
      </c>
      <c r="C163" s="1">
        <f>IF(ISERROR(D163),"",IF(D163="","",MAX($C$134:C162)+1))</f>
        <v>28</v>
      </c>
      <c r="D163" t="str">
        <f t="shared" si="31"/>
        <v xml:space="preserve">Otter Tail Corp.              </v>
      </c>
      <c r="E163" s="22"/>
      <c r="F163" s="63">
        <f t="shared" ca="1" si="34"/>
        <v>0.83744559703918664</v>
      </c>
      <c r="G163" s="63">
        <f t="shared" si="32"/>
        <v>0.97333333333333327</v>
      </c>
      <c r="H163" s="63">
        <f ca="1">IFERROR(VLOOKUP($A163,LASTYR,'2016'!$P$3,FALSE),"N/A")</f>
        <v>0.84016593460224509</v>
      </c>
      <c r="I163" s="63">
        <f t="shared" ca="1" si="35"/>
        <v>0.74296524000945852</v>
      </c>
      <c r="J163" s="63">
        <f t="shared" ca="1" si="35"/>
        <v>0.70284414106939708</v>
      </c>
      <c r="K163" s="63">
        <f t="shared" ca="1" si="35"/>
        <v>0.66607851786501993</v>
      </c>
      <c r="L163" s="63">
        <f t="shared" ca="1" si="35"/>
        <v>0.84629803186504216</v>
      </c>
      <c r="M163" s="63">
        <f t="shared" ca="1" si="35"/>
        <v>1.1582557569818717</v>
      </c>
      <c r="N163" s="63">
        <f t="shared" ca="1" si="35"/>
        <v>1.0921329406815314</v>
      </c>
      <c r="O163" s="63">
        <f t="shared" ca="1" si="35"/>
        <v>0.55843105539830173</v>
      </c>
      <c r="P163" s="63">
        <f t="shared" ca="1" si="35"/>
        <v>0.37410167686984291</v>
      </c>
      <c r="Q163" s="63">
        <f t="shared" ca="1" si="35"/>
        <v>0.65468951538603282</v>
      </c>
      <c r="R163" s="63">
        <f t="shared" ca="1" si="35"/>
        <v>1.4400510204081634</v>
      </c>
      <c r="S163" s="63"/>
      <c r="T163" s="17"/>
      <c r="U163" s="17"/>
      <c r="V163" s="17"/>
    </row>
    <row r="164" spans="1:22">
      <c r="A164" s="51" t="str">
        <f t="shared" si="29"/>
        <v>PCG</v>
      </c>
      <c r="B164" s="46">
        <f t="shared" ca="1" si="30"/>
        <v>51</v>
      </c>
      <c r="C164" s="1">
        <f>IF(ISERROR(D164),"",IF(D164="","",MAX($C$134:C163)+1))</f>
        <v>29</v>
      </c>
      <c r="D164" t="str">
        <f t="shared" si="31"/>
        <v xml:space="preserve">PG&amp;E Corp.                    </v>
      </c>
      <c r="E164" s="22"/>
      <c r="F164" s="63">
        <f t="shared" ca="1" si="34"/>
        <v>0.8089446703635027</v>
      </c>
      <c r="G164" s="63">
        <f t="shared" si="32"/>
        <v>0.79399141630901282</v>
      </c>
      <c r="H164" s="63">
        <f ca="1">IFERROR(VLOOKUP($A164,LASTYR,'2016'!$P$3,FALSE),"N/A")</f>
        <v>0.73079996448548346</v>
      </c>
      <c r="I164" s="63">
        <f t="shared" ca="1" si="35"/>
        <v>0.69317101008179571</v>
      </c>
      <c r="J164" s="63">
        <f t="shared" ca="1" si="35"/>
        <v>0.80059084194977859</v>
      </c>
      <c r="K164" s="63">
        <f t="shared" ca="1" si="35"/>
        <v>0.55525346430450806</v>
      </c>
      <c r="L164" s="63">
        <f t="shared" ca="1" si="35"/>
        <v>0.6814456035767511</v>
      </c>
      <c r="M164" s="63">
        <f t="shared" ca="1" si="35"/>
        <v>0.82542113323124056</v>
      </c>
      <c r="N164" s="63">
        <f t="shared" ca="1" si="35"/>
        <v>0.8547817047817049</v>
      </c>
      <c r="O164" s="63">
        <f t="shared" ca="1" si="35"/>
        <v>0.78342696629213493</v>
      </c>
      <c r="P164" s="63">
        <f t="shared" ca="1" si="35"/>
        <v>0.83986863057324845</v>
      </c>
      <c r="Q164" s="63">
        <f t="shared" ca="1" si="35"/>
        <v>1.0245273377618804</v>
      </c>
      <c r="R164" s="63">
        <f t="shared" ca="1" si="35"/>
        <v>1.1240579710144927</v>
      </c>
      <c r="S164" s="63"/>
      <c r="T164" s="17"/>
      <c r="U164" s="17"/>
      <c r="V164" s="17"/>
    </row>
    <row r="165" spans="1:22">
      <c r="A165" s="51" t="str">
        <f t="shared" si="29"/>
        <v>PNW</v>
      </c>
      <c r="B165" s="46">
        <f t="shared" ca="1" si="30"/>
        <v>52</v>
      </c>
      <c r="C165" s="1">
        <f>IF(ISERROR(D165),"",IF(D165="","",MAX($C$134:C164)+1))</f>
        <v>30</v>
      </c>
      <c r="D165" t="str">
        <f t="shared" si="31"/>
        <v xml:space="preserve">Pinnacle West Capital         </v>
      </c>
      <c r="E165" s="22"/>
      <c r="F165" s="63">
        <f t="shared" ca="1" si="34"/>
        <v>0.94883184949208188</v>
      </c>
      <c r="G165" s="63">
        <f t="shared" si="32"/>
        <v>0.78884462151394419</v>
      </c>
      <c r="H165" s="63">
        <f ca="1">IFERROR(VLOOKUP($A165,LASTYR,'2016'!$P$3,FALSE),"N/A")</f>
        <v>0.80687580575848727</v>
      </c>
      <c r="I165" s="63">
        <f t="shared" ca="1" si="35"/>
        <v>0.92360052829421913</v>
      </c>
      <c r="J165" s="63">
        <f t="shared" ca="1" si="35"/>
        <v>0.96537726838586446</v>
      </c>
      <c r="K165" s="63">
        <f t="shared" ca="1" si="35"/>
        <v>0.871246928090608</v>
      </c>
      <c r="L165" s="63">
        <f t="shared" ca="1" si="35"/>
        <v>0.96032516379519528</v>
      </c>
      <c r="M165" s="63">
        <f t="shared" ca="1" si="35"/>
        <v>0.91056517003509618</v>
      </c>
      <c r="N165" s="63">
        <f t="shared" ca="1" si="35"/>
        <v>0.97356076759061838</v>
      </c>
      <c r="O165" s="63">
        <f t="shared" ca="1" si="35"/>
        <v>1.0567765567765566</v>
      </c>
      <c r="P165" s="63">
        <f t="shared" ca="1" si="35"/>
        <v>0.85983086680761101</v>
      </c>
      <c r="Q165" s="63">
        <f t="shared" ca="1" si="35"/>
        <v>0.99167644861807691</v>
      </c>
      <c r="R165" s="63">
        <f t="shared" ca="1" si="35"/>
        <v>1.2773020682387037</v>
      </c>
      <c r="S165" s="63"/>
      <c r="T165" s="17"/>
      <c r="U165" s="17"/>
      <c r="V165" s="17"/>
    </row>
    <row r="166" spans="1:22">
      <c r="A166" s="51" t="str">
        <f t="shared" si="29"/>
        <v>PNM</v>
      </c>
      <c r="B166" s="46">
        <f t="shared" ca="1" si="30"/>
        <v>53</v>
      </c>
      <c r="C166" s="1">
        <f>IF(ISERROR(D166),"",IF(D166="","",MAX($C$134:C165)+1))</f>
        <v>31</v>
      </c>
      <c r="D166" t="str">
        <f t="shared" si="31"/>
        <v xml:space="preserve">PNM Resources                 </v>
      </c>
      <c r="E166" s="22"/>
      <c r="F166" s="63">
        <f t="shared" ca="1" si="34"/>
        <v>0.69003075912147194</v>
      </c>
      <c r="G166" s="63">
        <f t="shared" si="32"/>
        <v>0.79646017699115035</v>
      </c>
      <c r="H166" s="63">
        <f ca="1">IFERROR(VLOOKUP($A166,LASTYR,'2016'!$P$3,FALSE),"N/A")</f>
        <v>0.5682240509689408</v>
      </c>
      <c r="I166" s="63">
        <f t="shared" ca="1" si="35"/>
        <v>0.56723228290317984</v>
      </c>
      <c r="J166" s="63">
        <f t="shared" ca="1" si="35"/>
        <v>0.62597267854054983</v>
      </c>
      <c r="K166" s="63">
        <f t="shared" ca="1" si="35"/>
        <v>0.80407415884641797</v>
      </c>
      <c r="L166" s="63">
        <f t="shared" ca="1" si="35"/>
        <v>0.87158329035585347</v>
      </c>
      <c r="M166" s="63">
        <f t="shared" ca="1" si="35"/>
        <v>0.7743664717348927</v>
      </c>
      <c r="N166" s="63">
        <f t="shared" ca="1" si="35"/>
        <v>0.82112068965517226</v>
      </c>
      <c r="O166" s="63">
        <f t="shared" ca="1" si="35"/>
        <v>0.69756244357508279</v>
      </c>
      <c r="P166" s="63">
        <f t="shared" ca="1" si="35"/>
        <v>0.44054189663823379</v>
      </c>
      <c r="Q166" s="63">
        <f t="shared" ca="1" si="35"/>
        <v>0.42772911051212942</v>
      </c>
      <c r="R166" s="63">
        <f t="shared" ca="1" si="35"/>
        <v>0.88550185873605947</v>
      </c>
      <c r="S166" s="63"/>
      <c r="T166" s="17"/>
      <c r="U166" s="17"/>
      <c r="V166" s="17"/>
    </row>
    <row r="167" spans="1:22">
      <c r="A167" s="51" t="str">
        <f t="shared" si="29"/>
        <v>POR</v>
      </c>
      <c r="B167" s="46">
        <f t="shared" ca="1" si="30"/>
        <v>54</v>
      </c>
      <c r="C167" s="1">
        <f>IF(ISERROR(D167),"",IF(D167="","",MAX($C$134:C166)+1))</f>
        <v>32</v>
      </c>
      <c r="D167" t="str">
        <f t="shared" si="31"/>
        <v xml:space="preserve">Portland General              </v>
      </c>
      <c r="E167" s="22"/>
      <c r="F167" s="63">
        <f t="shared" ca="1" si="34"/>
        <v>0.8071805995956377</v>
      </c>
      <c r="G167" s="63">
        <f t="shared" si="32"/>
        <v>0.90370370370370368</v>
      </c>
      <c r="H167" s="63">
        <f ca="1">IFERROR(VLOOKUP($A167,LASTYR,'2016'!$P$3,FALSE),"N/A")</f>
        <v>0.88014011574779172</v>
      </c>
      <c r="I167" s="63">
        <f t="shared" ca="1" si="35"/>
        <v>0.7976243504083147</v>
      </c>
      <c r="J167" s="63">
        <f t="shared" ca="1" si="35"/>
        <v>0.47269478753981203</v>
      </c>
      <c r="K167" s="63">
        <f t="shared" ca="1" si="35"/>
        <v>0.58683490060707055</v>
      </c>
      <c r="L167" s="63">
        <f t="shared" ca="1" si="35"/>
        <v>1.283790523690773</v>
      </c>
      <c r="M167" s="63">
        <f t="shared" ca="1" si="35"/>
        <v>1.2466716905300177</v>
      </c>
      <c r="N167" s="63">
        <f t="shared" ca="1" si="35"/>
        <v>0.80669456066945622</v>
      </c>
      <c r="O167" s="63">
        <f t="shared" ca="1" si="35"/>
        <v>0.43970175059433758</v>
      </c>
      <c r="P167" s="63">
        <f t="shared" ca="1" si="35"/>
        <v>0.77013559875837279</v>
      </c>
      <c r="Q167" s="63">
        <f t="shared" ca="1" si="35"/>
        <v>0.71650405386835236</v>
      </c>
      <c r="R167" s="63">
        <f t="shared" ca="1" si="35"/>
        <v>0.78167115902964956</v>
      </c>
      <c r="S167" s="63"/>
      <c r="T167" s="17"/>
      <c r="U167" s="17"/>
      <c r="V167" s="17"/>
    </row>
    <row r="168" spans="1:22">
      <c r="A168" s="51" t="str">
        <f t="shared" si="29"/>
        <v>PPL</v>
      </c>
      <c r="B168" s="46">
        <f t="shared" ca="1" si="30"/>
        <v>55</v>
      </c>
      <c r="C168" s="1">
        <f>IF(ISERROR(D168),"",IF(D168="","",MAX($C$134:C167)+1))</f>
        <v>33</v>
      </c>
      <c r="D168" t="str">
        <f t="shared" si="31"/>
        <v xml:space="preserve">PPL Corp.                     </v>
      </c>
      <c r="E168" s="22"/>
      <c r="F168" s="63">
        <f t="shared" ca="1" si="34"/>
        <v>0.96536018106233357</v>
      </c>
      <c r="G168" s="63">
        <f t="shared" si="32"/>
        <v>0.72727272727272729</v>
      </c>
      <c r="H168" s="63">
        <f ca="1">IFERROR(VLOOKUP($A168,LASTYR,'2016'!$P$3,FALSE),"N/A")</f>
        <v>0.99581005586592164</v>
      </c>
      <c r="I168" s="63">
        <f t="shared" ref="I168:R180" ca="1" si="36">IFERROR(IF(INDEX(CF_CAP_WP,$B168,I$135)=0,"N/A",INDEX(CF_CAP_WP,$B168,I$135)),"N/A")</f>
        <v>0.72038909021552544</v>
      </c>
      <c r="J168" s="63">
        <f t="shared" ca="1" si="36"/>
        <v>0.74523848282598082</v>
      </c>
      <c r="K168" s="63">
        <f t="shared" ca="1" si="36"/>
        <v>0.69425321759952108</v>
      </c>
      <c r="L168" s="63">
        <f t="shared" ca="1" si="36"/>
        <v>0.90742128935532218</v>
      </c>
      <c r="M168" s="63">
        <f t="shared" ca="1" si="36"/>
        <v>1.0674418604651164</v>
      </c>
      <c r="N168" s="63">
        <f t="shared" ca="1" si="36"/>
        <v>1.1077481840193706</v>
      </c>
      <c r="O168" s="63">
        <f t="shared" ca="1" si="36"/>
        <v>1.0668103448275861</v>
      </c>
      <c r="P168" s="63">
        <f t="shared" ca="1" si="36"/>
        <v>1.245377707342842</v>
      </c>
      <c r="Q168" s="63">
        <f t="shared" ca="1" si="36"/>
        <v>1.1300398759415151</v>
      </c>
      <c r="R168" s="63">
        <f t="shared" ca="1" si="36"/>
        <v>1.1765193370165747</v>
      </c>
      <c r="S168" s="63"/>
      <c r="T168" s="17"/>
      <c r="U168" s="17"/>
      <c r="V168" s="17"/>
    </row>
    <row r="169" spans="1:22">
      <c r="A169" s="51" t="str">
        <f t="shared" si="29"/>
        <v>PEG</v>
      </c>
      <c r="B169" s="46">
        <f t="shared" ca="1" si="30"/>
        <v>56</v>
      </c>
      <c r="C169" s="1">
        <f>IF(ISERROR(D169),"",IF(D169="","",MAX($C$134:C168)+1))</f>
        <v>34</v>
      </c>
      <c r="D169" t="str">
        <f t="shared" si="31"/>
        <v xml:space="preserve">Public Serv. Enterprise       </v>
      </c>
      <c r="E169" s="22"/>
      <c r="F169" s="63">
        <f t="shared" ca="1" si="34"/>
        <v>1.1528282335827156</v>
      </c>
      <c r="G169" s="63">
        <f t="shared" si="32"/>
        <v>0.62087912087912089</v>
      </c>
      <c r="H169" s="63">
        <f ca="1">IFERROR(VLOOKUP($A169,LASTYR,'2016'!$P$3,FALSE),"N/A")</f>
        <v>0.60971504148130329</v>
      </c>
      <c r="I169" s="63">
        <f t="shared" ca="1" si="36"/>
        <v>0.80405493786788762</v>
      </c>
      <c r="J169" s="63">
        <f t="shared" ca="1" si="36"/>
        <v>1.0443049327354259</v>
      </c>
      <c r="K169" s="63">
        <f t="shared" ca="1" si="36"/>
        <v>0.92945834083138379</v>
      </c>
      <c r="L169" s="63">
        <f t="shared" ca="1" si="36"/>
        <v>0.95813679245283012</v>
      </c>
      <c r="M169" s="63">
        <f t="shared" ca="1" si="36"/>
        <v>1.3019188729657518</v>
      </c>
      <c r="N169" s="63">
        <f t="shared" ca="1" si="36"/>
        <v>1.2347153900210821</v>
      </c>
      <c r="O169" s="63">
        <f t="shared" ca="1" si="36"/>
        <v>1.4055273547659335</v>
      </c>
      <c r="P169" s="63">
        <f t="shared" ca="1" si="36"/>
        <v>1.3365714285714285</v>
      </c>
      <c r="Q169" s="63">
        <f t="shared" ca="1" si="36"/>
        <v>1.6439079592606562</v>
      </c>
      <c r="R169" s="63">
        <f t="shared" ca="1" si="36"/>
        <v>1.944748631159781</v>
      </c>
      <c r="S169" s="63"/>
      <c r="T169" s="17"/>
      <c r="U169" s="17"/>
      <c r="V169" s="17"/>
    </row>
    <row r="170" spans="1:22">
      <c r="A170" s="51" t="str">
        <f t="shared" si="29"/>
        <v>SCG</v>
      </c>
      <c r="B170" s="46">
        <f t="shared" ca="1" si="30"/>
        <v>57</v>
      </c>
      <c r="C170" s="1">
        <f>IF(ISERROR(D170),"",IF(D170="","",MAX($C$134:C169)+1))</f>
        <v>35</v>
      </c>
      <c r="D170" t="str">
        <f t="shared" si="31"/>
        <v xml:space="preserve">SCANA Corp.                   </v>
      </c>
      <c r="E170" s="22"/>
      <c r="F170" s="63">
        <f t="shared" ca="1" si="34"/>
        <v>0.84023426094192388</v>
      </c>
      <c r="G170" s="63">
        <f t="shared" si="32"/>
        <v>0.63675213675213682</v>
      </c>
      <c r="H170" s="63">
        <f ca="1">IFERROR(VLOOKUP($A170,LASTYR,'2016'!$P$3,FALSE),"N/A")</f>
        <v>0.6592760180995475</v>
      </c>
      <c r="I170" s="63">
        <f t="shared" ca="1" si="36"/>
        <v>0.83083405626471674</v>
      </c>
      <c r="J170" s="63">
        <f t="shared" ca="1" si="36"/>
        <v>0.90303188708834292</v>
      </c>
      <c r="K170" s="63">
        <f t="shared" ca="1" si="36"/>
        <v>0.83273839877613465</v>
      </c>
      <c r="L170" s="63">
        <f t="shared" ca="1" si="36"/>
        <v>0.77261583721500371</v>
      </c>
      <c r="M170" s="63">
        <f t="shared" ca="1" si="36"/>
        <v>0.88348516015280631</v>
      </c>
      <c r="N170" s="63">
        <f t="shared" ca="1" si="36"/>
        <v>0.85947046843177199</v>
      </c>
      <c r="O170" s="63">
        <f t="shared" ca="1" si="36"/>
        <v>0.76045883940620773</v>
      </c>
      <c r="P170" s="63">
        <f t="shared" ca="1" si="36"/>
        <v>0.76325732899022802</v>
      </c>
      <c r="Q170" s="63">
        <f t="shared" ca="1" si="36"/>
        <v>0.92275506919858374</v>
      </c>
      <c r="R170" s="63">
        <f t="shared" ca="1" si="36"/>
        <v>1.2581359309276068</v>
      </c>
      <c r="S170" s="63"/>
      <c r="T170" s="17"/>
      <c r="U170" s="17"/>
      <c r="V170" s="17"/>
    </row>
    <row r="171" spans="1:22">
      <c r="A171" s="51" t="str">
        <f t="shared" si="29"/>
        <v>SRE</v>
      </c>
      <c r="B171" s="46">
        <f t="shared" ca="1" si="30"/>
        <v>58</v>
      </c>
      <c r="C171" s="1">
        <f>IF(ISERROR(D171),"",IF(D171="","",MAX($C$134:C170)+1))</f>
        <v>36</v>
      </c>
      <c r="D171" t="str">
        <f t="shared" si="31"/>
        <v xml:space="preserve">Sempra Energy                 </v>
      </c>
      <c r="E171" s="22"/>
      <c r="F171" s="63">
        <f t="shared" ca="1" si="34"/>
        <v>0.82063882520953646</v>
      </c>
      <c r="G171" s="63">
        <f t="shared" si="32"/>
        <v>0.8037037037037037</v>
      </c>
      <c r="H171" s="63">
        <f ca="1">IFERROR(VLOOKUP($A171,LASTYR,'2016'!$P$3,FALSE),"N/A")</f>
        <v>0.56381336815861327</v>
      </c>
      <c r="I171" s="63">
        <f t="shared" ca="1" si="36"/>
        <v>0.8120525529069309</v>
      </c>
      <c r="J171" s="63">
        <f t="shared" ca="1" si="36"/>
        <v>0.74191512856917496</v>
      </c>
      <c r="K171" s="63">
        <f t="shared" ca="1" si="36"/>
        <v>0.84288565725691467</v>
      </c>
      <c r="L171" s="63">
        <f t="shared" ca="1" si="36"/>
        <v>0.73171531649721222</v>
      </c>
      <c r="M171" s="63">
        <f t="shared" ca="1" si="36"/>
        <v>0.72361427486712226</v>
      </c>
      <c r="N171" s="63">
        <f t="shared" ca="1" si="36"/>
        <v>0.90438432835820892</v>
      </c>
      <c r="O171" s="63">
        <f t="shared" ca="1" si="36"/>
        <v>1.0241103661681279</v>
      </c>
      <c r="P171" s="63">
        <f t="shared" ca="1" si="36"/>
        <v>0.87343565525383693</v>
      </c>
      <c r="Q171" s="63">
        <f t="shared" ca="1" si="36"/>
        <v>0.90050655929341472</v>
      </c>
      <c r="R171" s="63">
        <f t="shared" ca="1" si="36"/>
        <v>0.92552899148117618</v>
      </c>
      <c r="S171" s="63"/>
      <c r="T171" s="17"/>
      <c r="U171" s="17"/>
      <c r="V171" s="17"/>
    </row>
    <row r="172" spans="1:22">
      <c r="A172" s="51" t="str">
        <f t="shared" si="29"/>
        <v>SO</v>
      </c>
      <c r="B172" s="46">
        <f t="shared" ca="1" si="30"/>
        <v>62</v>
      </c>
      <c r="C172" s="1">
        <f>IF(ISERROR(D172),"",IF(D172="","",MAX($C$134:C171)+1))</f>
        <v>37</v>
      </c>
      <c r="D172" t="str">
        <f t="shared" si="31"/>
        <v xml:space="preserve">Southern Co.                  </v>
      </c>
      <c r="E172" s="22"/>
      <c r="F172" s="63">
        <f t="shared" ca="1" si="34"/>
        <v>0.86561837279089604</v>
      </c>
      <c r="G172" s="63">
        <f t="shared" si="32"/>
        <v>0.71839080459770122</v>
      </c>
      <c r="H172" s="63">
        <f ca="1">IFERROR(VLOOKUP($A172,LASTYR,'2016'!$P$3,FALSE),"N/A")</f>
        <v>0.77089825226934028</v>
      </c>
      <c r="I172" s="63">
        <f t="shared" ca="1" si="36"/>
        <v>0.8791579623975575</v>
      </c>
      <c r="J172" s="63">
        <f t="shared" ca="1" si="36"/>
        <v>0.80179222357229651</v>
      </c>
      <c r="K172" s="63">
        <f t="shared" ca="1" si="36"/>
        <v>0.85514777525170504</v>
      </c>
      <c r="L172" s="63">
        <f t="shared" ca="1" si="36"/>
        <v>0.9346806207145435</v>
      </c>
      <c r="M172" s="63">
        <f t="shared" ca="1" si="36"/>
        <v>0.93957934990439762</v>
      </c>
      <c r="N172" s="63">
        <f t="shared" ca="1" si="36"/>
        <v>0.93147574819401446</v>
      </c>
      <c r="O172" s="63">
        <f t="shared" ca="1" si="36"/>
        <v>0.77781677781677783</v>
      </c>
      <c r="P172" s="63">
        <f t="shared" ca="1" si="36"/>
        <v>0.86992348440258971</v>
      </c>
      <c r="Q172" s="63">
        <f t="shared" ca="1" si="36"/>
        <v>0.90830822212656048</v>
      </c>
      <c r="R172" s="63">
        <f t="shared" ca="1" si="36"/>
        <v>1.0002492522432702</v>
      </c>
      <c r="S172" s="63"/>
      <c r="T172" s="17"/>
      <c r="U172" s="17"/>
      <c r="V172" s="17"/>
    </row>
    <row r="173" spans="1:22">
      <c r="A173" s="51" t="str">
        <f t="shared" si="29"/>
        <v>VVC</v>
      </c>
      <c r="B173" s="46">
        <f t="shared" ca="1" si="30"/>
        <v>70</v>
      </c>
      <c r="C173" s="1">
        <f>IF(ISERROR(D173),"",IF(D173="","",MAX($C$134:C172)+1))</f>
        <v>38</v>
      </c>
      <c r="D173" t="str">
        <f t="shared" si="31"/>
        <v xml:space="preserve">Vectren Corp.                 </v>
      </c>
      <c r="E173" s="22"/>
      <c r="F173" s="63">
        <f t="shared" ca="1" si="34"/>
        <v>0.99668532052176051</v>
      </c>
      <c r="G173" s="63">
        <f t="shared" si="32"/>
        <v>0.83571428571428563</v>
      </c>
      <c r="H173" s="63">
        <f ca="1">IFERROR(VLOOKUP($A173,LASTYR,'2016'!$P$3,FALSE),"N/A")</f>
        <v>0.87014377485469563</v>
      </c>
      <c r="I173" s="63">
        <f t="shared" ca="1" si="36"/>
        <v>0.95104166666666667</v>
      </c>
      <c r="J173" s="63">
        <f t="shared" ca="1" si="36"/>
        <v>0.98231066887783325</v>
      </c>
      <c r="K173" s="63">
        <f t="shared" ca="1" si="36"/>
        <v>1.053414327607876</v>
      </c>
      <c r="L173" s="63">
        <f t="shared" ca="1" si="36"/>
        <v>1.1307865168539326</v>
      </c>
      <c r="M173" s="63">
        <f t="shared" ca="1" si="36"/>
        <v>1.2011215906194239</v>
      </c>
      <c r="N173" s="63">
        <f t="shared" ca="1" si="36"/>
        <v>1.3088712054229297</v>
      </c>
      <c r="O173" s="63">
        <f t="shared" ca="1" si="36"/>
        <v>0.82616857518302977</v>
      </c>
      <c r="P173" s="63">
        <f t="shared" ca="1" si="36"/>
        <v>0.82159138002486531</v>
      </c>
      <c r="Q173" s="63">
        <f t="shared" ca="1" si="36"/>
        <v>0.9801415202008672</v>
      </c>
      <c r="R173" s="63">
        <f t="shared" ca="1" si="36"/>
        <v>0.99891833423472143</v>
      </c>
      <c r="S173" s="63"/>
      <c r="T173" s="17"/>
      <c r="U173" s="17"/>
      <c r="V173" s="17"/>
    </row>
    <row r="174" spans="1:22">
      <c r="A174" s="51" t="str">
        <f t="shared" si="29"/>
        <v>WEC</v>
      </c>
      <c r="B174" s="46">
        <f t="shared" ca="1" si="30"/>
        <v>71</v>
      </c>
      <c r="C174" s="1">
        <f>IF(ISERROR(D174),"",IF(D174="","",MAX($C$134:C173)+1))</f>
        <v>39</v>
      </c>
      <c r="D174" t="str">
        <f t="shared" si="31"/>
        <v>WEC Energy Group</v>
      </c>
      <c r="E174" s="22"/>
      <c r="F174" s="63">
        <f t="shared" ca="1" si="34"/>
        <v>0.98283761828746552</v>
      </c>
      <c r="G174" s="63">
        <f t="shared" si="32"/>
        <v>0.79999999999999993</v>
      </c>
      <c r="H174" s="63">
        <f ca="1">IFERROR(VLOOKUP($A174,LASTYR,'2016'!$P$3,FALSE),"N/A")</f>
        <v>1.1950786965196187</v>
      </c>
      <c r="I174" s="63">
        <f t="shared" ca="1" si="36"/>
        <v>0.96509598603839442</v>
      </c>
      <c r="J174" s="63">
        <f t="shared" ca="1" si="36"/>
        <v>1.3688725490196079</v>
      </c>
      <c r="K174" s="63">
        <f t="shared" ca="1" si="36"/>
        <v>1.4220907297830374</v>
      </c>
      <c r="L174" s="63">
        <f t="shared" ca="1" si="36"/>
        <v>1.2983479105928084</v>
      </c>
      <c r="M174" s="63">
        <f t="shared" ca="1" si="36"/>
        <v>1.0219140083217753</v>
      </c>
      <c r="N174" s="63">
        <f t="shared" ca="1" si="36"/>
        <v>0.96719390743995315</v>
      </c>
      <c r="O174" s="63">
        <f t="shared" ca="1" si="36"/>
        <v>0.88876179582499293</v>
      </c>
      <c r="P174" s="63">
        <f t="shared" ca="1" si="36"/>
        <v>0.6076495990129549</v>
      </c>
      <c r="Q174" s="63">
        <f t="shared" ca="1" si="36"/>
        <v>0.56474820143884896</v>
      </c>
      <c r="R174" s="63">
        <f t="shared" ca="1" si="36"/>
        <v>0.69429803545759461</v>
      </c>
      <c r="S174" s="63"/>
      <c r="T174" s="17"/>
      <c r="U174" s="17"/>
      <c r="V174" s="17"/>
    </row>
    <row r="175" spans="1:22">
      <c r="A175" s="51" t="str">
        <f t="shared" si="29"/>
        <v>WR</v>
      </c>
      <c r="B175" s="46">
        <f t="shared" ca="1" si="30"/>
        <v>72</v>
      </c>
      <c r="C175" s="1">
        <f>IF(ISERROR(D175),"",IF(D175="","",MAX($C$134:C174)+1))</f>
        <v>40</v>
      </c>
      <c r="D175" t="str">
        <f t="shared" si="31"/>
        <v xml:space="preserve">Westar Energy                 </v>
      </c>
      <c r="E175" s="22"/>
      <c r="F175" s="63">
        <f t="shared" ca="1" si="34"/>
        <v>0.71481477329187593</v>
      </c>
      <c r="G175" s="63">
        <f t="shared" si="32"/>
        <v>0.86725663716814161</v>
      </c>
      <c r="H175" s="63">
        <f ca="1">IFERROR(VLOOKUP($A175,LASTYR,'2016'!$P$3,FALSE),"N/A")</f>
        <v>0.63031567962431512</v>
      </c>
      <c r="I175" s="63">
        <f t="shared" ca="1" si="36"/>
        <v>0.86051675413807027</v>
      </c>
      <c r="J175" s="63">
        <f t="shared" ca="1" si="36"/>
        <v>0.70386398763523961</v>
      </c>
      <c r="K175" s="63">
        <f t="shared" ca="1" si="36"/>
        <v>0.72443275238408411</v>
      </c>
      <c r="L175" s="63">
        <f t="shared" ca="1" si="36"/>
        <v>0.67135050741608115</v>
      </c>
      <c r="M175" s="63">
        <f t="shared" ca="1" si="36"/>
        <v>0.71454316092989723</v>
      </c>
      <c r="N175" s="63">
        <f t="shared" ca="1" si="36"/>
        <v>0.87917791156321368</v>
      </c>
      <c r="O175" s="63">
        <f t="shared" ca="1" si="36"/>
        <v>0.68346965950161698</v>
      </c>
      <c r="P175" s="63">
        <f t="shared" ca="1" si="36"/>
        <v>0.36230209176008316</v>
      </c>
      <c r="Q175" s="63">
        <f t="shared" ca="1" si="36"/>
        <v>0.48156182212581344</v>
      </c>
      <c r="R175" s="63">
        <f t="shared" ca="1" si="36"/>
        <v>0.99898631525595538</v>
      </c>
      <c r="S175" s="63"/>
      <c r="T175" s="17"/>
      <c r="U175" s="17"/>
      <c r="V175" s="17"/>
    </row>
    <row r="176" spans="1:22">
      <c r="A176" s="51" t="str">
        <f t="shared" si="29"/>
        <v>XEL</v>
      </c>
      <c r="B176" s="46">
        <f t="shared" ca="1" si="30"/>
        <v>74</v>
      </c>
      <c r="C176" s="1">
        <f>IF(ISERROR(D176),"",IF(D176="","",MAX($C$134:C175)+1))</f>
        <v>41</v>
      </c>
      <c r="D176" t="str">
        <f t="shared" si="31"/>
        <v xml:space="preserve">Xcel Energy Inc.              </v>
      </c>
      <c r="E176" s="22"/>
      <c r="F176" s="63">
        <f t="shared" ca="1" si="34"/>
        <v>0.7554923662165437</v>
      </c>
      <c r="G176" s="63">
        <f t="shared" si="32"/>
        <v>0.76388888888888884</v>
      </c>
      <c r="H176" s="63">
        <f ca="1">IFERROR(VLOOKUP($A176,LASTYR,'2016'!$P$3,FALSE),"N/A")</f>
        <v>0.78575880336553439</v>
      </c>
      <c r="I176" s="63">
        <f t="shared" ca="1" si="36"/>
        <v>0.62794543199669295</v>
      </c>
      <c r="J176" s="63">
        <f t="shared" ca="1" si="36"/>
        <v>0.67725620357199312</v>
      </c>
      <c r="K176" s="63">
        <f t="shared" ca="1" si="36"/>
        <v>0.60149603989439726</v>
      </c>
      <c r="L176" s="63">
        <f t="shared" ca="1" si="36"/>
        <v>0.75963546610973987</v>
      </c>
      <c r="M176" s="63">
        <f t="shared" ca="1" si="36"/>
        <v>0.83480370533745041</v>
      </c>
      <c r="N176" s="63">
        <f t="shared" ca="1" si="36"/>
        <v>0.76397650641722858</v>
      </c>
      <c r="O176" s="63">
        <f t="shared" ca="1" si="36"/>
        <v>0.89016897081413204</v>
      </c>
      <c r="P176" s="63">
        <f t="shared" ca="1" si="36"/>
        <v>0.75198625724715473</v>
      </c>
      <c r="Q176" s="63">
        <f t="shared" ca="1" si="36"/>
        <v>0.70633946830265859</v>
      </c>
      <c r="R176" s="63">
        <f t="shared" ca="1" si="36"/>
        <v>0.90265265265265271</v>
      </c>
      <c r="S176" s="63"/>
      <c r="T176" s="17"/>
      <c r="U176" s="17"/>
      <c r="V176" s="17"/>
    </row>
    <row r="177" spans="1:22" hidden="1">
      <c r="A177" s="51">
        <f t="shared" si="29"/>
        <v>0</v>
      </c>
      <c r="B177" s="46" t="e">
        <f t="shared" ca="1" si="30"/>
        <v>#N/A</v>
      </c>
      <c r="C177" s="1" t="str">
        <f>IF(ISERROR(D177),"",IF(D177="","",MAX($C$134:C176)+1))</f>
        <v/>
      </c>
      <c r="D177" t="e">
        <f t="shared" si="31"/>
        <v>#N/A</v>
      </c>
      <c r="E177" s="22"/>
      <c r="F177" s="63" t="e">
        <f t="shared" ca="1" si="34"/>
        <v>#DIV/0!</v>
      </c>
      <c r="G177" s="63" t="str">
        <f t="shared" si="32"/>
        <v>N/A</v>
      </c>
      <c r="H177" s="63" t="str">
        <f ca="1">IFERROR(VLOOKUP($A177,LASTYR,'2016'!$P$3,FALSE),"N/A")</f>
        <v>N/A</v>
      </c>
      <c r="I177" s="63" t="str">
        <f t="shared" ca="1" si="36"/>
        <v>N/A</v>
      </c>
      <c r="J177" s="63" t="str">
        <f t="shared" ca="1" si="36"/>
        <v>N/A</v>
      </c>
      <c r="K177" s="63" t="str">
        <f t="shared" ca="1" si="36"/>
        <v>N/A</v>
      </c>
      <c r="L177" s="63" t="str">
        <f t="shared" ca="1" si="36"/>
        <v>N/A</v>
      </c>
      <c r="M177" s="63" t="str">
        <f t="shared" ca="1" si="36"/>
        <v>N/A</v>
      </c>
      <c r="N177" s="63" t="str">
        <f t="shared" ca="1" si="36"/>
        <v>N/A</v>
      </c>
      <c r="O177" s="63" t="str">
        <f t="shared" ca="1" si="36"/>
        <v>N/A</v>
      </c>
      <c r="P177" s="63" t="str">
        <f t="shared" ca="1" si="36"/>
        <v>N/A</v>
      </c>
      <c r="Q177" s="63" t="str">
        <f t="shared" ca="1" si="36"/>
        <v>N/A</v>
      </c>
      <c r="R177" s="63" t="str">
        <f t="shared" ca="1" si="36"/>
        <v>N/A</v>
      </c>
      <c r="S177" s="63"/>
      <c r="T177" s="17"/>
      <c r="U177" s="17"/>
      <c r="V177" s="17"/>
    </row>
    <row r="178" spans="1:22" hidden="1">
      <c r="A178" s="51">
        <f t="shared" si="29"/>
        <v>0</v>
      </c>
      <c r="B178" s="46" t="e">
        <f t="shared" ca="1" si="30"/>
        <v>#N/A</v>
      </c>
      <c r="C178" s="1" t="str">
        <f>IF(ISERROR(D178),"",IF(D178="","",MAX($C$134:C177)+1))</f>
        <v/>
      </c>
      <c r="D178" t="e">
        <f t="shared" si="31"/>
        <v>#N/A</v>
      </c>
      <c r="F178" s="63" t="e">
        <f t="shared" ca="1" si="34"/>
        <v>#DIV/0!</v>
      </c>
      <c r="G178" s="63" t="str">
        <f t="shared" si="32"/>
        <v>N/A</v>
      </c>
      <c r="H178" s="63" t="str">
        <f ca="1">IFERROR(VLOOKUP($A178,LASTYR,'2016'!$P$3,FALSE),"N/A")</f>
        <v>N/A</v>
      </c>
      <c r="I178" s="63" t="str">
        <f t="shared" ca="1" si="36"/>
        <v>N/A</v>
      </c>
      <c r="J178" s="63" t="str">
        <f t="shared" ca="1" si="36"/>
        <v>N/A</v>
      </c>
      <c r="K178" s="63" t="str">
        <f t="shared" ca="1" si="36"/>
        <v>N/A</v>
      </c>
      <c r="L178" s="63" t="str">
        <f t="shared" ca="1" si="36"/>
        <v>N/A</v>
      </c>
      <c r="M178" s="63" t="str">
        <f t="shared" ca="1" si="36"/>
        <v>N/A</v>
      </c>
      <c r="N178" s="63" t="str">
        <f t="shared" ca="1" si="36"/>
        <v>N/A</v>
      </c>
      <c r="O178" s="63" t="str">
        <f t="shared" ca="1" si="36"/>
        <v>N/A</v>
      </c>
      <c r="P178" s="63" t="str">
        <f t="shared" ca="1" si="36"/>
        <v>N/A</v>
      </c>
      <c r="Q178" s="63" t="str">
        <f t="shared" ca="1" si="36"/>
        <v>N/A</v>
      </c>
      <c r="R178" s="63" t="str">
        <f t="shared" ca="1" si="36"/>
        <v>N/A</v>
      </c>
      <c r="S178" s="63"/>
      <c r="T178" s="17"/>
      <c r="U178" s="17"/>
      <c r="V178" s="17"/>
    </row>
    <row r="179" spans="1:22" hidden="1">
      <c r="A179" s="51">
        <f t="shared" si="29"/>
        <v>0</v>
      </c>
      <c r="B179" s="46" t="e">
        <f t="shared" ca="1" si="30"/>
        <v>#N/A</v>
      </c>
      <c r="C179" s="1" t="str">
        <f>IF(ISERROR(D179),"",IF(D179="","",MAX($C$134:C178)+1))</f>
        <v/>
      </c>
      <c r="D179" t="e">
        <f t="shared" si="31"/>
        <v>#N/A</v>
      </c>
      <c r="F179" s="63" t="e">
        <f t="shared" ca="1" si="34"/>
        <v>#DIV/0!</v>
      </c>
      <c r="G179" s="63" t="str">
        <f t="shared" si="32"/>
        <v>N/A</v>
      </c>
      <c r="H179" s="63" t="str">
        <f ca="1">IFERROR(VLOOKUP($A179,LASTYR,'2016'!$P$3,FALSE),"N/A")</f>
        <v>N/A</v>
      </c>
      <c r="I179" s="63" t="str">
        <f t="shared" ca="1" si="36"/>
        <v>N/A</v>
      </c>
      <c r="J179" s="63" t="str">
        <f t="shared" ca="1" si="36"/>
        <v>N/A</v>
      </c>
      <c r="K179" s="63" t="str">
        <f t="shared" ca="1" si="36"/>
        <v>N/A</v>
      </c>
      <c r="L179" s="63" t="str">
        <f t="shared" ca="1" si="36"/>
        <v>N/A</v>
      </c>
      <c r="M179" s="63" t="str">
        <f t="shared" ca="1" si="36"/>
        <v>N/A</v>
      </c>
      <c r="N179" s="63" t="str">
        <f t="shared" ca="1" si="36"/>
        <v>N/A</v>
      </c>
      <c r="O179" s="63" t="str">
        <f t="shared" ca="1" si="36"/>
        <v>N/A</v>
      </c>
      <c r="P179" s="63" t="str">
        <f t="shared" ca="1" si="36"/>
        <v>N/A</v>
      </c>
      <c r="Q179" s="63" t="str">
        <f t="shared" ca="1" si="36"/>
        <v>N/A</v>
      </c>
      <c r="R179" s="63" t="str">
        <f t="shared" ca="1" si="36"/>
        <v>N/A</v>
      </c>
      <c r="S179" s="63"/>
      <c r="T179" s="17"/>
      <c r="U179" s="17"/>
      <c r="V179" s="17"/>
    </row>
    <row r="180" spans="1:22" hidden="1">
      <c r="A180" s="51">
        <f t="shared" si="29"/>
        <v>0</v>
      </c>
      <c r="B180" s="46" t="e">
        <f t="shared" ca="1" si="30"/>
        <v>#N/A</v>
      </c>
      <c r="C180" s="1" t="str">
        <f>IF(ISERROR(D180),"",IF(D180="","",MAX($C$134:C179)+1))</f>
        <v/>
      </c>
      <c r="D180" t="e">
        <f t="shared" si="31"/>
        <v>#N/A</v>
      </c>
      <c r="F180" s="63" t="e">
        <f t="shared" ca="1" si="34"/>
        <v>#DIV/0!</v>
      </c>
      <c r="G180" s="63" t="str">
        <f t="shared" si="32"/>
        <v>N/A</v>
      </c>
      <c r="H180" s="63" t="str">
        <f ca="1">IFERROR(VLOOKUP($A180,LASTYR,'2016'!$P$3,FALSE),"N/A")</f>
        <v>N/A</v>
      </c>
      <c r="I180" s="63" t="str">
        <f t="shared" ca="1" si="36"/>
        <v>N/A</v>
      </c>
      <c r="J180" s="63" t="str">
        <f t="shared" ca="1" si="36"/>
        <v>N/A</v>
      </c>
      <c r="K180" s="63" t="str">
        <f t="shared" ca="1" si="36"/>
        <v>N/A</v>
      </c>
      <c r="L180" s="63" t="str">
        <f t="shared" ca="1" si="36"/>
        <v>N/A</v>
      </c>
      <c r="M180" s="63" t="str">
        <f t="shared" ca="1" si="36"/>
        <v>N/A</v>
      </c>
      <c r="N180" s="63" t="str">
        <f t="shared" ca="1" si="36"/>
        <v>N/A</v>
      </c>
      <c r="O180" s="63" t="str">
        <f t="shared" ca="1" si="36"/>
        <v>N/A</v>
      </c>
      <c r="P180" s="63" t="str">
        <f t="shared" ca="1" si="36"/>
        <v>N/A</v>
      </c>
      <c r="Q180" s="63" t="str">
        <f t="shared" ca="1" si="36"/>
        <v>N/A</v>
      </c>
      <c r="R180" s="63" t="str">
        <f t="shared" ca="1" si="36"/>
        <v>N/A</v>
      </c>
      <c r="S180" s="63"/>
      <c r="T180" s="17"/>
      <c r="U180" s="17"/>
      <c r="V180" s="17"/>
    </row>
    <row r="181" spans="1:22">
      <c r="A181" s="31"/>
      <c r="B181" s="31"/>
      <c r="C181" s="1" t="str">
        <f>IF(ISERROR(D181),"",IF(D181="","",MAX($C$134:C180)+1))</f>
        <v/>
      </c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17"/>
      <c r="U181" s="17"/>
    </row>
    <row r="182" spans="1:22">
      <c r="A182" s="31"/>
      <c r="B182" s="31"/>
      <c r="C182" s="1">
        <f>IF(ISERROR(D182),"",IF(D182="","",MAX($C$134:C181)+1))</f>
        <v>42</v>
      </c>
      <c r="D182" t="s">
        <v>98</v>
      </c>
      <c r="F182" s="63">
        <f ca="1">AVERAGE(G182:R182)</f>
        <v>0.89887126771912185</v>
      </c>
      <c r="G182" s="63">
        <f t="shared" ref="G182:R182" si="37">AVERAGE(G136:G181)</f>
        <v>0.8769249382346701</v>
      </c>
      <c r="H182" s="63">
        <f t="shared" ca="1" si="37"/>
        <v>0.88246322732577165</v>
      </c>
      <c r="I182" s="63">
        <f t="shared" ca="1" si="37"/>
        <v>0.86168244773016833</v>
      </c>
      <c r="J182" s="63">
        <f t="shared" ca="1" si="37"/>
        <v>0.86502334454309582</v>
      </c>
      <c r="K182" s="63">
        <f t="shared" ca="1" si="37"/>
        <v>0.87822179999065697</v>
      </c>
      <c r="L182" s="63">
        <f t="shared" ca="1" si="37"/>
        <v>0.87928940556000568</v>
      </c>
      <c r="M182" s="63">
        <f t="shared" ca="1" si="37"/>
        <v>0.95971325870231605</v>
      </c>
      <c r="N182" s="63">
        <f t="shared" ca="1" si="37"/>
        <v>0.98093013185409883</v>
      </c>
      <c r="O182" s="63">
        <f t="shared" ca="1" si="37"/>
        <v>0.86013651511690592</v>
      </c>
      <c r="P182" s="63">
        <f t="shared" ca="1" si="37"/>
        <v>0.80380689978086262</v>
      </c>
      <c r="Q182" s="63">
        <f t="shared" ca="1" si="37"/>
        <v>0.88409545452369609</v>
      </c>
      <c r="R182" s="63">
        <f t="shared" ca="1" si="37"/>
        <v>1.0541677892672148</v>
      </c>
      <c r="S182" s="63"/>
      <c r="T182" s="17"/>
      <c r="U182" s="17"/>
      <c r="V182" s="17"/>
    </row>
    <row r="183" spans="1:22">
      <c r="A183" s="31"/>
      <c r="B183" s="31"/>
      <c r="C183" s="1">
        <f>IF(ISERROR(D183),"",IF(D183="","",MAX($C$134:C182)+1))</f>
        <v>43</v>
      </c>
      <c r="D183" t="s">
        <v>257</v>
      </c>
      <c r="F183" s="63">
        <f ca="1">AVERAGE(G183:R183)</f>
        <v>0.85884817909844369</v>
      </c>
      <c r="G183" s="63">
        <f>MEDIAN(G136:G181)</f>
        <v>0.8037037037037037</v>
      </c>
      <c r="H183" s="63">
        <f t="shared" ref="H183:R183" ca="1" si="38">MEDIAN(H136:H181)</f>
        <v>0.84416909649491323</v>
      </c>
      <c r="I183" s="63">
        <f t="shared" ca="1" si="38"/>
        <v>0.83083405626471674</v>
      </c>
      <c r="J183" s="63">
        <f t="shared" ca="1" si="38"/>
        <v>0.81590153342264837</v>
      </c>
      <c r="K183" s="63">
        <f t="shared" ca="1" si="38"/>
        <v>0.86177866773467593</v>
      </c>
      <c r="L183" s="63">
        <f t="shared" ca="1" si="38"/>
        <v>0.86523592248445302</v>
      </c>
      <c r="M183" s="63">
        <f t="shared" ca="1" si="38"/>
        <v>0.96167472557757105</v>
      </c>
      <c r="N183" s="63">
        <f t="shared" ca="1" si="38"/>
        <v>0.90095617682641693</v>
      </c>
      <c r="O183" s="63">
        <f t="shared" ca="1" si="38"/>
        <v>0.79835785591529151</v>
      </c>
      <c r="P183" s="63">
        <f t="shared" ca="1" si="38"/>
        <v>0.79912435481168564</v>
      </c>
      <c r="Q183" s="63">
        <f t="shared" ca="1" si="38"/>
        <v>0.82482427219563648</v>
      </c>
      <c r="R183" s="63">
        <f t="shared" ca="1" si="38"/>
        <v>0.99961778374961274</v>
      </c>
      <c r="S183" s="63"/>
      <c r="T183" s="17"/>
      <c r="U183" s="17"/>
      <c r="V183" s="17"/>
    </row>
    <row r="184" spans="1:22">
      <c r="A184" s="31"/>
      <c r="B184" s="31"/>
      <c r="C184" s="1"/>
    </row>
    <row r="185" spans="1:22">
      <c r="A185" s="31"/>
      <c r="B185" s="31"/>
      <c r="D185" s="18"/>
      <c r="E185" s="91"/>
    </row>
    <row r="186" spans="1:22">
      <c r="A186" s="31"/>
      <c r="B186" s="31"/>
      <c r="D186" s="20" t="s">
        <v>107</v>
      </c>
    </row>
    <row r="187" spans="1:22" ht="16.5">
      <c r="A187" s="31"/>
      <c r="B187" s="31"/>
      <c r="D187" s="79">
        <v>1</v>
      </c>
      <c r="E187" s="21" t="str">
        <f>"The Value Line Investment Survey Investment Analyzer Software, downloaded on "&amp;TEXT('2016'!$A$1,"mmmm d, yyyy.")</f>
        <v>The Value Line Investment Survey Investment Analyzer Software, downloaded on June 21, 2017.</v>
      </c>
    </row>
    <row r="188" spans="1:22" ht="16.5">
      <c r="A188" s="31"/>
      <c r="B188" s="31"/>
      <c r="D188" s="79">
        <v>2</v>
      </c>
      <c r="E188" s="21" t="str">
        <f>"The Value Line Investment Survey, "&amp;'2017 Data (WP)'!$D$1</f>
        <v>The Value Line Investment Survey, July 28, August 18, and September 15, 2017.</v>
      </c>
    </row>
    <row r="189" spans="1:22">
      <c r="A189" s="31"/>
      <c r="B189" s="31"/>
      <c r="D189" s="20" t="s">
        <v>336</v>
      </c>
    </row>
    <row r="190" spans="1:22" ht="16.5">
      <c r="A190" s="31"/>
      <c r="B190" s="31"/>
      <c r="D190" s="93" t="s">
        <v>364</v>
      </c>
      <c r="E190" s="21" t="s">
        <v>368</v>
      </c>
    </row>
    <row r="191" spans="1:22">
      <c r="A191" s="31"/>
      <c r="B191" s="31"/>
      <c r="E191" s="23" t="str">
        <f>"published in The Value Line Investment Survey, "&amp;'2017 Data (WP)'!$D$1</f>
        <v>published in The Value Line Investment Survey, July 28, August 18, and September 15, 2017.</v>
      </c>
    </row>
    <row r="192" spans="1:22">
      <c r="A192" s="31"/>
      <c r="B192" s="31"/>
      <c r="D192" s="21"/>
    </row>
    <row r="193" spans="4:4">
      <c r="D193" s="23"/>
    </row>
  </sheetData>
  <mergeCells count="9">
    <mergeCell ref="D71:E71"/>
    <mergeCell ref="F131:V131"/>
    <mergeCell ref="D133:E133"/>
    <mergeCell ref="C1:V1"/>
    <mergeCell ref="C4:V4"/>
    <mergeCell ref="C5:V5"/>
    <mergeCell ref="F8:V8"/>
    <mergeCell ref="D10:E10"/>
    <mergeCell ref="F69:V69"/>
  </mergeCells>
  <printOptions horizontalCentered="1"/>
  <pageMargins left="0.7" right="0.7" top="1" bottom="0.75" header="0.55000000000000004" footer="0.51"/>
  <pageSetup scale="58" fitToHeight="0" orientation="portrait" useFirstPageNumber="1" r:id="rId1"/>
  <headerFooter>
    <oddHeader>&amp;R&amp;20 Exhibit MPG-2
Page 4 of 4</oddHeader>
  </headerFooter>
  <rowBreaks count="2" manualBreakCount="2">
    <brk id="67" min="2" max="17" man="1"/>
    <brk id="129" min="2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179"/>
  <sheetViews>
    <sheetView topLeftCell="A70" zoomScale="70" zoomScaleNormal="70" workbookViewId="0"/>
  </sheetViews>
  <sheetFormatPr defaultRowHeight="14.25"/>
  <cols>
    <col min="1" max="2" width="8" customWidth="1"/>
    <col min="3" max="3" width="4.75" bestFit="1" customWidth="1"/>
    <col min="4" max="4" width="1.75" customWidth="1"/>
    <col min="5" max="5" width="20.5" customWidth="1"/>
    <col min="6" max="18" width="9" customWidth="1"/>
    <col min="19" max="19" width="9" hidden="1" customWidth="1"/>
    <col min="20" max="22" width="0" hidden="1" customWidth="1"/>
  </cols>
  <sheetData>
    <row r="1" spans="1:22" ht="27.75">
      <c r="C1" s="140" t="s">
        <v>405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2"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</row>
    <row r="3" spans="1:22"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</row>
    <row r="4" spans="1:22" ht="20.25">
      <c r="C4" s="141" t="s">
        <v>274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ht="18">
      <c r="C5" s="142" t="s">
        <v>275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</row>
    <row r="6" spans="1:22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7.25">
      <c r="C8" s="6"/>
      <c r="D8" s="7"/>
      <c r="E8" s="7"/>
      <c r="F8" s="143" t="s">
        <v>95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</row>
    <row r="9" spans="1:22" ht="15">
      <c r="A9" s="42" t="s">
        <v>99</v>
      </c>
      <c r="B9" s="42" t="s">
        <v>241</v>
      </c>
      <c r="C9" s="6"/>
      <c r="D9" s="7"/>
      <c r="E9" s="7"/>
      <c r="F9" s="8" t="s">
        <v>258</v>
      </c>
      <c r="G9" s="8"/>
      <c r="H9" s="8"/>
      <c r="I9" s="8"/>
      <c r="J9" s="8"/>
      <c r="K9" s="8"/>
      <c r="L9" s="8"/>
      <c r="M9" s="7"/>
      <c r="N9" s="7"/>
      <c r="O9" s="7"/>
      <c r="P9" s="7"/>
      <c r="Q9" s="7"/>
      <c r="R9" s="7"/>
      <c r="S9" s="7"/>
      <c r="T9" s="7"/>
      <c r="U9" s="7"/>
    </row>
    <row r="10" spans="1:22" ht="17.25">
      <c r="A10" s="42" t="s">
        <v>100</v>
      </c>
      <c r="B10" s="42" t="s">
        <v>242</v>
      </c>
      <c r="C10" s="9" t="s">
        <v>96</v>
      </c>
      <c r="D10" s="138" t="s">
        <v>97</v>
      </c>
      <c r="E10" s="138"/>
      <c r="F10" s="10" t="s">
        <v>98</v>
      </c>
      <c r="G10" s="41" t="s">
        <v>318</v>
      </c>
      <c r="H10" s="41">
        <v>2016</v>
      </c>
      <c r="I10" s="41">
        <v>2015</v>
      </c>
      <c r="J10" s="41">
        <v>2014</v>
      </c>
      <c r="K10" s="41">
        <v>2013</v>
      </c>
      <c r="L10" s="41">
        <v>2012</v>
      </c>
      <c r="M10" s="41">
        <v>2011</v>
      </c>
      <c r="N10" s="41">
        <v>2010</v>
      </c>
      <c r="O10" s="41">
        <v>2009</v>
      </c>
      <c r="P10" s="41">
        <v>2008</v>
      </c>
      <c r="Q10" s="41">
        <v>2007</v>
      </c>
      <c r="R10" s="41">
        <v>2006</v>
      </c>
      <c r="S10" s="41">
        <v>2005</v>
      </c>
      <c r="T10" s="41">
        <v>2004</v>
      </c>
      <c r="U10" s="41">
        <v>2003</v>
      </c>
      <c r="V10" s="41">
        <v>2002</v>
      </c>
    </row>
    <row r="11" spans="1:22" ht="15">
      <c r="A11" s="42"/>
      <c r="B11" s="42"/>
      <c r="C11" s="9"/>
      <c r="D11" s="64"/>
      <c r="E11" s="64"/>
      <c r="F11" s="12">
        <v>-1</v>
      </c>
      <c r="G11" s="12">
        <f>+F11-1</f>
        <v>-2</v>
      </c>
      <c r="H11" s="12">
        <f>+G11-1</f>
        <v>-3</v>
      </c>
      <c r="I11" s="12">
        <f>+H11-1</f>
        <v>-4</v>
      </c>
      <c r="J11" s="12">
        <f>+I11-1</f>
        <v>-5</v>
      </c>
      <c r="K11" s="12">
        <f t="shared" ref="K11:V11" si="0">+J11-1</f>
        <v>-6</v>
      </c>
      <c r="L11" s="12">
        <f t="shared" si="0"/>
        <v>-7</v>
      </c>
      <c r="M11" s="12">
        <f t="shared" si="0"/>
        <v>-8</v>
      </c>
      <c r="N11" s="12">
        <f t="shared" si="0"/>
        <v>-9</v>
      </c>
      <c r="O11" s="12">
        <f t="shared" si="0"/>
        <v>-10</v>
      </c>
      <c r="P11" s="12">
        <f t="shared" si="0"/>
        <v>-11</v>
      </c>
      <c r="Q11" s="12">
        <f t="shared" si="0"/>
        <v>-12</v>
      </c>
      <c r="R11" s="12">
        <f t="shared" si="0"/>
        <v>-13</v>
      </c>
      <c r="S11" s="12">
        <f t="shared" si="0"/>
        <v>-14</v>
      </c>
      <c r="T11" s="12">
        <f t="shared" si="0"/>
        <v>-15</v>
      </c>
      <c r="U11" s="12">
        <f t="shared" si="0"/>
        <v>-16</v>
      </c>
      <c r="V11" s="12">
        <f t="shared" si="0"/>
        <v>-17</v>
      </c>
    </row>
    <row r="12" spans="1:22" ht="15">
      <c r="A12" s="43"/>
      <c r="B12" s="44"/>
      <c r="C12" s="9"/>
      <c r="D12" s="14" t="s">
        <v>101</v>
      </c>
      <c r="E12" s="11"/>
      <c r="F12" s="36"/>
      <c r="G12" s="36"/>
      <c r="H12" s="16">
        <f ca="1">MATCH(H10,OFFSET(PE_WP,-1,0,1,),0)</f>
        <v>4</v>
      </c>
      <c r="I12" s="16">
        <f ca="1">MATCH(I10,OFFSET(PE_WP,-1,0,1,),0)</f>
        <v>5</v>
      </c>
      <c r="J12" s="16">
        <f ca="1">MATCH(J10,OFFSET(PE_WP,-1,0,1,),0)</f>
        <v>6</v>
      </c>
      <c r="K12" s="16">
        <f t="shared" ref="K12:V12" ca="1" si="1">MATCH(K10,OFFSET(PE_WP,-1,0,1,),0)</f>
        <v>7</v>
      </c>
      <c r="L12" s="16">
        <f t="shared" ca="1" si="1"/>
        <v>8</v>
      </c>
      <c r="M12" s="16">
        <f t="shared" ca="1" si="1"/>
        <v>9</v>
      </c>
      <c r="N12" s="16">
        <f t="shared" ca="1" si="1"/>
        <v>10</v>
      </c>
      <c r="O12" s="16">
        <f t="shared" ca="1" si="1"/>
        <v>11</v>
      </c>
      <c r="P12" s="16">
        <f t="shared" ca="1" si="1"/>
        <v>12</v>
      </c>
      <c r="Q12" s="16">
        <f t="shared" ca="1" si="1"/>
        <v>13</v>
      </c>
      <c r="R12" s="16">
        <f t="shared" ca="1" si="1"/>
        <v>14</v>
      </c>
      <c r="S12" s="16">
        <f ca="1">MATCH(S10,OFFSET(PE_WP,-1,0,1,),0)</f>
        <v>15</v>
      </c>
      <c r="T12" s="16">
        <f t="shared" ca="1" si="1"/>
        <v>16</v>
      </c>
      <c r="U12" s="16">
        <f t="shared" ca="1" si="1"/>
        <v>17</v>
      </c>
      <c r="V12" s="16">
        <f t="shared" ca="1" si="1"/>
        <v>18</v>
      </c>
    </row>
    <row r="13" spans="1:22">
      <c r="A13" s="45" t="s">
        <v>175</v>
      </c>
      <c r="B13" s="46">
        <f t="shared" ref="B13:B57" ca="1" si="2">IFERROR(MATCH(A13,OFFSET(PE_WP,0,0,,1),0),"")</f>
        <v>8</v>
      </c>
      <c r="C13" s="1">
        <f ca="1">IF(ISERROR(D13),"",IF(D13="","",MAX($C$12:C12)+1))</f>
        <v>1</v>
      </c>
      <c r="D13" t="str">
        <f t="shared" ref="D13:D57" ca="1" si="3">VLOOKUP(A13,LUCurYr,2,FALSE)</f>
        <v>Atmos Energy</v>
      </c>
      <c r="E13" s="15"/>
      <c r="F13" s="63">
        <f ca="1">IFERROR(AVERAGE(G13:R13),"N/A")</f>
        <v>16.122833333333336</v>
      </c>
      <c r="G13" s="63">
        <f>IFERROR(IF(VLOOKUP(A13,LUCurYr,3,FALSE)=0,"",VLOOKUP(A13,LUCurYr,3,FALSE)),"N/A")</f>
        <v>24.2</v>
      </c>
      <c r="H13" s="63">
        <f ca="1">IFERROR(VLOOKUP($A13,LASTYR,'2016'!$C$3,FALSE),"N/A")</f>
        <v>20.8</v>
      </c>
      <c r="I13" s="63">
        <f t="shared" ref="I13:R31" ca="1" si="4">IFERROR(INDEX(PE_WP,$B13,I$12),"N/A")</f>
        <v>17.501000000000001</v>
      </c>
      <c r="J13" s="63">
        <f t="shared" ca="1" si="4"/>
        <v>16.091999999999999</v>
      </c>
      <c r="K13" s="63">
        <f t="shared" ca="1" si="4"/>
        <v>15.872999999999999</v>
      </c>
      <c r="L13" s="63">
        <f t="shared" ca="1" si="4"/>
        <v>15.93</v>
      </c>
      <c r="M13" s="63">
        <f t="shared" ca="1" si="4"/>
        <v>14.355</v>
      </c>
      <c r="N13" s="63">
        <f t="shared" ca="1" si="4"/>
        <v>13.21</v>
      </c>
      <c r="O13" s="63">
        <f t="shared" ca="1" si="4"/>
        <v>12.538</v>
      </c>
      <c r="P13" s="63">
        <f t="shared" ca="1" si="4"/>
        <v>13.585000000000001</v>
      </c>
      <c r="Q13" s="63">
        <f t="shared" ca="1" si="4"/>
        <v>15.866</v>
      </c>
      <c r="R13" s="63">
        <f t="shared" ca="1" si="4"/>
        <v>13.523999999999999</v>
      </c>
      <c r="S13" s="63"/>
      <c r="T13" s="63"/>
      <c r="U13" s="63"/>
      <c r="V13" s="63"/>
    </row>
    <row r="14" spans="1:22">
      <c r="A14" s="45" t="s">
        <v>178</v>
      </c>
      <c r="B14" s="46">
        <f t="shared" ca="1" si="2"/>
        <v>15</v>
      </c>
      <c r="C14" s="1">
        <f ca="1">IF(ISERROR(D14),"",IF(D14="","",MAX($C$12:C13)+1))</f>
        <v>2</v>
      </c>
      <c r="D14" t="str">
        <f t="shared" ca="1" si="3"/>
        <v>Chesapeake Utilities</v>
      </c>
      <c r="E14" s="15"/>
      <c r="F14" s="63">
        <f t="shared" ref="F14:F57" ca="1" si="5">IFERROR(AVERAGE(G14:R14),"N/A")</f>
        <v>17.271166666666662</v>
      </c>
      <c r="G14" s="63">
        <f t="shared" ref="G14:G57" si="6">IFERROR(IF(VLOOKUP(A14,LUCurYr,3,FALSE)=0,"",VLOOKUP(A14,LUCurYr,3,FALSE)),"N/A")</f>
        <v>28.9</v>
      </c>
      <c r="H14" s="63">
        <f ca="1">IFERROR(VLOOKUP($A14,LASTYR,'2016'!$C$3,FALSE),"N/A")</f>
        <v>21.774000000000001</v>
      </c>
      <c r="I14" s="63">
        <f t="shared" ca="1" si="4"/>
        <v>19.145</v>
      </c>
      <c r="J14" s="63">
        <f t="shared" ca="1" si="4"/>
        <v>17.702000000000002</v>
      </c>
      <c r="K14" s="63">
        <f t="shared" ca="1" si="4"/>
        <v>15.622</v>
      </c>
      <c r="L14" s="63">
        <f t="shared" ca="1" si="4"/>
        <v>14.808</v>
      </c>
      <c r="M14" s="63">
        <f t="shared" ca="1" si="4"/>
        <v>14.16</v>
      </c>
      <c r="N14" s="63">
        <f t="shared" ca="1" si="4"/>
        <v>12.214</v>
      </c>
      <c r="O14" s="63">
        <f t="shared" ca="1" si="4"/>
        <v>14.202999999999999</v>
      </c>
      <c r="P14" s="63">
        <f t="shared" ca="1" si="4"/>
        <v>14.154</v>
      </c>
      <c r="Q14" s="63">
        <f t="shared" ca="1" si="4"/>
        <v>16.718</v>
      </c>
      <c r="R14" s="63">
        <f t="shared" ca="1" si="4"/>
        <v>17.853999999999999</v>
      </c>
      <c r="S14" s="63"/>
      <c r="T14" s="63"/>
      <c r="U14" s="63"/>
      <c r="V14" s="63"/>
    </row>
    <row r="15" spans="1:22">
      <c r="A15" s="45" t="s">
        <v>190</v>
      </c>
      <c r="B15" s="46">
        <f t="shared" ca="1" si="2"/>
        <v>41</v>
      </c>
      <c r="C15" s="1">
        <f ca="1">IF(ISERROR(D15),"",IF(D15="","",MAX($C$12:C14)+1))</f>
        <v>3</v>
      </c>
      <c r="D15" t="str">
        <f t="shared" ca="1" si="3"/>
        <v>New Jersey Resources</v>
      </c>
      <c r="E15" s="15"/>
      <c r="F15" s="63">
        <f t="shared" ca="1" si="5"/>
        <v>16.931750000000001</v>
      </c>
      <c r="G15" s="63">
        <f t="shared" si="6"/>
        <v>24.1</v>
      </c>
      <c r="H15" s="63">
        <f ca="1">IFERROR(VLOOKUP($A15,LASTYR,'2016'!$C$3,FALSE),"N/A")</f>
        <v>21.25</v>
      </c>
      <c r="I15" s="63">
        <f t="shared" ca="1" si="4"/>
        <v>16.613</v>
      </c>
      <c r="J15" s="63">
        <f t="shared" ca="1" si="4"/>
        <v>11.731999999999999</v>
      </c>
      <c r="K15" s="63">
        <f t="shared" ca="1" si="4"/>
        <v>15.983000000000001</v>
      </c>
      <c r="L15" s="63">
        <f t="shared" ca="1" si="4"/>
        <v>16.829000000000001</v>
      </c>
      <c r="M15" s="63">
        <f t="shared" ca="1" si="4"/>
        <v>16.754999999999999</v>
      </c>
      <c r="N15" s="63">
        <f t="shared" ca="1" si="4"/>
        <v>14.984</v>
      </c>
      <c r="O15" s="63">
        <f t="shared" ca="1" si="4"/>
        <v>14.925000000000001</v>
      </c>
      <c r="P15" s="63">
        <f t="shared" ca="1" si="4"/>
        <v>12.273999999999999</v>
      </c>
      <c r="Q15" s="63">
        <f t="shared" ca="1" si="4"/>
        <v>21.611000000000001</v>
      </c>
      <c r="R15" s="63">
        <f t="shared" ca="1" si="4"/>
        <v>16.125</v>
      </c>
      <c r="S15" s="63"/>
      <c r="T15" s="63"/>
      <c r="U15" s="63"/>
      <c r="V15" s="63"/>
    </row>
    <row r="16" spans="1:22">
      <c r="A16" s="45" t="s">
        <v>26</v>
      </c>
      <c r="B16" s="46">
        <f t="shared" ca="1" si="2"/>
        <v>43</v>
      </c>
      <c r="C16" s="1">
        <f ca="1">IF(ISERROR(D16),"",IF(D16="","",MAX($C$12:C15)+1))</f>
        <v>4</v>
      </c>
      <c r="D16" t="str">
        <f t="shared" ca="1" si="3"/>
        <v>NiSource Inc.</v>
      </c>
      <c r="E16" s="15"/>
      <c r="F16" s="63">
        <f t="shared" ca="1" si="5"/>
        <v>20.749166666666667</v>
      </c>
      <c r="G16" s="63">
        <f t="shared" si="6"/>
        <v>29.9</v>
      </c>
      <c r="H16" s="63">
        <f ca="1">IFERROR(VLOOKUP($A16,LASTYR,'2016'!$C$3,FALSE),"N/A")</f>
        <v>23.183</v>
      </c>
      <c r="I16" s="63">
        <f t="shared" ca="1" si="4"/>
        <v>37.340000000000003</v>
      </c>
      <c r="J16" s="63">
        <f t="shared" ca="1" si="4"/>
        <v>22.742000000000001</v>
      </c>
      <c r="K16" s="63">
        <f t="shared" ca="1" si="4"/>
        <v>18.888999999999999</v>
      </c>
      <c r="L16" s="63">
        <f t="shared" ca="1" si="4"/>
        <v>17.87</v>
      </c>
      <c r="M16" s="63">
        <f t="shared" ca="1" si="4"/>
        <v>19.363</v>
      </c>
      <c r="N16" s="63">
        <f t="shared" ca="1" si="4"/>
        <v>15.327</v>
      </c>
      <c r="O16" s="63">
        <f t="shared" ca="1" si="4"/>
        <v>14.335000000000001</v>
      </c>
      <c r="P16" s="63">
        <f t="shared" ca="1" si="4"/>
        <v>12.065</v>
      </c>
      <c r="Q16" s="63">
        <f t="shared" ca="1" si="4"/>
        <v>18.815999999999999</v>
      </c>
      <c r="R16" s="63">
        <f t="shared" ca="1" si="4"/>
        <v>19.16</v>
      </c>
      <c r="S16" s="63"/>
      <c r="T16" s="63"/>
      <c r="U16" s="63"/>
      <c r="V16" s="63"/>
    </row>
    <row r="17" spans="1:22">
      <c r="A17" s="45" t="s">
        <v>192</v>
      </c>
      <c r="B17" s="46">
        <f t="shared" ca="1" si="2"/>
        <v>44</v>
      </c>
      <c r="C17" s="1">
        <f ca="1">IF(ISERROR(D17),"",IF(D17="","",MAX($C$12:C16)+1))</f>
        <v>5</v>
      </c>
      <c r="D17" t="str">
        <f t="shared" ca="1" si="3"/>
        <v>Northwest Nat. Gas</v>
      </c>
      <c r="E17" s="15"/>
      <c r="F17" s="63">
        <f t="shared" ca="1" si="5"/>
        <v>20.157083333333333</v>
      </c>
      <c r="G17" s="63">
        <f t="shared" si="6"/>
        <v>28.3</v>
      </c>
      <c r="H17" s="63">
        <f ca="1">IFERROR(VLOOKUP($A17,LASTYR,'2016'!$C$3,FALSE),"N/A")</f>
        <v>26.922999999999998</v>
      </c>
      <c r="I17" s="63">
        <f t="shared" ca="1" si="4"/>
        <v>23.692</v>
      </c>
      <c r="J17" s="63">
        <f t="shared" ca="1" si="4"/>
        <v>20.69</v>
      </c>
      <c r="K17" s="63">
        <f t="shared" ca="1" si="4"/>
        <v>19.379000000000001</v>
      </c>
      <c r="L17" s="63">
        <f t="shared" ca="1" si="4"/>
        <v>21.076000000000001</v>
      </c>
      <c r="M17" s="63">
        <f t="shared" ca="1" si="4"/>
        <v>19.018000000000001</v>
      </c>
      <c r="N17" s="63">
        <f t="shared" ca="1" si="4"/>
        <v>16.971</v>
      </c>
      <c r="O17" s="63">
        <f t="shared" ca="1" si="4"/>
        <v>15.173</v>
      </c>
      <c r="P17" s="63">
        <f t="shared" ca="1" si="4"/>
        <v>18.074999999999999</v>
      </c>
      <c r="Q17" s="63">
        <f t="shared" ca="1" si="4"/>
        <v>16.738</v>
      </c>
      <c r="R17" s="63">
        <f t="shared" ca="1" si="4"/>
        <v>15.85</v>
      </c>
      <c r="S17" s="63"/>
      <c r="T17" s="63"/>
      <c r="U17" s="63"/>
      <c r="V17" s="63"/>
    </row>
    <row r="18" spans="1:22">
      <c r="A18" s="45" t="s">
        <v>353</v>
      </c>
      <c r="B18" s="46">
        <f t="shared" ca="1" si="2"/>
        <v>47</v>
      </c>
      <c r="C18" s="1">
        <f ca="1">IF(ISERROR(D18),"",IF(D18="","",MAX($C$12:C17)+1))</f>
        <v>6</v>
      </c>
      <c r="D18" t="str">
        <f t="shared" ca="1" si="3"/>
        <v>ONE Gas Inc.</v>
      </c>
      <c r="E18" s="15"/>
      <c r="F18" s="63">
        <f t="shared" ca="1" si="5"/>
        <v>21.263750000000002</v>
      </c>
      <c r="G18" s="63">
        <f t="shared" si="6"/>
        <v>24.7</v>
      </c>
      <c r="H18" s="63">
        <f ca="1">IFERROR(VLOOKUP($A18,LASTYR,'2016'!$C$3,FALSE),"N/A")</f>
        <v>22.738</v>
      </c>
      <c r="I18" s="63">
        <f t="shared" ca="1" si="4"/>
        <v>19.79</v>
      </c>
      <c r="J18" s="63">
        <f t="shared" ca="1" si="4"/>
        <v>17.827000000000002</v>
      </c>
      <c r="K18" s="63" t="str">
        <f t="shared" ca="1" si="4"/>
        <v>N/A</v>
      </c>
      <c r="L18" s="63" t="str">
        <f t="shared" ca="1" si="4"/>
        <v>N/A</v>
      </c>
      <c r="M18" s="63" t="str">
        <f t="shared" ca="1" si="4"/>
        <v>N/A</v>
      </c>
      <c r="N18" s="63" t="str">
        <f t="shared" ca="1" si="4"/>
        <v>N/A</v>
      </c>
      <c r="O18" s="63" t="str">
        <f t="shared" ca="1" si="4"/>
        <v>N/A</v>
      </c>
      <c r="P18" s="63" t="str">
        <f t="shared" ca="1" si="4"/>
        <v>N/A</v>
      </c>
      <c r="Q18" s="63" t="str">
        <f t="shared" ca="1" si="4"/>
        <v>N/A</v>
      </c>
      <c r="R18" s="63" t="str">
        <f t="shared" ca="1" si="4"/>
        <v>N/A</v>
      </c>
      <c r="S18" s="63"/>
      <c r="T18" s="63"/>
      <c r="U18" s="63"/>
      <c r="V18" s="63"/>
    </row>
    <row r="19" spans="1:22">
      <c r="A19" s="45" t="s">
        <v>198</v>
      </c>
      <c r="B19" s="46">
        <f t="shared" ca="1" si="2"/>
        <v>60</v>
      </c>
      <c r="C19" s="1">
        <f ca="1">IF(ISERROR(D19),"",IF(D19="","",MAX($C$12:C18)+1))</f>
        <v>7</v>
      </c>
      <c r="D19" t="str">
        <f t="shared" ca="1" si="3"/>
        <v>South Jersey Inds.</v>
      </c>
      <c r="E19" s="15"/>
      <c r="F19" s="63">
        <f t="shared" ca="1" si="5"/>
        <v>18.059583333333332</v>
      </c>
      <c r="G19" s="63">
        <f t="shared" si="6"/>
        <v>28</v>
      </c>
      <c r="H19" s="63">
        <f ca="1">IFERROR(VLOOKUP($A19,LASTYR,'2016'!$C$3,FALSE),"N/A")</f>
        <v>21.713999999999999</v>
      </c>
      <c r="I19" s="63">
        <f t="shared" ca="1" si="4"/>
        <v>17.949000000000002</v>
      </c>
      <c r="J19" s="63">
        <f t="shared" ca="1" si="4"/>
        <v>18.033999999999999</v>
      </c>
      <c r="K19" s="63">
        <f t="shared" ca="1" si="4"/>
        <v>18.902999999999999</v>
      </c>
      <c r="L19" s="63">
        <f t="shared" ca="1" si="4"/>
        <v>16.934999999999999</v>
      </c>
      <c r="M19" s="63">
        <f t="shared" ca="1" si="4"/>
        <v>18.481999999999999</v>
      </c>
      <c r="N19" s="63">
        <f t="shared" ca="1" si="4"/>
        <v>16.806999999999999</v>
      </c>
      <c r="O19" s="63">
        <f t="shared" ca="1" si="4"/>
        <v>14.955</v>
      </c>
      <c r="P19" s="63">
        <f t="shared" ca="1" si="4"/>
        <v>15.897</v>
      </c>
      <c r="Q19" s="63">
        <f t="shared" ca="1" si="4"/>
        <v>17.181000000000001</v>
      </c>
      <c r="R19" s="63">
        <f t="shared" ca="1" si="4"/>
        <v>11.858000000000001</v>
      </c>
      <c r="S19" s="63"/>
      <c r="T19" s="63"/>
      <c r="U19" s="63"/>
      <c r="V19" s="63"/>
    </row>
    <row r="20" spans="1:22">
      <c r="A20" s="45" t="s">
        <v>200</v>
      </c>
      <c r="B20" s="46">
        <f t="shared" ca="1" si="2"/>
        <v>62</v>
      </c>
      <c r="C20" s="1">
        <f ca="1">IF(ISERROR(D20),"",IF(D20="","",MAX($C$12:C19)+1))</f>
        <v>8</v>
      </c>
      <c r="D20" t="str">
        <f t="shared" ca="1" si="3"/>
        <v>Southwest Gas</v>
      </c>
      <c r="E20" s="15"/>
      <c r="F20" s="63">
        <f t="shared" ca="1" si="5"/>
        <v>17.286583333333336</v>
      </c>
      <c r="G20" s="63">
        <f t="shared" si="6"/>
        <v>22.5</v>
      </c>
      <c r="H20" s="63">
        <f ca="1">IFERROR(VLOOKUP($A20,LASTYR,'2016'!$C$3,FALSE),"N/A")</f>
        <v>21.643000000000001</v>
      </c>
      <c r="I20" s="63">
        <f t="shared" ca="1" si="4"/>
        <v>19.353999999999999</v>
      </c>
      <c r="J20" s="63">
        <f t="shared" ca="1" si="4"/>
        <v>17.86</v>
      </c>
      <c r="K20" s="63">
        <f t="shared" ca="1" si="4"/>
        <v>15.757</v>
      </c>
      <c r="L20" s="63">
        <f t="shared" ca="1" si="4"/>
        <v>15.002000000000001</v>
      </c>
      <c r="M20" s="63">
        <f t="shared" ca="1" si="4"/>
        <v>15.688000000000001</v>
      </c>
      <c r="N20" s="63">
        <f t="shared" ca="1" si="4"/>
        <v>13.968999999999999</v>
      </c>
      <c r="O20" s="63">
        <f t="shared" ca="1" si="4"/>
        <v>12.199</v>
      </c>
      <c r="P20" s="63">
        <f t="shared" ca="1" si="4"/>
        <v>20.268999999999998</v>
      </c>
      <c r="Q20" s="63">
        <f t="shared" ca="1" si="4"/>
        <v>17.260999999999999</v>
      </c>
      <c r="R20" s="63">
        <f t="shared" ca="1" si="4"/>
        <v>15.936999999999999</v>
      </c>
      <c r="S20" s="63"/>
      <c r="T20" s="63"/>
      <c r="U20" s="63"/>
      <c r="V20" s="63"/>
    </row>
    <row r="21" spans="1:22">
      <c r="A21" s="45" t="s">
        <v>244</v>
      </c>
      <c r="B21" s="46">
        <f t="shared" ca="1" si="2"/>
        <v>63</v>
      </c>
      <c r="C21" s="1">
        <f ca="1">IF(ISERROR(D21),"",IF(D21="","",MAX($C$12:C20)+1))</f>
        <v>9</v>
      </c>
      <c r="D21" t="str">
        <f t="shared" ca="1" si="3"/>
        <v>Spire Inc.</v>
      </c>
      <c r="E21" s="15"/>
      <c r="F21" s="63">
        <f t="shared" ca="1" si="5"/>
        <v>16.148833333333332</v>
      </c>
      <c r="G21" s="63">
        <f t="shared" si="6"/>
        <v>19.899999999999999</v>
      </c>
      <c r="H21" s="63">
        <f ca="1">IFERROR(VLOOKUP($A21,LASTYR,'2016'!$C$3,FALSE),"N/A")</f>
        <v>19.614000000000001</v>
      </c>
      <c r="I21" s="63">
        <f t="shared" ca="1" si="4"/>
        <v>16.486999999999998</v>
      </c>
      <c r="J21" s="63">
        <f t="shared" ca="1" si="4"/>
        <v>19.797999999999998</v>
      </c>
      <c r="K21" s="63">
        <f t="shared" ca="1" si="4"/>
        <v>21.253</v>
      </c>
      <c r="L21" s="63">
        <f t="shared" ca="1" si="4"/>
        <v>14.46</v>
      </c>
      <c r="M21" s="63">
        <f t="shared" ca="1" si="4"/>
        <v>13.047000000000001</v>
      </c>
      <c r="N21" s="63">
        <f t="shared" ca="1" si="4"/>
        <v>13.739000000000001</v>
      </c>
      <c r="O21" s="63">
        <f t="shared" ca="1" si="4"/>
        <v>13.388999999999999</v>
      </c>
      <c r="P21" s="63">
        <f t="shared" ca="1" si="4"/>
        <v>14.314</v>
      </c>
      <c r="Q21" s="63">
        <f t="shared" ca="1" si="4"/>
        <v>14.185</v>
      </c>
      <c r="R21" s="63">
        <f t="shared" ca="1" si="4"/>
        <v>13.6</v>
      </c>
      <c r="S21" s="63"/>
      <c r="T21" s="63"/>
      <c r="U21" s="63"/>
      <c r="V21" s="63"/>
    </row>
    <row r="22" spans="1:22">
      <c r="A22" s="45" t="s">
        <v>204</v>
      </c>
      <c r="B22" s="46">
        <f t="shared" ca="1" si="2"/>
        <v>65</v>
      </c>
      <c r="C22" s="1">
        <f ca="1">IF(ISERROR(D22),"",IF(D22="","",MAX($C$12:C21)+1))</f>
        <v>10</v>
      </c>
      <c r="D22" t="str">
        <f t="shared" ca="1" si="3"/>
        <v>UGI Corp.</v>
      </c>
      <c r="E22" s="15"/>
      <c r="F22" s="63">
        <f t="shared" ca="1" si="5"/>
        <v>15.337999999999999</v>
      </c>
      <c r="G22" s="63">
        <f t="shared" si="6"/>
        <v>20.8</v>
      </c>
      <c r="H22" s="63">
        <f ca="1">IFERROR(VLOOKUP($A22,LASTYR,'2016'!$C$3,FALSE),"N/A")</f>
        <v>19.327999999999999</v>
      </c>
      <c r="I22" s="63">
        <f t="shared" ca="1" si="4"/>
        <v>17.713999999999999</v>
      </c>
      <c r="J22" s="63">
        <f t="shared" ca="1" si="4"/>
        <v>15.805</v>
      </c>
      <c r="K22" s="63">
        <f t="shared" ca="1" si="4"/>
        <v>15.435</v>
      </c>
      <c r="L22" s="63">
        <f t="shared" ca="1" si="4"/>
        <v>16.378</v>
      </c>
      <c r="M22" s="63">
        <f t="shared" ca="1" si="4"/>
        <v>15.028</v>
      </c>
      <c r="N22" s="63">
        <f t="shared" ca="1" si="4"/>
        <v>10.863</v>
      </c>
      <c r="O22" s="63">
        <f t="shared" ca="1" si="4"/>
        <v>10.295</v>
      </c>
      <c r="P22" s="63">
        <f t="shared" ca="1" si="4"/>
        <v>13.301</v>
      </c>
      <c r="Q22" s="63">
        <f t="shared" ca="1" si="4"/>
        <v>15.144</v>
      </c>
      <c r="R22" s="63">
        <f t="shared" ca="1" si="4"/>
        <v>13.965</v>
      </c>
      <c r="S22" s="63"/>
      <c r="T22" s="63"/>
      <c r="U22" s="63"/>
      <c r="V22" s="63"/>
    </row>
    <row r="23" spans="1:22">
      <c r="A23" s="45" t="s">
        <v>206</v>
      </c>
      <c r="B23" s="46">
        <f t="shared" ca="1" si="2"/>
        <v>72</v>
      </c>
      <c r="C23" s="1">
        <f ca="1">IF(ISERROR(D23),"",IF(D23="","",MAX($C$12:C22)+1))</f>
        <v>11</v>
      </c>
      <c r="D23" t="str">
        <f t="shared" ca="1" si="3"/>
        <v>WGL Holdings Inc.</v>
      </c>
      <c r="E23" s="15"/>
      <c r="F23" s="63">
        <f t="shared" ca="1" si="5"/>
        <v>16.608083333333333</v>
      </c>
      <c r="G23" s="63">
        <f t="shared" si="6"/>
        <v>24.2</v>
      </c>
      <c r="H23" s="63">
        <f ca="1">IFERROR(VLOOKUP($A23,LASTYR,'2016'!$C$3,FALSE),"N/A")</f>
        <v>20.047999999999998</v>
      </c>
      <c r="I23" s="63">
        <f t="shared" ca="1" si="4"/>
        <v>16.992999999999999</v>
      </c>
      <c r="J23" s="63">
        <f t="shared" ca="1" si="4"/>
        <v>15.151</v>
      </c>
      <c r="K23" s="63">
        <f t="shared" ca="1" si="4"/>
        <v>18.245000000000001</v>
      </c>
      <c r="L23" s="63">
        <f t="shared" ca="1" si="4"/>
        <v>15.268000000000001</v>
      </c>
      <c r="M23" s="63">
        <f t="shared" ca="1" si="4"/>
        <v>16.972000000000001</v>
      </c>
      <c r="N23" s="63">
        <f t="shared" ca="1" si="4"/>
        <v>15.111000000000001</v>
      </c>
      <c r="O23" s="63">
        <f t="shared" ca="1" si="4"/>
        <v>12.584</v>
      </c>
      <c r="P23" s="63">
        <f t="shared" ca="1" si="4"/>
        <v>13.661</v>
      </c>
      <c r="Q23" s="63">
        <f t="shared" ca="1" si="4"/>
        <v>15.603999999999999</v>
      </c>
      <c r="R23" s="63">
        <f t="shared" ca="1" si="4"/>
        <v>15.46</v>
      </c>
      <c r="S23" s="63"/>
      <c r="T23" s="63"/>
      <c r="U23" s="63"/>
      <c r="V23" s="63"/>
    </row>
    <row r="24" spans="1:22" hidden="1">
      <c r="A24" s="45"/>
      <c r="B24" s="46" t="str">
        <f t="shared" ca="1" si="2"/>
        <v/>
      </c>
      <c r="C24" s="1" t="str">
        <f>IF(ISERROR(D24),"",IF(D24="","",MAX($C$12:C23)+1))</f>
        <v/>
      </c>
      <c r="D24" t="e">
        <f t="shared" si="3"/>
        <v>#N/A</v>
      </c>
      <c r="E24" s="15"/>
      <c r="F24" s="63" t="str">
        <f t="shared" ca="1" si="5"/>
        <v>N/A</v>
      </c>
      <c r="G24" s="63" t="str">
        <f t="shared" si="6"/>
        <v>N/A</v>
      </c>
      <c r="H24" s="63" t="str">
        <f ca="1">IFERROR(VLOOKUP($A24,LASTYR,'2016'!$C$3,FALSE),"N/A")</f>
        <v>N/A</v>
      </c>
      <c r="I24" s="63" t="str">
        <f t="shared" ca="1" si="4"/>
        <v>N/A</v>
      </c>
      <c r="J24" s="63" t="str">
        <f t="shared" ca="1" si="4"/>
        <v>N/A</v>
      </c>
      <c r="K24" s="63" t="str">
        <f t="shared" ca="1" si="4"/>
        <v>N/A</v>
      </c>
      <c r="L24" s="63" t="str">
        <f t="shared" ca="1" si="4"/>
        <v>N/A</v>
      </c>
      <c r="M24" s="63" t="str">
        <f t="shared" ca="1" si="4"/>
        <v>N/A</v>
      </c>
      <c r="N24" s="63" t="str">
        <f t="shared" ca="1" si="4"/>
        <v>N/A</v>
      </c>
      <c r="O24" s="63" t="str">
        <f t="shared" ca="1" si="4"/>
        <v>N/A</v>
      </c>
      <c r="P24" s="63" t="str">
        <f t="shared" ca="1" si="4"/>
        <v>N/A</v>
      </c>
      <c r="Q24" s="63" t="str">
        <f t="shared" ca="1" si="4"/>
        <v>N/A</v>
      </c>
      <c r="R24" s="63" t="str">
        <f t="shared" ca="1" si="4"/>
        <v>N/A</v>
      </c>
      <c r="S24" s="63"/>
      <c r="T24" s="63"/>
      <c r="U24" s="63"/>
      <c r="V24" s="63"/>
    </row>
    <row r="25" spans="1:22" hidden="1">
      <c r="A25" s="45"/>
      <c r="B25" s="46" t="str">
        <f t="shared" ca="1" si="2"/>
        <v/>
      </c>
      <c r="C25" s="1" t="str">
        <f>IF(ISERROR(D25),"",IF(D25="","",MAX($C$12:C24)+1))</f>
        <v/>
      </c>
      <c r="D25" t="e">
        <f t="shared" si="3"/>
        <v>#N/A</v>
      </c>
      <c r="E25" s="15"/>
      <c r="F25" s="63" t="str">
        <f t="shared" ca="1" si="5"/>
        <v>N/A</v>
      </c>
      <c r="G25" s="63" t="str">
        <f t="shared" si="6"/>
        <v>N/A</v>
      </c>
      <c r="H25" s="63" t="str">
        <f ca="1">IFERROR(VLOOKUP($A25,LASTYR,'2016'!$C$3,FALSE),"N/A")</f>
        <v>N/A</v>
      </c>
      <c r="I25" s="63" t="str">
        <f t="shared" ca="1" si="4"/>
        <v>N/A</v>
      </c>
      <c r="J25" s="63" t="str">
        <f t="shared" ca="1" si="4"/>
        <v>N/A</v>
      </c>
      <c r="K25" s="63" t="str">
        <f t="shared" ca="1" si="4"/>
        <v>N/A</v>
      </c>
      <c r="L25" s="63" t="str">
        <f t="shared" ca="1" si="4"/>
        <v>N/A</v>
      </c>
      <c r="M25" s="63" t="str">
        <f t="shared" ca="1" si="4"/>
        <v>N/A</v>
      </c>
      <c r="N25" s="63" t="str">
        <f t="shared" ca="1" si="4"/>
        <v>N/A</v>
      </c>
      <c r="O25" s="63" t="str">
        <f t="shared" ca="1" si="4"/>
        <v>N/A</v>
      </c>
      <c r="P25" s="63" t="str">
        <f t="shared" ca="1" si="4"/>
        <v>N/A</v>
      </c>
      <c r="Q25" s="63" t="str">
        <f t="shared" ca="1" si="4"/>
        <v>N/A</v>
      </c>
      <c r="R25" s="63" t="str">
        <f t="shared" ca="1" si="4"/>
        <v>N/A</v>
      </c>
      <c r="S25" s="63"/>
      <c r="T25" s="63"/>
      <c r="U25" s="63"/>
      <c r="V25" s="63"/>
    </row>
    <row r="26" spans="1:22" hidden="1">
      <c r="A26" s="45"/>
      <c r="B26" s="46" t="str">
        <f t="shared" ca="1" si="2"/>
        <v/>
      </c>
      <c r="C26" s="1" t="str">
        <f>IF(ISERROR(D26),"",IF(D26="","",MAX($C$12:C25)+1))</f>
        <v/>
      </c>
      <c r="D26" t="e">
        <f t="shared" si="3"/>
        <v>#N/A</v>
      </c>
      <c r="E26" s="15"/>
      <c r="F26" s="63" t="str">
        <f t="shared" ca="1" si="5"/>
        <v>N/A</v>
      </c>
      <c r="G26" s="63" t="str">
        <f t="shared" si="6"/>
        <v>N/A</v>
      </c>
      <c r="H26" s="63" t="str">
        <f ca="1">IFERROR(VLOOKUP($A26,LASTYR,'2016'!$C$3,FALSE),"N/A")</f>
        <v>N/A</v>
      </c>
      <c r="I26" s="63" t="str">
        <f t="shared" ca="1" si="4"/>
        <v>N/A</v>
      </c>
      <c r="J26" s="63" t="str">
        <f t="shared" ca="1" si="4"/>
        <v>N/A</v>
      </c>
      <c r="K26" s="63" t="str">
        <f t="shared" ca="1" si="4"/>
        <v>N/A</v>
      </c>
      <c r="L26" s="63" t="str">
        <f t="shared" ca="1" si="4"/>
        <v>N/A</v>
      </c>
      <c r="M26" s="63" t="str">
        <f t="shared" ca="1" si="4"/>
        <v>N/A</v>
      </c>
      <c r="N26" s="63" t="str">
        <f t="shared" ca="1" si="4"/>
        <v>N/A</v>
      </c>
      <c r="O26" s="63" t="str">
        <f t="shared" ca="1" si="4"/>
        <v>N/A</v>
      </c>
      <c r="P26" s="63" t="str">
        <f t="shared" ca="1" si="4"/>
        <v>N/A</v>
      </c>
      <c r="Q26" s="63" t="str">
        <f t="shared" ca="1" si="4"/>
        <v>N/A</v>
      </c>
      <c r="R26" s="63" t="str">
        <f t="shared" ca="1" si="4"/>
        <v>N/A</v>
      </c>
      <c r="S26" s="63"/>
      <c r="T26" s="63"/>
      <c r="U26" s="63"/>
      <c r="V26" s="63"/>
    </row>
    <row r="27" spans="1:22" hidden="1">
      <c r="A27" s="45"/>
      <c r="B27" s="46" t="str">
        <f t="shared" ca="1" si="2"/>
        <v/>
      </c>
      <c r="C27" s="1" t="str">
        <f>IF(ISERROR(D27),"",IF(D27="","",MAX($C$12:C26)+1))</f>
        <v/>
      </c>
      <c r="D27" t="e">
        <f t="shared" si="3"/>
        <v>#N/A</v>
      </c>
      <c r="E27" s="15"/>
      <c r="F27" s="63" t="str">
        <f t="shared" ca="1" si="5"/>
        <v>N/A</v>
      </c>
      <c r="G27" s="63" t="str">
        <f t="shared" si="6"/>
        <v>N/A</v>
      </c>
      <c r="H27" s="63" t="str">
        <f ca="1">IFERROR(VLOOKUP($A27,LASTYR,'2016'!$C$3,FALSE),"N/A")</f>
        <v>N/A</v>
      </c>
      <c r="I27" s="63" t="str">
        <f t="shared" ca="1" si="4"/>
        <v>N/A</v>
      </c>
      <c r="J27" s="63" t="str">
        <f t="shared" ca="1" si="4"/>
        <v>N/A</v>
      </c>
      <c r="K27" s="63" t="str">
        <f t="shared" ca="1" si="4"/>
        <v>N/A</v>
      </c>
      <c r="L27" s="63" t="str">
        <f t="shared" ca="1" si="4"/>
        <v>N/A</v>
      </c>
      <c r="M27" s="63" t="str">
        <f t="shared" ca="1" si="4"/>
        <v>N/A</v>
      </c>
      <c r="N27" s="63" t="str">
        <f t="shared" ca="1" si="4"/>
        <v>N/A</v>
      </c>
      <c r="O27" s="63" t="str">
        <f t="shared" ca="1" si="4"/>
        <v>N/A</v>
      </c>
      <c r="P27" s="63" t="str">
        <f t="shared" ca="1" si="4"/>
        <v>N/A</v>
      </c>
      <c r="Q27" s="63" t="str">
        <f t="shared" ca="1" si="4"/>
        <v>N/A</v>
      </c>
      <c r="R27" s="63" t="str">
        <f t="shared" ca="1" si="4"/>
        <v>N/A</v>
      </c>
      <c r="S27" s="63"/>
      <c r="T27" s="63"/>
      <c r="U27" s="63"/>
      <c r="V27" s="63"/>
    </row>
    <row r="28" spans="1:22" hidden="1">
      <c r="A28" s="45"/>
      <c r="B28" s="46" t="str">
        <f t="shared" ca="1" si="2"/>
        <v/>
      </c>
      <c r="C28" s="1" t="str">
        <f>IF(ISERROR(D28),"",IF(D28="","",MAX($C$12:C27)+1))</f>
        <v/>
      </c>
      <c r="D28" t="e">
        <f t="shared" si="3"/>
        <v>#N/A</v>
      </c>
      <c r="E28" s="15"/>
      <c r="F28" s="63" t="str">
        <f t="shared" ca="1" si="5"/>
        <v>N/A</v>
      </c>
      <c r="G28" s="63" t="str">
        <f t="shared" si="6"/>
        <v>N/A</v>
      </c>
      <c r="H28" s="63" t="str">
        <f ca="1">IFERROR(VLOOKUP($A28,LASTYR,'2016'!$C$3,FALSE),"N/A")</f>
        <v>N/A</v>
      </c>
      <c r="I28" s="63" t="str">
        <f t="shared" ca="1" si="4"/>
        <v>N/A</v>
      </c>
      <c r="J28" s="63" t="str">
        <f t="shared" ca="1" si="4"/>
        <v>N/A</v>
      </c>
      <c r="K28" s="63" t="str">
        <f t="shared" ca="1" si="4"/>
        <v>N/A</v>
      </c>
      <c r="L28" s="63" t="str">
        <f t="shared" ca="1" si="4"/>
        <v>N/A</v>
      </c>
      <c r="M28" s="63" t="str">
        <f t="shared" ca="1" si="4"/>
        <v>N/A</v>
      </c>
      <c r="N28" s="63" t="str">
        <f t="shared" ca="1" si="4"/>
        <v>N/A</v>
      </c>
      <c r="O28" s="63" t="str">
        <f t="shared" ca="1" si="4"/>
        <v>N/A</v>
      </c>
      <c r="P28" s="63" t="str">
        <f t="shared" ca="1" si="4"/>
        <v>N/A</v>
      </c>
      <c r="Q28" s="63" t="str">
        <f t="shared" ca="1" si="4"/>
        <v>N/A</v>
      </c>
      <c r="R28" s="63" t="str">
        <f t="shared" ca="1" si="4"/>
        <v>N/A</v>
      </c>
      <c r="S28" s="63"/>
      <c r="T28" s="63"/>
      <c r="U28" s="63"/>
      <c r="V28" s="63"/>
    </row>
    <row r="29" spans="1:22" hidden="1">
      <c r="A29" s="45"/>
      <c r="B29" s="46" t="str">
        <f t="shared" ca="1" si="2"/>
        <v/>
      </c>
      <c r="C29" s="1" t="str">
        <f>IF(ISERROR(D29),"",IF(D29="","",MAX($C$12:C28)+1))</f>
        <v/>
      </c>
      <c r="D29" t="e">
        <f t="shared" si="3"/>
        <v>#N/A</v>
      </c>
      <c r="E29" s="15"/>
      <c r="F29" s="63" t="str">
        <f t="shared" ca="1" si="5"/>
        <v>N/A</v>
      </c>
      <c r="G29" s="63" t="str">
        <f t="shared" si="6"/>
        <v>N/A</v>
      </c>
      <c r="H29" s="63" t="str">
        <f ca="1">IFERROR(VLOOKUP($A29,LASTYR,'2016'!$C$3,FALSE),"N/A")</f>
        <v>N/A</v>
      </c>
      <c r="I29" s="63" t="str">
        <f t="shared" ca="1" si="4"/>
        <v>N/A</v>
      </c>
      <c r="J29" s="63" t="str">
        <f t="shared" ca="1" si="4"/>
        <v>N/A</v>
      </c>
      <c r="K29" s="63" t="str">
        <f t="shared" ca="1" si="4"/>
        <v>N/A</v>
      </c>
      <c r="L29" s="63" t="str">
        <f t="shared" ca="1" si="4"/>
        <v>N/A</v>
      </c>
      <c r="M29" s="63" t="str">
        <f t="shared" ca="1" si="4"/>
        <v>N/A</v>
      </c>
      <c r="N29" s="63" t="str">
        <f t="shared" ca="1" si="4"/>
        <v>N/A</v>
      </c>
      <c r="O29" s="63" t="str">
        <f t="shared" ca="1" si="4"/>
        <v>N/A</v>
      </c>
      <c r="P29" s="63" t="str">
        <f t="shared" ca="1" si="4"/>
        <v>N/A</v>
      </c>
      <c r="Q29" s="63" t="str">
        <f t="shared" ca="1" si="4"/>
        <v>N/A</v>
      </c>
      <c r="R29" s="63" t="str">
        <f t="shared" ca="1" si="4"/>
        <v>N/A</v>
      </c>
      <c r="S29" s="63"/>
      <c r="T29" s="63"/>
      <c r="U29" s="63"/>
      <c r="V29" s="63"/>
    </row>
    <row r="30" spans="1:22" hidden="1">
      <c r="A30" s="45"/>
      <c r="B30" s="46" t="str">
        <f t="shared" ca="1" si="2"/>
        <v/>
      </c>
      <c r="C30" s="1" t="str">
        <f>IF(ISERROR(D30),"",IF(D30="","",MAX($C$12:C29)+1))</f>
        <v/>
      </c>
      <c r="D30" t="e">
        <f t="shared" si="3"/>
        <v>#N/A</v>
      </c>
      <c r="E30" s="15"/>
      <c r="F30" s="63" t="str">
        <f t="shared" ca="1" si="5"/>
        <v>N/A</v>
      </c>
      <c r="G30" s="63" t="str">
        <f t="shared" si="6"/>
        <v>N/A</v>
      </c>
      <c r="H30" s="63" t="str">
        <f ca="1">IFERROR(VLOOKUP($A30,LASTYR,'2016'!$C$3,FALSE),"N/A")</f>
        <v>N/A</v>
      </c>
      <c r="I30" s="63" t="str">
        <f t="shared" ca="1" si="4"/>
        <v>N/A</v>
      </c>
      <c r="J30" s="63" t="str">
        <f t="shared" ca="1" si="4"/>
        <v>N/A</v>
      </c>
      <c r="K30" s="63" t="str">
        <f t="shared" ca="1" si="4"/>
        <v>N/A</v>
      </c>
      <c r="L30" s="63" t="str">
        <f t="shared" ca="1" si="4"/>
        <v>N/A</v>
      </c>
      <c r="M30" s="63" t="str">
        <f t="shared" ca="1" si="4"/>
        <v>N/A</v>
      </c>
      <c r="N30" s="63" t="str">
        <f t="shared" ca="1" si="4"/>
        <v>N/A</v>
      </c>
      <c r="O30" s="63" t="str">
        <f t="shared" ca="1" si="4"/>
        <v>N/A</v>
      </c>
      <c r="P30" s="63" t="str">
        <f t="shared" ca="1" si="4"/>
        <v>N/A</v>
      </c>
      <c r="Q30" s="63" t="str">
        <f t="shared" ca="1" si="4"/>
        <v>N/A</v>
      </c>
      <c r="R30" s="63" t="str">
        <f t="shared" ca="1" si="4"/>
        <v>N/A</v>
      </c>
      <c r="S30" s="63"/>
      <c r="T30" s="63"/>
      <c r="U30" s="63"/>
      <c r="V30" s="63"/>
    </row>
    <row r="31" spans="1:22" hidden="1">
      <c r="A31" s="45"/>
      <c r="B31" s="46" t="str">
        <f t="shared" ca="1" si="2"/>
        <v/>
      </c>
      <c r="C31" s="1" t="str">
        <f>IF(ISERROR(D31),"",IF(D31="","",MAX($C$12:C30)+1))</f>
        <v/>
      </c>
      <c r="D31" t="e">
        <f t="shared" si="3"/>
        <v>#N/A</v>
      </c>
      <c r="E31" s="15"/>
      <c r="F31" s="63" t="str">
        <f t="shared" ca="1" si="5"/>
        <v>N/A</v>
      </c>
      <c r="G31" s="63" t="str">
        <f t="shared" si="6"/>
        <v>N/A</v>
      </c>
      <c r="H31" s="63" t="str">
        <f ca="1">IFERROR(VLOOKUP($A31,LASTYR,'2016'!$C$3,FALSE),"N/A")</f>
        <v>N/A</v>
      </c>
      <c r="I31" s="63" t="str">
        <f t="shared" ca="1" si="4"/>
        <v>N/A</v>
      </c>
      <c r="J31" s="63" t="str">
        <f t="shared" ca="1" si="4"/>
        <v>N/A</v>
      </c>
      <c r="K31" s="63" t="str">
        <f t="shared" ca="1" si="4"/>
        <v>N/A</v>
      </c>
      <c r="L31" s="63" t="str">
        <f t="shared" ref="K31:R45" ca="1" si="7">IFERROR(INDEX(PE_WP,$B31,L$12),"N/A")</f>
        <v>N/A</v>
      </c>
      <c r="M31" s="63" t="str">
        <f t="shared" ca="1" si="7"/>
        <v>N/A</v>
      </c>
      <c r="N31" s="63" t="str">
        <f t="shared" ca="1" si="7"/>
        <v>N/A</v>
      </c>
      <c r="O31" s="63" t="str">
        <f t="shared" ca="1" si="7"/>
        <v>N/A</v>
      </c>
      <c r="P31" s="63" t="str">
        <f t="shared" ca="1" si="7"/>
        <v>N/A</v>
      </c>
      <c r="Q31" s="63" t="str">
        <f t="shared" ca="1" si="7"/>
        <v>N/A</v>
      </c>
      <c r="R31" s="63" t="str">
        <f t="shared" ca="1" si="7"/>
        <v>N/A</v>
      </c>
      <c r="S31" s="63"/>
      <c r="T31" s="63"/>
      <c r="U31" s="63"/>
      <c r="V31" s="63"/>
    </row>
    <row r="32" spans="1:22" hidden="1">
      <c r="A32" s="45"/>
      <c r="B32" s="46" t="str">
        <f t="shared" ca="1" si="2"/>
        <v/>
      </c>
      <c r="C32" s="1" t="str">
        <f>IF(ISERROR(D32),"",IF(D32="","",MAX($C$12:C31)+1))</f>
        <v/>
      </c>
      <c r="D32" t="e">
        <f t="shared" si="3"/>
        <v>#N/A</v>
      </c>
      <c r="E32" s="15"/>
      <c r="F32" s="63" t="str">
        <f t="shared" ca="1" si="5"/>
        <v>N/A</v>
      </c>
      <c r="G32" s="63" t="str">
        <f t="shared" si="6"/>
        <v>N/A</v>
      </c>
      <c r="H32" s="63" t="str">
        <f ca="1">IFERROR(VLOOKUP($A32,LASTYR,'2016'!$C$3,FALSE),"N/A")</f>
        <v>N/A</v>
      </c>
      <c r="I32" s="63" t="str">
        <f t="shared" ref="I32:R52" ca="1" si="8">IFERROR(INDEX(PE_WP,$B32,I$12),"N/A")</f>
        <v>N/A</v>
      </c>
      <c r="J32" s="63" t="str">
        <f t="shared" ca="1" si="8"/>
        <v>N/A</v>
      </c>
      <c r="K32" s="63" t="str">
        <f t="shared" ca="1" si="7"/>
        <v>N/A</v>
      </c>
      <c r="L32" s="63" t="str">
        <f t="shared" ca="1" si="7"/>
        <v>N/A</v>
      </c>
      <c r="M32" s="63" t="str">
        <f t="shared" ca="1" si="7"/>
        <v>N/A</v>
      </c>
      <c r="N32" s="63" t="str">
        <f t="shared" ca="1" si="7"/>
        <v>N/A</v>
      </c>
      <c r="O32" s="63" t="str">
        <f t="shared" ca="1" si="7"/>
        <v>N/A</v>
      </c>
      <c r="P32" s="63" t="str">
        <f t="shared" ca="1" si="7"/>
        <v>N/A</v>
      </c>
      <c r="Q32" s="63" t="str">
        <f t="shared" ca="1" si="7"/>
        <v>N/A</v>
      </c>
      <c r="R32" s="63" t="str">
        <f t="shared" ca="1" si="7"/>
        <v>N/A</v>
      </c>
      <c r="S32" s="63"/>
      <c r="T32" s="63"/>
      <c r="U32" s="63"/>
      <c r="V32" s="63"/>
    </row>
    <row r="33" spans="1:22" hidden="1">
      <c r="A33" s="45"/>
      <c r="B33" s="46" t="str">
        <f t="shared" ca="1" si="2"/>
        <v/>
      </c>
      <c r="C33" s="1" t="str">
        <f>IF(ISERROR(D33),"",IF(D33="","",MAX($C$12:C32)+1))</f>
        <v/>
      </c>
      <c r="D33" t="e">
        <f t="shared" si="3"/>
        <v>#N/A</v>
      </c>
      <c r="E33" s="15"/>
      <c r="F33" s="63" t="str">
        <f t="shared" ca="1" si="5"/>
        <v>N/A</v>
      </c>
      <c r="G33" s="63" t="str">
        <f t="shared" si="6"/>
        <v>N/A</v>
      </c>
      <c r="H33" s="63" t="str">
        <f ca="1">IFERROR(VLOOKUP($A33,LASTYR,'2016'!$C$3,FALSE),"N/A")</f>
        <v>N/A</v>
      </c>
      <c r="I33" s="63" t="str">
        <f t="shared" ca="1" si="8"/>
        <v>N/A</v>
      </c>
      <c r="J33" s="63" t="str">
        <f t="shared" ca="1" si="8"/>
        <v>N/A</v>
      </c>
      <c r="K33" s="63" t="str">
        <f t="shared" ca="1" si="7"/>
        <v>N/A</v>
      </c>
      <c r="L33" s="63" t="str">
        <f t="shared" ca="1" si="7"/>
        <v>N/A</v>
      </c>
      <c r="M33" s="63" t="str">
        <f t="shared" ca="1" si="7"/>
        <v>N/A</v>
      </c>
      <c r="N33" s="63" t="str">
        <f t="shared" ca="1" si="7"/>
        <v>N/A</v>
      </c>
      <c r="O33" s="63" t="str">
        <f t="shared" ca="1" si="7"/>
        <v>N/A</v>
      </c>
      <c r="P33" s="63" t="str">
        <f t="shared" ca="1" si="7"/>
        <v>N/A</v>
      </c>
      <c r="Q33" s="63" t="str">
        <f t="shared" ca="1" si="7"/>
        <v>N/A</v>
      </c>
      <c r="R33" s="63" t="str">
        <f t="shared" ca="1" si="7"/>
        <v>N/A</v>
      </c>
      <c r="S33" s="63"/>
      <c r="T33" s="63"/>
      <c r="U33" s="63"/>
      <c r="V33" s="63"/>
    </row>
    <row r="34" spans="1:22" hidden="1">
      <c r="A34" s="45"/>
      <c r="B34" s="46" t="str">
        <f t="shared" ca="1" si="2"/>
        <v/>
      </c>
      <c r="C34" s="1" t="str">
        <f>IF(ISERROR(D34),"",IF(D34="","",MAX($C$12:C33)+1))</f>
        <v/>
      </c>
      <c r="D34" t="e">
        <f t="shared" si="3"/>
        <v>#N/A</v>
      </c>
      <c r="E34" s="15"/>
      <c r="F34" s="63" t="str">
        <f t="shared" ca="1" si="5"/>
        <v>N/A</v>
      </c>
      <c r="G34" s="63" t="str">
        <f t="shared" si="6"/>
        <v>N/A</v>
      </c>
      <c r="H34" s="63" t="str">
        <f ca="1">IFERROR(VLOOKUP($A34,LASTYR,'2016'!$C$3,FALSE),"N/A")</f>
        <v>N/A</v>
      </c>
      <c r="I34" s="63" t="str">
        <f t="shared" ca="1" si="8"/>
        <v>N/A</v>
      </c>
      <c r="J34" s="63" t="str">
        <f t="shared" ca="1" si="8"/>
        <v>N/A</v>
      </c>
      <c r="K34" s="63" t="str">
        <f t="shared" ca="1" si="7"/>
        <v>N/A</v>
      </c>
      <c r="L34" s="63" t="str">
        <f t="shared" ca="1" si="7"/>
        <v>N/A</v>
      </c>
      <c r="M34" s="63" t="str">
        <f t="shared" ca="1" si="7"/>
        <v>N/A</v>
      </c>
      <c r="N34" s="63" t="str">
        <f t="shared" ca="1" si="7"/>
        <v>N/A</v>
      </c>
      <c r="O34" s="63" t="str">
        <f t="shared" ca="1" si="7"/>
        <v>N/A</v>
      </c>
      <c r="P34" s="63" t="str">
        <f t="shared" ca="1" si="7"/>
        <v>N/A</v>
      </c>
      <c r="Q34" s="63" t="str">
        <f t="shared" ca="1" si="7"/>
        <v>N/A</v>
      </c>
      <c r="R34" s="63" t="str">
        <f t="shared" ca="1" si="7"/>
        <v>N/A</v>
      </c>
      <c r="S34" s="63"/>
      <c r="T34" s="63"/>
      <c r="U34" s="63"/>
      <c r="V34" s="63"/>
    </row>
    <row r="35" spans="1:22" hidden="1">
      <c r="A35" s="45"/>
      <c r="B35" s="46" t="str">
        <f t="shared" ca="1" si="2"/>
        <v/>
      </c>
      <c r="C35" s="1" t="str">
        <f>IF(ISERROR(D35),"",IF(D35="","",MAX($C$12:C34)+1))</f>
        <v/>
      </c>
      <c r="D35" t="e">
        <f t="shared" si="3"/>
        <v>#N/A</v>
      </c>
      <c r="E35" s="15"/>
      <c r="F35" s="63" t="str">
        <f t="shared" ca="1" si="5"/>
        <v>N/A</v>
      </c>
      <c r="G35" s="63" t="str">
        <f t="shared" si="6"/>
        <v>N/A</v>
      </c>
      <c r="H35" s="63" t="str">
        <f ca="1">IFERROR(VLOOKUP($A35,LASTYR,'2016'!$C$3,FALSE),"N/A")</f>
        <v>N/A</v>
      </c>
      <c r="I35" s="63" t="str">
        <f t="shared" ca="1" si="8"/>
        <v>N/A</v>
      </c>
      <c r="J35" s="63" t="str">
        <f t="shared" ca="1" si="8"/>
        <v>N/A</v>
      </c>
      <c r="K35" s="63" t="str">
        <f t="shared" ca="1" si="7"/>
        <v>N/A</v>
      </c>
      <c r="L35" s="63" t="str">
        <f t="shared" ca="1" si="7"/>
        <v>N/A</v>
      </c>
      <c r="M35" s="63" t="str">
        <f t="shared" ca="1" si="7"/>
        <v>N/A</v>
      </c>
      <c r="N35" s="63" t="str">
        <f t="shared" ca="1" si="7"/>
        <v>N/A</v>
      </c>
      <c r="O35" s="63" t="str">
        <f t="shared" ca="1" si="7"/>
        <v>N/A</v>
      </c>
      <c r="P35" s="63" t="str">
        <f t="shared" ca="1" si="7"/>
        <v>N/A</v>
      </c>
      <c r="Q35" s="63" t="str">
        <f t="shared" ca="1" si="7"/>
        <v>N/A</v>
      </c>
      <c r="R35" s="63" t="str">
        <f t="shared" ca="1" si="7"/>
        <v>N/A</v>
      </c>
      <c r="S35" s="63"/>
      <c r="T35" s="63"/>
      <c r="U35" s="63"/>
      <c r="V35" s="63"/>
    </row>
    <row r="36" spans="1:22" hidden="1">
      <c r="A36" s="45"/>
      <c r="B36" s="46" t="str">
        <f t="shared" ca="1" si="2"/>
        <v/>
      </c>
      <c r="C36" s="1" t="str">
        <f>IF(ISERROR(D36),"",IF(D36="","",MAX($C$12:C35)+1))</f>
        <v/>
      </c>
      <c r="D36" t="e">
        <f t="shared" si="3"/>
        <v>#N/A</v>
      </c>
      <c r="E36" s="15"/>
      <c r="F36" s="63" t="str">
        <f t="shared" ca="1" si="5"/>
        <v>N/A</v>
      </c>
      <c r="G36" s="63" t="str">
        <f t="shared" si="6"/>
        <v>N/A</v>
      </c>
      <c r="H36" s="63" t="str">
        <f ca="1">IFERROR(VLOOKUP($A36,LASTYR,'2016'!$C$3,FALSE),"N/A")</f>
        <v>N/A</v>
      </c>
      <c r="I36" s="63" t="str">
        <f t="shared" ca="1" si="8"/>
        <v>N/A</v>
      </c>
      <c r="J36" s="63" t="str">
        <f t="shared" ca="1" si="8"/>
        <v>N/A</v>
      </c>
      <c r="K36" s="63" t="str">
        <f t="shared" ca="1" si="7"/>
        <v>N/A</v>
      </c>
      <c r="L36" s="63" t="str">
        <f t="shared" ca="1" si="7"/>
        <v>N/A</v>
      </c>
      <c r="M36" s="63" t="str">
        <f t="shared" ca="1" si="7"/>
        <v>N/A</v>
      </c>
      <c r="N36" s="63" t="str">
        <f t="shared" ca="1" si="7"/>
        <v>N/A</v>
      </c>
      <c r="O36" s="63" t="str">
        <f t="shared" ca="1" si="7"/>
        <v>N/A</v>
      </c>
      <c r="P36" s="63" t="str">
        <f t="shared" ca="1" si="7"/>
        <v>N/A</v>
      </c>
      <c r="Q36" s="63" t="str">
        <f t="shared" ca="1" si="7"/>
        <v>N/A</v>
      </c>
      <c r="R36" s="63" t="str">
        <f t="shared" ca="1" si="7"/>
        <v>N/A</v>
      </c>
      <c r="S36" s="63"/>
      <c r="T36" s="63"/>
      <c r="U36" s="63"/>
      <c r="V36" s="63"/>
    </row>
    <row r="37" spans="1:22" hidden="1">
      <c r="A37" s="45"/>
      <c r="B37" s="46" t="str">
        <f t="shared" ca="1" si="2"/>
        <v/>
      </c>
      <c r="C37" s="1" t="str">
        <f>IF(ISERROR(D37),"",IF(D37="","",MAX($C$12:C36)+1))</f>
        <v/>
      </c>
      <c r="D37" t="e">
        <f t="shared" si="3"/>
        <v>#N/A</v>
      </c>
      <c r="E37" s="15"/>
      <c r="F37" s="63" t="str">
        <f t="shared" ca="1" si="5"/>
        <v>N/A</v>
      </c>
      <c r="G37" s="63" t="str">
        <f t="shared" si="6"/>
        <v>N/A</v>
      </c>
      <c r="H37" s="63" t="str">
        <f ca="1">IFERROR(VLOOKUP($A37,LASTYR,'2016'!$C$3,FALSE),"N/A")</f>
        <v>N/A</v>
      </c>
      <c r="I37" s="63" t="str">
        <f t="shared" ca="1" si="8"/>
        <v>N/A</v>
      </c>
      <c r="J37" s="63" t="str">
        <f t="shared" ca="1" si="8"/>
        <v>N/A</v>
      </c>
      <c r="K37" s="63" t="str">
        <f t="shared" ca="1" si="7"/>
        <v>N/A</v>
      </c>
      <c r="L37" s="63" t="str">
        <f t="shared" ca="1" si="7"/>
        <v>N/A</v>
      </c>
      <c r="M37" s="63" t="str">
        <f t="shared" ca="1" si="7"/>
        <v>N/A</v>
      </c>
      <c r="N37" s="63" t="str">
        <f t="shared" ca="1" si="7"/>
        <v>N/A</v>
      </c>
      <c r="O37" s="63" t="str">
        <f t="shared" ca="1" si="7"/>
        <v>N/A</v>
      </c>
      <c r="P37" s="63" t="str">
        <f t="shared" ca="1" si="7"/>
        <v>N/A</v>
      </c>
      <c r="Q37" s="63" t="str">
        <f t="shared" ca="1" si="7"/>
        <v>N/A</v>
      </c>
      <c r="R37" s="63" t="str">
        <f t="shared" ca="1" si="7"/>
        <v>N/A</v>
      </c>
      <c r="S37" s="63"/>
      <c r="T37" s="63"/>
      <c r="U37" s="63"/>
      <c r="V37" s="63"/>
    </row>
    <row r="38" spans="1:22" hidden="1">
      <c r="A38" s="45"/>
      <c r="B38" s="46" t="str">
        <f t="shared" ca="1" si="2"/>
        <v/>
      </c>
      <c r="C38" s="1" t="str">
        <f>IF(ISERROR(D38),"",IF(D38="","",MAX($C$12:C37)+1))</f>
        <v/>
      </c>
      <c r="D38" t="e">
        <f t="shared" si="3"/>
        <v>#N/A</v>
      </c>
      <c r="E38" s="15"/>
      <c r="F38" s="63" t="str">
        <f t="shared" ca="1" si="5"/>
        <v>N/A</v>
      </c>
      <c r="G38" s="63" t="str">
        <f t="shared" si="6"/>
        <v>N/A</v>
      </c>
      <c r="H38" s="63" t="str">
        <f ca="1">IFERROR(VLOOKUP($A38,LASTYR,'2016'!$C$3,FALSE),"N/A")</f>
        <v>N/A</v>
      </c>
      <c r="I38" s="63" t="str">
        <f t="shared" ca="1" si="8"/>
        <v>N/A</v>
      </c>
      <c r="J38" s="63" t="str">
        <f t="shared" ca="1" si="8"/>
        <v>N/A</v>
      </c>
      <c r="K38" s="63" t="str">
        <f t="shared" ca="1" si="7"/>
        <v>N/A</v>
      </c>
      <c r="L38" s="63" t="str">
        <f t="shared" ca="1" si="7"/>
        <v>N/A</v>
      </c>
      <c r="M38" s="63" t="str">
        <f t="shared" ca="1" si="7"/>
        <v>N/A</v>
      </c>
      <c r="N38" s="63" t="str">
        <f t="shared" ca="1" si="7"/>
        <v>N/A</v>
      </c>
      <c r="O38" s="63" t="str">
        <f t="shared" ca="1" si="7"/>
        <v>N/A</v>
      </c>
      <c r="P38" s="63" t="str">
        <f t="shared" ca="1" si="7"/>
        <v>N/A</v>
      </c>
      <c r="Q38" s="63" t="str">
        <f t="shared" ca="1" si="7"/>
        <v>N/A</v>
      </c>
      <c r="R38" s="63" t="str">
        <f t="shared" ca="1" si="7"/>
        <v>N/A</v>
      </c>
      <c r="S38" s="63"/>
      <c r="T38" s="63"/>
      <c r="U38" s="63"/>
      <c r="V38" s="63"/>
    </row>
    <row r="39" spans="1:22" hidden="1">
      <c r="A39" s="45"/>
      <c r="B39" s="46" t="str">
        <f t="shared" ca="1" si="2"/>
        <v/>
      </c>
      <c r="C39" s="1" t="str">
        <f>IF(ISERROR(D39),"",IF(D39="","",MAX($C$12:C38)+1))</f>
        <v/>
      </c>
      <c r="D39" t="e">
        <f t="shared" si="3"/>
        <v>#N/A</v>
      </c>
      <c r="E39" s="15"/>
      <c r="F39" s="63" t="str">
        <f t="shared" ca="1" si="5"/>
        <v>N/A</v>
      </c>
      <c r="G39" s="63" t="str">
        <f t="shared" si="6"/>
        <v>N/A</v>
      </c>
      <c r="H39" s="63" t="str">
        <f ca="1">IFERROR(VLOOKUP($A39,LASTYR,'2016'!$C$3,FALSE),"N/A")</f>
        <v>N/A</v>
      </c>
      <c r="I39" s="63" t="str">
        <f t="shared" ca="1" si="8"/>
        <v>N/A</v>
      </c>
      <c r="J39" s="63" t="str">
        <f t="shared" ca="1" si="8"/>
        <v>N/A</v>
      </c>
      <c r="K39" s="63" t="str">
        <f t="shared" ca="1" si="7"/>
        <v>N/A</v>
      </c>
      <c r="L39" s="63" t="str">
        <f t="shared" ca="1" si="7"/>
        <v>N/A</v>
      </c>
      <c r="M39" s="63" t="str">
        <f t="shared" ca="1" si="7"/>
        <v>N/A</v>
      </c>
      <c r="N39" s="63" t="str">
        <f t="shared" ca="1" si="7"/>
        <v>N/A</v>
      </c>
      <c r="O39" s="63" t="str">
        <f t="shared" ca="1" si="7"/>
        <v>N/A</v>
      </c>
      <c r="P39" s="63" t="str">
        <f t="shared" ca="1" si="7"/>
        <v>N/A</v>
      </c>
      <c r="Q39" s="63" t="str">
        <f t="shared" ca="1" si="7"/>
        <v>N/A</v>
      </c>
      <c r="R39" s="63" t="str">
        <f t="shared" ca="1" si="7"/>
        <v>N/A</v>
      </c>
      <c r="S39" s="63"/>
      <c r="T39" s="63"/>
      <c r="U39" s="63"/>
      <c r="V39" s="63"/>
    </row>
    <row r="40" spans="1:22" hidden="1">
      <c r="A40" s="45"/>
      <c r="B40" s="46" t="str">
        <f t="shared" ca="1" si="2"/>
        <v/>
      </c>
      <c r="C40" s="1" t="str">
        <f>IF(ISERROR(D40),"",IF(D40="","",MAX($C$12:C39)+1))</f>
        <v/>
      </c>
      <c r="D40" t="e">
        <f t="shared" si="3"/>
        <v>#N/A</v>
      </c>
      <c r="E40" s="15"/>
      <c r="F40" s="63" t="str">
        <f t="shared" ca="1" si="5"/>
        <v>N/A</v>
      </c>
      <c r="G40" s="63" t="str">
        <f t="shared" si="6"/>
        <v>N/A</v>
      </c>
      <c r="H40" s="63" t="str">
        <f ca="1">IFERROR(VLOOKUP($A40,LASTYR,'2016'!$C$3,FALSE),"N/A")</f>
        <v>N/A</v>
      </c>
      <c r="I40" s="63" t="str">
        <f t="shared" ca="1" si="8"/>
        <v>N/A</v>
      </c>
      <c r="J40" s="63" t="str">
        <f t="shared" ca="1" si="8"/>
        <v>N/A</v>
      </c>
      <c r="K40" s="63" t="str">
        <f t="shared" ca="1" si="7"/>
        <v>N/A</v>
      </c>
      <c r="L40" s="63" t="str">
        <f t="shared" ca="1" si="7"/>
        <v>N/A</v>
      </c>
      <c r="M40" s="63" t="str">
        <f t="shared" ca="1" si="7"/>
        <v>N/A</v>
      </c>
      <c r="N40" s="63" t="str">
        <f t="shared" ca="1" si="7"/>
        <v>N/A</v>
      </c>
      <c r="O40" s="63" t="str">
        <f t="shared" ca="1" si="7"/>
        <v>N/A</v>
      </c>
      <c r="P40" s="63" t="str">
        <f t="shared" ca="1" si="7"/>
        <v>N/A</v>
      </c>
      <c r="Q40" s="63" t="str">
        <f t="shared" ca="1" si="7"/>
        <v>N/A</v>
      </c>
      <c r="R40" s="63" t="str">
        <f t="shared" ca="1" si="7"/>
        <v>N/A</v>
      </c>
      <c r="S40" s="63"/>
      <c r="T40" s="63"/>
      <c r="U40" s="63"/>
      <c r="V40" s="63"/>
    </row>
    <row r="41" spans="1:22" hidden="1">
      <c r="A41" s="45"/>
      <c r="B41" s="46" t="str">
        <f t="shared" ca="1" si="2"/>
        <v/>
      </c>
      <c r="C41" s="1" t="str">
        <f>IF(ISERROR(D41),"",IF(D41="","",MAX($C$12:C40)+1))</f>
        <v/>
      </c>
      <c r="D41" t="e">
        <f t="shared" si="3"/>
        <v>#N/A</v>
      </c>
      <c r="E41" s="15"/>
      <c r="F41" s="63" t="str">
        <f t="shared" ca="1" si="5"/>
        <v>N/A</v>
      </c>
      <c r="G41" s="63" t="str">
        <f t="shared" si="6"/>
        <v>N/A</v>
      </c>
      <c r="H41" s="63" t="str">
        <f ca="1">IFERROR(VLOOKUP($A41,LASTYR,'2016'!$C$3,FALSE),"N/A")</f>
        <v>N/A</v>
      </c>
      <c r="I41" s="63" t="str">
        <f t="shared" ca="1" si="8"/>
        <v>N/A</v>
      </c>
      <c r="J41" s="63" t="str">
        <f t="shared" ca="1" si="8"/>
        <v>N/A</v>
      </c>
      <c r="K41" s="63" t="str">
        <f t="shared" ca="1" si="7"/>
        <v>N/A</v>
      </c>
      <c r="L41" s="63" t="str">
        <f t="shared" ca="1" si="7"/>
        <v>N/A</v>
      </c>
      <c r="M41" s="63" t="str">
        <f t="shared" ca="1" si="7"/>
        <v>N/A</v>
      </c>
      <c r="N41" s="63" t="str">
        <f t="shared" ca="1" si="7"/>
        <v>N/A</v>
      </c>
      <c r="O41" s="63" t="str">
        <f t="shared" ca="1" si="7"/>
        <v>N/A</v>
      </c>
      <c r="P41" s="63" t="str">
        <f t="shared" ca="1" si="7"/>
        <v>N/A</v>
      </c>
      <c r="Q41" s="63" t="str">
        <f t="shared" ca="1" si="7"/>
        <v>N/A</v>
      </c>
      <c r="R41" s="63" t="str">
        <f t="shared" ca="1" si="7"/>
        <v>N/A</v>
      </c>
      <c r="S41" s="63"/>
      <c r="T41" s="63"/>
      <c r="U41" s="63"/>
      <c r="V41" s="63"/>
    </row>
    <row r="42" spans="1:22" hidden="1">
      <c r="A42" s="45"/>
      <c r="B42" s="46" t="str">
        <f t="shared" ca="1" si="2"/>
        <v/>
      </c>
      <c r="C42" s="1" t="str">
        <f>IF(ISERROR(D42),"",IF(D42="","",MAX($C$12:C41)+1))</f>
        <v/>
      </c>
      <c r="D42" t="e">
        <f t="shared" si="3"/>
        <v>#N/A</v>
      </c>
      <c r="E42" s="15"/>
      <c r="F42" s="63" t="str">
        <f t="shared" ca="1" si="5"/>
        <v>N/A</v>
      </c>
      <c r="G42" s="63" t="str">
        <f t="shared" si="6"/>
        <v>N/A</v>
      </c>
      <c r="H42" s="63" t="str">
        <f ca="1">IFERROR(VLOOKUP($A42,LASTYR,'2016'!$C$3,FALSE),"N/A")</f>
        <v>N/A</v>
      </c>
      <c r="I42" s="63" t="str">
        <f t="shared" ca="1" si="8"/>
        <v>N/A</v>
      </c>
      <c r="J42" s="63" t="str">
        <f t="shared" ca="1" si="8"/>
        <v>N/A</v>
      </c>
      <c r="K42" s="63" t="str">
        <f t="shared" ca="1" si="7"/>
        <v>N/A</v>
      </c>
      <c r="L42" s="63" t="str">
        <f t="shared" ca="1" si="7"/>
        <v>N/A</v>
      </c>
      <c r="M42" s="63" t="str">
        <f t="shared" ca="1" si="7"/>
        <v>N/A</v>
      </c>
      <c r="N42" s="63" t="str">
        <f t="shared" ca="1" si="7"/>
        <v>N/A</v>
      </c>
      <c r="O42" s="63" t="str">
        <f t="shared" ca="1" si="7"/>
        <v>N/A</v>
      </c>
      <c r="P42" s="63" t="str">
        <f t="shared" ca="1" si="7"/>
        <v>N/A</v>
      </c>
      <c r="Q42" s="63" t="str">
        <f t="shared" ca="1" si="7"/>
        <v>N/A</v>
      </c>
      <c r="R42" s="63" t="str">
        <f t="shared" ca="1" si="7"/>
        <v>N/A</v>
      </c>
      <c r="S42" s="63"/>
      <c r="T42" s="63"/>
      <c r="U42" s="63"/>
      <c r="V42" s="63"/>
    </row>
    <row r="43" spans="1:22" hidden="1">
      <c r="A43" s="45"/>
      <c r="B43" s="46" t="str">
        <f t="shared" ca="1" si="2"/>
        <v/>
      </c>
      <c r="C43" s="1" t="str">
        <f>IF(ISERROR(D43),"",IF(D43="","",MAX($C$12:C42)+1))</f>
        <v/>
      </c>
      <c r="D43" t="e">
        <f t="shared" si="3"/>
        <v>#N/A</v>
      </c>
      <c r="E43" s="15"/>
      <c r="F43" s="63" t="str">
        <f t="shared" ca="1" si="5"/>
        <v>N/A</v>
      </c>
      <c r="G43" s="63" t="str">
        <f t="shared" si="6"/>
        <v>N/A</v>
      </c>
      <c r="H43" s="63" t="str">
        <f ca="1">IFERROR(VLOOKUP($A43,LASTYR,'2016'!$C$3,FALSE),"N/A")</f>
        <v>N/A</v>
      </c>
      <c r="I43" s="63" t="str">
        <f t="shared" ca="1" si="8"/>
        <v>N/A</v>
      </c>
      <c r="J43" s="63" t="str">
        <f t="shared" ca="1" si="8"/>
        <v>N/A</v>
      </c>
      <c r="K43" s="63" t="str">
        <f t="shared" ca="1" si="7"/>
        <v>N/A</v>
      </c>
      <c r="L43" s="63" t="str">
        <f t="shared" ca="1" si="7"/>
        <v>N/A</v>
      </c>
      <c r="M43" s="63" t="str">
        <f t="shared" ca="1" si="7"/>
        <v>N/A</v>
      </c>
      <c r="N43" s="63" t="str">
        <f t="shared" ca="1" si="7"/>
        <v>N/A</v>
      </c>
      <c r="O43" s="63" t="str">
        <f t="shared" ca="1" si="7"/>
        <v>N/A</v>
      </c>
      <c r="P43" s="63" t="str">
        <f t="shared" ca="1" si="7"/>
        <v>N/A</v>
      </c>
      <c r="Q43" s="63" t="str">
        <f t="shared" ca="1" si="7"/>
        <v>N/A</v>
      </c>
      <c r="R43" s="63" t="str">
        <f t="shared" ca="1" si="7"/>
        <v>N/A</v>
      </c>
      <c r="S43" s="63"/>
      <c r="T43" s="63"/>
      <c r="U43" s="63"/>
      <c r="V43" s="63"/>
    </row>
    <row r="44" spans="1:22" hidden="1">
      <c r="A44" s="45"/>
      <c r="B44" s="46" t="str">
        <f t="shared" ca="1" si="2"/>
        <v/>
      </c>
      <c r="C44" s="1" t="str">
        <f>IF(ISERROR(D44),"",IF(D44="","",MAX($C$12:C43)+1))</f>
        <v/>
      </c>
      <c r="D44" t="e">
        <f t="shared" si="3"/>
        <v>#N/A</v>
      </c>
      <c r="E44" s="15"/>
      <c r="F44" s="63" t="str">
        <f t="shared" ca="1" si="5"/>
        <v>N/A</v>
      </c>
      <c r="G44" s="63" t="str">
        <f t="shared" si="6"/>
        <v>N/A</v>
      </c>
      <c r="H44" s="63" t="str">
        <f ca="1">IFERROR(VLOOKUP($A44,LASTYR,'2016'!$C$3,FALSE),"N/A")</f>
        <v>N/A</v>
      </c>
      <c r="I44" s="63" t="str">
        <f t="shared" ca="1" si="8"/>
        <v>N/A</v>
      </c>
      <c r="J44" s="63" t="str">
        <f t="shared" ca="1" si="8"/>
        <v>N/A</v>
      </c>
      <c r="K44" s="63" t="str">
        <f t="shared" ca="1" si="7"/>
        <v>N/A</v>
      </c>
      <c r="L44" s="63" t="str">
        <f t="shared" ca="1" si="7"/>
        <v>N/A</v>
      </c>
      <c r="M44" s="63" t="str">
        <f t="shared" ca="1" si="7"/>
        <v>N/A</v>
      </c>
      <c r="N44" s="63" t="str">
        <f t="shared" ca="1" si="7"/>
        <v>N/A</v>
      </c>
      <c r="O44" s="63" t="str">
        <f t="shared" ca="1" si="7"/>
        <v>N/A</v>
      </c>
      <c r="P44" s="63" t="str">
        <f t="shared" ca="1" si="7"/>
        <v>N/A</v>
      </c>
      <c r="Q44" s="63" t="str">
        <f t="shared" ca="1" si="7"/>
        <v>N/A</v>
      </c>
      <c r="R44" s="63" t="str">
        <f t="shared" ca="1" si="7"/>
        <v>N/A</v>
      </c>
      <c r="S44" s="63"/>
      <c r="T44" s="63"/>
      <c r="U44" s="63"/>
      <c r="V44" s="63"/>
    </row>
    <row r="45" spans="1:22" hidden="1">
      <c r="A45" s="45"/>
      <c r="B45" s="46" t="str">
        <f t="shared" ca="1" si="2"/>
        <v/>
      </c>
      <c r="C45" s="1" t="str">
        <f>IF(ISERROR(D45),"",IF(D45="","",MAX($C$12:C44)+1))</f>
        <v/>
      </c>
      <c r="D45" t="e">
        <f t="shared" si="3"/>
        <v>#N/A</v>
      </c>
      <c r="E45" s="15"/>
      <c r="F45" s="63" t="str">
        <f t="shared" ca="1" si="5"/>
        <v>N/A</v>
      </c>
      <c r="G45" s="63" t="str">
        <f t="shared" si="6"/>
        <v>N/A</v>
      </c>
      <c r="H45" s="63" t="str">
        <f ca="1">IFERROR(VLOOKUP($A45,LASTYR,'2016'!$C$3,FALSE),"N/A")</f>
        <v>N/A</v>
      </c>
      <c r="I45" s="63" t="str">
        <f t="shared" ca="1" si="8"/>
        <v>N/A</v>
      </c>
      <c r="J45" s="63" t="str">
        <f t="shared" ca="1" si="8"/>
        <v>N/A</v>
      </c>
      <c r="K45" s="63" t="str">
        <f t="shared" ca="1" si="7"/>
        <v>N/A</v>
      </c>
      <c r="L45" s="63" t="str">
        <f t="shared" ca="1" si="7"/>
        <v>N/A</v>
      </c>
      <c r="M45" s="63" t="str">
        <f t="shared" ca="1" si="7"/>
        <v>N/A</v>
      </c>
      <c r="N45" s="63" t="str">
        <f t="shared" ca="1" si="7"/>
        <v>N/A</v>
      </c>
      <c r="O45" s="63" t="str">
        <f t="shared" ca="1" si="7"/>
        <v>N/A</v>
      </c>
      <c r="P45" s="63" t="str">
        <f t="shared" ca="1" si="7"/>
        <v>N/A</v>
      </c>
      <c r="Q45" s="63" t="str">
        <f t="shared" ca="1" si="7"/>
        <v>N/A</v>
      </c>
      <c r="R45" s="63" t="str">
        <f t="shared" ca="1" si="7"/>
        <v>N/A</v>
      </c>
      <c r="S45" s="63"/>
      <c r="T45" s="63"/>
      <c r="U45" s="63"/>
      <c r="V45" s="63"/>
    </row>
    <row r="46" spans="1:22" hidden="1">
      <c r="A46" s="45"/>
      <c r="B46" s="46" t="str">
        <f t="shared" ca="1" si="2"/>
        <v/>
      </c>
      <c r="C46" s="1" t="str">
        <f>IF(ISERROR(D46),"",IF(D46="","",MAX($C$12:C45)+1))</f>
        <v/>
      </c>
      <c r="D46" t="e">
        <f>VLOOKUP(A46,LUCurYr,2,FALSE)</f>
        <v>#N/A</v>
      </c>
      <c r="E46" s="15"/>
      <c r="F46" s="63" t="str">
        <f t="shared" ca="1" si="5"/>
        <v>N/A</v>
      </c>
      <c r="G46" s="63" t="str">
        <f t="shared" si="6"/>
        <v>N/A</v>
      </c>
      <c r="H46" s="63" t="str">
        <f ca="1">IFERROR(VLOOKUP($A46,LASTYR,'2016'!$C$3,FALSE),"N/A")</f>
        <v>N/A</v>
      </c>
      <c r="I46" s="63" t="str">
        <f t="shared" ca="1" si="8"/>
        <v>N/A</v>
      </c>
      <c r="J46" s="63" t="str">
        <f t="shared" ca="1" si="8"/>
        <v>N/A</v>
      </c>
      <c r="K46" s="63" t="str">
        <f t="shared" ca="1" si="8"/>
        <v>N/A</v>
      </c>
      <c r="L46" s="63" t="str">
        <f t="shared" ca="1" si="8"/>
        <v>N/A</v>
      </c>
      <c r="M46" s="63" t="str">
        <f t="shared" ca="1" si="8"/>
        <v>N/A</v>
      </c>
      <c r="N46" s="63" t="str">
        <f t="shared" ca="1" si="8"/>
        <v>N/A</v>
      </c>
      <c r="O46" s="63" t="str">
        <f t="shared" ca="1" si="8"/>
        <v>N/A</v>
      </c>
      <c r="P46" s="63" t="str">
        <f t="shared" ca="1" si="8"/>
        <v>N/A</v>
      </c>
      <c r="Q46" s="63" t="str">
        <f t="shared" ca="1" si="8"/>
        <v>N/A</v>
      </c>
      <c r="R46" s="63" t="str">
        <f t="shared" ca="1" si="8"/>
        <v>N/A</v>
      </c>
      <c r="S46" s="63"/>
      <c r="T46" s="63"/>
      <c r="U46" s="63"/>
      <c r="V46" s="63"/>
    </row>
    <row r="47" spans="1:22" hidden="1">
      <c r="A47" s="45"/>
      <c r="B47" s="46" t="str">
        <f t="shared" ca="1" si="2"/>
        <v/>
      </c>
      <c r="C47" s="1" t="str">
        <f>IF(ISERROR(D47),"",IF(D47="","",MAX($C$12:C46)+1))</f>
        <v/>
      </c>
      <c r="D47" t="e">
        <f t="shared" si="3"/>
        <v>#N/A</v>
      </c>
      <c r="E47" s="15"/>
      <c r="F47" s="63" t="str">
        <f t="shared" ca="1" si="5"/>
        <v>N/A</v>
      </c>
      <c r="G47" s="63" t="str">
        <f t="shared" si="6"/>
        <v>N/A</v>
      </c>
      <c r="H47" s="63" t="str">
        <f ca="1">IFERROR(VLOOKUP($A47,LASTYR,'2016'!$C$3,FALSE),"N/A")</f>
        <v>N/A</v>
      </c>
      <c r="I47" s="63" t="str">
        <f t="shared" ca="1" si="8"/>
        <v>N/A</v>
      </c>
      <c r="J47" s="63" t="str">
        <f t="shared" ca="1" si="8"/>
        <v>N/A</v>
      </c>
      <c r="K47" s="63" t="str">
        <f t="shared" ca="1" si="8"/>
        <v>N/A</v>
      </c>
      <c r="L47" s="63" t="str">
        <f t="shared" ca="1" si="8"/>
        <v>N/A</v>
      </c>
      <c r="M47" s="63" t="str">
        <f t="shared" ca="1" si="8"/>
        <v>N/A</v>
      </c>
      <c r="N47" s="63" t="str">
        <f t="shared" ca="1" si="8"/>
        <v>N/A</v>
      </c>
      <c r="O47" s="63" t="str">
        <f t="shared" ca="1" si="8"/>
        <v>N/A</v>
      </c>
      <c r="P47" s="63" t="str">
        <f t="shared" ca="1" si="8"/>
        <v>N/A</v>
      </c>
      <c r="Q47" s="63" t="str">
        <f t="shared" ca="1" si="8"/>
        <v>N/A</v>
      </c>
      <c r="R47" s="63" t="str">
        <f t="shared" ca="1" si="8"/>
        <v>N/A</v>
      </c>
      <c r="S47" s="63"/>
      <c r="T47" s="63"/>
      <c r="U47" s="63"/>
      <c r="V47" s="63"/>
    </row>
    <row r="48" spans="1:22" hidden="1">
      <c r="A48" s="45"/>
      <c r="B48" s="46" t="str">
        <f t="shared" ca="1" si="2"/>
        <v/>
      </c>
      <c r="C48" s="1" t="str">
        <f>IF(ISERROR(D48),"",IF(D48="","",MAX($C$12:C47)+1))</f>
        <v/>
      </c>
      <c r="D48" t="e">
        <f t="shared" si="3"/>
        <v>#N/A</v>
      </c>
      <c r="E48" s="15"/>
      <c r="F48" s="63" t="str">
        <f t="shared" ca="1" si="5"/>
        <v>N/A</v>
      </c>
      <c r="G48" s="63" t="str">
        <f t="shared" si="6"/>
        <v>N/A</v>
      </c>
      <c r="H48" s="63" t="str">
        <f ca="1">IFERROR(VLOOKUP($A48,LASTYR,'2016'!$C$3,FALSE),"N/A")</f>
        <v>N/A</v>
      </c>
      <c r="I48" s="63" t="str">
        <f t="shared" ca="1" si="8"/>
        <v>N/A</v>
      </c>
      <c r="J48" s="63" t="str">
        <f t="shared" ca="1" si="8"/>
        <v>N/A</v>
      </c>
      <c r="K48" s="63" t="str">
        <f t="shared" ca="1" si="8"/>
        <v>N/A</v>
      </c>
      <c r="L48" s="63" t="str">
        <f t="shared" ca="1" si="8"/>
        <v>N/A</v>
      </c>
      <c r="M48" s="63" t="str">
        <f t="shared" ca="1" si="8"/>
        <v>N/A</v>
      </c>
      <c r="N48" s="63" t="str">
        <f t="shared" ca="1" si="8"/>
        <v>N/A</v>
      </c>
      <c r="O48" s="63" t="str">
        <f t="shared" ca="1" si="8"/>
        <v>N/A</v>
      </c>
      <c r="P48" s="63" t="str">
        <f t="shared" ca="1" si="8"/>
        <v>N/A</v>
      </c>
      <c r="Q48" s="63" t="str">
        <f t="shared" ca="1" si="8"/>
        <v>N/A</v>
      </c>
      <c r="R48" s="63" t="str">
        <f t="shared" ca="1" si="8"/>
        <v>N/A</v>
      </c>
      <c r="S48" s="63"/>
      <c r="T48" s="63"/>
      <c r="U48" s="63"/>
      <c r="V48" s="63"/>
    </row>
    <row r="49" spans="1:22" hidden="1">
      <c r="A49" s="45"/>
      <c r="B49" s="46" t="str">
        <f t="shared" ca="1" si="2"/>
        <v/>
      </c>
      <c r="C49" s="1" t="str">
        <f>IF(ISERROR(D49),"",IF(D49="","",MAX($C$12:C48)+1))</f>
        <v/>
      </c>
      <c r="D49" t="e">
        <f t="shared" si="3"/>
        <v>#N/A</v>
      </c>
      <c r="E49" s="15"/>
      <c r="F49" s="63" t="str">
        <f t="shared" ca="1" si="5"/>
        <v>N/A</v>
      </c>
      <c r="G49" s="63" t="str">
        <f t="shared" si="6"/>
        <v>N/A</v>
      </c>
      <c r="H49" s="63" t="str">
        <f ca="1">IFERROR(VLOOKUP($A49,LASTYR,'2016'!$C$3,FALSE),"N/A")</f>
        <v>N/A</v>
      </c>
      <c r="I49" s="63" t="str">
        <f t="shared" ca="1" si="8"/>
        <v>N/A</v>
      </c>
      <c r="J49" s="63" t="str">
        <f t="shared" ca="1" si="8"/>
        <v>N/A</v>
      </c>
      <c r="K49" s="63" t="str">
        <f t="shared" ca="1" si="8"/>
        <v>N/A</v>
      </c>
      <c r="L49" s="63" t="str">
        <f t="shared" ca="1" si="8"/>
        <v>N/A</v>
      </c>
      <c r="M49" s="63" t="str">
        <f t="shared" ca="1" si="8"/>
        <v>N/A</v>
      </c>
      <c r="N49" s="63" t="str">
        <f t="shared" ca="1" si="8"/>
        <v>N/A</v>
      </c>
      <c r="O49" s="63" t="str">
        <f t="shared" ca="1" si="8"/>
        <v>N/A</v>
      </c>
      <c r="P49" s="63" t="str">
        <f t="shared" ca="1" si="8"/>
        <v>N/A</v>
      </c>
      <c r="Q49" s="63" t="str">
        <f t="shared" ca="1" si="8"/>
        <v>N/A</v>
      </c>
      <c r="R49" s="63" t="str">
        <f t="shared" ca="1" si="8"/>
        <v>N/A</v>
      </c>
      <c r="S49" s="63"/>
      <c r="T49" s="63"/>
      <c r="U49" s="63"/>
      <c r="V49" s="63"/>
    </row>
    <row r="50" spans="1:22" hidden="1">
      <c r="A50" s="45"/>
      <c r="B50" s="46" t="str">
        <f t="shared" ca="1" si="2"/>
        <v/>
      </c>
      <c r="C50" s="1" t="str">
        <f>IF(ISERROR(D50),"",IF(D50="","",MAX($C$12:C49)+1))</f>
        <v/>
      </c>
      <c r="D50" t="e">
        <f t="shared" si="3"/>
        <v>#N/A</v>
      </c>
      <c r="E50" s="15"/>
      <c r="F50" s="63" t="str">
        <f t="shared" ca="1" si="5"/>
        <v>N/A</v>
      </c>
      <c r="G50" s="63" t="str">
        <f t="shared" si="6"/>
        <v>N/A</v>
      </c>
      <c r="H50" s="63" t="str">
        <f ca="1">IFERROR(VLOOKUP($A50,LASTYR,'2016'!$C$3,FALSE),"N/A")</f>
        <v>N/A</v>
      </c>
      <c r="I50" s="63" t="str">
        <f t="shared" ca="1" si="8"/>
        <v>N/A</v>
      </c>
      <c r="J50" s="63" t="str">
        <f t="shared" ca="1" si="8"/>
        <v>N/A</v>
      </c>
      <c r="K50" s="63" t="str">
        <f t="shared" ca="1" si="8"/>
        <v>N/A</v>
      </c>
      <c r="L50" s="63" t="str">
        <f t="shared" ca="1" si="8"/>
        <v>N/A</v>
      </c>
      <c r="M50" s="63" t="str">
        <f t="shared" ca="1" si="8"/>
        <v>N/A</v>
      </c>
      <c r="N50" s="63" t="str">
        <f t="shared" ca="1" si="8"/>
        <v>N/A</v>
      </c>
      <c r="O50" s="63" t="str">
        <f t="shared" ca="1" si="8"/>
        <v>N/A</v>
      </c>
      <c r="P50" s="63" t="str">
        <f t="shared" ca="1" si="8"/>
        <v>N/A</v>
      </c>
      <c r="Q50" s="63" t="str">
        <f t="shared" ca="1" si="8"/>
        <v>N/A</v>
      </c>
      <c r="R50" s="63" t="str">
        <f t="shared" ca="1" si="8"/>
        <v>N/A</v>
      </c>
      <c r="S50" s="63"/>
      <c r="T50" s="63"/>
      <c r="U50" s="63"/>
      <c r="V50" s="63"/>
    </row>
    <row r="51" spans="1:22" hidden="1">
      <c r="A51" s="45"/>
      <c r="B51" s="46" t="str">
        <f t="shared" ca="1" si="2"/>
        <v/>
      </c>
      <c r="C51" s="1" t="str">
        <f>IF(ISERROR(D51),"",IF(D51="","",MAX($C$12:C50)+1))</f>
        <v/>
      </c>
      <c r="D51" t="e">
        <f t="shared" si="3"/>
        <v>#N/A</v>
      </c>
      <c r="E51" s="15"/>
      <c r="F51" s="63" t="str">
        <f t="shared" ca="1" si="5"/>
        <v>N/A</v>
      </c>
      <c r="G51" s="63" t="str">
        <f t="shared" si="6"/>
        <v>N/A</v>
      </c>
      <c r="H51" s="63" t="str">
        <f ca="1">IFERROR(VLOOKUP($A51,LASTYR,'2016'!$C$3,FALSE),"N/A")</f>
        <v>N/A</v>
      </c>
      <c r="I51" s="63" t="str">
        <f t="shared" ca="1" si="8"/>
        <v>N/A</v>
      </c>
      <c r="J51" s="63" t="str">
        <f t="shared" ca="1" si="8"/>
        <v>N/A</v>
      </c>
      <c r="K51" s="63" t="str">
        <f t="shared" ca="1" si="8"/>
        <v>N/A</v>
      </c>
      <c r="L51" s="63" t="str">
        <f t="shared" ca="1" si="8"/>
        <v>N/A</v>
      </c>
      <c r="M51" s="63" t="str">
        <f t="shared" ca="1" si="8"/>
        <v>N/A</v>
      </c>
      <c r="N51" s="63" t="str">
        <f t="shared" ca="1" si="8"/>
        <v>N/A</v>
      </c>
      <c r="O51" s="63" t="str">
        <f t="shared" ca="1" si="8"/>
        <v>N/A</v>
      </c>
      <c r="P51" s="63" t="str">
        <f t="shared" ca="1" si="8"/>
        <v>N/A</v>
      </c>
      <c r="Q51" s="63" t="str">
        <f t="shared" ca="1" si="8"/>
        <v>N/A</v>
      </c>
      <c r="R51" s="63" t="str">
        <f t="shared" ca="1" si="8"/>
        <v>N/A</v>
      </c>
      <c r="S51" s="63"/>
      <c r="T51" s="63"/>
      <c r="U51" s="63"/>
      <c r="V51" s="63"/>
    </row>
    <row r="52" spans="1:22" hidden="1">
      <c r="A52" s="45"/>
      <c r="B52" s="46" t="str">
        <f t="shared" ca="1" si="2"/>
        <v/>
      </c>
      <c r="C52" s="1" t="str">
        <f>IF(ISERROR(D52),"",IF(D52="","",MAX($C$12:C51)+1))</f>
        <v/>
      </c>
      <c r="D52" t="e">
        <f t="shared" si="3"/>
        <v>#N/A</v>
      </c>
      <c r="E52" s="15"/>
      <c r="F52" s="63" t="str">
        <f t="shared" ca="1" si="5"/>
        <v>N/A</v>
      </c>
      <c r="G52" s="63" t="str">
        <f t="shared" si="6"/>
        <v>N/A</v>
      </c>
      <c r="H52" s="63" t="str">
        <f ca="1">IFERROR(VLOOKUP($A52,LASTYR,'2016'!$C$3,FALSE),"N/A")</f>
        <v>N/A</v>
      </c>
      <c r="I52" s="63" t="str">
        <f t="shared" ca="1" si="8"/>
        <v>N/A</v>
      </c>
      <c r="J52" s="63" t="str">
        <f t="shared" ca="1" si="8"/>
        <v>N/A</v>
      </c>
      <c r="K52" s="63" t="str">
        <f t="shared" ca="1" si="8"/>
        <v>N/A</v>
      </c>
      <c r="L52" s="63" t="str">
        <f t="shared" ca="1" si="8"/>
        <v>N/A</v>
      </c>
      <c r="M52" s="63" t="str">
        <f t="shared" ca="1" si="8"/>
        <v>N/A</v>
      </c>
      <c r="N52" s="63" t="str">
        <f t="shared" ca="1" si="8"/>
        <v>N/A</v>
      </c>
      <c r="O52" s="63" t="str">
        <f t="shared" ca="1" si="8"/>
        <v>N/A</v>
      </c>
      <c r="P52" s="63" t="str">
        <f t="shared" ca="1" si="8"/>
        <v>N/A</v>
      </c>
      <c r="Q52" s="63" t="str">
        <f t="shared" ca="1" si="8"/>
        <v>N/A</v>
      </c>
      <c r="R52" s="63" t="str">
        <f t="shared" ca="1" si="8"/>
        <v>N/A</v>
      </c>
      <c r="S52" s="63"/>
      <c r="T52" s="63"/>
      <c r="U52" s="63"/>
      <c r="V52" s="63"/>
    </row>
    <row r="53" spans="1:22" hidden="1">
      <c r="A53" s="45"/>
      <c r="B53" s="46" t="str">
        <f t="shared" ca="1" si="2"/>
        <v/>
      </c>
      <c r="C53" s="1" t="str">
        <f>IF(ISERROR(D53),"",IF(D53="","",MAX($C$12:C52)+1))</f>
        <v/>
      </c>
      <c r="D53" t="e">
        <f t="shared" si="3"/>
        <v>#N/A</v>
      </c>
      <c r="E53" s="15"/>
      <c r="F53" s="63" t="str">
        <f t="shared" ca="1" si="5"/>
        <v>N/A</v>
      </c>
      <c r="G53" s="63" t="str">
        <f t="shared" si="6"/>
        <v>N/A</v>
      </c>
      <c r="H53" s="63" t="str">
        <f ca="1">IFERROR(VLOOKUP($A53,LASTYR,'2016'!$C$3,FALSE),"N/A")</f>
        <v>N/A</v>
      </c>
      <c r="I53" s="63" t="str">
        <f t="shared" ref="I53:R57" ca="1" si="9">IFERROR(INDEX(PE_WP,$B53,I$12),"N/A")</f>
        <v>N/A</v>
      </c>
      <c r="J53" s="63" t="str">
        <f t="shared" ca="1" si="9"/>
        <v>N/A</v>
      </c>
      <c r="K53" s="63" t="str">
        <f t="shared" ca="1" si="9"/>
        <v>N/A</v>
      </c>
      <c r="L53" s="63" t="str">
        <f t="shared" ca="1" si="9"/>
        <v>N/A</v>
      </c>
      <c r="M53" s="63" t="str">
        <f t="shared" ca="1" si="9"/>
        <v>N/A</v>
      </c>
      <c r="N53" s="63" t="str">
        <f t="shared" ca="1" si="9"/>
        <v>N/A</v>
      </c>
      <c r="O53" s="63" t="str">
        <f t="shared" ca="1" si="9"/>
        <v>N/A</v>
      </c>
      <c r="P53" s="63" t="str">
        <f t="shared" ca="1" si="9"/>
        <v>N/A</v>
      </c>
      <c r="Q53" s="63" t="str">
        <f t="shared" ca="1" si="9"/>
        <v>N/A</v>
      </c>
      <c r="R53" s="63" t="str">
        <f t="shared" ca="1" si="9"/>
        <v>N/A</v>
      </c>
      <c r="S53" s="63"/>
      <c r="T53" s="63"/>
      <c r="U53" s="63"/>
      <c r="V53" s="63"/>
    </row>
    <row r="54" spans="1:22" hidden="1">
      <c r="A54" s="45"/>
      <c r="B54" s="46" t="str">
        <f t="shared" ca="1" si="2"/>
        <v/>
      </c>
      <c r="C54" s="1" t="str">
        <f>IF(ISERROR(D54),"",IF(D54="","",MAX($C$12:C53)+1))</f>
        <v/>
      </c>
      <c r="D54" t="e">
        <f t="shared" si="3"/>
        <v>#N/A</v>
      </c>
      <c r="E54" s="15"/>
      <c r="F54" s="63" t="str">
        <f t="shared" ca="1" si="5"/>
        <v>N/A</v>
      </c>
      <c r="G54" s="63" t="str">
        <f t="shared" si="6"/>
        <v>N/A</v>
      </c>
      <c r="H54" s="63" t="str">
        <f ca="1">IFERROR(VLOOKUP($A54,LASTYR,'2016'!$C$3,FALSE),"N/A")</f>
        <v>N/A</v>
      </c>
      <c r="I54" s="63" t="str">
        <f t="shared" ca="1" si="9"/>
        <v>N/A</v>
      </c>
      <c r="J54" s="63" t="str">
        <f t="shared" ca="1" si="9"/>
        <v>N/A</v>
      </c>
      <c r="K54" s="63" t="str">
        <f t="shared" ca="1" si="9"/>
        <v>N/A</v>
      </c>
      <c r="L54" s="63" t="str">
        <f t="shared" ca="1" si="9"/>
        <v>N/A</v>
      </c>
      <c r="M54" s="63" t="str">
        <f t="shared" ca="1" si="9"/>
        <v>N/A</v>
      </c>
      <c r="N54" s="63" t="str">
        <f t="shared" ca="1" si="9"/>
        <v>N/A</v>
      </c>
      <c r="O54" s="63" t="str">
        <f t="shared" ca="1" si="9"/>
        <v>N/A</v>
      </c>
      <c r="P54" s="63" t="str">
        <f t="shared" ca="1" si="9"/>
        <v>N/A</v>
      </c>
      <c r="Q54" s="63" t="str">
        <f t="shared" ca="1" si="9"/>
        <v>N/A</v>
      </c>
      <c r="R54" s="63" t="str">
        <f t="shared" ca="1" si="9"/>
        <v>N/A</v>
      </c>
      <c r="S54" s="63"/>
      <c r="T54" s="63"/>
      <c r="U54" s="63"/>
      <c r="V54" s="63"/>
    </row>
    <row r="55" spans="1:22" hidden="1">
      <c r="A55" s="51"/>
      <c r="B55" s="46" t="str">
        <f t="shared" ca="1" si="2"/>
        <v/>
      </c>
      <c r="C55" s="1" t="str">
        <f>IF(ISERROR(D55),"",IF(D55="","",MAX($C$12:C54)+1))</f>
        <v/>
      </c>
      <c r="D55" t="e">
        <f t="shared" si="3"/>
        <v>#N/A</v>
      </c>
      <c r="F55" s="63" t="str">
        <f t="shared" ca="1" si="5"/>
        <v>N/A</v>
      </c>
      <c r="G55" s="63" t="str">
        <f t="shared" si="6"/>
        <v>N/A</v>
      </c>
      <c r="H55" s="63" t="str">
        <f ca="1">IFERROR(VLOOKUP($A55,LASTYR,'2016'!$C$3,FALSE),"N/A")</f>
        <v>N/A</v>
      </c>
      <c r="I55" s="63" t="str">
        <f t="shared" ca="1" si="9"/>
        <v>N/A</v>
      </c>
      <c r="J55" s="63" t="str">
        <f t="shared" ca="1" si="9"/>
        <v>N/A</v>
      </c>
      <c r="K55" s="63" t="str">
        <f t="shared" ca="1" si="9"/>
        <v>N/A</v>
      </c>
      <c r="L55" s="63" t="str">
        <f t="shared" ca="1" si="9"/>
        <v>N/A</v>
      </c>
      <c r="M55" s="63" t="str">
        <f t="shared" ca="1" si="9"/>
        <v>N/A</v>
      </c>
      <c r="N55" s="63" t="str">
        <f t="shared" ca="1" si="9"/>
        <v>N/A</v>
      </c>
      <c r="O55" s="63" t="str">
        <f t="shared" ca="1" si="9"/>
        <v>N/A</v>
      </c>
      <c r="P55" s="63" t="str">
        <f t="shared" ca="1" si="9"/>
        <v>N/A</v>
      </c>
      <c r="Q55" s="63" t="str">
        <f t="shared" ca="1" si="9"/>
        <v>N/A</v>
      </c>
      <c r="R55" s="63" t="str">
        <f t="shared" ca="1" si="9"/>
        <v>N/A</v>
      </c>
      <c r="S55" s="63"/>
      <c r="T55" s="63"/>
      <c r="U55" s="63"/>
      <c r="V55" s="63"/>
    </row>
    <row r="56" spans="1:22" hidden="1">
      <c r="A56" s="51"/>
      <c r="B56" s="46" t="str">
        <f t="shared" ca="1" si="2"/>
        <v/>
      </c>
      <c r="C56" s="1" t="str">
        <f>IF(ISERROR(D56),"",IF(D56="","",MAX($C$12:C55)+1))</f>
        <v/>
      </c>
      <c r="D56" t="e">
        <f t="shared" si="3"/>
        <v>#N/A</v>
      </c>
      <c r="F56" s="63" t="str">
        <f t="shared" ca="1" si="5"/>
        <v>N/A</v>
      </c>
      <c r="G56" s="63" t="str">
        <f t="shared" si="6"/>
        <v>N/A</v>
      </c>
      <c r="H56" s="63" t="str">
        <f ca="1">IFERROR(VLOOKUP($A56,LASTYR,'2016'!$C$3,FALSE),"N/A")</f>
        <v>N/A</v>
      </c>
      <c r="I56" s="63" t="str">
        <f t="shared" ca="1" si="9"/>
        <v>N/A</v>
      </c>
      <c r="J56" s="63" t="str">
        <f t="shared" ca="1" si="9"/>
        <v>N/A</v>
      </c>
      <c r="K56" s="63" t="str">
        <f t="shared" ca="1" si="9"/>
        <v>N/A</v>
      </c>
      <c r="L56" s="63" t="str">
        <f t="shared" ca="1" si="9"/>
        <v>N/A</v>
      </c>
      <c r="M56" s="63" t="str">
        <f t="shared" ca="1" si="9"/>
        <v>N/A</v>
      </c>
      <c r="N56" s="63" t="str">
        <f t="shared" ca="1" si="9"/>
        <v>N/A</v>
      </c>
      <c r="O56" s="63" t="str">
        <f t="shared" ca="1" si="9"/>
        <v>N/A</v>
      </c>
      <c r="P56" s="63" t="str">
        <f t="shared" ca="1" si="9"/>
        <v>N/A</v>
      </c>
      <c r="Q56" s="63" t="str">
        <f t="shared" ca="1" si="9"/>
        <v>N/A</v>
      </c>
      <c r="R56" s="63" t="str">
        <f t="shared" ca="1" si="9"/>
        <v>N/A</v>
      </c>
      <c r="S56" s="63"/>
      <c r="T56" s="63"/>
      <c r="U56" s="63"/>
      <c r="V56" s="63"/>
    </row>
    <row r="57" spans="1:22" hidden="1">
      <c r="A57" s="51"/>
      <c r="B57" s="46" t="str">
        <f t="shared" ca="1" si="2"/>
        <v/>
      </c>
      <c r="C57" s="1" t="str">
        <f>IF(ISERROR(D57),"",IF(D57="","",MAX($C$12:C56)+1))</f>
        <v/>
      </c>
      <c r="D57" t="e">
        <f t="shared" si="3"/>
        <v>#N/A</v>
      </c>
      <c r="F57" s="63" t="str">
        <f t="shared" ca="1" si="5"/>
        <v>N/A</v>
      </c>
      <c r="G57" s="63" t="str">
        <f t="shared" si="6"/>
        <v>N/A</v>
      </c>
      <c r="H57" s="63" t="str">
        <f ca="1">IFERROR(VLOOKUP($A57,LASTYR,'2016'!$C$3,FALSE),"N/A")</f>
        <v>N/A</v>
      </c>
      <c r="I57" s="63" t="str">
        <f t="shared" ca="1" si="9"/>
        <v>N/A</v>
      </c>
      <c r="J57" s="63" t="str">
        <f t="shared" ca="1" si="9"/>
        <v>N/A</v>
      </c>
      <c r="K57" s="63" t="str">
        <f t="shared" ca="1" si="9"/>
        <v>N/A</v>
      </c>
      <c r="L57" s="63" t="str">
        <f t="shared" ca="1" si="9"/>
        <v>N/A</v>
      </c>
      <c r="M57" s="63" t="str">
        <f t="shared" ca="1" si="9"/>
        <v>N/A</v>
      </c>
      <c r="N57" s="63" t="str">
        <f t="shared" ca="1" si="9"/>
        <v>N/A</v>
      </c>
      <c r="O57" s="63" t="str">
        <f t="shared" ca="1" si="9"/>
        <v>N/A</v>
      </c>
      <c r="P57" s="63" t="str">
        <f t="shared" ca="1" si="9"/>
        <v>N/A</v>
      </c>
      <c r="Q57" s="63" t="str">
        <f t="shared" ca="1" si="9"/>
        <v>N/A</v>
      </c>
      <c r="R57" s="63" t="str">
        <f t="shared" ca="1" si="9"/>
        <v>N/A</v>
      </c>
      <c r="S57" s="63"/>
      <c r="T57" s="63"/>
      <c r="U57" s="63"/>
      <c r="V57" s="63"/>
    </row>
    <row r="58" spans="1:22">
      <c r="A58" s="31"/>
      <c r="B58" s="31"/>
      <c r="C58" s="1" t="str">
        <f>IF(ISERROR(D58),"",IF(D58="","",MAX($C$12:C57)+1))</f>
        <v/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</row>
    <row r="59" spans="1:22">
      <c r="A59" s="31"/>
      <c r="B59" s="31"/>
      <c r="C59" s="1">
        <f ca="1">IF(ISERROR(D59),"",IF(D59="","",MAX($C$12:C58)+1))</f>
        <v>12</v>
      </c>
      <c r="D59" t="s">
        <v>98</v>
      </c>
      <c r="F59" s="63">
        <f ca="1">AVERAGE(G59:R59)</f>
        <v>17.471156060606059</v>
      </c>
      <c r="G59" s="63">
        <f t="shared" ref="G59:R59" si="10">AVERAGE(G13:G58)</f>
        <v>25.045454545454547</v>
      </c>
      <c r="H59" s="63">
        <f t="shared" ref="H59" ca="1" si="11">AVERAGE(H13:H58)</f>
        <v>21.728636363636365</v>
      </c>
      <c r="I59" s="63">
        <f t="shared" ca="1" si="10"/>
        <v>20.234363636363636</v>
      </c>
      <c r="J59" s="63">
        <f t="shared" ca="1" si="10"/>
        <v>17.584818181818182</v>
      </c>
      <c r="K59" s="63">
        <f t="shared" ca="1" si="10"/>
        <v>17.533899999999999</v>
      </c>
      <c r="L59" s="63">
        <f t="shared" ca="1" si="10"/>
        <v>16.4556</v>
      </c>
      <c r="M59" s="63">
        <f t="shared" ca="1" si="10"/>
        <v>16.286799999999999</v>
      </c>
      <c r="N59" s="63">
        <f t="shared" ca="1" si="10"/>
        <v>14.3195</v>
      </c>
      <c r="O59" s="63">
        <f t="shared" ca="1" si="10"/>
        <v>13.459599999999998</v>
      </c>
      <c r="P59" s="63">
        <f t="shared" ca="1" si="10"/>
        <v>14.759499999999997</v>
      </c>
      <c r="Q59" s="63">
        <f t="shared" ca="1" si="10"/>
        <v>16.912400000000002</v>
      </c>
      <c r="R59" s="63">
        <f t="shared" ca="1" si="10"/>
        <v>15.333299999999999</v>
      </c>
      <c r="S59" s="63"/>
      <c r="T59" s="63"/>
      <c r="U59" s="63"/>
      <c r="V59" s="63"/>
    </row>
    <row r="60" spans="1:22">
      <c r="A60" s="31"/>
      <c r="B60" s="31"/>
      <c r="C60" s="1">
        <f ca="1">IF(ISERROR(D60),"",IF(D60="","",MAX($C$12:C59)+1))</f>
        <v>13</v>
      </c>
      <c r="D60" t="s">
        <v>257</v>
      </c>
      <c r="F60" s="63">
        <f ca="1">AVERAGE(G60:R60)</f>
        <v>17.139291666666665</v>
      </c>
      <c r="G60" s="63">
        <f>MEDIAN(G13:G58)</f>
        <v>24.2</v>
      </c>
      <c r="H60" s="63">
        <f t="shared" ref="H60" ca="1" si="12">MEDIAN(H13:H58)</f>
        <v>21.643000000000001</v>
      </c>
      <c r="I60" s="63">
        <f t="shared" ref="I60:R60" ca="1" si="13">MEDIAN(I13:I58)</f>
        <v>17.949000000000002</v>
      </c>
      <c r="J60" s="63">
        <f t="shared" ca="1" si="13"/>
        <v>17.827000000000002</v>
      </c>
      <c r="K60" s="63">
        <f t="shared" ca="1" si="13"/>
        <v>17.114000000000001</v>
      </c>
      <c r="L60" s="63">
        <f t="shared" ca="1" si="13"/>
        <v>16.154</v>
      </c>
      <c r="M60" s="63">
        <f t="shared" ca="1" si="13"/>
        <v>16.221499999999999</v>
      </c>
      <c r="N60" s="63">
        <f t="shared" ca="1" si="13"/>
        <v>14.4765</v>
      </c>
      <c r="O60" s="63">
        <f t="shared" ca="1" si="13"/>
        <v>13.795999999999999</v>
      </c>
      <c r="P60" s="63">
        <f t="shared" ca="1" si="13"/>
        <v>13.907499999999999</v>
      </c>
      <c r="Q60" s="63">
        <f t="shared" ca="1" si="13"/>
        <v>16.728000000000002</v>
      </c>
      <c r="R60" s="63">
        <f t="shared" ca="1" si="13"/>
        <v>15.655000000000001</v>
      </c>
      <c r="S60" s="63"/>
      <c r="T60" s="63"/>
      <c r="U60" s="63"/>
      <c r="V60" s="63"/>
    </row>
    <row r="61" spans="1:22">
      <c r="A61" s="31"/>
      <c r="B61" s="31"/>
      <c r="C61" s="1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>
      <c r="A62" s="31"/>
      <c r="B62" s="31"/>
      <c r="C62" s="1"/>
    </row>
    <row r="63" spans="1:22" ht="17.25">
      <c r="A63" s="31"/>
      <c r="B63" s="31"/>
      <c r="C63" s="6"/>
      <c r="D63" s="6"/>
      <c r="E63" s="19"/>
      <c r="F63" s="139" t="s">
        <v>109</v>
      </c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</row>
    <row r="64" spans="1:22" ht="15">
      <c r="A64" s="31"/>
      <c r="B64" s="31"/>
      <c r="C64" s="6"/>
      <c r="D64" s="7"/>
      <c r="E64" s="7"/>
      <c r="F64" s="8" t="s">
        <v>258</v>
      </c>
      <c r="G64" s="8"/>
      <c r="H64" s="8"/>
      <c r="I64" s="8"/>
      <c r="J64" s="8"/>
      <c r="K64" s="8"/>
      <c r="L64" s="8"/>
      <c r="M64" s="8"/>
      <c r="N64" s="8"/>
      <c r="O64" s="7"/>
      <c r="P64" s="7"/>
      <c r="Q64" s="7"/>
      <c r="R64" s="7"/>
      <c r="S64" s="7"/>
      <c r="T64" s="7"/>
      <c r="U64" s="7"/>
    </row>
    <row r="65" spans="1:22" ht="17.25">
      <c r="A65" s="31"/>
      <c r="B65" s="31"/>
      <c r="C65" s="9" t="s">
        <v>96</v>
      </c>
      <c r="D65" s="138" t="s">
        <v>97</v>
      </c>
      <c r="E65" s="138"/>
      <c r="F65" s="10" t="s">
        <v>98</v>
      </c>
      <c r="G65" s="10" t="s">
        <v>330</v>
      </c>
      <c r="H65" s="41">
        <v>2016</v>
      </c>
      <c r="I65" s="41">
        <v>2015</v>
      </c>
      <c r="J65" s="41">
        <v>2014</v>
      </c>
      <c r="K65" s="41">
        <v>2013</v>
      </c>
      <c r="L65" s="41">
        <v>2012</v>
      </c>
      <c r="M65" s="41">
        <v>2011</v>
      </c>
      <c r="N65" s="41">
        <v>2010</v>
      </c>
      <c r="O65" s="41">
        <v>2009</v>
      </c>
      <c r="P65" s="41">
        <v>2008</v>
      </c>
      <c r="Q65" s="41">
        <v>2007</v>
      </c>
      <c r="R65" s="41">
        <v>2006</v>
      </c>
      <c r="S65" s="41">
        <v>2005</v>
      </c>
      <c r="T65" s="41">
        <v>2004</v>
      </c>
      <c r="U65" s="41">
        <v>2003</v>
      </c>
      <c r="V65" s="41">
        <v>2002</v>
      </c>
    </row>
    <row r="66" spans="1:22" ht="15">
      <c r="A66" s="42"/>
      <c r="B66" s="42"/>
      <c r="C66" s="9"/>
      <c r="D66" s="11"/>
      <c r="E66" s="11"/>
      <c r="F66" s="12">
        <v>-1</v>
      </c>
      <c r="G66" s="12">
        <f t="shared" ref="G66:V66" si="14">+F66-1</f>
        <v>-2</v>
      </c>
      <c r="H66" s="12">
        <f t="shared" ref="H66" si="15">+G66-1</f>
        <v>-3</v>
      </c>
      <c r="I66" s="12">
        <f t="shared" ref="I66" si="16">+H66-1</f>
        <v>-4</v>
      </c>
      <c r="J66" s="12">
        <f t="shared" si="14"/>
        <v>-5</v>
      </c>
      <c r="K66" s="12">
        <f t="shared" si="14"/>
        <v>-6</v>
      </c>
      <c r="L66" s="12">
        <f t="shared" si="14"/>
        <v>-7</v>
      </c>
      <c r="M66" s="12">
        <f t="shared" si="14"/>
        <v>-8</v>
      </c>
      <c r="N66" s="12">
        <f t="shared" si="14"/>
        <v>-9</v>
      </c>
      <c r="O66" s="12">
        <f t="shared" si="14"/>
        <v>-10</v>
      </c>
      <c r="P66" s="12">
        <f t="shared" si="14"/>
        <v>-11</v>
      </c>
      <c r="Q66" s="12">
        <f t="shared" si="14"/>
        <v>-12</v>
      </c>
      <c r="R66" s="12">
        <f t="shared" si="14"/>
        <v>-13</v>
      </c>
      <c r="S66" s="12">
        <f t="shared" si="14"/>
        <v>-14</v>
      </c>
      <c r="T66" s="12">
        <f t="shared" si="14"/>
        <v>-15</v>
      </c>
      <c r="U66" s="12">
        <f t="shared" si="14"/>
        <v>-16</v>
      </c>
      <c r="V66" s="12">
        <f t="shared" si="14"/>
        <v>-17</v>
      </c>
    </row>
    <row r="67" spans="1:22">
      <c r="A67" s="43"/>
      <c r="B67" s="44"/>
      <c r="C67" s="6"/>
      <c r="E67" s="22"/>
      <c r="F67" s="36"/>
      <c r="G67" s="36"/>
      <c r="H67" s="16">
        <f t="shared" ref="H67:I67" ca="1" si="17">MATCH(VALUE(LEFT(H65,4)),OFFSET(MP_CF_WP,-1,0,1,),0)</f>
        <v>6</v>
      </c>
      <c r="I67" s="16">
        <f t="shared" ca="1" si="17"/>
        <v>7</v>
      </c>
      <c r="J67" s="16">
        <f t="shared" ref="J67:V67" ca="1" si="18">MATCH(VALUE(LEFT(J65,4)),OFFSET(MP_CF_WP,-1,0,1,),0)</f>
        <v>8</v>
      </c>
      <c r="K67" s="16">
        <f t="shared" ca="1" si="18"/>
        <v>9</v>
      </c>
      <c r="L67" s="16">
        <f t="shared" ca="1" si="18"/>
        <v>10</v>
      </c>
      <c r="M67" s="16">
        <f t="shared" ca="1" si="18"/>
        <v>11</v>
      </c>
      <c r="N67" s="16">
        <f t="shared" ca="1" si="18"/>
        <v>12</v>
      </c>
      <c r="O67" s="16">
        <f t="shared" ca="1" si="18"/>
        <v>13</v>
      </c>
      <c r="P67" s="16">
        <f t="shared" ca="1" si="18"/>
        <v>14</v>
      </c>
      <c r="Q67" s="16">
        <f t="shared" ca="1" si="18"/>
        <v>15</v>
      </c>
      <c r="R67" s="16">
        <f t="shared" ca="1" si="18"/>
        <v>16</v>
      </c>
      <c r="S67" s="16">
        <f t="shared" ca="1" si="18"/>
        <v>17</v>
      </c>
      <c r="T67" s="16">
        <f t="shared" ca="1" si="18"/>
        <v>18</v>
      </c>
      <c r="U67" s="16">
        <f t="shared" ca="1" si="18"/>
        <v>19</v>
      </c>
      <c r="V67" s="16">
        <f t="shared" ca="1" si="18"/>
        <v>20</v>
      </c>
    </row>
    <row r="68" spans="1:22">
      <c r="A68" s="51" t="str">
        <f t="shared" ref="A68:A112" si="19">A13</f>
        <v>ATO</v>
      </c>
      <c r="B68" s="46">
        <f t="shared" ref="B68:B112" ca="1" si="20">IFERROR(MATCH(A68,OFFSET(MP_CF_WP,0,0,,1),0),"")</f>
        <v>9</v>
      </c>
      <c r="C68" s="1">
        <f ca="1">IF(ISERROR(D68),"",IF(D68="","",MAX($C$66:C67)+1))</f>
        <v>1</v>
      </c>
      <c r="D68" t="str">
        <f t="shared" ref="D68:D112" ca="1" si="21">D13</f>
        <v>Atmos Energy</v>
      </c>
      <c r="E68" s="22"/>
      <c r="F68" s="63">
        <f ca="1">IFERROR(AVERAGE(G68:R68),"N/A")</f>
        <v>7.9720035332535568</v>
      </c>
      <c r="G68" s="63">
        <f t="shared" ref="G68:G112" si="22">IFERROR(IF(VLOOKUP(A68,LUCurYr,13,FALSE)=0,"",VLOOKUP(A68,LUCurYr,13,FALSE)),"N/A")</f>
        <v>12.399999999999999</v>
      </c>
      <c r="H68" s="63">
        <f ca="1">IFERROR(VLOOKUP($A68,LASTYR,'2016'!$L$3,FALSE),"N/A")</f>
        <v>11.359670382937471</v>
      </c>
      <c r="I68" s="63">
        <f t="shared" ref="I68:V83" ca="1" si="23">IFERROR(IF(INDEX(MP_CF_WP,$B68,I$67)=0,"N/A",INDEX(MP_CF_WP,$B68,I$67)),"N/A")</f>
        <v>9.3031137106485478</v>
      </c>
      <c r="J68" s="63">
        <f t="shared" ca="1" si="23"/>
        <v>8.7932434927081413</v>
      </c>
      <c r="K68" s="63">
        <f t="shared" ca="1" si="23"/>
        <v>7.7219303366413694</v>
      </c>
      <c r="L68" s="63">
        <f t="shared" ca="1" si="23"/>
        <v>7.0247795044099117</v>
      </c>
      <c r="M68" s="63">
        <f t="shared" ca="1" si="23"/>
        <v>6.8703939008894528</v>
      </c>
      <c r="N68" s="63">
        <f t="shared" ca="1" si="23"/>
        <v>6.1520051746442439</v>
      </c>
      <c r="O68" s="63">
        <f t="shared" ca="1" si="23"/>
        <v>5.7602611940298498</v>
      </c>
      <c r="P68" s="63">
        <f t="shared" ca="1" si="23"/>
        <v>6.4796088719294067</v>
      </c>
      <c r="Q68" s="63">
        <f t="shared" ca="1" si="23"/>
        <v>7.443772672309553</v>
      </c>
      <c r="R68" s="63">
        <f t="shared" ca="1" si="23"/>
        <v>6.3552631578947363</v>
      </c>
      <c r="S68" s="63"/>
      <c r="T68" s="63"/>
      <c r="U68" s="63"/>
      <c r="V68" s="63"/>
    </row>
    <row r="69" spans="1:22">
      <c r="A69" s="51" t="str">
        <f t="shared" si="19"/>
        <v>CPK</v>
      </c>
      <c r="B69" s="46">
        <f t="shared" ca="1" si="20"/>
        <v>16</v>
      </c>
      <c r="C69" s="1">
        <f ca="1">IF(ISERROR(D69),"",IF(D69="","",MAX($C$66:C68)+1))</f>
        <v>2</v>
      </c>
      <c r="D69" t="str">
        <f t="shared" ca="1" si="21"/>
        <v>Chesapeake Utilities</v>
      </c>
      <c r="E69" s="22"/>
      <c r="F69" s="63">
        <f t="shared" ref="F69:F112" ca="1" si="24">IFERROR(AVERAGE(G69:R69),"N/A")</f>
        <v>9.2778697537963879</v>
      </c>
      <c r="G69" s="63">
        <f t="shared" si="22"/>
        <v>15.24468085106383</v>
      </c>
      <c r="H69" s="63">
        <f ca="1">IFERROR(VLOOKUP($A69,LASTYR,'2016'!$L$3,FALSE),"N/A")</f>
        <v>12.061785783459229</v>
      </c>
      <c r="I69" s="63">
        <f t="shared" ca="1" si="23"/>
        <v>10.156175771971498</v>
      </c>
      <c r="J69" s="63">
        <f t="shared" ca="1" si="23"/>
        <v>9.2457179107633749</v>
      </c>
      <c r="K69" s="63">
        <f t="shared" ca="1" si="23"/>
        <v>8.1181880892159111</v>
      </c>
      <c r="L69" s="63">
        <f t="shared" ca="1" si="23"/>
        <v>7.4640870005058169</v>
      </c>
      <c r="M69" s="63">
        <f t="shared" ca="1" si="23"/>
        <v>7.3488876831253398</v>
      </c>
      <c r="N69" s="63">
        <f t="shared" ca="1" si="23"/>
        <v>6.3584096109839816</v>
      </c>
      <c r="O69" s="63">
        <f t="shared" ca="1" si="23"/>
        <v>9.4753258845437625</v>
      </c>
      <c r="P69" s="63">
        <f t="shared" ca="1" si="23"/>
        <v>7.8808000000000007</v>
      </c>
      <c r="Q69" s="63">
        <f t="shared" ca="1" si="23"/>
        <v>8.5781746031746042</v>
      </c>
      <c r="R69" s="63">
        <f t="shared" ca="1" si="23"/>
        <v>9.4022038567493116</v>
      </c>
      <c r="S69" s="63"/>
      <c r="T69" s="63"/>
      <c r="U69" s="63"/>
      <c r="V69" s="63"/>
    </row>
    <row r="70" spans="1:22">
      <c r="A70" s="51" t="str">
        <f t="shared" si="19"/>
        <v>NJR</v>
      </c>
      <c r="B70" s="46">
        <f t="shared" ca="1" si="20"/>
        <v>42</v>
      </c>
      <c r="C70" s="1">
        <f ca="1">IF(ISERROR(D70),"",IF(D70="","",MAX($C$66:C69)+1))</f>
        <v>3</v>
      </c>
      <c r="D70" t="str">
        <f t="shared" ca="1" si="21"/>
        <v>New Jersey Resources</v>
      </c>
      <c r="E70" s="22"/>
      <c r="F70" s="63">
        <f t="shared" ca="1" si="24"/>
        <v>11.89718706820765</v>
      </c>
      <c r="G70" s="63">
        <f t="shared" si="22"/>
        <v>15.294117647058824</v>
      </c>
      <c r="H70" s="63">
        <f ca="1">IFERROR(VLOOKUP($A70,LASTYR,'2016'!$L$3,FALSE),"N/A")</f>
        <v>13.936048879837067</v>
      </c>
      <c r="I70" s="63">
        <f t="shared" ca="1" si="23"/>
        <v>11.711287128712872</v>
      </c>
      <c r="J70" s="63">
        <f t="shared" ca="1" si="23"/>
        <v>8.9486615328199495</v>
      </c>
      <c r="K70" s="63">
        <f t="shared" ca="1" si="23"/>
        <v>11.286601138127264</v>
      </c>
      <c r="L70" s="63">
        <f t="shared" ca="1" si="23"/>
        <v>12.292722371967656</v>
      </c>
      <c r="M70" s="63">
        <f t="shared" ca="1" si="23"/>
        <v>12.714117647058824</v>
      </c>
      <c r="N70" s="63">
        <f t="shared" ca="1" si="23"/>
        <v>11.320638820638822</v>
      </c>
      <c r="O70" s="63">
        <f t="shared" ca="1" si="23"/>
        <v>11.342621912602914</v>
      </c>
      <c r="P70" s="63">
        <f t="shared" ca="1" si="23"/>
        <v>9.1496410822749858</v>
      </c>
      <c r="Q70" s="63">
        <f t="shared" ca="1" si="23"/>
        <v>13.763934426229509</v>
      </c>
      <c r="R70" s="63">
        <f t="shared" ca="1" si="23"/>
        <v>11.00585223116313</v>
      </c>
      <c r="S70" s="63"/>
      <c r="T70" s="63"/>
      <c r="U70" s="63"/>
      <c r="V70" s="63"/>
    </row>
    <row r="71" spans="1:22">
      <c r="A71" s="51" t="str">
        <f t="shared" si="19"/>
        <v>NI</v>
      </c>
      <c r="B71" s="46">
        <f t="shared" ca="1" si="20"/>
        <v>44</v>
      </c>
      <c r="C71" s="1">
        <f ca="1">IF(ISERROR(D71),"",IF(D71="","",MAX($C$66:C70)+1))</f>
        <v>4</v>
      </c>
      <c r="D71" t="str">
        <f t="shared" ca="1" si="21"/>
        <v>NiSource Inc.</v>
      </c>
      <c r="E71" s="22"/>
      <c r="F71" s="63">
        <f t="shared" ca="1" si="24"/>
        <v>7.4683482497861933</v>
      </c>
      <c r="G71" s="63">
        <f t="shared" si="22"/>
        <v>9.1886792452830193</v>
      </c>
      <c r="H71" s="63">
        <f ca="1">IFERROR(VLOOKUP($A71,LASTYR,'2016'!$L$3,FALSE),"N/A")</f>
        <v>8.5609305760709002</v>
      </c>
      <c r="I71" s="63">
        <f t="shared" ca="1" si="23"/>
        <v>10.381288614298324</v>
      </c>
      <c r="J71" s="63">
        <f t="shared" ca="1" si="23"/>
        <v>10.564394993045896</v>
      </c>
      <c r="K71" s="63">
        <f t="shared" ca="1" si="23"/>
        <v>8.7092511013215859</v>
      </c>
      <c r="L71" s="63">
        <f t="shared" ca="1" si="23"/>
        <v>7.8117421825143589</v>
      </c>
      <c r="M71" s="63">
        <f t="shared" ca="1" si="23"/>
        <v>6.8133378016085793</v>
      </c>
      <c r="N71" s="63">
        <f t="shared" ca="1" si="23"/>
        <v>5.0931034482758619</v>
      </c>
      <c r="O71" s="63">
        <f t="shared" ca="1" si="23"/>
        <v>4.0637867026662171</v>
      </c>
      <c r="P71" s="63">
        <f t="shared" ca="1" si="23"/>
        <v>4.8725135623869802</v>
      </c>
      <c r="Q71" s="63">
        <f t="shared" ca="1" si="23"/>
        <v>6.6947565543071157</v>
      </c>
      <c r="R71" s="63">
        <f t="shared" ca="1" si="23"/>
        <v>6.866394215655454</v>
      </c>
      <c r="S71" s="63"/>
      <c r="T71" s="63"/>
      <c r="U71" s="63"/>
      <c r="V71" s="63"/>
    </row>
    <row r="72" spans="1:22">
      <c r="A72" s="51" t="str">
        <f t="shared" si="19"/>
        <v>NWN</v>
      </c>
      <c r="B72" s="46">
        <f t="shared" ca="1" si="20"/>
        <v>45</v>
      </c>
      <c r="C72" s="1">
        <f ca="1">IF(ISERROR(D72),"",IF(D72="","",MAX($C$66:C71)+1))</f>
        <v>5</v>
      </c>
      <c r="D72" t="str">
        <f t="shared" ca="1" si="21"/>
        <v>Northwest Nat. Gas</v>
      </c>
      <c r="E72" s="22"/>
      <c r="F72" s="63">
        <f t="shared" ca="1" si="24"/>
        <v>9.2258012559184266</v>
      </c>
      <c r="G72" s="63">
        <f t="shared" si="22"/>
        <v>11.342592592592592</v>
      </c>
      <c r="H72" s="63">
        <f ca="1">IFERROR(VLOOKUP($A72,LASTYR,'2016'!$L$3,FALSE),"N/A")</f>
        <v>11.574934090448185</v>
      </c>
      <c r="I72" s="63">
        <f t="shared" ca="1" si="23"/>
        <v>9.4593603585251582</v>
      </c>
      <c r="J72" s="63">
        <f t="shared" ca="1" si="23"/>
        <v>8.8426988523941432</v>
      </c>
      <c r="K72" s="63">
        <f t="shared" ca="1" si="23"/>
        <v>8.6148045247072833</v>
      </c>
      <c r="L72" s="63">
        <f t="shared" ca="1" si="23"/>
        <v>9.4791329011345216</v>
      </c>
      <c r="M72" s="63">
        <f t="shared" ca="1" si="23"/>
        <v>9.0817182817182829</v>
      </c>
      <c r="N72" s="63">
        <f t="shared" ca="1" si="23"/>
        <v>8.9357762777242051</v>
      </c>
      <c r="O72" s="63">
        <f t="shared" ca="1" si="23"/>
        <v>8.2592806308905562</v>
      </c>
      <c r="P72" s="63">
        <f t="shared" ca="1" si="23"/>
        <v>8.7531562087808545</v>
      </c>
      <c r="Q72" s="63">
        <f t="shared" ca="1" si="23"/>
        <v>8.5409502680717324</v>
      </c>
      <c r="R72" s="63">
        <f t="shared" ca="1" si="23"/>
        <v>7.8252100840336132</v>
      </c>
      <c r="S72" s="63"/>
      <c r="T72" s="63"/>
      <c r="U72" s="63"/>
      <c r="V72" s="63"/>
    </row>
    <row r="73" spans="1:22">
      <c r="A73" s="51" t="str">
        <f t="shared" si="19"/>
        <v>OGS</v>
      </c>
      <c r="B73" s="46">
        <f t="shared" ca="1" si="20"/>
        <v>48</v>
      </c>
      <c r="C73" s="1">
        <f ca="1">IF(ISERROR(D73),"",IF(D73="","",MAX($C$66:C72)+1))</f>
        <v>6</v>
      </c>
      <c r="D73" t="str">
        <f t="shared" ca="1" si="21"/>
        <v>ONE Gas Inc.</v>
      </c>
      <c r="E73" s="22"/>
      <c r="F73" s="63">
        <f t="shared" ca="1" si="24"/>
        <v>10.001563813479445</v>
      </c>
      <c r="G73" s="63">
        <f t="shared" si="22"/>
        <v>11.559322033898304</v>
      </c>
      <c r="H73" s="63">
        <f ca="1">IFERROR(VLOOKUP($A73,LASTYR,'2016'!$L$3,FALSE),"N/A")</f>
        <v>11.095010127048425</v>
      </c>
      <c r="I73" s="63">
        <f t="shared" ca="1" si="23"/>
        <v>9.1913746630727751</v>
      </c>
      <c r="J73" s="63">
        <f t="shared" ca="1" si="23"/>
        <v>8.1605484298982756</v>
      </c>
      <c r="K73" s="63" t="str">
        <f t="shared" ca="1" si="23"/>
        <v>N/A</v>
      </c>
      <c r="L73" s="63" t="str">
        <f t="shared" ca="1" si="23"/>
        <v>N/A</v>
      </c>
      <c r="M73" s="63" t="str">
        <f t="shared" ca="1" si="23"/>
        <v>N/A</v>
      </c>
      <c r="N73" s="63" t="str">
        <f t="shared" ca="1" si="23"/>
        <v>N/A</v>
      </c>
      <c r="O73" s="63" t="str">
        <f t="shared" ca="1" si="23"/>
        <v>N/A</v>
      </c>
      <c r="P73" s="63" t="str">
        <f t="shared" ca="1" si="23"/>
        <v>N/A</v>
      </c>
      <c r="Q73" s="63" t="str">
        <f t="shared" ca="1" si="23"/>
        <v>N/A</v>
      </c>
      <c r="R73" s="63" t="str">
        <f t="shared" ca="1" si="23"/>
        <v>N/A</v>
      </c>
      <c r="S73" s="63"/>
      <c r="T73" s="63"/>
      <c r="U73" s="63"/>
      <c r="V73" s="63"/>
    </row>
    <row r="74" spans="1:22">
      <c r="A74" s="51" t="str">
        <f t="shared" si="19"/>
        <v>SJI</v>
      </c>
      <c r="B74" s="46">
        <f t="shared" ca="1" si="20"/>
        <v>61</v>
      </c>
      <c r="C74" s="1">
        <f ca="1">IF(ISERROR(D74),"",IF(D74="","",MAX($C$66:C73)+1))</f>
        <v>7</v>
      </c>
      <c r="D74" t="str">
        <f t="shared" ca="1" si="21"/>
        <v>South Jersey Inds.</v>
      </c>
      <c r="E74" s="22"/>
      <c r="F74" s="63">
        <f t="shared" ca="1" si="24"/>
        <v>10.954847974615795</v>
      </c>
      <c r="G74" s="63">
        <f t="shared" si="22"/>
        <v>14.541666666666666</v>
      </c>
      <c r="H74" s="63">
        <f ca="1">IFERROR(VLOOKUP($A74,LASTYR,'2016'!$L$3,FALSE),"N/A")</f>
        <v>10.877383177570096</v>
      </c>
      <c r="I74" s="63">
        <f t="shared" ca="1" si="23"/>
        <v>10.697847682119205</v>
      </c>
      <c r="J74" s="63">
        <f t="shared" ca="1" si="23"/>
        <v>10.566454511418945</v>
      </c>
      <c r="K74" s="63">
        <f t="shared" ca="1" si="23"/>
        <v>11.566235864297255</v>
      </c>
      <c r="L74" s="63">
        <f t="shared" ca="1" si="23"/>
        <v>10.945392491467578</v>
      </c>
      <c r="M74" s="63">
        <f t="shared" ca="1" si="23"/>
        <v>11.975784753363229</v>
      </c>
      <c r="N74" s="63">
        <f t="shared" ca="1" si="23"/>
        <v>10.784220532319392</v>
      </c>
      <c r="O74" s="63">
        <f t="shared" ca="1" si="23"/>
        <v>9.5734265734265733</v>
      </c>
      <c r="P74" s="63">
        <f t="shared" ca="1" si="23"/>
        <v>10.381472957422325</v>
      </c>
      <c r="Q74" s="63">
        <f t="shared" ca="1" si="23"/>
        <v>11.228267667292059</v>
      </c>
      <c r="R74" s="63">
        <f t="shared" ca="1" si="23"/>
        <v>8.3200228180262421</v>
      </c>
      <c r="S74" s="63"/>
      <c r="T74" s="63"/>
      <c r="U74" s="63"/>
      <c r="V74" s="63"/>
    </row>
    <row r="75" spans="1:22">
      <c r="A75" s="51" t="str">
        <f t="shared" si="19"/>
        <v>SWX</v>
      </c>
      <c r="B75" s="46">
        <f t="shared" ca="1" si="20"/>
        <v>63</v>
      </c>
      <c r="C75" s="1">
        <f ca="1">IF(ISERROR(D75),"",IF(D75="","",MAX($C$66:C74)+1))</f>
        <v>8</v>
      </c>
      <c r="D75" t="str">
        <f t="shared" ca="1" si="21"/>
        <v>Southwest Gas</v>
      </c>
      <c r="E75" s="22"/>
      <c r="F75" s="63">
        <f t="shared" ca="1" si="24"/>
        <v>5.8616638510416728</v>
      </c>
      <c r="G75" s="63">
        <f t="shared" si="22"/>
        <v>8.5891891891891881</v>
      </c>
      <c r="H75" s="63">
        <f ca="1">IFERROR(VLOOKUP($A75,LASTYR,'2016'!$L$3,FALSE),"N/A")</f>
        <v>7.4075987514799264</v>
      </c>
      <c r="I75" s="63">
        <f t="shared" ca="1" si="23"/>
        <v>6.5555040018559332</v>
      </c>
      <c r="J75" s="63">
        <f t="shared" ca="1" si="23"/>
        <v>6.3454910292728997</v>
      </c>
      <c r="K75" s="63">
        <f t="shared" ca="1" si="23"/>
        <v>5.9443231441048043</v>
      </c>
      <c r="L75" s="63">
        <f t="shared" ca="1" si="23"/>
        <v>5.5499935325313672</v>
      </c>
      <c r="M75" s="63">
        <f t="shared" ca="1" si="23"/>
        <v>5.6010872759330006</v>
      </c>
      <c r="N75" s="63">
        <f t="shared" ca="1" si="23"/>
        <v>4.9079089924160346</v>
      </c>
      <c r="O75" s="63">
        <f t="shared" ca="1" si="23"/>
        <v>3.844379467186485</v>
      </c>
      <c r="P75" s="63">
        <f t="shared" ca="1" si="23"/>
        <v>4.8887732083984039</v>
      </c>
      <c r="Q75" s="63">
        <f t="shared" ca="1" si="23"/>
        <v>5.4208407150909972</v>
      </c>
      <c r="R75" s="63">
        <f t="shared" ca="1" si="23"/>
        <v>5.284876905041032</v>
      </c>
      <c r="S75" s="63"/>
      <c r="T75" s="63"/>
      <c r="U75" s="63"/>
      <c r="V75" s="63"/>
    </row>
    <row r="76" spans="1:22">
      <c r="A76" s="51" t="str">
        <f t="shared" si="19"/>
        <v>SR</v>
      </c>
      <c r="B76" s="46">
        <f t="shared" ca="1" si="20"/>
        <v>64</v>
      </c>
      <c r="C76" s="1">
        <f ca="1">IF(ISERROR(D76),"",IF(D76="","",MAX($C$66:C75)+1))</f>
        <v>9</v>
      </c>
      <c r="D76" t="str">
        <f t="shared" ca="1" si="21"/>
        <v>Spire Inc.</v>
      </c>
      <c r="E76" s="22"/>
      <c r="F76" s="63">
        <f t="shared" ca="1" si="24"/>
        <v>9.6060157284664189</v>
      </c>
      <c r="G76" s="63">
        <f t="shared" si="22"/>
        <v>11.241935483870966</v>
      </c>
      <c r="H76" s="63">
        <f ca="1">IFERROR(VLOOKUP($A76,LASTYR,'2016'!$L$3,FALSE),"N/A")</f>
        <v>10.319909061383566</v>
      </c>
      <c r="I76" s="63">
        <f t="shared" ca="1" si="23"/>
        <v>8.4657133571660701</v>
      </c>
      <c r="J76" s="63">
        <f t="shared" ca="1" si="23"/>
        <v>12.031290405999483</v>
      </c>
      <c r="K76" s="63">
        <f t="shared" ca="1" si="23"/>
        <v>13.755847484780519</v>
      </c>
      <c r="L76" s="63">
        <f t="shared" ca="1" si="23"/>
        <v>8.8010471204188487</v>
      </c>
      <c r="M76" s="63">
        <f t="shared" ca="1" si="23"/>
        <v>8.079904720658293</v>
      </c>
      <c r="N76" s="63">
        <f t="shared" ca="1" si="23"/>
        <v>8.1248478948649296</v>
      </c>
      <c r="O76" s="63">
        <f t="shared" ca="1" si="23"/>
        <v>8.579328505595786</v>
      </c>
      <c r="P76" s="63">
        <f t="shared" ca="1" si="23"/>
        <v>8.9523809523809508</v>
      </c>
      <c r="Q76" s="63">
        <f t="shared" ca="1" si="23"/>
        <v>8.4581827568404755</v>
      </c>
      <c r="R76" s="63">
        <f t="shared" ca="1" si="23"/>
        <v>8.4618009976371749</v>
      </c>
      <c r="S76" s="63"/>
      <c r="T76" s="63"/>
      <c r="U76" s="63"/>
      <c r="V76" s="63"/>
    </row>
    <row r="77" spans="1:22">
      <c r="A77" s="51" t="str">
        <f t="shared" si="19"/>
        <v>UGI</v>
      </c>
      <c r="B77" s="46">
        <f t="shared" ca="1" si="20"/>
        <v>66</v>
      </c>
      <c r="C77" s="1">
        <f ca="1">IF(ISERROR(D77),"",IF(D77="","",MAX($C$66:C76)+1))</f>
        <v>10</v>
      </c>
      <c r="D77" t="str">
        <f t="shared" ca="1" si="21"/>
        <v>UGI Corp.</v>
      </c>
      <c r="E77" s="22"/>
      <c r="F77" s="63">
        <f t="shared" ca="1" si="24"/>
        <v>7.4931812198480001</v>
      </c>
      <c r="G77" s="63">
        <f t="shared" si="22"/>
        <v>10.319148936170212</v>
      </c>
      <c r="H77" s="63">
        <f ca="1">IFERROR(VLOOKUP($A77,LASTYR,'2016'!$L$3,FALSE),"N/A")</f>
        <v>9.0175238962221211</v>
      </c>
      <c r="I77" s="63">
        <f t="shared" ca="1" si="23"/>
        <v>8.467300832342449</v>
      </c>
      <c r="J77" s="63">
        <f t="shared" ca="1" si="23"/>
        <v>7.4872933629410312</v>
      </c>
      <c r="K77" s="63">
        <f t="shared" ca="1" si="23"/>
        <v>6.5533049040511733</v>
      </c>
      <c r="L77" s="63">
        <f t="shared" ca="1" si="23"/>
        <v>6.3007543456871105</v>
      </c>
      <c r="M77" s="63">
        <f t="shared" ca="1" si="23"/>
        <v>7.5111030214779761</v>
      </c>
      <c r="N77" s="63">
        <f t="shared" ca="1" si="23"/>
        <v>6.0150034891835311</v>
      </c>
      <c r="O77" s="63">
        <f t="shared" ca="1" si="23"/>
        <v>5.7384833451452861</v>
      </c>
      <c r="P77" s="63">
        <f t="shared" ca="1" si="23"/>
        <v>7.1116035455277995</v>
      </c>
      <c r="Q77" s="63">
        <f t="shared" ca="1" si="23"/>
        <v>7.9175897208684098</v>
      </c>
      <c r="R77" s="63">
        <f t="shared" ca="1" si="23"/>
        <v>7.4790652385589098</v>
      </c>
      <c r="S77" s="63"/>
      <c r="T77" s="63"/>
      <c r="U77" s="63"/>
      <c r="V77" s="63"/>
    </row>
    <row r="78" spans="1:22">
      <c r="A78" s="51" t="str">
        <f t="shared" si="19"/>
        <v>WGL</v>
      </c>
      <c r="B78" s="46">
        <f t="shared" ca="1" si="20"/>
        <v>73</v>
      </c>
      <c r="C78" s="1">
        <f ca="1">IF(ISERROR(D78),"",IF(D78="","",MAX($C$66:C77)+1))</f>
        <v>11</v>
      </c>
      <c r="D78" t="str">
        <f t="shared" ca="1" si="21"/>
        <v>WGL Holdings Inc.</v>
      </c>
      <c r="E78" s="22"/>
      <c r="F78" s="63">
        <f t="shared" ca="1" si="24"/>
        <v>9.2703933744416265</v>
      </c>
      <c r="G78" s="63">
        <f t="shared" si="22"/>
        <v>14.070175438596491</v>
      </c>
      <c r="H78" s="63">
        <f ca="1">IFERROR(VLOOKUP($A78,LASTYR,'2016'!$L$3,FALSE),"N/A")</f>
        <v>11.36384122031548</v>
      </c>
      <c r="I78" s="63">
        <f t="shared" ca="1" si="23"/>
        <v>9.5870380289234074</v>
      </c>
      <c r="J78" s="63">
        <f t="shared" ca="1" si="23"/>
        <v>8.4593749999999996</v>
      </c>
      <c r="K78" s="63">
        <f t="shared" ca="1" si="23"/>
        <v>9.8308840681128995</v>
      </c>
      <c r="L78" s="63">
        <f t="shared" ca="1" si="23"/>
        <v>9.0269137436576212</v>
      </c>
      <c r="M78" s="63">
        <f t="shared" ca="1" si="23"/>
        <v>9.5160727635185651</v>
      </c>
      <c r="N78" s="63">
        <f t="shared" ca="1" si="23"/>
        <v>8.3439552420335694</v>
      </c>
      <c r="O78" s="63">
        <f t="shared" ca="1" si="23"/>
        <v>7.1658789106459606</v>
      </c>
      <c r="P78" s="63">
        <f t="shared" ca="1" si="23"/>
        <v>7.6821848352154865</v>
      </c>
      <c r="Q78" s="63">
        <f t="shared" ca="1" si="23"/>
        <v>8.3900180087471057</v>
      </c>
      <c r="R78" s="63">
        <f t="shared" ca="1" si="23"/>
        <v>7.8083832335329344</v>
      </c>
      <c r="S78" s="63" t="str">
        <f t="shared" ca="1" si="23"/>
        <v>N/A</v>
      </c>
      <c r="T78" s="63" t="str">
        <f t="shared" ca="1" si="23"/>
        <v>N/A</v>
      </c>
      <c r="U78" s="63" t="str">
        <f t="shared" ca="1" si="23"/>
        <v>N/A</v>
      </c>
      <c r="V78" s="63" t="str">
        <f t="shared" ca="1" si="23"/>
        <v>N/A</v>
      </c>
    </row>
    <row r="79" spans="1:22" hidden="1">
      <c r="A79" s="51">
        <f t="shared" si="19"/>
        <v>0</v>
      </c>
      <c r="B79" s="46" t="str">
        <f t="shared" ca="1" si="20"/>
        <v/>
      </c>
      <c r="C79" s="1" t="str">
        <f>IF(ISERROR(D79),"",IF(D79="","",MAX($C$66:C78)+1))</f>
        <v/>
      </c>
      <c r="D79" t="e">
        <f t="shared" si="21"/>
        <v>#N/A</v>
      </c>
      <c r="E79" s="22"/>
      <c r="F79" s="63" t="str">
        <f t="shared" ca="1" si="24"/>
        <v>N/A</v>
      </c>
      <c r="G79" s="63" t="str">
        <f t="shared" si="22"/>
        <v>N/A</v>
      </c>
      <c r="H79" s="63" t="str">
        <f ca="1">IFERROR(VLOOKUP($A79,LASTYR,'2016'!$L$3,FALSE),"N/A")</f>
        <v>N/A</v>
      </c>
      <c r="I79" s="63" t="str">
        <f t="shared" ca="1" si="23"/>
        <v>N/A</v>
      </c>
      <c r="J79" s="63" t="str">
        <f t="shared" ca="1" si="23"/>
        <v>N/A</v>
      </c>
      <c r="K79" s="63" t="str">
        <f t="shared" ca="1" si="23"/>
        <v>N/A</v>
      </c>
      <c r="L79" s="63" t="str">
        <f t="shared" ca="1" si="23"/>
        <v>N/A</v>
      </c>
      <c r="M79" s="63" t="str">
        <f t="shared" ca="1" si="23"/>
        <v>N/A</v>
      </c>
      <c r="N79" s="63" t="str">
        <f t="shared" ca="1" si="23"/>
        <v>N/A</v>
      </c>
      <c r="O79" s="63" t="str">
        <f t="shared" ca="1" si="23"/>
        <v>N/A</v>
      </c>
      <c r="P79" s="63" t="str">
        <f t="shared" ca="1" si="23"/>
        <v>N/A</v>
      </c>
      <c r="Q79" s="63" t="str">
        <f t="shared" ca="1" si="23"/>
        <v>N/A</v>
      </c>
      <c r="R79" s="63" t="str">
        <f t="shared" ca="1" si="23"/>
        <v>N/A</v>
      </c>
      <c r="S79" s="63" t="str">
        <f t="shared" ca="1" si="23"/>
        <v>N/A</v>
      </c>
      <c r="T79" s="63" t="str">
        <f t="shared" ca="1" si="23"/>
        <v>N/A</v>
      </c>
      <c r="U79" s="63" t="str">
        <f t="shared" ca="1" si="23"/>
        <v>N/A</v>
      </c>
      <c r="V79" s="63" t="str">
        <f t="shared" ca="1" si="23"/>
        <v>N/A</v>
      </c>
    </row>
    <row r="80" spans="1:22" hidden="1">
      <c r="A80" s="51">
        <f t="shared" si="19"/>
        <v>0</v>
      </c>
      <c r="B80" s="46" t="str">
        <f t="shared" ca="1" si="20"/>
        <v/>
      </c>
      <c r="C80" s="1" t="str">
        <f>IF(ISERROR(D80),"",IF(D80="","",MAX($C$66:C79)+1))</f>
        <v/>
      </c>
      <c r="D80" t="e">
        <f t="shared" si="21"/>
        <v>#N/A</v>
      </c>
      <c r="E80" s="22"/>
      <c r="F80" s="63" t="str">
        <f t="shared" ca="1" si="24"/>
        <v>N/A</v>
      </c>
      <c r="G80" s="63" t="str">
        <f t="shared" si="22"/>
        <v>N/A</v>
      </c>
      <c r="H80" s="63" t="str">
        <f ca="1">IFERROR(VLOOKUP($A80,LASTYR,'2016'!$L$3,FALSE),"N/A")</f>
        <v>N/A</v>
      </c>
      <c r="I80" s="63" t="str">
        <f t="shared" ca="1" si="23"/>
        <v>N/A</v>
      </c>
      <c r="J80" s="63" t="str">
        <f t="shared" ca="1" si="23"/>
        <v>N/A</v>
      </c>
      <c r="K80" s="63" t="str">
        <f t="shared" ca="1" si="23"/>
        <v>N/A</v>
      </c>
      <c r="L80" s="63" t="str">
        <f t="shared" ca="1" si="23"/>
        <v>N/A</v>
      </c>
      <c r="M80" s="63" t="str">
        <f t="shared" ca="1" si="23"/>
        <v>N/A</v>
      </c>
      <c r="N80" s="63" t="str">
        <f t="shared" ca="1" si="23"/>
        <v>N/A</v>
      </c>
      <c r="O80" s="63" t="str">
        <f t="shared" ca="1" si="23"/>
        <v>N/A</v>
      </c>
      <c r="P80" s="63" t="str">
        <f t="shared" ca="1" si="23"/>
        <v>N/A</v>
      </c>
      <c r="Q80" s="63" t="str">
        <f t="shared" ca="1" si="23"/>
        <v>N/A</v>
      </c>
      <c r="R80" s="63" t="str">
        <f t="shared" ca="1" si="23"/>
        <v>N/A</v>
      </c>
      <c r="S80" s="63" t="str">
        <f t="shared" ca="1" si="23"/>
        <v>N/A</v>
      </c>
      <c r="T80" s="63" t="str">
        <f t="shared" ca="1" si="23"/>
        <v>N/A</v>
      </c>
      <c r="U80" s="63" t="str">
        <f t="shared" ca="1" si="23"/>
        <v>N/A</v>
      </c>
      <c r="V80" s="63" t="str">
        <f t="shared" ca="1" si="23"/>
        <v>N/A</v>
      </c>
    </row>
    <row r="81" spans="1:22" hidden="1">
      <c r="A81" s="51">
        <f t="shared" si="19"/>
        <v>0</v>
      </c>
      <c r="B81" s="46" t="str">
        <f t="shared" ca="1" si="20"/>
        <v/>
      </c>
      <c r="C81" s="1" t="str">
        <f>IF(ISERROR(D81),"",IF(D81="","",MAX($C$66:C80)+1))</f>
        <v/>
      </c>
      <c r="D81" t="e">
        <f t="shared" si="21"/>
        <v>#N/A</v>
      </c>
      <c r="E81" s="22"/>
      <c r="F81" s="63" t="str">
        <f t="shared" ca="1" si="24"/>
        <v>N/A</v>
      </c>
      <c r="G81" s="63" t="str">
        <f t="shared" si="22"/>
        <v>N/A</v>
      </c>
      <c r="H81" s="63" t="str">
        <f ca="1">IFERROR(VLOOKUP($A81,LASTYR,'2016'!$L$3,FALSE),"N/A")</f>
        <v>N/A</v>
      </c>
      <c r="I81" s="63" t="str">
        <f t="shared" ca="1" si="23"/>
        <v>N/A</v>
      </c>
      <c r="J81" s="63" t="str">
        <f t="shared" ca="1" si="23"/>
        <v>N/A</v>
      </c>
      <c r="K81" s="63" t="str">
        <f t="shared" ca="1" si="23"/>
        <v>N/A</v>
      </c>
      <c r="L81" s="63" t="str">
        <f t="shared" ca="1" si="23"/>
        <v>N/A</v>
      </c>
      <c r="M81" s="63" t="str">
        <f t="shared" ca="1" si="23"/>
        <v>N/A</v>
      </c>
      <c r="N81" s="63" t="str">
        <f t="shared" ca="1" si="23"/>
        <v>N/A</v>
      </c>
      <c r="O81" s="63" t="str">
        <f t="shared" ca="1" si="23"/>
        <v>N/A</v>
      </c>
      <c r="P81" s="63" t="str">
        <f t="shared" ca="1" si="23"/>
        <v>N/A</v>
      </c>
      <c r="Q81" s="63" t="str">
        <f t="shared" ca="1" si="23"/>
        <v>N/A</v>
      </c>
      <c r="R81" s="63" t="str">
        <f t="shared" ca="1" si="23"/>
        <v>N/A</v>
      </c>
      <c r="S81" s="63" t="str">
        <f t="shared" ca="1" si="23"/>
        <v>N/A</v>
      </c>
      <c r="T81" s="63" t="str">
        <f t="shared" ca="1" si="23"/>
        <v>N/A</v>
      </c>
      <c r="U81" s="63" t="str">
        <f t="shared" ca="1" si="23"/>
        <v>N/A</v>
      </c>
      <c r="V81" s="63" t="str">
        <f t="shared" ca="1" si="23"/>
        <v>N/A</v>
      </c>
    </row>
    <row r="82" spans="1:22" hidden="1">
      <c r="A82" s="51">
        <f t="shared" si="19"/>
        <v>0</v>
      </c>
      <c r="B82" s="46" t="str">
        <f t="shared" ca="1" si="20"/>
        <v/>
      </c>
      <c r="C82" s="1" t="str">
        <f>IF(ISERROR(D82),"",IF(D82="","",MAX($C$66:C81)+1))</f>
        <v/>
      </c>
      <c r="D82" t="e">
        <f t="shared" si="21"/>
        <v>#N/A</v>
      </c>
      <c r="E82" s="22"/>
      <c r="F82" s="63" t="str">
        <f t="shared" ca="1" si="24"/>
        <v>N/A</v>
      </c>
      <c r="G82" s="63" t="str">
        <f t="shared" si="22"/>
        <v>N/A</v>
      </c>
      <c r="H82" s="63" t="str">
        <f ca="1">IFERROR(VLOOKUP($A82,LASTYR,'2016'!$L$3,FALSE),"N/A")</f>
        <v>N/A</v>
      </c>
      <c r="I82" s="63" t="str">
        <f t="shared" ca="1" si="23"/>
        <v>N/A</v>
      </c>
      <c r="J82" s="63" t="str">
        <f t="shared" ca="1" si="23"/>
        <v>N/A</v>
      </c>
      <c r="K82" s="63" t="str">
        <f t="shared" ca="1" si="23"/>
        <v>N/A</v>
      </c>
      <c r="L82" s="63" t="str">
        <f t="shared" ca="1" si="23"/>
        <v>N/A</v>
      </c>
      <c r="M82" s="63" t="str">
        <f t="shared" ca="1" si="23"/>
        <v>N/A</v>
      </c>
      <c r="N82" s="63" t="str">
        <f t="shared" ca="1" si="23"/>
        <v>N/A</v>
      </c>
      <c r="O82" s="63" t="str">
        <f t="shared" ca="1" si="23"/>
        <v>N/A</v>
      </c>
      <c r="P82" s="63" t="str">
        <f t="shared" ca="1" si="23"/>
        <v>N/A</v>
      </c>
      <c r="Q82" s="63" t="str">
        <f t="shared" ca="1" si="23"/>
        <v>N/A</v>
      </c>
      <c r="R82" s="63" t="str">
        <f t="shared" ca="1" si="23"/>
        <v>N/A</v>
      </c>
      <c r="S82" s="63" t="str">
        <f t="shared" ca="1" si="23"/>
        <v>N/A</v>
      </c>
      <c r="T82" s="63" t="str">
        <f t="shared" ca="1" si="23"/>
        <v>N/A</v>
      </c>
      <c r="U82" s="63" t="str">
        <f t="shared" ca="1" si="23"/>
        <v>N/A</v>
      </c>
      <c r="V82" s="63" t="str">
        <f t="shared" ca="1" si="23"/>
        <v>N/A</v>
      </c>
    </row>
    <row r="83" spans="1:22" hidden="1">
      <c r="A83" s="51">
        <f t="shared" si="19"/>
        <v>0</v>
      </c>
      <c r="B83" s="46" t="str">
        <f t="shared" ca="1" si="20"/>
        <v/>
      </c>
      <c r="C83" s="1" t="str">
        <f>IF(ISERROR(D83),"",IF(D83="","",MAX($C$66:C82)+1))</f>
        <v/>
      </c>
      <c r="D83" t="e">
        <f t="shared" si="21"/>
        <v>#N/A</v>
      </c>
      <c r="E83" s="22"/>
      <c r="F83" s="63" t="str">
        <f t="shared" ca="1" si="24"/>
        <v>N/A</v>
      </c>
      <c r="G83" s="63" t="str">
        <f t="shared" si="22"/>
        <v>N/A</v>
      </c>
      <c r="H83" s="63" t="str">
        <f ca="1">IFERROR(VLOOKUP($A83,LASTYR,'2016'!$L$3,FALSE),"N/A")</f>
        <v>N/A</v>
      </c>
      <c r="I83" s="63" t="str">
        <f t="shared" ca="1" si="23"/>
        <v>N/A</v>
      </c>
      <c r="J83" s="63" t="str">
        <f t="shared" ca="1" si="23"/>
        <v>N/A</v>
      </c>
      <c r="K83" s="63" t="str">
        <f t="shared" ca="1" si="23"/>
        <v>N/A</v>
      </c>
      <c r="L83" s="63" t="str">
        <f t="shared" ca="1" si="23"/>
        <v>N/A</v>
      </c>
      <c r="M83" s="63" t="str">
        <f t="shared" ca="1" si="23"/>
        <v>N/A</v>
      </c>
      <c r="N83" s="63" t="str">
        <f t="shared" ca="1" si="23"/>
        <v>N/A</v>
      </c>
      <c r="O83" s="63" t="str">
        <f t="shared" ca="1" si="23"/>
        <v>N/A</v>
      </c>
      <c r="P83" s="63" t="str">
        <f t="shared" ca="1" si="23"/>
        <v>N/A</v>
      </c>
      <c r="Q83" s="63" t="str">
        <f t="shared" ca="1" si="23"/>
        <v>N/A</v>
      </c>
      <c r="R83" s="63" t="str">
        <f t="shared" ca="1" si="23"/>
        <v>N/A</v>
      </c>
      <c r="S83" s="63" t="str">
        <f t="shared" ca="1" si="23"/>
        <v>N/A</v>
      </c>
      <c r="T83" s="63" t="str">
        <f t="shared" ca="1" si="23"/>
        <v>N/A</v>
      </c>
      <c r="U83" s="63" t="str">
        <f t="shared" ca="1" si="23"/>
        <v>N/A</v>
      </c>
      <c r="V83" s="63" t="str">
        <f t="shared" ca="1" si="23"/>
        <v>N/A</v>
      </c>
    </row>
    <row r="84" spans="1:22" hidden="1">
      <c r="A84" s="51">
        <f t="shared" si="19"/>
        <v>0</v>
      </c>
      <c r="B84" s="46" t="str">
        <f t="shared" ca="1" si="20"/>
        <v/>
      </c>
      <c r="C84" s="1" t="str">
        <f>IF(ISERROR(D84),"",IF(D84="","",MAX($C$66:C83)+1))</f>
        <v/>
      </c>
      <c r="D84" t="e">
        <f t="shared" si="21"/>
        <v>#N/A</v>
      </c>
      <c r="E84" s="22"/>
      <c r="F84" s="63" t="str">
        <f t="shared" ca="1" si="24"/>
        <v>N/A</v>
      </c>
      <c r="G84" s="63" t="str">
        <f t="shared" si="22"/>
        <v>N/A</v>
      </c>
      <c r="H84" s="63" t="str">
        <f ca="1">IFERROR(VLOOKUP($A84,LASTYR,'2016'!$L$3,FALSE),"N/A")</f>
        <v>N/A</v>
      </c>
      <c r="I84" s="63" t="str">
        <f t="shared" ref="I84:V102" ca="1" si="25">IFERROR(IF(INDEX(MP_CF_WP,$B84,I$67)=0,"N/A",INDEX(MP_CF_WP,$B84,I$67)),"N/A")</f>
        <v>N/A</v>
      </c>
      <c r="J84" s="63" t="str">
        <f t="shared" ca="1" si="25"/>
        <v>N/A</v>
      </c>
      <c r="K84" s="63" t="str">
        <f t="shared" ca="1" si="25"/>
        <v>N/A</v>
      </c>
      <c r="L84" s="63" t="str">
        <f t="shared" ca="1" si="25"/>
        <v>N/A</v>
      </c>
      <c r="M84" s="63" t="str">
        <f t="shared" ca="1" si="25"/>
        <v>N/A</v>
      </c>
      <c r="N84" s="63" t="str">
        <f t="shared" ca="1" si="25"/>
        <v>N/A</v>
      </c>
      <c r="O84" s="63" t="str">
        <f t="shared" ca="1" si="25"/>
        <v>N/A</v>
      </c>
      <c r="P84" s="63" t="str">
        <f t="shared" ca="1" si="25"/>
        <v>N/A</v>
      </c>
      <c r="Q84" s="63" t="str">
        <f t="shared" ca="1" si="25"/>
        <v>N/A</v>
      </c>
      <c r="R84" s="63" t="str">
        <f t="shared" ca="1" si="25"/>
        <v>N/A</v>
      </c>
      <c r="S84" s="63" t="str">
        <f t="shared" ca="1" si="25"/>
        <v>N/A</v>
      </c>
      <c r="T84" s="63" t="str">
        <f t="shared" ca="1" si="25"/>
        <v>N/A</v>
      </c>
      <c r="U84" s="63" t="str">
        <f t="shared" ca="1" si="25"/>
        <v>N/A</v>
      </c>
      <c r="V84" s="63" t="str">
        <f t="shared" ca="1" si="25"/>
        <v>N/A</v>
      </c>
    </row>
    <row r="85" spans="1:22" hidden="1">
      <c r="A85" s="51">
        <f t="shared" si="19"/>
        <v>0</v>
      </c>
      <c r="B85" s="46" t="str">
        <f t="shared" ca="1" si="20"/>
        <v/>
      </c>
      <c r="C85" s="1" t="str">
        <f>IF(ISERROR(D85),"",IF(D85="","",MAX($C$66:C84)+1))</f>
        <v/>
      </c>
      <c r="D85" t="e">
        <f t="shared" si="21"/>
        <v>#N/A</v>
      </c>
      <c r="E85" s="22"/>
      <c r="F85" s="63" t="str">
        <f t="shared" ca="1" si="24"/>
        <v>N/A</v>
      </c>
      <c r="G85" s="63" t="str">
        <f t="shared" si="22"/>
        <v>N/A</v>
      </c>
      <c r="H85" s="63" t="str">
        <f ca="1">IFERROR(VLOOKUP($A85,LASTYR,'2016'!$L$3,FALSE),"N/A")</f>
        <v>N/A</v>
      </c>
      <c r="I85" s="63" t="str">
        <f t="shared" ca="1" si="25"/>
        <v>N/A</v>
      </c>
      <c r="J85" s="63" t="str">
        <f t="shared" ca="1" si="25"/>
        <v>N/A</v>
      </c>
      <c r="K85" s="63" t="str">
        <f t="shared" ca="1" si="25"/>
        <v>N/A</v>
      </c>
      <c r="L85" s="63" t="str">
        <f t="shared" ca="1" si="25"/>
        <v>N/A</v>
      </c>
      <c r="M85" s="63" t="str">
        <f t="shared" ca="1" si="25"/>
        <v>N/A</v>
      </c>
      <c r="N85" s="63" t="str">
        <f t="shared" ca="1" si="25"/>
        <v>N/A</v>
      </c>
      <c r="O85" s="63" t="str">
        <f t="shared" ca="1" si="25"/>
        <v>N/A</v>
      </c>
      <c r="P85" s="63" t="str">
        <f t="shared" ca="1" si="25"/>
        <v>N/A</v>
      </c>
      <c r="Q85" s="63" t="str">
        <f t="shared" ca="1" si="25"/>
        <v>N/A</v>
      </c>
      <c r="R85" s="63" t="str">
        <f t="shared" ca="1" si="25"/>
        <v>N/A</v>
      </c>
      <c r="S85" s="63" t="str">
        <f t="shared" ca="1" si="25"/>
        <v>N/A</v>
      </c>
      <c r="T85" s="63" t="str">
        <f t="shared" ca="1" si="25"/>
        <v>N/A</v>
      </c>
      <c r="U85" s="63" t="str">
        <f t="shared" ca="1" si="25"/>
        <v>N/A</v>
      </c>
      <c r="V85" s="63" t="str">
        <f t="shared" ca="1" si="25"/>
        <v>N/A</v>
      </c>
    </row>
    <row r="86" spans="1:22" hidden="1">
      <c r="A86" s="51">
        <f t="shared" si="19"/>
        <v>0</v>
      </c>
      <c r="B86" s="46" t="str">
        <f t="shared" ca="1" si="20"/>
        <v/>
      </c>
      <c r="C86" s="1" t="str">
        <f>IF(ISERROR(D86),"",IF(D86="","",MAX($C$66:C85)+1))</f>
        <v/>
      </c>
      <c r="D86" t="e">
        <f t="shared" si="21"/>
        <v>#N/A</v>
      </c>
      <c r="E86" s="22"/>
      <c r="F86" s="63" t="str">
        <f t="shared" ca="1" si="24"/>
        <v>N/A</v>
      </c>
      <c r="G86" s="63" t="str">
        <f t="shared" si="22"/>
        <v>N/A</v>
      </c>
      <c r="H86" s="63" t="str">
        <f ca="1">IFERROR(VLOOKUP($A86,LASTYR,'2016'!$L$3,FALSE),"N/A")</f>
        <v>N/A</v>
      </c>
      <c r="I86" s="63" t="str">
        <f t="shared" ca="1" si="25"/>
        <v>N/A</v>
      </c>
      <c r="J86" s="63" t="str">
        <f t="shared" ca="1" si="25"/>
        <v>N/A</v>
      </c>
      <c r="K86" s="63" t="str">
        <f t="shared" ca="1" si="25"/>
        <v>N/A</v>
      </c>
      <c r="L86" s="63" t="str">
        <f t="shared" ca="1" si="25"/>
        <v>N/A</v>
      </c>
      <c r="M86" s="63" t="str">
        <f t="shared" ca="1" si="25"/>
        <v>N/A</v>
      </c>
      <c r="N86" s="63" t="str">
        <f t="shared" ca="1" si="25"/>
        <v>N/A</v>
      </c>
      <c r="O86" s="63" t="str">
        <f t="shared" ca="1" si="25"/>
        <v>N/A</v>
      </c>
      <c r="P86" s="63" t="str">
        <f t="shared" ca="1" si="25"/>
        <v>N/A</v>
      </c>
      <c r="Q86" s="63" t="str">
        <f t="shared" ca="1" si="25"/>
        <v>N/A</v>
      </c>
      <c r="R86" s="63" t="str">
        <f t="shared" ca="1" si="25"/>
        <v>N/A</v>
      </c>
      <c r="S86" s="63" t="str">
        <f t="shared" ca="1" si="25"/>
        <v>N/A</v>
      </c>
      <c r="T86" s="63" t="str">
        <f t="shared" ca="1" si="25"/>
        <v>N/A</v>
      </c>
      <c r="U86" s="63" t="str">
        <f t="shared" ca="1" si="25"/>
        <v>N/A</v>
      </c>
      <c r="V86" s="63" t="str">
        <f t="shared" ca="1" si="25"/>
        <v>N/A</v>
      </c>
    </row>
    <row r="87" spans="1:22" hidden="1">
      <c r="A87" s="51">
        <f t="shared" si="19"/>
        <v>0</v>
      </c>
      <c r="B87" s="46" t="str">
        <f t="shared" ca="1" si="20"/>
        <v/>
      </c>
      <c r="C87" s="1" t="str">
        <f>IF(ISERROR(D87),"",IF(D87="","",MAX($C$66:C86)+1))</f>
        <v/>
      </c>
      <c r="D87" t="e">
        <f t="shared" si="21"/>
        <v>#N/A</v>
      </c>
      <c r="E87" s="22"/>
      <c r="F87" s="63" t="str">
        <f t="shared" ca="1" si="24"/>
        <v>N/A</v>
      </c>
      <c r="G87" s="63" t="str">
        <f t="shared" si="22"/>
        <v>N/A</v>
      </c>
      <c r="H87" s="63" t="str">
        <f ca="1">IFERROR(VLOOKUP($A87,LASTYR,'2016'!$L$3,FALSE),"N/A")</f>
        <v>N/A</v>
      </c>
      <c r="I87" s="63" t="str">
        <f t="shared" ca="1" si="25"/>
        <v>N/A</v>
      </c>
      <c r="J87" s="63" t="str">
        <f t="shared" ca="1" si="25"/>
        <v>N/A</v>
      </c>
      <c r="K87" s="63" t="str">
        <f t="shared" ca="1" si="25"/>
        <v>N/A</v>
      </c>
      <c r="L87" s="63" t="str">
        <f t="shared" ca="1" si="25"/>
        <v>N/A</v>
      </c>
      <c r="M87" s="63" t="str">
        <f t="shared" ca="1" si="25"/>
        <v>N/A</v>
      </c>
      <c r="N87" s="63" t="str">
        <f t="shared" ca="1" si="25"/>
        <v>N/A</v>
      </c>
      <c r="O87" s="63" t="str">
        <f t="shared" ca="1" si="25"/>
        <v>N/A</v>
      </c>
      <c r="P87" s="63" t="str">
        <f t="shared" ca="1" si="25"/>
        <v>N/A</v>
      </c>
      <c r="Q87" s="63" t="str">
        <f t="shared" ca="1" si="25"/>
        <v>N/A</v>
      </c>
      <c r="R87" s="63" t="str">
        <f t="shared" ca="1" si="25"/>
        <v>N/A</v>
      </c>
      <c r="S87" s="63" t="str">
        <f t="shared" ca="1" si="25"/>
        <v>N/A</v>
      </c>
      <c r="T87" s="63" t="str">
        <f t="shared" ca="1" si="25"/>
        <v>N/A</v>
      </c>
      <c r="U87" s="63" t="str">
        <f t="shared" ca="1" si="25"/>
        <v>N/A</v>
      </c>
      <c r="V87" s="63" t="str">
        <f t="shared" ca="1" si="25"/>
        <v>N/A</v>
      </c>
    </row>
    <row r="88" spans="1:22" hidden="1">
      <c r="A88" s="51">
        <f t="shared" si="19"/>
        <v>0</v>
      </c>
      <c r="B88" s="46" t="str">
        <f t="shared" ca="1" si="20"/>
        <v/>
      </c>
      <c r="C88" s="1" t="str">
        <f>IF(ISERROR(D88),"",IF(D88="","",MAX($C$66:C87)+1))</f>
        <v/>
      </c>
      <c r="D88" t="e">
        <f t="shared" si="21"/>
        <v>#N/A</v>
      </c>
      <c r="E88" s="22"/>
      <c r="F88" s="63" t="str">
        <f t="shared" ca="1" si="24"/>
        <v>N/A</v>
      </c>
      <c r="G88" s="63" t="str">
        <f t="shared" si="22"/>
        <v>N/A</v>
      </c>
      <c r="H88" s="63" t="str">
        <f ca="1">IFERROR(VLOOKUP($A88,LASTYR,'2016'!$L$3,FALSE),"N/A")</f>
        <v>N/A</v>
      </c>
      <c r="I88" s="63" t="str">
        <f t="shared" ca="1" si="25"/>
        <v>N/A</v>
      </c>
      <c r="J88" s="63" t="str">
        <f t="shared" ca="1" si="25"/>
        <v>N/A</v>
      </c>
      <c r="K88" s="63" t="str">
        <f t="shared" ca="1" si="25"/>
        <v>N/A</v>
      </c>
      <c r="L88" s="63" t="str">
        <f t="shared" ca="1" si="25"/>
        <v>N/A</v>
      </c>
      <c r="M88" s="63" t="str">
        <f t="shared" ca="1" si="25"/>
        <v>N/A</v>
      </c>
      <c r="N88" s="63" t="str">
        <f t="shared" ca="1" si="25"/>
        <v>N/A</v>
      </c>
      <c r="O88" s="63" t="str">
        <f t="shared" ca="1" si="25"/>
        <v>N/A</v>
      </c>
      <c r="P88" s="63" t="str">
        <f t="shared" ca="1" si="25"/>
        <v>N/A</v>
      </c>
      <c r="Q88" s="63" t="str">
        <f t="shared" ca="1" si="25"/>
        <v>N/A</v>
      </c>
      <c r="R88" s="63" t="str">
        <f t="shared" ca="1" si="25"/>
        <v>N/A</v>
      </c>
      <c r="S88" s="63" t="str">
        <f t="shared" ca="1" si="25"/>
        <v>N/A</v>
      </c>
      <c r="T88" s="63" t="str">
        <f t="shared" ca="1" si="25"/>
        <v>N/A</v>
      </c>
      <c r="U88" s="63" t="str">
        <f t="shared" ca="1" si="25"/>
        <v>N/A</v>
      </c>
      <c r="V88" s="63" t="str">
        <f t="shared" ca="1" si="25"/>
        <v>N/A</v>
      </c>
    </row>
    <row r="89" spans="1:22" hidden="1">
      <c r="A89" s="51">
        <f t="shared" si="19"/>
        <v>0</v>
      </c>
      <c r="B89" s="46" t="str">
        <f t="shared" ca="1" si="20"/>
        <v/>
      </c>
      <c r="C89" s="1" t="str">
        <f>IF(ISERROR(D89),"",IF(D89="","",MAX($C$66:C88)+1))</f>
        <v/>
      </c>
      <c r="D89" t="e">
        <f t="shared" si="21"/>
        <v>#N/A</v>
      </c>
      <c r="E89" s="22"/>
      <c r="F89" s="63" t="str">
        <f t="shared" ca="1" si="24"/>
        <v>N/A</v>
      </c>
      <c r="G89" s="63" t="str">
        <f t="shared" si="22"/>
        <v>N/A</v>
      </c>
      <c r="H89" s="63" t="str">
        <f ca="1">IFERROR(VLOOKUP($A89,LASTYR,'2016'!$L$3,FALSE),"N/A")</f>
        <v>N/A</v>
      </c>
      <c r="I89" s="63" t="str">
        <f t="shared" ca="1" si="25"/>
        <v>N/A</v>
      </c>
      <c r="J89" s="63" t="str">
        <f t="shared" ca="1" si="25"/>
        <v>N/A</v>
      </c>
      <c r="K89" s="63" t="str">
        <f t="shared" ca="1" si="25"/>
        <v>N/A</v>
      </c>
      <c r="L89" s="63" t="str">
        <f t="shared" ca="1" si="25"/>
        <v>N/A</v>
      </c>
      <c r="M89" s="63" t="str">
        <f t="shared" ca="1" si="25"/>
        <v>N/A</v>
      </c>
      <c r="N89" s="63" t="str">
        <f t="shared" ca="1" si="25"/>
        <v>N/A</v>
      </c>
      <c r="O89" s="63" t="str">
        <f t="shared" ca="1" si="25"/>
        <v>N/A</v>
      </c>
      <c r="P89" s="63" t="str">
        <f t="shared" ca="1" si="25"/>
        <v>N/A</v>
      </c>
      <c r="Q89" s="63" t="str">
        <f t="shared" ca="1" si="25"/>
        <v>N/A</v>
      </c>
      <c r="R89" s="63" t="str">
        <f t="shared" ca="1" si="25"/>
        <v>N/A</v>
      </c>
      <c r="S89" s="63" t="str">
        <f t="shared" ca="1" si="25"/>
        <v>N/A</v>
      </c>
      <c r="T89" s="63" t="str">
        <f t="shared" ca="1" si="25"/>
        <v>N/A</v>
      </c>
      <c r="U89" s="63" t="str">
        <f t="shared" ca="1" si="25"/>
        <v>N/A</v>
      </c>
      <c r="V89" s="63" t="str">
        <f t="shared" ca="1" si="25"/>
        <v>N/A</v>
      </c>
    </row>
    <row r="90" spans="1:22" hidden="1">
      <c r="A90" s="51">
        <f t="shared" si="19"/>
        <v>0</v>
      </c>
      <c r="B90" s="46" t="str">
        <f t="shared" ca="1" si="20"/>
        <v/>
      </c>
      <c r="C90" s="1" t="str">
        <f>IF(ISERROR(D90),"",IF(D90="","",MAX($C$66:C89)+1))</f>
        <v/>
      </c>
      <c r="D90" t="e">
        <f t="shared" si="21"/>
        <v>#N/A</v>
      </c>
      <c r="E90" s="22"/>
      <c r="F90" s="63" t="str">
        <f t="shared" ca="1" si="24"/>
        <v>N/A</v>
      </c>
      <c r="G90" s="63" t="str">
        <f t="shared" si="22"/>
        <v>N/A</v>
      </c>
      <c r="H90" s="63" t="str">
        <f ca="1">IFERROR(VLOOKUP($A90,LASTYR,'2016'!$L$3,FALSE),"N/A")</f>
        <v>N/A</v>
      </c>
      <c r="I90" s="63" t="str">
        <f t="shared" ca="1" si="25"/>
        <v>N/A</v>
      </c>
      <c r="J90" s="63" t="str">
        <f t="shared" ca="1" si="25"/>
        <v>N/A</v>
      </c>
      <c r="K90" s="63" t="str">
        <f t="shared" ca="1" si="25"/>
        <v>N/A</v>
      </c>
      <c r="L90" s="63" t="str">
        <f t="shared" ca="1" si="25"/>
        <v>N/A</v>
      </c>
      <c r="M90" s="63" t="str">
        <f t="shared" ca="1" si="25"/>
        <v>N/A</v>
      </c>
      <c r="N90" s="63" t="str">
        <f t="shared" ca="1" si="25"/>
        <v>N/A</v>
      </c>
      <c r="O90" s="63" t="str">
        <f t="shared" ca="1" si="25"/>
        <v>N/A</v>
      </c>
      <c r="P90" s="63" t="str">
        <f t="shared" ca="1" si="25"/>
        <v>N/A</v>
      </c>
      <c r="Q90" s="63" t="str">
        <f t="shared" ca="1" si="25"/>
        <v>N/A</v>
      </c>
      <c r="R90" s="63" t="str">
        <f t="shared" ca="1" si="25"/>
        <v>N/A</v>
      </c>
      <c r="S90" s="63" t="str">
        <f t="shared" ca="1" si="25"/>
        <v>N/A</v>
      </c>
      <c r="T90" s="63" t="str">
        <f t="shared" ca="1" si="25"/>
        <v>N/A</v>
      </c>
      <c r="U90" s="63" t="str">
        <f t="shared" ca="1" si="25"/>
        <v>N/A</v>
      </c>
      <c r="V90" s="63" t="str">
        <f t="shared" ca="1" si="25"/>
        <v>N/A</v>
      </c>
    </row>
    <row r="91" spans="1:22" hidden="1">
      <c r="A91" s="51">
        <f t="shared" si="19"/>
        <v>0</v>
      </c>
      <c r="B91" s="46" t="str">
        <f t="shared" ca="1" si="20"/>
        <v/>
      </c>
      <c r="C91" s="1" t="str">
        <f>IF(ISERROR(D91),"",IF(D91="","",MAX($C$66:C90)+1))</f>
        <v/>
      </c>
      <c r="D91" t="e">
        <f t="shared" si="21"/>
        <v>#N/A</v>
      </c>
      <c r="E91" s="22"/>
      <c r="F91" s="63" t="str">
        <f t="shared" ca="1" si="24"/>
        <v>N/A</v>
      </c>
      <c r="G91" s="63" t="str">
        <f t="shared" si="22"/>
        <v>N/A</v>
      </c>
      <c r="H91" s="63" t="str">
        <f ca="1">IFERROR(VLOOKUP($A91,LASTYR,'2016'!$L$3,FALSE),"N/A")</f>
        <v>N/A</v>
      </c>
      <c r="I91" s="63" t="str">
        <f t="shared" ca="1" si="25"/>
        <v>N/A</v>
      </c>
      <c r="J91" s="63" t="str">
        <f t="shared" ca="1" si="25"/>
        <v>N/A</v>
      </c>
      <c r="K91" s="63" t="str">
        <f t="shared" ca="1" si="25"/>
        <v>N/A</v>
      </c>
      <c r="L91" s="63" t="str">
        <f t="shared" ca="1" si="25"/>
        <v>N/A</v>
      </c>
      <c r="M91" s="63" t="str">
        <f t="shared" ca="1" si="25"/>
        <v>N/A</v>
      </c>
      <c r="N91" s="63" t="str">
        <f t="shared" ca="1" si="25"/>
        <v>N/A</v>
      </c>
      <c r="O91" s="63" t="str">
        <f t="shared" ca="1" si="25"/>
        <v>N/A</v>
      </c>
      <c r="P91" s="63" t="str">
        <f t="shared" ca="1" si="25"/>
        <v>N/A</v>
      </c>
      <c r="Q91" s="63" t="str">
        <f t="shared" ca="1" si="25"/>
        <v>N/A</v>
      </c>
      <c r="R91" s="63" t="str">
        <f t="shared" ca="1" si="25"/>
        <v>N/A</v>
      </c>
      <c r="S91" s="63" t="str">
        <f t="shared" ca="1" si="25"/>
        <v>N/A</v>
      </c>
      <c r="T91" s="63" t="str">
        <f t="shared" ca="1" si="25"/>
        <v>N/A</v>
      </c>
      <c r="U91" s="63" t="str">
        <f t="shared" ca="1" si="25"/>
        <v>N/A</v>
      </c>
      <c r="V91" s="63" t="str">
        <f t="shared" ca="1" si="25"/>
        <v>N/A</v>
      </c>
    </row>
    <row r="92" spans="1:22" hidden="1">
      <c r="A92" s="51">
        <f t="shared" si="19"/>
        <v>0</v>
      </c>
      <c r="B92" s="46" t="str">
        <f t="shared" ca="1" si="20"/>
        <v/>
      </c>
      <c r="C92" s="1" t="str">
        <f>IF(ISERROR(D92),"",IF(D92="","",MAX($C$66:C91)+1))</f>
        <v/>
      </c>
      <c r="D92" t="e">
        <f t="shared" si="21"/>
        <v>#N/A</v>
      </c>
      <c r="E92" s="22"/>
      <c r="F92" s="63" t="str">
        <f t="shared" ca="1" si="24"/>
        <v>N/A</v>
      </c>
      <c r="G92" s="63" t="str">
        <f t="shared" si="22"/>
        <v>N/A</v>
      </c>
      <c r="H92" s="63" t="str">
        <f ca="1">IFERROR(VLOOKUP($A92,LASTYR,'2016'!$L$3,FALSE),"N/A")</f>
        <v>N/A</v>
      </c>
      <c r="I92" s="63" t="str">
        <f t="shared" ca="1" si="25"/>
        <v>N/A</v>
      </c>
      <c r="J92" s="63" t="str">
        <f t="shared" ca="1" si="25"/>
        <v>N/A</v>
      </c>
      <c r="K92" s="63" t="str">
        <f t="shared" ca="1" si="25"/>
        <v>N/A</v>
      </c>
      <c r="L92" s="63" t="str">
        <f t="shared" ca="1" si="25"/>
        <v>N/A</v>
      </c>
      <c r="M92" s="63" t="str">
        <f t="shared" ca="1" si="25"/>
        <v>N/A</v>
      </c>
      <c r="N92" s="63" t="str">
        <f t="shared" ca="1" si="25"/>
        <v>N/A</v>
      </c>
      <c r="O92" s="63" t="str">
        <f t="shared" ca="1" si="25"/>
        <v>N/A</v>
      </c>
      <c r="P92" s="63" t="str">
        <f t="shared" ca="1" si="25"/>
        <v>N/A</v>
      </c>
      <c r="Q92" s="63" t="str">
        <f t="shared" ca="1" si="25"/>
        <v>N/A</v>
      </c>
      <c r="R92" s="63" t="str">
        <f t="shared" ca="1" si="25"/>
        <v>N/A</v>
      </c>
      <c r="S92" s="63" t="str">
        <f t="shared" ca="1" si="25"/>
        <v>N/A</v>
      </c>
      <c r="T92" s="63" t="str">
        <f t="shared" ca="1" si="25"/>
        <v>N/A</v>
      </c>
      <c r="U92" s="63" t="str">
        <f t="shared" ca="1" si="25"/>
        <v>N/A</v>
      </c>
      <c r="V92" s="63" t="str">
        <f t="shared" ca="1" si="25"/>
        <v>N/A</v>
      </c>
    </row>
    <row r="93" spans="1:22" hidden="1">
      <c r="A93" s="51">
        <f t="shared" si="19"/>
        <v>0</v>
      </c>
      <c r="B93" s="46" t="str">
        <f t="shared" ca="1" si="20"/>
        <v/>
      </c>
      <c r="C93" s="1" t="str">
        <f>IF(ISERROR(D93),"",IF(D93="","",MAX($C$66:C92)+1))</f>
        <v/>
      </c>
      <c r="D93" t="e">
        <f t="shared" si="21"/>
        <v>#N/A</v>
      </c>
      <c r="E93" s="22"/>
      <c r="F93" s="63" t="str">
        <f t="shared" ca="1" si="24"/>
        <v>N/A</v>
      </c>
      <c r="G93" s="63" t="str">
        <f t="shared" si="22"/>
        <v>N/A</v>
      </c>
      <c r="H93" s="63" t="str">
        <f ca="1">IFERROR(VLOOKUP($A93,LASTYR,'2016'!$L$3,FALSE),"N/A")</f>
        <v>N/A</v>
      </c>
      <c r="I93" s="63" t="str">
        <f t="shared" ca="1" si="25"/>
        <v>N/A</v>
      </c>
      <c r="J93" s="63" t="str">
        <f t="shared" ca="1" si="25"/>
        <v>N/A</v>
      </c>
      <c r="K93" s="63" t="str">
        <f t="shared" ca="1" si="25"/>
        <v>N/A</v>
      </c>
      <c r="L93" s="63" t="str">
        <f t="shared" ca="1" si="25"/>
        <v>N/A</v>
      </c>
      <c r="M93" s="63" t="str">
        <f t="shared" ca="1" si="25"/>
        <v>N/A</v>
      </c>
      <c r="N93" s="63" t="str">
        <f t="shared" ca="1" si="25"/>
        <v>N/A</v>
      </c>
      <c r="O93" s="63" t="str">
        <f t="shared" ca="1" si="25"/>
        <v>N/A</v>
      </c>
      <c r="P93" s="63" t="str">
        <f t="shared" ca="1" si="25"/>
        <v>N/A</v>
      </c>
      <c r="Q93" s="63" t="str">
        <f t="shared" ca="1" si="25"/>
        <v>N/A</v>
      </c>
      <c r="R93" s="63" t="str">
        <f t="shared" ca="1" si="25"/>
        <v>N/A</v>
      </c>
      <c r="S93" s="63" t="str">
        <f t="shared" ca="1" si="25"/>
        <v>N/A</v>
      </c>
      <c r="T93" s="63" t="str">
        <f t="shared" ca="1" si="25"/>
        <v>N/A</v>
      </c>
      <c r="U93" s="63" t="str">
        <f t="shared" ca="1" si="25"/>
        <v>N/A</v>
      </c>
      <c r="V93" s="63" t="str">
        <f t="shared" ca="1" si="25"/>
        <v>N/A</v>
      </c>
    </row>
    <row r="94" spans="1:22" hidden="1">
      <c r="A94" s="51">
        <f t="shared" si="19"/>
        <v>0</v>
      </c>
      <c r="B94" s="46" t="str">
        <f t="shared" ca="1" si="20"/>
        <v/>
      </c>
      <c r="C94" s="1" t="str">
        <f>IF(ISERROR(D94),"",IF(D94="","",MAX($C$66:C93)+1))</f>
        <v/>
      </c>
      <c r="D94" t="e">
        <f t="shared" si="21"/>
        <v>#N/A</v>
      </c>
      <c r="E94" s="22"/>
      <c r="F94" s="63" t="str">
        <f t="shared" ca="1" si="24"/>
        <v>N/A</v>
      </c>
      <c r="G94" s="63" t="str">
        <f t="shared" si="22"/>
        <v>N/A</v>
      </c>
      <c r="H94" s="63" t="str">
        <f ca="1">IFERROR(VLOOKUP($A94,LASTYR,'2016'!$L$3,FALSE),"N/A")</f>
        <v>N/A</v>
      </c>
      <c r="I94" s="63" t="str">
        <f t="shared" ca="1" si="25"/>
        <v>N/A</v>
      </c>
      <c r="J94" s="63" t="str">
        <f t="shared" ca="1" si="25"/>
        <v>N/A</v>
      </c>
      <c r="K94" s="63" t="str">
        <f t="shared" ca="1" si="25"/>
        <v>N/A</v>
      </c>
      <c r="L94" s="63" t="str">
        <f t="shared" ca="1" si="25"/>
        <v>N/A</v>
      </c>
      <c r="M94" s="63" t="str">
        <f t="shared" ca="1" si="25"/>
        <v>N/A</v>
      </c>
      <c r="N94" s="63" t="str">
        <f t="shared" ca="1" si="25"/>
        <v>N/A</v>
      </c>
      <c r="O94" s="63" t="str">
        <f t="shared" ca="1" si="25"/>
        <v>N/A</v>
      </c>
      <c r="P94" s="63" t="str">
        <f t="shared" ca="1" si="25"/>
        <v>N/A</v>
      </c>
      <c r="Q94" s="63" t="str">
        <f t="shared" ca="1" si="25"/>
        <v>N/A</v>
      </c>
      <c r="R94" s="63" t="str">
        <f t="shared" ca="1" si="25"/>
        <v>N/A</v>
      </c>
      <c r="S94" s="63" t="str">
        <f t="shared" ca="1" si="25"/>
        <v>N/A</v>
      </c>
      <c r="T94" s="63" t="str">
        <f t="shared" ca="1" si="25"/>
        <v>N/A</v>
      </c>
      <c r="U94" s="63" t="str">
        <f t="shared" ca="1" si="25"/>
        <v>N/A</v>
      </c>
      <c r="V94" s="63" t="str">
        <f t="shared" ca="1" si="25"/>
        <v>N/A</v>
      </c>
    </row>
    <row r="95" spans="1:22" hidden="1">
      <c r="A95" s="51">
        <f t="shared" si="19"/>
        <v>0</v>
      </c>
      <c r="B95" s="46" t="str">
        <f t="shared" ca="1" si="20"/>
        <v/>
      </c>
      <c r="C95" s="1" t="str">
        <f>IF(ISERROR(D95),"",IF(D95="","",MAX($C$66:C94)+1))</f>
        <v/>
      </c>
      <c r="D95" t="e">
        <f t="shared" si="21"/>
        <v>#N/A</v>
      </c>
      <c r="E95" s="22"/>
      <c r="F95" s="63" t="str">
        <f t="shared" ca="1" si="24"/>
        <v>N/A</v>
      </c>
      <c r="G95" s="63" t="str">
        <f t="shared" si="22"/>
        <v>N/A</v>
      </c>
      <c r="H95" s="63" t="str">
        <f ca="1">IFERROR(VLOOKUP($A95,LASTYR,'2016'!$L$3,FALSE),"N/A")</f>
        <v>N/A</v>
      </c>
      <c r="I95" s="63" t="str">
        <f t="shared" ca="1" si="25"/>
        <v>N/A</v>
      </c>
      <c r="J95" s="63" t="str">
        <f t="shared" ca="1" si="25"/>
        <v>N/A</v>
      </c>
      <c r="K95" s="63" t="str">
        <f t="shared" ca="1" si="25"/>
        <v>N/A</v>
      </c>
      <c r="L95" s="63" t="str">
        <f t="shared" ca="1" si="25"/>
        <v>N/A</v>
      </c>
      <c r="M95" s="63" t="str">
        <f t="shared" ca="1" si="25"/>
        <v>N/A</v>
      </c>
      <c r="N95" s="63" t="str">
        <f t="shared" ca="1" si="25"/>
        <v>N/A</v>
      </c>
      <c r="O95" s="63" t="str">
        <f t="shared" ca="1" si="25"/>
        <v>N/A</v>
      </c>
      <c r="P95" s="63" t="str">
        <f t="shared" ca="1" si="25"/>
        <v>N/A</v>
      </c>
      <c r="Q95" s="63" t="str">
        <f t="shared" ca="1" si="25"/>
        <v>N/A</v>
      </c>
      <c r="R95" s="63" t="str">
        <f t="shared" ca="1" si="25"/>
        <v>N/A</v>
      </c>
      <c r="S95" s="63" t="str">
        <f t="shared" ca="1" si="25"/>
        <v>N/A</v>
      </c>
      <c r="T95" s="63" t="str">
        <f t="shared" ca="1" si="25"/>
        <v>N/A</v>
      </c>
      <c r="U95" s="63" t="str">
        <f t="shared" ca="1" si="25"/>
        <v>N/A</v>
      </c>
      <c r="V95" s="63" t="str">
        <f t="shared" ca="1" si="25"/>
        <v>N/A</v>
      </c>
    </row>
    <row r="96" spans="1:22" hidden="1">
      <c r="A96" s="51">
        <f t="shared" si="19"/>
        <v>0</v>
      </c>
      <c r="B96" s="46" t="str">
        <f t="shared" ca="1" si="20"/>
        <v/>
      </c>
      <c r="C96" s="1" t="str">
        <f>IF(ISERROR(D96),"",IF(D96="","",MAX($C$66:C95)+1))</f>
        <v/>
      </c>
      <c r="D96" t="e">
        <f t="shared" si="21"/>
        <v>#N/A</v>
      </c>
      <c r="E96" s="22"/>
      <c r="F96" s="63" t="str">
        <f t="shared" ca="1" si="24"/>
        <v>N/A</v>
      </c>
      <c r="G96" s="63" t="str">
        <f t="shared" si="22"/>
        <v>N/A</v>
      </c>
      <c r="H96" s="63" t="str">
        <f ca="1">IFERROR(VLOOKUP($A96,LASTYR,'2016'!$L$3,FALSE),"N/A")</f>
        <v>N/A</v>
      </c>
      <c r="I96" s="63" t="str">
        <f t="shared" ca="1" si="25"/>
        <v>N/A</v>
      </c>
      <c r="J96" s="63" t="str">
        <f t="shared" ca="1" si="25"/>
        <v>N/A</v>
      </c>
      <c r="K96" s="63" t="str">
        <f t="shared" ca="1" si="25"/>
        <v>N/A</v>
      </c>
      <c r="L96" s="63" t="str">
        <f t="shared" ca="1" si="25"/>
        <v>N/A</v>
      </c>
      <c r="M96" s="63" t="str">
        <f t="shared" ca="1" si="25"/>
        <v>N/A</v>
      </c>
      <c r="N96" s="63" t="str">
        <f t="shared" ca="1" si="25"/>
        <v>N/A</v>
      </c>
      <c r="O96" s="63" t="str">
        <f t="shared" ca="1" si="25"/>
        <v>N/A</v>
      </c>
      <c r="P96" s="63" t="str">
        <f t="shared" ca="1" si="25"/>
        <v>N/A</v>
      </c>
      <c r="Q96" s="63" t="str">
        <f t="shared" ca="1" si="25"/>
        <v>N/A</v>
      </c>
      <c r="R96" s="63" t="str">
        <f t="shared" ca="1" si="25"/>
        <v>N/A</v>
      </c>
      <c r="S96" s="63" t="str">
        <f t="shared" ca="1" si="25"/>
        <v>N/A</v>
      </c>
      <c r="T96" s="63" t="str">
        <f t="shared" ca="1" si="25"/>
        <v>N/A</v>
      </c>
      <c r="U96" s="63" t="str">
        <f t="shared" ca="1" si="25"/>
        <v>N/A</v>
      </c>
      <c r="V96" s="63" t="str">
        <f t="shared" ca="1" si="25"/>
        <v>N/A</v>
      </c>
    </row>
    <row r="97" spans="1:22" hidden="1">
      <c r="A97" s="51">
        <f t="shared" si="19"/>
        <v>0</v>
      </c>
      <c r="B97" s="46" t="str">
        <f t="shared" ca="1" si="20"/>
        <v/>
      </c>
      <c r="C97" s="1" t="str">
        <f>IF(ISERROR(D97),"",IF(D97="","",MAX($C$66:C96)+1))</f>
        <v/>
      </c>
      <c r="D97" t="e">
        <f t="shared" si="21"/>
        <v>#N/A</v>
      </c>
      <c r="E97" s="22"/>
      <c r="F97" s="63" t="str">
        <f t="shared" ca="1" si="24"/>
        <v>N/A</v>
      </c>
      <c r="G97" s="63" t="str">
        <f t="shared" si="22"/>
        <v>N/A</v>
      </c>
      <c r="H97" s="63" t="str">
        <f ca="1">IFERROR(VLOOKUP($A97,LASTYR,'2016'!$L$3,FALSE),"N/A")</f>
        <v>N/A</v>
      </c>
      <c r="I97" s="63" t="str">
        <f t="shared" ca="1" si="25"/>
        <v>N/A</v>
      </c>
      <c r="J97" s="63" t="str">
        <f t="shared" ca="1" si="25"/>
        <v>N/A</v>
      </c>
      <c r="K97" s="63" t="str">
        <f t="shared" ca="1" si="25"/>
        <v>N/A</v>
      </c>
      <c r="L97" s="63" t="str">
        <f t="shared" ca="1" si="25"/>
        <v>N/A</v>
      </c>
      <c r="M97" s="63" t="str">
        <f t="shared" ca="1" si="25"/>
        <v>N/A</v>
      </c>
      <c r="N97" s="63" t="str">
        <f t="shared" ca="1" si="25"/>
        <v>N/A</v>
      </c>
      <c r="O97" s="63" t="str">
        <f t="shared" ca="1" si="25"/>
        <v>N/A</v>
      </c>
      <c r="P97" s="63" t="str">
        <f t="shared" ca="1" si="25"/>
        <v>N/A</v>
      </c>
      <c r="Q97" s="63" t="str">
        <f t="shared" ca="1" si="25"/>
        <v>N/A</v>
      </c>
      <c r="R97" s="63" t="str">
        <f t="shared" ca="1" si="25"/>
        <v>N/A</v>
      </c>
      <c r="S97" s="63" t="str">
        <f t="shared" ca="1" si="25"/>
        <v>N/A</v>
      </c>
      <c r="T97" s="63" t="str">
        <f t="shared" ca="1" si="25"/>
        <v>N/A</v>
      </c>
      <c r="U97" s="63" t="str">
        <f t="shared" ca="1" si="25"/>
        <v>N/A</v>
      </c>
      <c r="V97" s="63" t="str">
        <f t="shared" ca="1" si="25"/>
        <v>N/A</v>
      </c>
    </row>
    <row r="98" spans="1:22" hidden="1">
      <c r="A98" s="51">
        <f t="shared" si="19"/>
        <v>0</v>
      </c>
      <c r="B98" s="46" t="str">
        <f t="shared" ca="1" si="20"/>
        <v/>
      </c>
      <c r="C98" s="1" t="str">
        <f>IF(ISERROR(D98),"",IF(D98="","",MAX($C$66:C97)+1))</f>
        <v/>
      </c>
      <c r="D98" t="e">
        <f t="shared" si="21"/>
        <v>#N/A</v>
      </c>
      <c r="E98" s="22"/>
      <c r="F98" s="63" t="str">
        <f t="shared" ca="1" si="24"/>
        <v>N/A</v>
      </c>
      <c r="G98" s="63" t="str">
        <f t="shared" si="22"/>
        <v>N/A</v>
      </c>
      <c r="H98" s="63" t="str">
        <f ca="1">IFERROR(VLOOKUP($A98,LASTYR,'2016'!$L$3,FALSE),"N/A")</f>
        <v>N/A</v>
      </c>
      <c r="I98" s="63" t="str">
        <f t="shared" ca="1" si="25"/>
        <v>N/A</v>
      </c>
      <c r="J98" s="63" t="str">
        <f t="shared" ca="1" si="25"/>
        <v>N/A</v>
      </c>
      <c r="K98" s="63" t="str">
        <f t="shared" ca="1" si="25"/>
        <v>N/A</v>
      </c>
      <c r="L98" s="63" t="str">
        <f t="shared" ca="1" si="25"/>
        <v>N/A</v>
      </c>
      <c r="M98" s="63" t="str">
        <f t="shared" ca="1" si="25"/>
        <v>N/A</v>
      </c>
      <c r="N98" s="63" t="str">
        <f t="shared" ca="1" si="25"/>
        <v>N/A</v>
      </c>
      <c r="O98" s="63" t="str">
        <f t="shared" ca="1" si="25"/>
        <v>N/A</v>
      </c>
      <c r="P98" s="63" t="str">
        <f t="shared" ca="1" si="25"/>
        <v>N/A</v>
      </c>
      <c r="Q98" s="63" t="str">
        <f t="shared" ca="1" si="25"/>
        <v>N/A</v>
      </c>
      <c r="R98" s="63" t="str">
        <f t="shared" ca="1" si="25"/>
        <v>N/A</v>
      </c>
      <c r="S98" s="63" t="str">
        <f t="shared" ca="1" si="25"/>
        <v>N/A</v>
      </c>
      <c r="T98" s="63" t="str">
        <f t="shared" ca="1" si="25"/>
        <v>N/A</v>
      </c>
      <c r="U98" s="63" t="str">
        <f t="shared" ca="1" si="25"/>
        <v>N/A</v>
      </c>
      <c r="V98" s="63" t="str">
        <f t="shared" ca="1" si="25"/>
        <v>N/A</v>
      </c>
    </row>
    <row r="99" spans="1:22" hidden="1">
      <c r="A99" s="51">
        <f t="shared" si="19"/>
        <v>0</v>
      </c>
      <c r="B99" s="46" t="str">
        <f t="shared" ca="1" si="20"/>
        <v/>
      </c>
      <c r="C99" s="1" t="str">
        <f>IF(ISERROR(D99),"",IF(D99="","",MAX($C$66:C98)+1))</f>
        <v/>
      </c>
      <c r="D99" t="e">
        <f t="shared" si="21"/>
        <v>#N/A</v>
      </c>
      <c r="E99" s="22"/>
      <c r="F99" s="63" t="str">
        <f t="shared" ca="1" si="24"/>
        <v>N/A</v>
      </c>
      <c r="G99" s="63" t="str">
        <f t="shared" si="22"/>
        <v>N/A</v>
      </c>
      <c r="H99" s="63" t="str">
        <f ca="1">IFERROR(VLOOKUP($A99,LASTYR,'2016'!$L$3,FALSE),"N/A")</f>
        <v>N/A</v>
      </c>
      <c r="I99" s="63" t="str">
        <f t="shared" ca="1" si="25"/>
        <v>N/A</v>
      </c>
      <c r="J99" s="63" t="str">
        <f t="shared" ca="1" si="25"/>
        <v>N/A</v>
      </c>
      <c r="K99" s="63" t="str">
        <f t="shared" ca="1" si="25"/>
        <v>N/A</v>
      </c>
      <c r="L99" s="63" t="str">
        <f t="shared" ca="1" si="25"/>
        <v>N/A</v>
      </c>
      <c r="M99" s="63" t="str">
        <f t="shared" ca="1" si="25"/>
        <v>N/A</v>
      </c>
      <c r="N99" s="63" t="str">
        <f t="shared" ca="1" si="25"/>
        <v>N/A</v>
      </c>
      <c r="O99" s="63" t="str">
        <f t="shared" ca="1" si="25"/>
        <v>N/A</v>
      </c>
      <c r="P99" s="63" t="str">
        <f t="shared" ca="1" si="25"/>
        <v>N/A</v>
      </c>
      <c r="Q99" s="63" t="str">
        <f t="shared" ca="1" si="25"/>
        <v>N/A</v>
      </c>
      <c r="R99" s="63" t="str">
        <f t="shared" ca="1" si="25"/>
        <v>N/A</v>
      </c>
      <c r="S99" s="63" t="str">
        <f t="shared" ca="1" si="25"/>
        <v>N/A</v>
      </c>
      <c r="T99" s="63" t="str">
        <f t="shared" ca="1" si="25"/>
        <v>N/A</v>
      </c>
      <c r="U99" s="63" t="str">
        <f t="shared" ca="1" si="25"/>
        <v>N/A</v>
      </c>
      <c r="V99" s="63" t="str">
        <f t="shared" ca="1" si="25"/>
        <v>N/A</v>
      </c>
    </row>
    <row r="100" spans="1:22" hidden="1">
      <c r="A100" s="51">
        <f t="shared" si="19"/>
        <v>0</v>
      </c>
      <c r="B100" s="46" t="str">
        <f t="shared" ca="1" si="20"/>
        <v/>
      </c>
      <c r="C100" s="1" t="str">
        <f>IF(ISERROR(D100),"",IF(D100="","",MAX($C$66:C99)+1))</f>
        <v/>
      </c>
      <c r="D100" t="e">
        <f t="shared" si="21"/>
        <v>#N/A</v>
      </c>
      <c r="E100" s="22"/>
      <c r="F100" s="63" t="str">
        <f t="shared" ca="1" si="24"/>
        <v>N/A</v>
      </c>
      <c r="G100" s="63" t="str">
        <f t="shared" si="22"/>
        <v>N/A</v>
      </c>
      <c r="H100" s="63" t="str">
        <f ca="1">IFERROR(VLOOKUP($A100,LASTYR,'2016'!$L$3,FALSE),"N/A")</f>
        <v>N/A</v>
      </c>
      <c r="I100" s="63" t="str">
        <f t="shared" ca="1" si="25"/>
        <v>N/A</v>
      </c>
      <c r="J100" s="63" t="str">
        <f t="shared" ca="1" si="25"/>
        <v>N/A</v>
      </c>
      <c r="K100" s="63" t="str">
        <f t="shared" ca="1" si="25"/>
        <v>N/A</v>
      </c>
      <c r="L100" s="63" t="str">
        <f t="shared" ca="1" si="25"/>
        <v>N/A</v>
      </c>
      <c r="M100" s="63" t="str">
        <f t="shared" ca="1" si="25"/>
        <v>N/A</v>
      </c>
      <c r="N100" s="63" t="str">
        <f t="shared" ca="1" si="25"/>
        <v>N/A</v>
      </c>
      <c r="O100" s="63" t="str">
        <f t="shared" ca="1" si="25"/>
        <v>N/A</v>
      </c>
      <c r="P100" s="63" t="str">
        <f t="shared" ca="1" si="25"/>
        <v>N/A</v>
      </c>
      <c r="Q100" s="63" t="str">
        <f t="shared" ca="1" si="25"/>
        <v>N/A</v>
      </c>
      <c r="R100" s="63" t="str">
        <f t="shared" ca="1" si="25"/>
        <v>N/A</v>
      </c>
      <c r="S100" s="63" t="str">
        <f t="shared" ca="1" si="25"/>
        <v>N/A</v>
      </c>
      <c r="T100" s="63" t="str">
        <f t="shared" ca="1" si="25"/>
        <v>N/A</v>
      </c>
      <c r="U100" s="63" t="str">
        <f t="shared" ca="1" si="25"/>
        <v>N/A</v>
      </c>
      <c r="V100" s="63" t="str">
        <f t="shared" ca="1" si="25"/>
        <v>N/A</v>
      </c>
    </row>
    <row r="101" spans="1:22" hidden="1">
      <c r="A101" s="51">
        <f t="shared" si="19"/>
        <v>0</v>
      </c>
      <c r="B101" s="46" t="str">
        <f t="shared" ca="1" si="20"/>
        <v/>
      </c>
      <c r="C101" s="1" t="str">
        <f>IF(ISERROR(D101),"",IF(D101="","",MAX($C$66:C100)+1))</f>
        <v/>
      </c>
      <c r="D101" t="e">
        <f t="shared" si="21"/>
        <v>#N/A</v>
      </c>
      <c r="E101" s="22"/>
      <c r="F101" s="63" t="str">
        <f t="shared" ca="1" si="24"/>
        <v>N/A</v>
      </c>
      <c r="G101" s="63" t="str">
        <f t="shared" si="22"/>
        <v>N/A</v>
      </c>
      <c r="H101" s="63" t="str">
        <f ca="1">IFERROR(VLOOKUP($A101,LASTYR,'2016'!$L$3,FALSE),"N/A")</f>
        <v>N/A</v>
      </c>
      <c r="I101" s="63" t="str">
        <f t="shared" ca="1" si="25"/>
        <v>N/A</v>
      </c>
      <c r="J101" s="63" t="str">
        <f t="shared" ca="1" si="25"/>
        <v>N/A</v>
      </c>
      <c r="K101" s="63" t="str">
        <f t="shared" ca="1" si="25"/>
        <v>N/A</v>
      </c>
      <c r="L101" s="63" t="str">
        <f t="shared" ca="1" si="25"/>
        <v>N/A</v>
      </c>
      <c r="M101" s="63" t="str">
        <f t="shared" ca="1" si="25"/>
        <v>N/A</v>
      </c>
      <c r="N101" s="63" t="str">
        <f t="shared" ca="1" si="25"/>
        <v>N/A</v>
      </c>
      <c r="O101" s="63" t="str">
        <f t="shared" ca="1" si="25"/>
        <v>N/A</v>
      </c>
      <c r="P101" s="63" t="str">
        <f t="shared" ca="1" si="25"/>
        <v>N/A</v>
      </c>
      <c r="Q101" s="63" t="str">
        <f t="shared" ca="1" si="25"/>
        <v>N/A</v>
      </c>
      <c r="R101" s="63" t="str">
        <f t="shared" ca="1" si="25"/>
        <v>N/A</v>
      </c>
      <c r="S101" s="63" t="str">
        <f t="shared" ca="1" si="25"/>
        <v>N/A</v>
      </c>
      <c r="T101" s="63" t="str">
        <f t="shared" ca="1" si="25"/>
        <v>N/A</v>
      </c>
      <c r="U101" s="63" t="str">
        <f t="shared" ca="1" si="25"/>
        <v>N/A</v>
      </c>
      <c r="V101" s="63" t="str">
        <f t="shared" ca="1" si="25"/>
        <v>N/A</v>
      </c>
    </row>
    <row r="102" spans="1:22" hidden="1">
      <c r="A102" s="51">
        <f t="shared" si="19"/>
        <v>0</v>
      </c>
      <c r="B102" s="46" t="str">
        <f t="shared" ca="1" si="20"/>
        <v/>
      </c>
      <c r="C102" s="1" t="str">
        <f>IF(ISERROR(D102),"",IF(D102="","",MAX($C$66:C101)+1))</f>
        <v/>
      </c>
      <c r="D102" t="e">
        <f t="shared" si="21"/>
        <v>#N/A</v>
      </c>
      <c r="E102" s="22"/>
      <c r="F102" s="63" t="str">
        <f t="shared" ca="1" si="24"/>
        <v>N/A</v>
      </c>
      <c r="G102" s="63" t="str">
        <f t="shared" si="22"/>
        <v>N/A</v>
      </c>
      <c r="H102" s="63" t="str">
        <f ca="1">IFERROR(VLOOKUP($A102,LASTYR,'2016'!$L$3,FALSE),"N/A")</f>
        <v>N/A</v>
      </c>
      <c r="I102" s="63" t="str">
        <f t="shared" ca="1" si="25"/>
        <v>N/A</v>
      </c>
      <c r="J102" s="63" t="str">
        <f t="shared" ca="1" si="25"/>
        <v>N/A</v>
      </c>
      <c r="K102" s="63" t="str">
        <f t="shared" ca="1" si="25"/>
        <v>N/A</v>
      </c>
      <c r="L102" s="63" t="str">
        <f t="shared" ref="L102:V102" ca="1" si="26">IFERROR(IF(INDEX(MP_CF_WP,$B102,L$67)=0,"N/A",INDEX(MP_CF_WP,$B102,L$67)),"N/A")</f>
        <v>N/A</v>
      </c>
      <c r="M102" s="63" t="str">
        <f t="shared" ca="1" si="26"/>
        <v>N/A</v>
      </c>
      <c r="N102" s="63" t="str">
        <f t="shared" ca="1" si="26"/>
        <v>N/A</v>
      </c>
      <c r="O102" s="63" t="str">
        <f t="shared" ca="1" si="26"/>
        <v>N/A</v>
      </c>
      <c r="P102" s="63" t="str">
        <f t="shared" ca="1" si="26"/>
        <v>N/A</v>
      </c>
      <c r="Q102" s="63" t="str">
        <f t="shared" ca="1" si="26"/>
        <v>N/A</v>
      </c>
      <c r="R102" s="63" t="str">
        <f t="shared" ca="1" si="26"/>
        <v>N/A</v>
      </c>
      <c r="S102" s="63" t="str">
        <f t="shared" ca="1" si="26"/>
        <v>N/A</v>
      </c>
      <c r="T102" s="63" t="str">
        <f t="shared" ca="1" si="26"/>
        <v>N/A</v>
      </c>
      <c r="U102" s="63" t="str">
        <f t="shared" ca="1" si="26"/>
        <v>N/A</v>
      </c>
      <c r="V102" s="63" t="str">
        <f t="shared" ca="1" si="26"/>
        <v>N/A</v>
      </c>
    </row>
    <row r="103" spans="1:22" hidden="1">
      <c r="A103" s="51">
        <f t="shared" si="19"/>
        <v>0</v>
      </c>
      <c r="B103" s="46" t="str">
        <f t="shared" ca="1" si="20"/>
        <v/>
      </c>
      <c r="C103" s="1" t="str">
        <f>IF(ISERROR(D103),"",IF(D103="","",MAX($C$66:C102)+1))</f>
        <v/>
      </c>
      <c r="D103" t="e">
        <f t="shared" si="21"/>
        <v>#N/A</v>
      </c>
      <c r="E103" s="22"/>
      <c r="F103" s="63" t="str">
        <f t="shared" ca="1" si="24"/>
        <v>N/A</v>
      </c>
      <c r="G103" s="63" t="str">
        <f t="shared" si="22"/>
        <v>N/A</v>
      </c>
      <c r="H103" s="63" t="str">
        <f ca="1">IFERROR(VLOOKUP($A103,LASTYR,'2016'!$L$3,FALSE),"N/A")</f>
        <v>N/A</v>
      </c>
      <c r="I103" s="63" t="str">
        <f t="shared" ref="I103:V112" ca="1" si="27">IFERROR(IF(INDEX(MP_CF_WP,$B103,I$67)=0,"N/A",INDEX(MP_CF_WP,$B103,I$67)),"N/A")</f>
        <v>N/A</v>
      </c>
      <c r="J103" s="63" t="str">
        <f t="shared" ca="1" si="27"/>
        <v>N/A</v>
      </c>
      <c r="K103" s="63" t="str">
        <f t="shared" ca="1" si="27"/>
        <v>N/A</v>
      </c>
      <c r="L103" s="63" t="str">
        <f t="shared" ca="1" si="27"/>
        <v>N/A</v>
      </c>
      <c r="M103" s="63" t="str">
        <f t="shared" ca="1" si="27"/>
        <v>N/A</v>
      </c>
      <c r="N103" s="63" t="str">
        <f t="shared" ca="1" si="27"/>
        <v>N/A</v>
      </c>
      <c r="O103" s="63" t="str">
        <f t="shared" ca="1" si="27"/>
        <v>N/A</v>
      </c>
      <c r="P103" s="63" t="str">
        <f t="shared" ca="1" si="27"/>
        <v>N/A</v>
      </c>
      <c r="Q103" s="63" t="str">
        <f t="shared" ca="1" si="27"/>
        <v>N/A</v>
      </c>
      <c r="R103" s="63" t="str">
        <f t="shared" ca="1" si="27"/>
        <v>N/A</v>
      </c>
      <c r="S103" s="63" t="str">
        <f t="shared" ca="1" si="27"/>
        <v>N/A</v>
      </c>
      <c r="T103" s="63" t="str">
        <f t="shared" ca="1" si="27"/>
        <v>N/A</v>
      </c>
      <c r="U103" s="63" t="str">
        <f t="shared" ca="1" si="27"/>
        <v>N/A</v>
      </c>
      <c r="V103" s="63" t="str">
        <f t="shared" ca="1" si="27"/>
        <v>N/A</v>
      </c>
    </row>
    <row r="104" spans="1:22" hidden="1">
      <c r="A104" s="51">
        <f t="shared" si="19"/>
        <v>0</v>
      </c>
      <c r="B104" s="46" t="str">
        <f t="shared" ca="1" si="20"/>
        <v/>
      </c>
      <c r="C104" s="1" t="str">
        <f>IF(ISERROR(D104),"",IF(D104="","",MAX($C$66:C103)+1))</f>
        <v/>
      </c>
      <c r="D104" t="e">
        <f t="shared" si="21"/>
        <v>#N/A</v>
      </c>
      <c r="E104" s="22"/>
      <c r="F104" s="63" t="str">
        <f t="shared" ca="1" si="24"/>
        <v>N/A</v>
      </c>
      <c r="G104" s="63" t="str">
        <f t="shared" si="22"/>
        <v>N/A</v>
      </c>
      <c r="H104" s="63" t="str">
        <f ca="1">IFERROR(VLOOKUP($A104,LASTYR,'2016'!$L$3,FALSE),"N/A")</f>
        <v>N/A</v>
      </c>
      <c r="I104" s="63" t="str">
        <f t="shared" ca="1" si="27"/>
        <v>N/A</v>
      </c>
      <c r="J104" s="63" t="str">
        <f t="shared" ca="1" si="27"/>
        <v>N/A</v>
      </c>
      <c r="K104" s="63" t="str">
        <f t="shared" ca="1" si="27"/>
        <v>N/A</v>
      </c>
      <c r="L104" s="63" t="str">
        <f t="shared" ca="1" si="27"/>
        <v>N/A</v>
      </c>
      <c r="M104" s="63" t="str">
        <f t="shared" ca="1" si="27"/>
        <v>N/A</v>
      </c>
      <c r="N104" s="63" t="str">
        <f t="shared" ca="1" si="27"/>
        <v>N/A</v>
      </c>
      <c r="O104" s="63" t="str">
        <f t="shared" ca="1" si="27"/>
        <v>N/A</v>
      </c>
      <c r="P104" s="63" t="str">
        <f t="shared" ca="1" si="27"/>
        <v>N/A</v>
      </c>
      <c r="Q104" s="63" t="str">
        <f t="shared" ca="1" si="27"/>
        <v>N/A</v>
      </c>
      <c r="R104" s="63" t="str">
        <f t="shared" ca="1" si="27"/>
        <v>N/A</v>
      </c>
      <c r="S104" s="63" t="str">
        <f t="shared" ca="1" si="27"/>
        <v>N/A</v>
      </c>
      <c r="T104" s="63" t="str">
        <f t="shared" ca="1" si="27"/>
        <v>N/A</v>
      </c>
      <c r="U104" s="63" t="str">
        <f t="shared" ca="1" si="27"/>
        <v>N/A</v>
      </c>
      <c r="V104" s="63" t="str">
        <f t="shared" ca="1" si="27"/>
        <v>N/A</v>
      </c>
    </row>
    <row r="105" spans="1:22" hidden="1">
      <c r="A105" s="51">
        <f t="shared" si="19"/>
        <v>0</v>
      </c>
      <c r="B105" s="46" t="str">
        <f t="shared" ca="1" si="20"/>
        <v/>
      </c>
      <c r="C105" s="1" t="str">
        <f>IF(ISERROR(D105),"",IF(D105="","",MAX($C$66:C104)+1))</f>
        <v/>
      </c>
      <c r="D105" t="e">
        <f t="shared" si="21"/>
        <v>#N/A</v>
      </c>
      <c r="E105" s="22"/>
      <c r="F105" s="63" t="str">
        <f t="shared" ca="1" si="24"/>
        <v>N/A</v>
      </c>
      <c r="G105" s="63" t="str">
        <f t="shared" si="22"/>
        <v>N/A</v>
      </c>
      <c r="H105" s="63" t="str">
        <f ca="1">IFERROR(VLOOKUP($A105,LASTYR,'2016'!$L$3,FALSE),"N/A")</f>
        <v>N/A</v>
      </c>
      <c r="I105" s="63" t="str">
        <f t="shared" ca="1" si="27"/>
        <v>N/A</v>
      </c>
      <c r="J105" s="63" t="str">
        <f t="shared" ca="1" si="27"/>
        <v>N/A</v>
      </c>
      <c r="K105" s="63" t="str">
        <f t="shared" ca="1" si="27"/>
        <v>N/A</v>
      </c>
      <c r="L105" s="63" t="str">
        <f t="shared" ca="1" si="27"/>
        <v>N/A</v>
      </c>
      <c r="M105" s="63" t="str">
        <f t="shared" ca="1" si="27"/>
        <v>N/A</v>
      </c>
      <c r="N105" s="63" t="str">
        <f t="shared" ca="1" si="27"/>
        <v>N/A</v>
      </c>
      <c r="O105" s="63" t="str">
        <f t="shared" ca="1" si="27"/>
        <v>N/A</v>
      </c>
      <c r="P105" s="63" t="str">
        <f t="shared" ca="1" si="27"/>
        <v>N/A</v>
      </c>
      <c r="Q105" s="63" t="str">
        <f t="shared" ca="1" si="27"/>
        <v>N/A</v>
      </c>
      <c r="R105" s="63" t="str">
        <f t="shared" ca="1" si="27"/>
        <v>N/A</v>
      </c>
      <c r="S105" s="63" t="str">
        <f t="shared" ca="1" si="27"/>
        <v>N/A</v>
      </c>
      <c r="T105" s="63" t="str">
        <f t="shared" ca="1" si="27"/>
        <v>N/A</v>
      </c>
      <c r="U105" s="63" t="str">
        <f t="shared" ca="1" si="27"/>
        <v>N/A</v>
      </c>
      <c r="V105" s="63" t="str">
        <f t="shared" ca="1" si="27"/>
        <v>N/A</v>
      </c>
    </row>
    <row r="106" spans="1:22" hidden="1">
      <c r="A106" s="51">
        <f t="shared" si="19"/>
        <v>0</v>
      </c>
      <c r="B106" s="46" t="str">
        <f t="shared" ca="1" si="20"/>
        <v/>
      </c>
      <c r="C106" s="1" t="str">
        <f>IF(ISERROR(D106),"",IF(D106="","",MAX($C$66:C105)+1))</f>
        <v/>
      </c>
      <c r="D106" t="e">
        <f t="shared" si="21"/>
        <v>#N/A</v>
      </c>
      <c r="E106" s="22"/>
      <c r="F106" s="63" t="str">
        <f t="shared" ca="1" si="24"/>
        <v>N/A</v>
      </c>
      <c r="G106" s="63" t="str">
        <f t="shared" si="22"/>
        <v>N/A</v>
      </c>
      <c r="H106" s="63" t="str">
        <f ca="1">IFERROR(VLOOKUP($A106,LASTYR,'2016'!$L$3,FALSE),"N/A")</f>
        <v>N/A</v>
      </c>
      <c r="I106" s="63" t="str">
        <f t="shared" ca="1" si="27"/>
        <v>N/A</v>
      </c>
      <c r="J106" s="63" t="str">
        <f t="shared" ca="1" si="27"/>
        <v>N/A</v>
      </c>
      <c r="K106" s="63" t="str">
        <f t="shared" ca="1" si="27"/>
        <v>N/A</v>
      </c>
      <c r="L106" s="63" t="str">
        <f t="shared" ca="1" si="27"/>
        <v>N/A</v>
      </c>
      <c r="M106" s="63" t="str">
        <f t="shared" ca="1" si="27"/>
        <v>N/A</v>
      </c>
      <c r="N106" s="63" t="str">
        <f t="shared" ca="1" si="27"/>
        <v>N/A</v>
      </c>
      <c r="O106" s="63" t="str">
        <f t="shared" ca="1" si="27"/>
        <v>N/A</v>
      </c>
      <c r="P106" s="63" t="str">
        <f t="shared" ca="1" si="27"/>
        <v>N/A</v>
      </c>
      <c r="Q106" s="63" t="str">
        <f t="shared" ca="1" si="27"/>
        <v>N/A</v>
      </c>
      <c r="R106" s="63" t="str">
        <f t="shared" ca="1" si="27"/>
        <v>N/A</v>
      </c>
      <c r="S106" s="63" t="str">
        <f t="shared" ca="1" si="27"/>
        <v>N/A</v>
      </c>
      <c r="T106" s="63" t="str">
        <f t="shared" ca="1" si="27"/>
        <v>N/A</v>
      </c>
      <c r="U106" s="63" t="str">
        <f t="shared" ca="1" si="27"/>
        <v>N/A</v>
      </c>
      <c r="V106" s="63" t="str">
        <f t="shared" ca="1" si="27"/>
        <v>N/A</v>
      </c>
    </row>
    <row r="107" spans="1:22" hidden="1">
      <c r="A107" s="51">
        <f t="shared" si="19"/>
        <v>0</v>
      </c>
      <c r="B107" s="46" t="str">
        <f t="shared" ca="1" si="20"/>
        <v/>
      </c>
      <c r="C107" s="1" t="str">
        <f>IF(ISERROR(D107),"",IF(D107="","",MAX($C$66:C106)+1))</f>
        <v/>
      </c>
      <c r="D107" t="e">
        <f t="shared" si="21"/>
        <v>#N/A</v>
      </c>
      <c r="E107" s="22"/>
      <c r="F107" s="63" t="str">
        <f t="shared" ca="1" si="24"/>
        <v>N/A</v>
      </c>
      <c r="G107" s="63" t="str">
        <f t="shared" si="22"/>
        <v>N/A</v>
      </c>
      <c r="H107" s="63" t="str">
        <f ca="1">IFERROR(VLOOKUP($A107,LASTYR,'2016'!$L$3,FALSE),"N/A")</f>
        <v>N/A</v>
      </c>
      <c r="I107" s="63" t="str">
        <f t="shared" ca="1" si="27"/>
        <v>N/A</v>
      </c>
      <c r="J107" s="63" t="str">
        <f t="shared" ca="1" si="27"/>
        <v>N/A</v>
      </c>
      <c r="K107" s="63" t="str">
        <f t="shared" ca="1" si="27"/>
        <v>N/A</v>
      </c>
      <c r="L107" s="63" t="str">
        <f t="shared" ca="1" si="27"/>
        <v>N/A</v>
      </c>
      <c r="M107" s="63" t="str">
        <f t="shared" ca="1" si="27"/>
        <v>N/A</v>
      </c>
      <c r="N107" s="63" t="str">
        <f t="shared" ca="1" si="27"/>
        <v>N/A</v>
      </c>
      <c r="O107" s="63" t="str">
        <f t="shared" ca="1" si="27"/>
        <v>N/A</v>
      </c>
      <c r="P107" s="63" t="str">
        <f t="shared" ca="1" si="27"/>
        <v>N/A</v>
      </c>
      <c r="Q107" s="63" t="str">
        <f t="shared" ca="1" si="27"/>
        <v>N/A</v>
      </c>
      <c r="R107" s="63" t="str">
        <f t="shared" ca="1" si="27"/>
        <v>N/A</v>
      </c>
      <c r="S107" s="63" t="str">
        <f t="shared" ca="1" si="27"/>
        <v>N/A</v>
      </c>
      <c r="T107" s="63" t="str">
        <f t="shared" ca="1" si="27"/>
        <v>N/A</v>
      </c>
      <c r="U107" s="63" t="str">
        <f t="shared" ca="1" si="27"/>
        <v>N/A</v>
      </c>
      <c r="V107" s="63" t="str">
        <f t="shared" ca="1" si="27"/>
        <v>N/A</v>
      </c>
    </row>
    <row r="108" spans="1:22" hidden="1">
      <c r="A108" s="51">
        <f t="shared" si="19"/>
        <v>0</v>
      </c>
      <c r="B108" s="46" t="str">
        <f t="shared" ca="1" si="20"/>
        <v/>
      </c>
      <c r="C108" s="1" t="str">
        <f>IF(ISERROR(D108),"",IF(D108="","",MAX($C$66:C107)+1))</f>
        <v/>
      </c>
      <c r="D108" t="e">
        <f t="shared" si="21"/>
        <v>#N/A</v>
      </c>
      <c r="E108" s="22"/>
      <c r="F108" s="63" t="str">
        <f t="shared" ca="1" si="24"/>
        <v>N/A</v>
      </c>
      <c r="G108" s="63" t="str">
        <f t="shared" si="22"/>
        <v>N/A</v>
      </c>
      <c r="H108" s="63" t="str">
        <f ca="1">IFERROR(VLOOKUP($A108,LASTYR,'2016'!$L$3,FALSE),"N/A")</f>
        <v>N/A</v>
      </c>
      <c r="I108" s="63" t="str">
        <f t="shared" ca="1" si="27"/>
        <v>N/A</v>
      </c>
      <c r="J108" s="63" t="str">
        <f t="shared" ca="1" si="27"/>
        <v>N/A</v>
      </c>
      <c r="K108" s="63" t="str">
        <f t="shared" ca="1" si="27"/>
        <v>N/A</v>
      </c>
      <c r="L108" s="63" t="str">
        <f t="shared" ca="1" si="27"/>
        <v>N/A</v>
      </c>
      <c r="M108" s="63" t="str">
        <f t="shared" ca="1" si="27"/>
        <v>N/A</v>
      </c>
      <c r="N108" s="63" t="str">
        <f t="shared" ca="1" si="27"/>
        <v>N/A</v>
      </c>
      <c r="O108" s="63" t="str">
        <f t="shared" ca="1" si="27"/>
        <v>N/A</v>
      </c>
      <c r="P108" s="63" t="str">
        <f t="shared" ca="1" si="27"/>
        <v>N/A</v>
      </c>
      <c r="Q108" s="63" t="str">
        <f t="shared" ca="1" si="27"/>
        <v>N/A</v>
      </c>
      <c r="R108" s="63" t="str">
        <f t="shared" ca="1" si="27"/>
        <v>N/A</v>
      </c>
      <c r="S108" s="63" t="str">
        <f t="shared" ca="1" si="27"/>
        <v>N/A</v>
      </c>
      <c r="T108" s="63" t="str">
        <f t="shared" ca="1" si="27"/>
        <v>N/A</v>
      </c>
      <c r="U108" s="63" t="str">
        <f t="shared" ca="1" si="27"/>
        <v>N/A</v>
      </c>
      <c r="V108" s="63" t="str">
        <f t="shared" ca="1" si="27"/>
        <v>N/A</v>
      </c>
    </row>
    <row r="109" spans="1:22" hidden="1">
      <c r="A109" s="51">
        <f t="shared" si="19"/>
        <v>0</v>
      </c>
      <c r="B109" s="46" t="str">
        <f t="shared" ca="1" si="20"/>
        <v/>
      </c>
      <c r="C109" s="1" t="str">
        <f>IF(ISERROR(D109),"",IF(D109="","",MAX($C$66:C108)+1))</f>
        <v/>
      </c>
      <c r="D109" t="e">
        <f t="shared" si="21"/>
        <v>#N/A</v>
      </c>
      <c r="E109" s="22"/>
      <c r="F109" s="63" t="str">
        <f t="shared" ca="1" si="24"/>
        <v>N/A</v>
      </c>
      <c r="G109" s="63" t="str">
        <f t="shared" si="22"/>
        <v>N/A</v>
      </c>
      <c r="H109" s="63" t="str">
        <f ca="1">IFERROR(VLOOKUP($A109,LASTYR,'2016'!$L$3,FALSE),"N/A")</f>
        <v>N/A</v>
      </c>
      <c r="I109" s="63" t="str">
        <f t="shared" ca="1" si="27"/>
        <v>N/A</v>
      </c>
      <c r="J109" s="63" t="str">
        <f t="shared" ca="1" si="27"/>
        <v>N/A</v>
      </c>
      <c r="K109" s="63" t="str">
        <f t="shared" ca="1" si="27"/>
        <v>N/A</v>
      </c>
      <c r="L109" s="63" t="str">
        <f t="shared" ca="1" si="27"/>
        <v>N/A</v>
      </c>
      <c r="M109" s="63" t="str">
        <f t="shared" ca="1" si="27"/>
        <v>N/A</v>
      </c>
      <c r="N109" s="63" t="str">
        <f t="shared" ca="1" si="27"/>
        <v>N/A</v>
      </c>
      <c r="O109" s="63" t="str">
        <f t="shared" ca="1" si="27"/>
        <v>N/A</v>
      </c>
      <c r="P109" s="63" t="str">
        <f t="shared" ca="1" si="27"/>
        <v>N/A</v>
      </c>
      <c r="Q109" s="63" t="str">
        <f t="shared" ca="1" si="27"/>
        <v>N/A</v>
      </c>
      <c r="R109" s="63" t="str">
        <f t="shared" ca="1" si="27"/>
        <v>N/A</v>
      </c>
      <c r="S109" s="63" t="str">
        <f t="shared" ca="1" si="27"/>
        <v>N/A</v>
      </c>
      <c r="T109" s="63" t="str">
        <f t="shared" ca="1" si="27"/>
        <v>N/A</v>
      </c>
      <c r="U109" s="63" t="str">
        <f t="shared" ca="1" si="27"/>
        <v>N/A</v>
      </c>
      <c r="V109" s="63" t="str">
        <f t="shared" ca="1" si="27"/>
        <v>N/A</v>
      </c>
    </row>
    <row r="110" spans="1:22" hidden="1">
      <c r="A110" s="51">
        <f t="shared" si="19"/>
        <v>0</v>
      </c>
      <c r="B110" s="46" t="str">
        <f t="shared" ca="1" si="20"/>
        <v/>
      </c>
      <c r="C110" s="1" t="str">
        <f>IF(ISERROR(D110),"",IF(D110="","",MAX($C$66:C109)+1))</f>
        <v/>
      </c>
      <c r="D110" t="e">
        <f t="shared" si="21"/>
        <v>#N/A</v>
      </c>
      <c r="F110" s="63" t="str">
        <f t="shared" ca="1" si="24"/>
        <v>N/A</v>
      </c>
      <c r="G110" s="63" t="str">
        <f t="shared" si="22"/>
        <v>N/A</v>
      </c>
      <c r="H110" s="63" t="str">
        <f ca="1">IFERROR(VLOOKUP($A110,LASTYR,'2016'!$L$3,FALSE),"N/A")</f>
        <v>N/A</v>
      </c>
      <c r="I110" s="63" t="str">
        <f t="shared" ca="1" si="27"/>
        <v>N/A</v>
      </c>
      <c r="J110" s="63" t="str">
        <f t="shared" ca="1" si="27"/>
        <v>N/A</v>
      </c>
      <c r="K110" s="63" t="str">
        <f t="shared" ca="1" si="27"/>
        <v>N/A</v>
      </c>
      <c r="L110" s="63" t="str">
        <f t="shared" ca="1" si="27"/>
        <v>N/A</v>
      </c>
      <c r="M110" s="63" t="str">
        <f t="shared" ca="1" si="27"/>
        <v>N/A</v>
      </c>
      <c r="N110" s="63" t="str">
        <f t="shared" ca="1" si="27"/>
        <v>N/A</v>
      </c>
      <c r="O110" s="63" t="str">
        <f t="shared" ca="1" si="27"/>
        <v>N/A</v>
      </c>
      <c r="P110" s="63" t="str">
        <f t="shared" ca="1" si="27"/>
        <v>N/A</v>
      </c>
      <c r="Q110" s="63" t="str">
        <f t="shared" ca="1" si="27"/>
        <v>N/A</v>
      </c>
      <c r="R110" s="63" t="str">
        <f t="shared" ca="1" si="27"/>
        <v>N/A</v>
      </c>
      <c r="S110" s="63" t="str">
        <f t="shared" ca="1" si="27"/>
        <v>N/A</v>
      </c>
      <c r="T110" s="63" t="str">
        <f t="shared" ca="1" si="27"/>
        <v>N/A</v>
      </c>
      <c r="U110" s="63" t="str">
        <f t="shared" ca="1" si="27"/>
        <v>N/A</v>
      </c>
      <c r="V110" s="63" t="str">
        <f t="shared" ca="1" si="27"/>
        <v>N/A</v>
      </c>
    </row>
    <row r="111" spans="1:22" hidden="1">
      <c r="A111" s="51">
        <f t="shared" si="19"/>
        <v>0</v>
      </c>
      <c r="B111" s="46" t="str">
        <f t="shared" ca="1" si="20"/>
        <v/>
      </c>
      <c r="C111" s="1" t="str">
        <f>IF(ISERROR(D111),"",IF(D111="","",MAX($C$66:C110)+1))</f>
        <v/>
      </c>
      <c r="D111" t="e">
        <f t="shared" si="21"/>
        <v>#N/A</v>
      </c>
      <c r="F111" s="63" t="str">
        <f t="shared" ca="1" si="24"/>
        <v>N/A</v>
      </c>
      <c r="G111" s="63" t="str">
        <f t="shared" si="22"/>
        <v>N/A</v>
      </c>
      <c r="H111" s="63" t="str">
        <f ca="1">IFERROR(VLOOKUP($A111,LASTYR,'2016'!$L$3,FALSE),"N/A")</f>
        <v>N/A</v>
      </c>
      <c r="I111" s="63" t="str">
        <f t="shared" ca="1" si="27"/>
        <v>N/A</v>
      </c>
      <c r="J111" s="63" t="str">
        <f t="shared" ca="1" si="27"/>
        <v>N/A</v>
      </c>
      <c r="K111" s="63" t="str">
        <f t="shared" ca="1" si="27"/>
        <v>N/A</v>
      </c>
      <c r="L111" s="63" t="str">
        <f t="shared" ca="1" si="27"/>
        <v>N/A</v>
      </c>
      <c r="M111" s="63" t="str">
        <f t="shared" ca="1" si="27"/>
        <v>N/A</v>
      </c>
      <c r="N111" s="63" t="str">
        <f t="shared" ca="1" si="27"/>
        <v>N/A</v>
      </c>
      <c r="O111" s="63" t="str">
        <f t="shared" ca="1" si="27"/>
        <v>N/A</v>
      </c>
      <c r="P111" s="63" t="str">
        <f t="shared" ca="1" si="27"/>
        <v>N/A</v>
      </c>
      <c r="Q111" s="63" t="str">
        <f t="shared" ca="1" si="27"/>
        <v>N/A</v>
      </c>
      <c r="R111" s="63" t="str">
        <f t="shared" ca="1" si="27"/>
        <v>N/A</v>
      </c>
      <c r="S111" s="63" t="str">
        <f t="shared" ca="1" si="27"/>
        <v>N/A</v>
      </c>
      <c r="T111" s="63" t="str">
        <f t="shared" ca="1" si="27"/>
        <v>N/A</v>
      </c>
      <c r="U111" s="63" t="str">
        <f t="shared" ca="1" si="27"/>
        <v>N/A</v>
      </c>
      <c r="V111" s="63" t="str">
        <f t="shared" ca="1" si="27"/>
        <v>N/A</v>
      </c>
    </row>
    <row r="112" spans="1:22" hidden="1">
      <c r="A112" s="51">
        <f t="shared" si="19"/>
        <v>0</v>
      </c>
      <c r="B112" s="46" t="str">
        <f t="shared" ca="1" si="20"/>
        <v/>
      </c>
      <c r="C112" s="1" t="str">
        <f>IF(ISERROR(D112),"",IF(D112="","",MAX($C$66:C111)+1))</f>
        <v/>
      </c>
      <c r="D112" t="e">
        <f t="shared" si="21"/>
        <v>#N/A</v>
      </c>
      <c r="F112" s="63" t="str">
        <f t="shared" ca="1" si="24"/>
        <v>N/A</v>
      </c>
      <c r="G112" s="63" t="str">
        <f t="shared" si="22"/>
        <v>N/A</v>
      </c>
      <c r="H112" s="63" t="str">
        <f ca="1">IFERROR(VLOOKUP($A112,LASTYR,'2016'!$L$3,FALSE),"N/A")</f>
        <v>N/A</v>
      </c>
      <c r="I112" s="63" t="str">
        <f t="shared" ca="1" si="27"/>
        <v>N/A</v>
      </c>
      <c r="J112" s="63" t="str">
        <f t="shared" ca="1" si="27"/>
        <v>N/A</v>
      </c>
      <c r="K112" s="63" t="str">
        <f t="shared" ca="1" si="27"/>
        <v>N/A</v>
      </c>
      <c r="L112" s="63" t="str">
        <f t="shared" ca="1" si="27"/>
        <v>N/A</v>
      </c>
      <c r="M112" s="63" t="str">
        <f t="shared" ca="1" si="27"/>
        <v>N/A</v>
      </c>
      <c r="N112" s="63" t="str">
        <f t="shared" ca="1" si="27"/>
        <v>N/A</v>
      </c>
      <c r="O112" s="63" t="str">
        <f t="shared" ca="1" si="27"/>
        <v>N/A</v>
      </c>
      <c r="P112" s="63" t="str">
        <f t="shared" ca="1" si="27"/>
        <v>N/A</v>
      </c>
      <c r="Q112" s="63" t="str">
        <f t="shared" ca="1" si="27"/>
        <v>N/A</v>
      </c>
      <c r="R112" s="63" t="str">
        <f t="shared" ca="1" si="27"/>
        <v>N/A</v>
      </c>
      <c r="S112" s="63" t="str">
        <f t="shared" ca="1" si="27"/>
        <v>N/A</v>
      </c>
      <c r="T112" s="63" t="str">
        <f t="shared" ca="1" si="27"/>
        <v>N/A</v>
      </c>
      <c r="U112" s="63" t="str">
        <f t="shared" ca="1" si="27"/>
        <v>N/A</v>
      </c>
      <c r="V112" s="63" t="str">
        <f t="shared" ca="1" si="27"/>
        <v>N/A</v>
      </c>
    </row>
    <row r="113" spans="1:22">
      <c r="A113" s="31"/>
      <c r="B113" s="31"/>
      <c r="C113" s="1" t="str">
        <f>IF(ISERROR(D113),"",IF(D113="","",MAX($C$66:C112)+1))</f>
        <v/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spans="1:22">
      <c r="A114" s="31"/>
      <c r="B114" s="31"/>
      <c r="C114" s="1">
        <f ca="1">IF(ISERROR(D114),"",IF(D114="","",MAX($C$66:C113)+1))</f>
        <v>12</v>
      </c>
      <c r="D114" t="s">
        <v>98</v>
      </c>
      <c r="F114" s="63">
        <f ca="1">AVERAGE(G114:R114)</f>
        <v>8.8915808146429018</v>
      </c>
      <c r="G114" s="63">
        <f t="shared" ref="G114:R114" si="28">AVERAGE(G68:G113)</f>
        <v>12.162864371308189</v>
      </c>
      <c r="H114" s="63">
        <f t="shared" ref="H114" ca="1" si="29">AVERAGE(H68:H113)</f>
        <v>10.688603267888405</v>
      </c>
      <c r="I114" s="63">
        <f t="shared" ca="1" si="28"/>
        <v>9.4523640136032938</v>
      </c>
      <c r="J114" s="63">
        <f t="shared" ca="1" si="28"/>
        <v>9.0404699564783755</v>
      </c>
      <c r="K114" s="63">
        <f t="shared" ca="1" si="28"/>
        <v>9.2101370655360064</v>
      </c>
      <c r="L114" s="63">
        <f t="shared" ca="1" si="28"/>
        <v>8.4696565194294777</v>
      </c>
      <c r="M114" s="63">
        <f t="shared" ca="1" si="28"/>
        <v>8.5512407849351533</v>
      </c>
      <c r="N114" s="63">
        <f t="shared" ca="1" si="28"/>
        <v>7.6035869483084584</v>
      </c>
      <c r="O114" s="63">
        <f t="shared" ca="1" si="28"/>
        <v>7.3802773126733383</v>
      </c>
      <c r="P114" s="63">
        <f t="shared" ca="1" si="28"/>
        <v>7.615213522431719</v>
      </c>
      <c r="Q114" s="63">
        <f t="shared" ca="1" si="28"/>
        <v>8.6436487392931554</v>
      </c>
      <c r="R114" s="63">
        <f t="shared" ca="1" si="28"/>
        <v>7.880907273829254</v>
      </c>
      <c r="S114" s="63"/>
      <c r="T114" s="63"/>
      <c r="U114" s="63"/>
      <c r="V114" s="63"/>
    </row>
    <row r="115" spans="1:22">
      <c r="A115" s="31"/>
      <c r="B115" s="31"/>
      <c r="C115" s="1">
        <f ca="1">IF(ISERROR(D115),"",IF(D115="","",MAX($C$66:C114)+1))</f>
        <v>13</v>
      </c>
      <c r="D115" t="s">
        <v>257</v>
      </c>
      <c r="F115" s="63">
        <f ca="1">AVERAGE(G115:R115)</f>
        <v>8.7247429741910612</v>
      </c>
      <c r="G115" s="63">
        <f>MEDIAN(G68:G113)</f>
        <v>11.559322033898304</v>
      </c>
      <c r="H115" s="63">
        <f t="shared" ref="H115" ca="1" si="30">MEDIAN(H68:H113)</f>
        <v>11.095010127048425</v>
      </c>
      <c r="I115" s="63">
        <f t="shared" ref="I115:R115" ca="1" si="31">MEDIAN(I68:I113)</f>
        <v>9.4593603585251582</v>
      </c>
      <c r="J115" s="63">
        <f t="shared" ca="1" si="31"/>
        <v>8.8426988523941432</v>
      </c>
      <c r="K115" s="63">
        <f t="shared" ca="1" si="31"/>
        <v>8.6620278130144346</v>
      </c>
      <c r="L115" s="63">
        <f t="shared" ca="1" si="31"/>
        <v>8.3063946514666043</v>
      </c>
      <c r="M115" s="63">
        <f t="shared" ca="1" si="31"/>
        <v>7.795503871068135</v>
      </c>
      <c r="N115" s="63">
        <f t="shared" ca="1" si="31"/>
        <v>7.2416287529244556</v>
      </c>
      <c r="O115" s="63">
        <f t="shared" ca="1" si="31"/>
        <v>7.712579770768258</v>
      </c>
      <c r="P115" s="63">
        <f t="shared" ca="1" si="31"/>
        <v>7.781492417607744</v>
      </c>
      <c r="Q115" s="63">
        <f t="shared" ca="1" si="31"/>
        <v>8.4241003827937906</v>
      </c>
      <c r="R115" s="63">
        <f t="shared" ca="1" si="31"/>
        <v>7.8167966587832733</v>
      </c>
      <c r="S115" s="63"/>
      <c r="T115" s="63"/>
      <c r="U115" s="63"/>
      <c r="V115" s="63"/>
    </row>
    <row r="116" spans="1:22">
      <c r="A116" s="31"/>
      <c r="B116" s="31"/>
      <c r="C116" s="1"/>
    </row>
    <row r="117" spans="1:22">
      <c r="A117" s="31"/>
      <c r="B117" s="31"/>
      <c r="C117" s="1"/>
    </row>
    <row r="118" spans="1:22" ht="17.25">
      <c r="A118" s="31"/>
      <c r="B118" s="31"/>
      <c r="C118" s="6"/>
      <c r="D118" s="6"/>
      <c r="E118" s="19"/>
      <c r="F118" s="139" t="s">
        <v>260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</row>
    <row r="119" spans="1:22" ht="15">
      <c r="A119" s="31"/>
      <c r="B119" s="31"/>
      <c r="C119" s="6"/>
      <c r="D119" s="7"/>
      <c r="E119" s="7"/>
      <c r="F119" s="8" t="s">
        <v>258</v>
      </c>
      <c r="G119" s="8"/>
      <c r="H119" s="8"/>
      <c r="I119" s="8"/>
      <c r="J119" s="8"/>
      <c r="K119" s="8"/>
      <c r="L119" s="8"/>
      <c r="M119" s="8"/>
      <c r="N119" s="8"/>
      <c r="O119" s="7"/>
      <c r="P119" s="7"/>
      <c r="Q119" s="7"/>
      <c r="R119" s="7"/>
      <c r="S119" s="7"/>
      <c r="T119" s="7"/>
      <c r="U119" s="7"/>
    </row>
    <row r="120" spans="1:22" ht="17.25">
      <c r="A120" s="31"/>
      <c r="B120" s="31"/>
      <c r="C120" s="9" t="s">
        <v>96</v>
      </c>
      <c r="D120" s="138" t="s">
        <v>97</v>
      </c>
      <c r="E120" s="138"/>
      <c r="F120" s="10" t="s">
        <v>98</v>
      </c>
      <c r="G120" s="10" t="s">
        <v>334</v>
      </c>
      <c r="H120" s="41">
        <v>2016</v>
      </c>
      <c r="I120" s="41">
        <v>2015</v>
      </c>
      <c r="J120" s="41">
        <v>2014</v>
      </c>
      <c r="K120" s="41">
        <v>2013</v>
      </c>
      <c r="L120" s="41">
        <v>2012</v>
      </c>
      <c r="M120" s="41">
        <v>2011</v>
      </c>
      <c r="N120" s="41">
        <v>2010</v>
      </c>
      <c r="O120" s="41">
        <v>2009</v>
      </c>
      <c r="P120" s="41">
        <v>2008</v>
      </c>
      <c r="Q120" s="41">
        <v>2007</v>
      </c>
      <c r="R120" s="41">
        <v>2006</v>
      </c>
      <c r="S120" s="41">
        <v>2005</v>
      </c>
      <c r="T120" s="41"/>
      <c r="U120" s="41"/>
      <c r="V120" s="41"/>
    </row>
    <row r="121" spans="1:22" ht="15">
      <c r="A121" s="42"/>
      <c r="B121" s="42"/>
      <c r="C121" s="9"/>
      <c r="D121" s="11"/>
      <c r="E121" s="11"/>
      <c r="F121" s="12">
        <v>-1</v>
      </c>
      <c r="G121" s="12">
        <f t="shared" ref="G121:S121" si="32">+F121-1</f>
        <v>-2</v>
      </c>
      <c r="H121" s="12">
        <f t="shared" ref="H121" si="33">+G121-1</f>
        <v>-3</v>
      </c>
      <c r="I121" s="12">
        <f t="shared" ref="I121" si="34">+H121-1</f>
        <v>-4</v>
      </c>
      <c r="J121" s="12">
        <f t="shared" si="32"/>
        <v>-5</v>
      </c>
      <c r="K121" s="12">
        <f t="shared" si="32"/>
        <v>-6</v>
      </c>
      <c r="L121" s="12">
        <f t="shared" si="32"/>
        <v>-7</v>
      </c>
      <c r="M121" s="12">
        <f t="shared" si="32"/>
        <v>-8</v>
      </c>
      <c r="N121" s="12">
        <f t="shared" si="32"/>
        <v>-9</v>
      </c>
      <c r="O121" s="12">
        <f t="shared" si="32"/>
        <v>-10</v>
      </c>
      <c r="P121" s="12">
        <f t="shared" si="32"/>
        <v>-11</v>
      </c>
      <c r="Q121" s="12">
        <f t="shared" si="32"/>
        <v>-12</v>
      </c>
      <c r="R121" s="12">
        <f t="shared" si="32"/>
        <v>-13</v>
      </c>
      <c r="S121" s="12">
        <f t="shared" si="32"/>
        <v>-14</v>
      </c>
      <c r="T121" s="12"/>
      <c r="U121" s="12"/>
      <c r="V121" s="12"/>
    </row>
    <row r="122" spans="1:22">
      <c r="A122" s="43"/>
      <c r="B122" s="44"/>
      <c r="C122" s="6"/>
      <c r="E122" s="22"/>
      <c r="F122" s="36"/>
      <c r="G122" s="36"/>
      <c r="H122" s="16">
        <f t="shared" ref="H122:I122" ca="1" si="35">MATCH(VALUE(LEFT(H120,4)),OFFSET(MP_BV_WP,-1,0,1,),0)</f>
        <v>6</v>
      </c>
      <c r="I122" s="16">
        <f t="shared" ca="1" si="35"/>
        <v>7</v>
      </c>
      <c r="J122" s="16">
        <f t="shared" ref="J122:S122" ca="1" si="36">MATCH(VALUE(LEFT(J120,4)),OFFSET(MP_BV_WP,-1,0,1,),0)</f>
        <v>8</v>
      </c>
      <c r="K122" s="16">
        <f t="shared" ca="1" si="36"/>
        <v>9</v>
      </c>
      <c r="L122" s="16">
        <f t="shared" ca="1" si="36"/>
        <v>10</v>
      </c>
      <c r="M122" s="16">
        <f t="shared" ca="1" si="36"/>
        <v>11</v>
      </c>
      <c r="N122" s="16">
        <f t="shared" ca="1" si="36"/>
        <v>12</v>
      </c>
      <c r="O122" s="16">
        <f t="shared" ca="1" si="36"/>
        <v>13</v>
      </c>
      <c r="P122" s="16">
        <f t="shared" ca="1" si="36"/>
        <v>14</v>
      </c>
      <c r="Q122" s="16">
        <f t="shared" ca="1" si="36"/>
        <v>15</v>
      </c>
      <c r="R122" s="16">
        <f t="shared" ca="1" si="36"/>
        <v>16</v>
      </c>
      <c r="S122" s="16">
        <f t="shared" ca="1" si="36"/>
        <v>17</v>
      </c>
      <c r="T122" s="52"/>
      <c r="U122" s="52"/>
      <c r="V122" s="52"/>
    </row>
    <row r="123" spans="1:22">
      <c r="A123" s="51" t="str">
        <f t="shared" ref="A123:A167" si="37">A13</f>
        <v>ATO</v>
      </c>
      <c r="B123" s="46">
        <f t="shared" ref="B123:B167" ca="1" si="38">MATCH(A123,OFFSET(MP_BV_WP,0,0,,1),0)</f>
        <v>9</v>
      </c>
      <c r="C123" s="1">
        <f ca="1">IF(ISERROR(D123),"",IF(D123="","",MAX($C$121:C122)+1))</f>
        <v>1</v>
      </c>
      <c r="D123" t="str">
        <f t="shared" ref="D123:D167" ca="1" si="39">D13</f>
        <v>Atmos Energy</v>
      </c>
      <c r="E123" s="22"/>
      <c r="F123" s="63">
        <f ca="1">AVERAGE(G123:R123)</f>
        <v>1.4768368662393312</v>
      </c>
      <c r="G123" s="63">
        <f t="shared" ref="G123:G167" si="40">IFERROR(IF(VLOOKUP(A123,LUCurYr,14,FALSE)=0,"",VLOOKUP(A123,LUCurYr,14,FALSE)),"N/A")</f>
        <v>2.1991814461118691</v>
      </c>
      <c r="H123" s="63">
        <f ca="1">IFERROR(VLOOKUP($A123,LASTYR,'2016'!$M$3,FALSE),"N/A")</f>
        <v>2.1099306743495099</v>
      </c>
      <c r="I123" s="63">
        <f t="shared" ref="I123:R138" ca="1" si="41">IFERROR(IF(INDEX(MP_BV_WP,$B123,I$122)=0,"N/A",INDEX(MP_BV_WP,$B123,I$122)),"N/A")</f>
        <v>1.7177752366431611</v>
      </c>
      <c r="J123" s="63">
        <f t="shared" ca="1" si="41"/>
        <v>1.5493933578375567</v>
      </c>
      <c r="K123" s="63">
        <f t="shared" ca="1" si="41"/>
        <v>1.3939021391689206</v>
      </c>
      <c r="L123" s="63">
        <f t="shared" ca="1" si="41"/>
        <v>1.2795287637698898</v>
      </c>
      <c r="M123" s="63">
        <f t="shared" ca="1" si="41"/>
        <v>1.2988229642085034</v>
      </c>
      <c r="N123" s="63">
        <f t="shared" ca="1" si="41"/>
        <v>1.1810016556291392</v>
      </c>
      <c r="O123" s="63">
        <f t="shared" ca="1" si="41"/>
        <v>1.0502147200136061</v>
      </c>
      <c r="P123" s="63">
        <f t="shared" ca="1" si="41"/>
        <v>1.2021149506658999</v>
      </c>
      <c r="Q123" s="63">
        <f t="shared" ca="1" si="41"/>
        <v>1.3987094428792148</v>
      </c>
      <c r="R123" s="63">
        <f t="shared" ca="1" si="41"/>
        <v>1.3414670435947031</v>
      </c>
      <c r="S123" s="63"/>
      <c r="T123" s="17"/>
      <c r="U123" s="17"/>
      <c r="V123" s="17"/>
    </row>
    <row r="124" spans="1:22">
      <c r="A124" s="51" t="str">
        <f t="shared" si="37"/>
        <v>CPK</v>
      </c>
      <c r="B124" s="46">
        <f t="shared" ca="1" si="38"/>
        <v>16</v>
      </c>
      <c r="C124" s="1">
        <f ca="1">IF(ISERROR(D124),"",IF(D124="","",MAX($C$121:C123)+1))</f>
        <v>2</v>
      </c>
      <c r="D124" t="str">
        <f t="shared" ca="1" si="39"/>
        <v>Chesapeake Utilities</v>
      </c>
      <c r="E124" s="22"/>
      <c r="F124" s="63">
        <f t="shared" ref="F124:F167" ca="1" si="42">AVERAGE(G124:R124)</f>
        <v>1.8498164928402581</v>
      </c>
      <c r="G124" s="63">
        <f t="shared" si="40"/>
        <v>2.4124579124579126</v>
      </c>
      <c r="H124" s="63">
        <f ca="1">IFERROR(VLOOKUP($A124,LASTYR,'2016'!$M$3,FALSE),"N/A")</f>
        <v>2.2760498519790944</v>
      </c>
      <c r="I124" s="63">
        <f t="shared" ca="1" si="41"/>
        <v>2.1877371764806206</v>
      </c>
      <c r="J124" s="63">
        <f t="shared" ca="1" si="41"/>
        <v>2.1239191683668515</v>
      </c>
      <c r="K124" s="63">
        <f t="shared" ca="1" si="41"/>
        <v>1.831034125090758</v>
      </c>
      <c r="L124" s="63">
        <f t="shared" ca="1" si="41"/>
        <v>1.6558011669658885</v>
      </c>
      <c r="M124" s="63">
        <f t="shared" ca="1" si="41"/>
        <v>1.6144951722493743</v>
      </c>
      <c r="N124" s="63">
        <f t="shared" ca="1" si="41"/>
        <v>1.403700429401364</v>
      </c>
      <c r="O124" s="63">
        <f t="shared" ca="1" si="41"/>
        <v>1.3671659837442065</v>
      </c>
      <c r="P124" s="63">
        <f t="shared" ca="1" si="41"/>
        <v>1.6393742719254452</v>
      </c>
      <c r="Q124" s="63">
        <f t="shared" ca="1" si="41"/>
        <v>1.8378677095732019</v>
      </c>
      <c r="R124" s="63">
        <f t="shared" ca="1" si="41"/>
        <v>1.8481949458483755</v>
      </c>
      <c r="S124" s="63"/>
      <c r="T124" s="17"/>
      <c r="U124" s="17"/>
      <c r="V124" s="17"/>
    </row>
    <row r="125" spans="1:22">
      <c r="A125" s="51" t="str">
        <f t="shared" si="37"/>
        <v>NJR</v>
      </c>
      <c r="B125" s="46">
        <f t="shared" ca="1" si="38"/>
        <v>42</v>
      </c>
      <c r="C125" s="1">
        <f ca="1">IF(ISERROR(D125),"",IF(D125="","",MAX($C$121:C124)+1))</f>
        <v>3</v>
      </c>
      <c r="D125" t="str">
        <f t="shared" ca="1" si="39"/>
        <v>New Jersey Resources</v>
      </c>
      <c r="E125" s="22"/>
      <c r="F125" s="63">
        <f t="shared" ca="1" si="42"/>
        <v>2.2220106679881737</v>
      </c>
      <c r="G125" s="63">
        <f t="shared" si="40"/>
        <v>2.7177700348432055</v>
      </c>
      <c r="H125" s="63">
        <f ca="1">IFERROR(VLOOKUP($A125,LASTYR,'2016'!$M$3,FALSE),"N/A")</f>
        <v>2.5188102775528236</v>
      </c>
      <c r="I125" s="63">
        <f t="shared" ca="1" si="41"/>
        <v>2.2755675259715278</v>
      </c>
      <c r="J125" s="63">
        <f t="shared" ca="1" si="41"/>
        <v>2.1266230936819173</v>
      </c>
      <c r="K125" s="63">
        <f t="shared" ca="1" si="41"/>
        <v>2.0483522673927332</v>
      </c>
      <c r="L125" s="63">
        <f t="shared" ca="1" si="41"/>
        <v>2.3270741912440047</v>
      </c>
      <c r="M125" s="63">
        <f t="shared" ca="1" si="41"/>
        <v>2.3079551521623065</v>
      </c>
      <c r="N125" s="63">
        <f t="shared" ca="1" si="41"/>
        <v>2.0919409761634506</v>
      </c>
      <c r="O125" s="63">
        <f t="shared" ca="1" si="41"/>
        <v>2.159652719160738</v>
      </c>
      <c r="P125" s="63">
        <f t="shared" ca="1" si="41"/>
        <v>1.9173802360564685</v>
      </c>
      <c r="Q125" s="63">
        <f t="shared" ca="1" si="41"/>
        <v>2.1672689726381003</v>
      </c>
      <c r="R125" s="63">
        <f t="shared" ca="1" si="41"/>
        <v>2.0057325689908012</v>
      </c>
      <c r="S125" s="63"/>
      <c r="T125" s="17"/>
      <c r="U125" s="17"/>
      <c r="V125" s="17"/>
    </row>
    <row r="126" spans="1:22">
      <c r="A126" s="51" t="str">
        <f t="shared" si="37"/>
        <v>NI</v>
      </c>
      <c r="B126" s="46">
        <f t="shared" ca="1" si="38"/>
        <v>44</v>
      </c>
      <c r="C126" s="1">
        <f ca="1">IF(ISERROR(D126),"",IF(D126="","",MAX($C$121:C125)+1))</f>
        <v>4</v>
      </c>
      <c r="D126" t="str">
        <f t="shared" ca="1" si="39"/>
        <v>NiSource Inc.</v>
      </c>
      <c r="E126" s="22"/>
      <c r="F126" s="63">
        <f t="shared" ca="1" si="42"/>
        <v>1.3878621381099878</v>
      </c>
      <c r="G126" s="63">
        <f t="shared" si="40"/>
        <v>1.924901185770751</v>
      </c>
      <c r="H126" s="63">
        <f ca="1">IFERROR(VLOOKUP($A126,LASTYR,'2016'!$M$3,FALSE),"N/A")</f>
        <v>1.840212732179711</v>
      </c>
      <c r="I126" s="63">
        <f t="shared" ca="1" si="41"/>
        <v>1.9531717037529059</v>
      </c>
      <c r="J126" s="63">
        <f t="shared" ca="1" si="41"/>
        <v>1.943654042988741</v>
      </c>
      <c r="K126" s="63">
        <f t="shared" ca="1" si="41"/>
        <v>1.5801673149677626</v>
      </c>
      <c r="L126" s="63">
        <f t="shared" ca="1" si="41"/>
        <v>1.3676330931232892</v>
      </c>
      <c r="M126" s="63">
        <f t="shared" ca="1" si="41"/>
        <v>1.1479954827780914</v>
      </c>
      <c r="N126" s="63">
        <f t="shared" ca="1" si="41"/>
        <v>0.92171101151642376</v>
      </c>
      <c r="O126" s="63">
        <f t="shared" ca="1" si="41"/>
        <v>0.68660546273592982</v>
      </c>
      <c r="P126" s="63">
        <f t="shared" ca="1" si="41"/>
        <v>0.93765224451919738</v>
      </c>
      <c r="Q126" s="63">
        <f t="shared" ca="1" si="41"/>
        <v>1.1584575502268308</v>
      </c>
      <c r="R126" s="63">
        <f t="shared" ca="1" si="41"/>
        <v>1.1921838327602203</v>
      </c>
      <c r="S126" s="63"/>
      <c r="T126" s="17"/>
      <c r="U126" s="17"/>
      <c r="V126" s="17"/>
    </row>
    <row r="127" spans="1:22">
      <c r="A127" s="51" t="str">
        <f t="shared" si="37"/>
        <v>NWN</v>
      </c>
      <c r="B127" s="46">
        <f t="shared" ca="1" si="38"/>
        <v>45</v>
      </c>
      <c r="C127" s="1">
        <f ca="1">IF(ISERROR(D127),"",IF(D127="","",MAX($C$121:C126)+1))</f>
        <v>5</v>
      </c>
      <c r="D127" t="str">
        <f t="shared" ca="1" si="39"/>
        <v>Northwest Nat. Gas</v>
      </c>
      <c r="E127" s="22"/>
      <c r="F127" s="63">
        <f t="shared" ca="1" si="42"/>
        <v>1.7812392387618459</v>
      </c>
      <c r="G127" s="63">
        <f t="shared" si="40"/>
        <v>2.0450751252086814</v>
      </c>
      <c r="H127" s="63">
        <f ca="1">IFERROR(VLOOKUP($A127,LASTYR,'2016'!$M$3,FALSE),"N/A")</f>
        <v>1.921362687672524</v>
      </c>
      <c r="I127" s="63">
        <f t="shared" ca="1" si="41"/>
        <v>1.6307638279192274</v>
      </c>
      <c r="J127" s="63">
        <f t="shared" ca="1" si="41"/>
        <v>1.5891263378729155</v>
      </c>
      <c r="K127" s="63">
        <f t="shared" ca="1" si="41"/>
        <v>1.5631976953546993</v>
      </c>
      <c r="L127" s="63">
        <f t="shared" ca="1" si="41"/>
        <v>1.7180993647413065</v>
      </c>
      <c r="M127" s="63">
        <f t="shared" ca="1" si="41"/>
        <v>1.7021420011983224</v>
      </c>
      <c r="N127" s="63">
        <f t="shared" ca="1" si="41"/>
        <v>1.7765337423312886</v>
      </c>
      <c r="O127" s="63">
        <f t="shared" ca="1" si="41"/>
        <v>1.7259536154990152</v>
      </c>
      <c r="P127" s="63">
        <f t="shared" ca="1" si="41"/>
        <v>1.9591328919067101</v>
      </c>
      <c r="Q127" s="63">
        <f t="shared" ca="1" si="41"/>
        <v>2.0512387887398988</v>
      </c>
      <c r="R127" s="63">
        <f t="shared" ca="1" si="41"/>
        <v>1.6922447866975603</v>
      </c>
      <c r="S127" s="63"/>
      <c r="T127" s="17"/>
      <c r="U127" s="17"/>
      <c r="V127" s="17"/>
    </row>
    <row r="128" spans="1:22">
      <c r="A128" s="51" t="str">
        <f t="shared" si="37"/>
        <v>OGS</v>
      </c>
      <c r="B128" s="46">
        <f t="shared" ca="1" si="38"/>
        <v>48</v>
      </c>
      <c r="C128" s="1">
        <f ca="1">IF(ISERROR(D128),"",IF(D128="","",MAX($C$121:C127)+1))</f>
        <v>6</v>
      </c>
      <c r="D128" t="str">
        <f t="shared" ca="1" si="39"/>
        <v>ONE Gas Inc.</v>
      </c>
      <c r="E128" s="22"/>
      <c r="F128" s="63">
        <f t="shared" ca="1" si="42"/>
        <v>1.4504821088975381</v>
      </c>
      <c r="G128" s="63">
        <f t="shared" si="40"/>
        <v>1.8042328042328044</v>
      </c>
      <c r="H128" s="63">
        <f ca="1">IFERROR(VLOOKUP($A128,LASTYR,'2016'!$M$3,FALSE),"N/A")</f>
        <v>1.6683833097987097</v>
      </c>
      <c r="I128" s="63">
        <f t="shared" ca="1" si="41"/>
        <v>1.2579812139958568</v>
      </c>
      <c r="J128" s="63">
        <f t="shared" ca="1" si="41"/>
        <v>1.0713311075627812</v>
      </c>
      <c r="K128" s="63" t="str">
        <f t="shared" ca="1" si="41"/>
        <v>N/A</v>
      </c>
      <c r="L128" s="63" t="str">
        <f t="shared" ca="1" si="41"/>
        <v>N/A</v>
      </c>
      <c r="M128" s="63" t="str">
        <f t="shared" ca="1" si="41"/>
        <v>N/A</v>
      </c>
      <c r="N128" s="63" t="str">
        <f t="shared" ca="1" si="41"/>
        <v>N/A</v>
      </c>
      <c r="O128" s="63" t="str">
        <f t="shared" ca="1" si="41"/>
        <v>N/A</v>
      </c>
      <c r="P128" s="63" t="str">
        <f t="shared" ca="1" si="41"/>
        <v>N/A</v>
      </c>
      <c r="Q128" s="63" t="str">
        <f t="shared" ca="1" si="41"/>
        <v>N/A</v>
      </c>
      <c r="R128" s="63" t="str">
        <f t="shared" ca="1" si="41"/>
        <v>N/A</v>
      </c>
      <c r="S128" s="63"/>
      <c r="T128" s="17"/>
      <c r="U128" s="17"/>
      <c r="V128" s="17"/>
    </row>
    <row r="129" spans="1:22">
      <c r="A129" s="51" t="str">
        <f t="shared" si="37"/>
        <v>SJI</v>
      </c>
      <c r="B129" s="46">
        <f t="shared" ca="1" si="38"/>
        <v>61</v>
      </c>
      <c r="C129" s="1">
        <f ca="1">IF(ISERROR(D129),"",IF(D129="","",MAX($C$121:C128)+1))</f>
        <v>7</v>
      </c>
      <c r="D129" t="str">
        <f t="shared" ca="1" si="39"/>
        <v>South Jersey Inds.</v>
      </c>
      <c r="E129" s="22"/>
      <c r="F129" s="63">
        <f t="shared" ca="1" si="42"/>
        <v>2.104721243227635</v>
      </c>
      <c r="G129" s="63">
        <f t="shared" si="40"/>
        <v>2.0173410404624277</v>
      </c>
      <c r="H129" s="63">
        <f ca="1">IFERROR(VLOOKUP($A129,LASTYR,'2016'!$M$3,FALSE),"N/A")</f>
        <v>1.7937858331792123</v>
      </c>
      <c r="I129" s="63">
        <f t="shared" ca="1" si="41"/>
        <v>1.7678522571819426</v>
      </c>
      <c r="J129" s="63">
        <f t="shared" ca="1" si="41"/>
        <v>2.0683766947599853</v>
      </c>
      <c r="K129" s="63">
        <f t="shared" ca="1" si="41"/>
        <v>2.2658438167576551</v>
      </c>
      <c r="L129" s="63">
        <f t="shared" ca="1" si="41"/>
        <v>2.2062086163900592</v>
      </c>
      <c r="M129" s="63">
        <f t="shared" ca="1" si="41"/>
        <v>2.5855358698809177</v>
      </c>
      <c r="N129" s="63">
        <f t="shared" ca="1" si="41"/>
        <v>2.3779081953468877</v>
      </c>
      <c r="O129" s="63">
        <f t="shared" ca="1" si="41"/>
        <v>1.9509975882481914</v>
      </c>
      <c r="P129" s="63">
        <f t="shared" ca="1" si="41"/>
        <v>2.0820447726748208</v>
      </c>
      <c r="Q129" s="63">
        <f t="shared" ca="1" si="41"/>
        <v>2.2099950763170852</v>
      </c>
      <c r="R129" s="63">
        <f t="shared" ca="1" si="41"/>
        <v>1.9307651575324332</v>
      </c>
      <c r="S129" s="63"/>
      <c r="T129" s="17"/>
      <c r="U129" s="17"/>
      <c r="V129" s="17"/>
    </row>
    <row r="130" spans="1:22">
      <c r="A130" s="51" t="str">
        <f t="shared" si="37"/>
        <v>SWX</v>
      </c>
      <c r="B130" s="46">
        <f t="shared" ca="1" si="38"/>
        <v>63</v>
      </c>
      <c r="C130" s="1">
        <f ca="1">IF(ISERROR(D130),"",IF(D130="","",MAX($C$121:C129)+1))</f>
        <v>8</v>
      </c>
      <c r="D130" t="str">
        <f t="shared" ca="1" si="39"/>
        <v>Southwest Gas</v>
      </c>
      <c r="E130" s="22"/>
      <c r="F130" s="63">
        <f t="shared" ca="1" si="42"/>
        <v>1.527658661074937</v>
      </c>
      <c r="G130" s="63">
        <f t="shared" si="40"/>
        <v>2.1186666666666665</v>
      </c>
      <c r="H130" s="63">
        <f ca="1">IFERROR(VLOOKUP($A130,LASTYR,'2016'!$M$3,FALSE),"N/A")</f>
        <v>1.9644916366957812</v>
      </c>
      <c r="I130" s="63">
        <f t="shared" ca="1" si="41"/>
        <v>1.6815436341456156</v>
      </c>
      <c r="J130" s="63">
        <f t="shared" ca="1" si="41"/>
        <v>1.6827558143174635</v>
      </c>
      <c r="K130" s="63">
        <f t="shared" ca="1" si="41"/>
        <v>1.6084088223710122</v>
      </c>
      <c r="L130" s="63">
        <f t="shared" ca="1" si="41"/>
        <v>1.5132075471698112</v>
      </c>
      <c r="M130" s="63">
        <f t="shared" ca="1" si="41"/>
        <v>1.4300558952620326</v>
      </c>
      <c r="N130" s="63">
        <f t="shared" ca="1" si="41"/>
        <v>1.2379465157134493</v>
      </c>
      <c r="O130" s="63">
        <f t="shared" ca="1" si="41"/>
        <v>0.9682909864571827</v>
      </c>
      <c r="P130" s="63">
        <f t="shared" ca="1" si="41"/>
        <v>1.1996593570364062</v>
      </c>
      <c r="Q130" s="63">
        <f t="shared" ca="1" si="41"/>
        <v>1.4646649260226283</v>
      </c>
      <c r="R130" s="63">
        <f t="shared" ca="1" si="41"/>
        <v>1.4622121310411937</v>
      </c>
      <c r="S130" s="63"/>
      <c r="T130" s="17"/>
      <c r="U130" s="17"/>
      <c r="V130" s="17"/>
    </row>
    <row r="131" spans="1:22">
      <c r="A131" s="51" t="str">
        <f t="shared" si="37"/>
        <v>SR</v>
      </c>
      <c r="B131" s="46">
        <f t="shared" ca="1" si="38"/>
        <v>64</v>
      </c>
      <c r="C131" s="1">
        <f ca="1">IF(ISERROR(D131),"",IF(D131="","",MAX($C$121:C130)+1))</f>
        <v>9</v>
      </c>
      <c r="D131" t="str">
        <f t="shared" ca="1" si="39"/>
        <v>Spire Inc.</v>
      </c>
      <c r="E131" s="22"/>
      <c r="F131" s="63">
        <f t="shared" ca="1" si="42"/>
        <v>1.5518534803371331</v>
      </c>
      <c r="G131" s="63">
        <f t="shared" si="40"/>
        <v>1.7601010101010097</v>
      </c>
      <c r="H131" s="63">
        <f ca="1">IFERROR(VLOOKUP($A131,LASTYR,'2016'!$M$3,FALSE),"N/A")</f>
        <v>1.6407197996540419</v>
      </c>
      <c r="I131" s="63">
        <f t="shared" ca="1" si="41"/>
        <v>1.4353647784879877</v>
      </c>
      <c r="J131" s="63">
        <f t="shared" ca="1" si="41"/>
        <v>1.3319496135127398</v>
      </c>
      <c r="K131" s="63">
        <f t="shared" ca="1" si="41"/>
        <v>1.3416669270914716</v>
      </c>
      <c r="L131" s="63">
        <f t="shared" ca="1" si="41"/>
        <v>1.5124840668816075</v>
      </c>
      <c r="M131" s="63">
        <f t="shared" ca="1" si="41"/>
        <v>1.4598200312989047</v>
      </c>
      <c r="N131" s="63">
        <f t="shared" ca="1" si="41"/>
        <v>1.3895941727367325</v>
      </c>
      <c r="O131" s="63">
        <f t="shared" ca="1" si="41"/>
        <v>1.6762852120224669</v>
      </c>
      <c r="P131" s="63">
        <f t="shared" ca="1" si="41"/>
        <v>1.7083954970839548</v>
      </c>
      <c r="Q131" s="63">
        <f t="shared" ca="1" si="41"/>
        <v>1.6559025672124521</v>
      </c>
      <c r="R131" s="63">
        <f t="shared" ca="1" si="41"/>
        <v>1.7099580879622263</v>
      </c>
      <c r="S131" s="63"/>
      <c r="T131" s="17"/>
      <c r="U131" s="17"/>
      <c r="V131" s="17"/>
    </row>
    <row r="132" spans="1:22">
      <c r="A132" s="51" t="str">
        <f t="shared" si="37"/>
        <v>UGI</v>
      </c>
      <c r="B132" s="46">
        <f t="shared" ca="1" si="38"/>
        <v>66</v>
      </c>
      <c r="C132" s="1">
        <f ca="1">IF(ISERROR(D132),"",IF(D132="","",MAX($C$121:C131)+1))</f>
        <v>10</v>
      </c>
      <c r="D132" t="str">
        <f t="shared" ca="1" si="39"/>
        <v>UGI Corp.</v>
      </c>
      <c r="E132" s="22"/>
      <c r="F132" s="63">
        <f t="shared" ca="1" si="42"/>
        <v>1.9957624838393777</v>
      </c>
      <c r="G132" s="63">
        <f t="shared" si="40"/>
        <v>2.8034682080924855</v>
      </c>
      <c r="H132" s="63">
        <f ca="1">IFERROR(VLOOKUP($A132,LASTYR,'2016'!$M$3,FALSE),"N/A")</f>
        <v>2.4064986334649254</v>
      </c>
      <c r="I132" s="63">
        <f t="shared" ca="1" si="41"/>
        <v>2.2897106109324756</v>
      </c>
      <c r="J132" s="63">
        <f t="shared" ca="1" si="41"/>
        <v>1.9712875146160842</v>
      </c>
      <c r="K132" s="63">
        <f t="shared" ca="1" si="41"/>
        <v>1.6857260386672153</v>
      </c>
      <c r="L132" s="63">
        <f t="shared" ca="1" si="41"/>
        <v>1.4543871602695131</v>
      </c>
      <c r="M132" s="63">
        <f t="shared" ca="1" si="41"/>
        <v>1.7501908558826025</v>
      </c>
      <c r="N132" s="63">
        <f t="shared" ca="1" si="41"/>
        <v>1.5532029912604739</v>
      </c>
      <c r="O132" s="63">
        <f t="shared" ca="1" si="41"/>
        <v>1.6565057283142388</v>
      </c>
      <c r="P132" s="63">
        <f t="shared" ca="1" si="41"/>
        <v>2.0057954545454542</v>
      </c>
      <c r="Q132" s="63">
        <f t="shared" ca="1" si="41"/>
        <v>2.1626527895437495</v>
      </c>
      <c r="R132" s="63">
        <f t="shared" ca="1" si="41"/>
        <v>2.2097238204833141</v>
      </c>
      <c r="S132" s="63"/>
      <c r="T132" s="17"/>
      <c r="U132" s="17"/>
      <c r="V132" s="17"/>
    </row>
    <row r="133" spans="1:22">
      <c r="A133" s="51" t="str">
        <f t="shared" si="37"/>
        <v>WGL</v>
      </c>
      <c r="B133" s="46">
        <f t="shared" ca="1" si="38"/>
        <v>73</v>
      </c>
      <c r="C133" s="1">
        <f ca="1">IF(ISERROR(D133),"",IF(D133="","",MAX($C$121:C132)+1))</f>
        <v>11</v>
      </c>
      <c r="D133" t="str">
        <f t="shared" ca="1" si="39"/>
        <v>WGL Holdings Inc.</v>
      </c>
      <c r="E133" s="22"/>
      <c r="F133" s="63">
        <f t="shared" ca="1" si="42"/>
        <v>1.8089499657587018</v>
      </c>
      <c r="G133" s="63">
        <f t="shared" si="40"/>
        <v>2.6468646864686467</v>
      </c>
      <c r="H133" s="63">
        <f ca="1">IFERROR(VLOOKUP($A133,LASTYR,'2016'!$M$3,FALSE),"N/A")</f>
        <v>2.448203749346479</v>
      </c>
      <c r="I133" s="63">
        <f t="shared" ca="1" si="41"/>
        <v>2.1502022183958678</v>
      </c>
      <c r="J133" s="63">
        <f t="shared" ca="1" si="41"/>
        <v>1.6859740906826108</v>
      </c>
      <c r="K133" s="63">
        <f t="shared" ca="1" si="41"/>
        <v>1.7094589113328467</v>
      </c>
      <c r="L133" s="63">
        <f t="shared" ca="1" si="41"/>
        <v>1.6606063065622336</v>
      </c>
      <c r="M133" s="63">
        <f t="shared" ca="1" si="41"/>
        <v>1.6255054697143831</v>
      </c>
      <c r="N133" s="63">
        <f t="shared" ca="1" si="41"/>
        <v>1.5030233984751555</v>
      </c>
      <c r="O133" s="63">
        <f t="shared" ca="1" si="41"/>
        <v>1.4543876478918278</v>
      </c>
      <c r="P133" s="63">
        <f t="shared" ca="1" si="41"/>
        <v>1.5883446106928427</v>
      </c>
      <c r="Q133" s="63">
        <f t="shared" ca="1" si="41"/>
        <v>1.6442472521932037</v>
      </c>
      <c r="R133" s="63">
        <f t="shared" ca="1" si="41"/>
        <v>1.5905812473483241</v>
      </c>
      <c r="S133" s="63"/>
      <c r="T133" s="17"/>
      <c r="U133" s="17"/>
      <c r="V133" s="17"/>
    </row>
    <row r="134" spans="1:22" hidden="1">
      <c r="A134" s="51">
        <f t="shared" si="37"/>
        <v>0</v>
      </c>
      <c r="B134" s="46" t="e">
        <f t="shared" ca="1" si="38"/>
        <v>#N/A</v>
      </c>
      <c r="C134" s="1" t="str">
        <f>IF(ISERROR(D134),"",IF(D134="","",MAX($C$121:C133)+1))</f>
        <v/>
      </c>
      <c r="D134" t="e">
        <f t="shared" si="39"/>
        <v>#N/A</v>
      </c>
      <c r="E134" s="22"/>
      <c r="F134" s="63" t="e">
        <f t="shared" ca="1" si="42"/>
        <v>#DIV/0!</v>
      </c>
      <c r="G134" s="63" t="str">
        <f t="shared" si="40"/>
        <v>N/A</v>
      </c>
      <c r="H134" s="63" t="str">
        <f ca="1">IFERROR(VLOOKUP($A134,LASTYR,'2016'!$M$3,FALSE),"N/A")</f>
        <v>N/A</v>
      </c>
      <c r="I134" s="63" t="str">
        <f t="shared" ca="1" si="41"/>
        <v>N/A</v>
      </c>
      <c r="J134" s="63" t="str">
        <f t="shared" ca="1" si="41"/>
        <v>N/A</v>
      </c>
      <c r="K134" s="63" t="str">
        <f t="shared" ca="1" si="41"/>
        <v>N/A</v>
      </c>
      <c r="L134" s="63" t="str">
        <f t="shared" ca="1" si="41"/>
        <v>N/A</v>
      </c>
      <c r="M134" s="63" t="str">
        <f t="shared" ca="1" si="41"/>
        <v>N/A</v>
      </c>
      <c r="N134" s="63" t="str">
        <f t="shared" ca="1" si="41"/>
        <v>N/A</v>
      </c>
      <c r="O134" s="63" t="str">
        <f t="shared" ca="1" si="41"/>
        <v>N/A</v>
      </c>
      <c r="P134" s="63" t="str">
        <f t="shared" ca="1" si="41"/>
        <v>N/A</v>
      </c>
      <c r="Q134" s="63" t="str">
        <f t="shared" ca="1" si="41"/>
        <v>N/A</v>
      </c>
      <c r="R134" s="63" t="str">
        <f t="shared" ca="1" si="41"/>
        <v>N/A</v>
      </c>
      <c r="S134" s="63"/>
      <c r="T134" s="17"/>
      <c r="U134" s="17"/>
      <c r="V134" s="17"/>
    </row>
    <row r="135" spans="1:22" hidden="1">
      <c r="A135" s="51">
        <f t="shared" si="37"/>
        <v>0</v>
      </c>
      <c r="B135" s="46" t="e">
        <f t="shared" ca="1" si="38"/>
        <v>#N/A</v>
      </c>
      <c r="C135" s="1" t="str">
        <f>IF(ISERROR(D135),"",IF(D135="","",MAX($C$121:C134)+1))</f>
        <v/>
      </c>
      <c r="D135" t="e">
        <f t="shared" si="39"/>
        <v>#N/A</v>
      </c>
      <c r="E135" s="22"/>
      <c r="F135" s="63" t="e">
        <f t="shared" ca="1" si="42"/>
        <v>#DIV/0!</v>
      </c>
      <c r="G135" s="63" t="str">
        <f t="shared" si="40"/>
        <v>N/A</v>
      </c>
      <c r="H135" s="63" t="str">
        <f ca="1">IFERROR(VLOOKUP($A135,LASTYR,'2016'!$M$3,FALSE),"N/A")</f>
        <v>N/A</v>
      </c>
      <c r="I135" s="63" t="str">
        <f t="shared" ca="1" si="41"/>
        <v>N/A</v>
      </c>
      <c r="J135" s="63" t="str">
        <f t="shared" ca="1" si="41"/>
        <v>N/A</v>
      </c>
      <c r="K135" s="63" t="str">
        <f t="shared" ca="1" si="41"/>
        <v>N/A</v>
      </c>
      <c r="L135" s="63" t="str">
        <f t="shared" ca="1" si="41"/>
        <v>N/A</v>
      </c>
      <c r="M135" s="63" t="str">
        <f t="shared" ca="1" si="41"/>
        <v>N/A</v>
      </c>
      <c r="N135" s="63" t="str">
        <f t="shared" ca="1" si="41"/>
        <v>N/A</v>
      </c>
      <c r="O135" s="63" t="str">
        <f t="shared" ca="1" si="41"/>
        <v>N/A</v>
      </c>
      <c r="P135" s="63" t="str">
        <f t="shared" ca="1" si="41"/>
        <v>N/A</v>
      </c>
      <c r="Q135" s="63" t="str">
        <f t="shared" ca="1" si="41"/>
        <v>N/A</v>
      </c>
      <c r="R135" s="63" t="str">
        <f t="shared" ca="1" si="41"/>
        <v>N/A</v>
      </c>
      <c r="S135" s="63"/>
      <c r="T135" s="17"/>
      <c r="U135" s="17"/>
      <c r="V135" s="17"/>
    </row>
    <row r="136" spans="1:22" hidden="1">
      <c r="A136" s="51">
        <f t="shared" si="37"/>
        <v>0</v>
      </c>
      <c r="B136" s="46" t="e">
        <f t="shared" ca="1" si="38"/>
        <v>#N/A</v>
      </c>
      <c r="C136" s="1" t="str">
        <f>IF(ISERROR(D136),"",IF(D136="","",MAX($C$121:C135)+1))</f>
        <v/>
      </c>
      <c r="D136" t="e">
        <f t="shared" si="39"/>
        <v>#N/A</v>
      </c>
      <c r="E136" s="22"/>
      <c r="F136" s="63" t="e">
        <f t="shared" ca="1" si="42"/>
        <v>#DIV/0!</v>
      </c>
      <c r="G136" s="63" t="str">
        <f t="shared" si="40"/>
        <v>N/A</v>
      </c>
      <c r="H136" s="63" t="str">
        <f ca="1">IFERROR(VLOOKUP($A136,LASTYR,'2016'!$M$3,FALSE),"N/A")</f>
        <v>N/A</v>
      </c>
      <c r="I136" s="63" t="str">
        <f t="shared" ca="1" si="41"/>
        <v>N/A</v>
      </c>
      <c r="J136" s="63" t="str">
        <f t="shared" ca="1" si="41"/>
        <v>N/A</v>
      </c>
      <c r="K136" s="63" t="str">
        <f t="shared" ca="1" si="41"/>
        <v>N/A</v>
      </c>
      <c r="L136" s="63" t="str">
        <f t="shared" ca="1" si="41"/>
        <v>N/A</v>
      </c>
      <c r="M136" s="63" t="str">
        <f t="shared" ca="1" si="41"/>
        <v>N/A</v>
      </c>
      <c r="N136" s="63" t="str">
        <f t="shared" ca="1" si="41"/>
        <v>N/A</v>
      </c>
      <c r="O136" s="63" t="str">
        <f t="shared" ca="1" si="41"/>
        <v>N/A</v>
      </c>
      <c r="P136" s="63" t="str">
        <f t="shared" ca="1" si="41"/>
        <v>N/A</v>
      </c>
      <c r="Q136" s="63" t="str">
        <f t="shared" ca="1" si="41"/>
        <v>N/A</v>
      </c>
      <c r="R136" s="63" t="str">
        <f t="shared" ca="1" si="41"/>
        <v>N/A</v>
      </c>
      <c r="S136" s="63"/>
      <c r="T136" s="17"/>
      <c r="U136" s="17"/>
      <c r="V136" s="17"/>
    </row>
    <row r="137" spans="1:22" hidden="1">
      <c r="A137" s="51">
        <f t="shared" si="37"/>
        <v>0</v>
      </c>
      <c r="B137" s="46" t="e">
        <f t="shared" ca="1" si="38"/>
        <v>#N/A</v>
      </c>
      <c r="C137" s="1" t="str">
        <f>IF(ISERROR(D137),"",IF(D137="","",MAX($C$121:C136)+1))</f>
        <v/>
      </c>
      <c r="D137" t="e">
        <f t="shared" si="39"/>
        <v>#N/A</v>
      </c>
      <c r="E137" s="22"/>
      <c r="F137" s="63" t="e">
        <f t="shared" ca="1" si="42"/>
        <v>#DIV/0!</v>
      </c>
      <c r="G137" s="63" t="str">
        <f t="shared" si="40"/>
        <v>N/A</v>
      </c>
      <c r="H137" s="63" t="str">
        <f ca="1">IFERROR(VLOOKUP($A137,LASTYR,'2016'!$M$3,FALSE),"N/A")</f>
        <v>N/A</v>
      </c>
      <c r="I137" s="63" t="str">
        <f t="shared" ca="1" si="41"/>
        <v>N/A</v>
      </c>
      <c r="J137" s="63" t="str">
        <f t="shared" ca="1" si="41"/>
        <v>N/A</v>
      </c>
      <c r="K137" s="63" t="str">
        <f t="shared" ca="1" si="41"/>
        <v>N/A</v>
      </c>
      <c r="L137" s="63" t="str">
        <f t="shared" ca="1" si="41"/>
        <v>N/A</v>
      </c>
      <c r="M137" s="63" t="str">
        <f t="shared" ca="1" si="41"/>
        <v>N/A</v>
      </c>
      <c r="N137" s="63" t="str">
        <f t="shared" ca="1" si="41"/>
        <v>N/A</v>
      </c>
      <c r="O137" s="63" t="str">
        <f t="shared" ca="1" si="41"/>
        <v>N/A</v>
      </c>
      <c r="P137" s="63" t="str">
        <f t="shared" ca="1" si="41"/>
        <v>N/A</v>
      </c>
      <c r="Q137" s="63" t="str">
        <f t="shared" ca="1" si="41"/>
        <v>N/A</v>
      </c>
      <c r="R137" s="63" t="str">
        <f t="shared" ca="1" si="41"/>
        <v>N/A</v>
      </c>
      <c r="S137" s="63"/>
      <c r="T137" s="17"/>
      <c r="U137" s="17"/>
      <c r="V137" s="17"/>
    </row>
    <row r="138" spans="1:22" hidden="1">
      <c r="A138" s="51">
        <f t="shared" si="37"/>
        <v>0</v>
      </c>
      <c r="B138" s="46" t="e">
        <f t="shared" ca="1" si="38"/>
        <v>#N/A</v>
      </c>
      <c r="C138" s="1" t="str">
        <f>IF(ISERROR(D138),"",IF(D138="","",MAX($C$121:C137)+1))</f>
        <v/>
      </c>
      <c r="D138" t="e">
        <f t="shared" si="39"/>
        <v>#N/A</v>
      </c>
      <c r="E138" s="22"/>
      <c r="F138" s="63" t="e">
        <f t="shared" ca="1" si="42"/>
        <v>#DIV/0!</v>
      </c>
      <c r="G138" s="63" t="str">
        <f t="shared" si="40"/>
        <v>N/A</v>
      </c>
      <c r="H138" s="63" t="str">
        <f ca="1">IFERROR(VLOOKUP($A138,LASTYR,'2016'!$M$3,FALSE),"N/A")</f>
        <v>N/A</v>
      </c>
      <c r="I138" s="63" t="str">
        <f t="shared" ca="1" si="41"/>
        <v>N/A</v>
      </c>
      <c r="J138" s="63" t="str">
        <f t="shared" ca="1" si="41"/>
        <v>N/A</v>
      </c>
      <c r="K138" s="63" t="str">
        <f t="shared" ca="1" si="41"/>
        <v>N/A</v>
      </c>
      <c r="L138" s="63" t="str">
        <f t="shared" ca="1" si="41"/>
        <v>N/A</v>
      </c>
      <c r="M138" s="63" t="str">
        <f t="shared" ca="1" si="41"/>
        <v>N/A</v>
      </c>
      <c r="N138" s="63" t="str">
        <f t="shared" ca="1" si="41"/>
        <v>N/A</v>
      </c>
      <c r="O138" s="63" t="str">
        <f t="shared" ca="1" si="41"/>
        <v>N/A</v>
      </c>
      <c r="P138" s="63" t="str">
        <f t="shared" ca="1" si="41"/>
        <v>N/A</v>
      </c>
      <c r="Q138" s="63" t="str">
        <f t="shared" ca="1" si="41"/>
        <v>N/A</v>
      </c>
      <c r="R138" s="63" t="str">
        <f t="shared" ca="1" si="41"/>
        <v>N/A</v>
      </c>
      <c r="S138" s="63"/>
      <c r="T138" s="17"/>
      <c r="U138" s="17"/>
      <c r="V138" s="17"/>
    </row>
    <row r="139" spans="1:22" hidden="1">
      <c r="A139" s="51">
        <f t="shared" si="37"/>
        <v>0</v>
      </c>
      <c r="B139" s="46" t="e">
        <f t="shared" ca="1" si="38"/>
        <v>#N/A</v>
      </c>
      <c r="C139" s="1" t="str">
        <f>IF(ISERROR(D139),"",IF(D139="","",MAX($C$121:C138)+1))</f>
        <v/>
      </c>
      <c r="D139" t="e">
        <f t="shared" si="39"/>
        <v>#N/A</v>
      </c>
      <c r="E139" s="22"/>
      <c r="F139" s="63" t="e">
        <f t="shared" ca="1" si="42"/>
        <v>#DIV/0!</v>
      </c>
      <c r="G139" s="63" t="str">
        <f t="shared" si="40"/>
        <v>N/A</v>
      </c>
      <c r="H139" s="63" t="str">
        <f ca="1">IFERROR(VLOOKUP($A139,LASTYR,'2016'!$M$3,FALSE),"N/A")</f>
        <v>N/A</v>
      </c>
      <c r="I139" s="63" t="str">
        <f t="shared" ref="I139:R162" ca="1" si="43">IFERROR(IF(INDEX(MP_BV_WP,$B139,I$122)=0,"N/A",INDEX(MP_BV_WP,$B139,I$122)),"N/A")</f>
        <v>N/A</v>
      </c>
      <c r="J139" s="63" t="str">
        <f t="shared" ca="1" si="43"/>
        <v>N/A</v>
      </c>
      <c r="K139" s="63" t="str">
        <f t="shared" ca="1" si="43"/>
        <v>N/A</v>
      </c>
      <c r="L139" s="63" t="str">
        <f t="shared" ca="1" si="43"/>
        <v>N/A</v>
      </c>
      <c r="M139" s="63" t="str">
        <f t="shared" ca="1" si="43"/>
        <v>N/A</v>
      </c>
      <c r="N139" s="63" t="str">
        <f t="shared" ca="1" si="43"/>
        <v>N/A</v>
      </c>
      <c r="O139" s="63" t="str">
        <f t="shared" ca="1" si="43"/>
        <v>N/A</v>
      </c>
      <c r="P139" s="63" t="str">
        <f t="shared" ca="1" si="43"/>
        <v>N/A</v>
      </c>
      <c r="Q139" s="63" t="str">
        <f t="shared" ca="1" si="43"/>
        <v>N/A</v>
      </c>
      <c r="R139" s="63" t="str">
        <f t="shared" ca="1" si="43"/>
        <v>N/A</v>
      </c>
      <c r="S139" s="63"/>
      <c r="T139" s="17"/>
      <c r="U139" s="17"/>
      <c r="V139" s="17"/>
    </row>
    <row r="140" spans="1:22" hidden="1">
      <c r="A140" s="51">
        <f t="shared" si="37"/>
        <v>0</v>
      </c>
      <c r="B140" s="46" t="e">
        <f t="shared" ca="1" si="38"/>
        <v>#N/A</v>
      </c>
      <c r="C140" s="1" t="str">
        <f>IF(ISERROR(D140),"",IF(D140="","",MAX($C$121:C139)+1))</f>
        <v/>
      </c>
      <c r="D140" t="e">
        <f t="shared" si="39"/>
        <v>#N/A</v>
      </c>
      <c r="E140" s="22"/>
      <c r="F140" s="63" t="e">
        <f t="shared" ca="1" si="42"/>
        <v>#DIV/0!</v>
      </c>
      <c r="G140" s="63" t="str">
        <f t="shared" si="40"/>
        <v>N/A</v>
      </c>
      <c r="H140" s="63" t="str">
        <f ca="1">IFERROR(VLOOKUP($A140,LASTYR,'2016'!$M$3,FALSE),"N/A")</f>
        <v>N/A</v>
      </c>
      <c r="I140" s="63" t="str">
        <f t="shared" ca="1" si="43"/>
        <v>N/A</v>
      </c>
      <c r="J140" s="63" t="str">
        <f t="shared" ca="1" si="43"/>
        <v>N/A</v>
      </c>
      <c r="K140" s="63" t="str">
        <f t="shared" ca="1" si="43"/>
        <v>N/A</v>
      </c>
      <c r="L140" s="63" t="str">
        <f t="shared" ca="1" si="43"/>
        <v>N/A</v>
      </c>
      <c r="M140" s="63" t="str">
        <f t="shared" ca="1" si="43"/>
        <v>N/A</v>
      </c>
      <c r="N140" s="63" t="str">
        <f t="shared" ca="1" si="43"/>
        <v>N/A</v>
      </c>
      <c r="O140" s="63" t="str">
        <f t="shared" ca="1" si="43"/>
        <v>N/A</v>
      </c>
      <c r="P140" s="63" t="str">
        <f t="shared" ca="1" si="43"/>
        <v>N/A</v>
      </c>
      <c r="Q140" s="63" t="str">
        <f t="shared" ca="1" si="43"/>
        <v>N/A</v>
      </c>
      <c r="R140" s="63" t="str">
        <f t="shared" ca="1" si="43"/>
        <v>N/A</v>
      </c>
      <c r="S140" s="63"/>
      <c r="T140" s="17"/>
      <c r="U140" s="17"/>
      <c r="V140" s="17"/>
    </row>
    <row r="141" spans="1:22" hidden="1">
      <c r="A141" s="51">
        <f t="shared" si="37"/>
        <v>0</v>
      </c>
      <c r="B141" s="46" t="e">
        <f t="shared" ca="1" si="38"/>
        <v>#N/A</v>
      </c>
      <c r="C141" s="1" t="str">
        <f>IF(ISERROR(D141),"",IF(D141="","",MAX($C$121:C140)+1))</f>
        <v/>
      </c>
      <c r="D141" t="e">
        <f t="shared" si="39"/>
        <v>#N/A</v>
      </c>
      <c r="E141" s="22"/>
      <c r="F141" s="63" t="e">
        <f t="shared" ca="1" si="42"/>
        <v>#DIV/0!</v>
      </c>
      <c r="G141" s="63" t="str">
        <f t="shared" si="40"/>
        <v>N/A</v>
      </c>
      <c r="H141" s="63" t="str">
        <f ca="1">IFERROR(VLOOKUP($A141,LASTYR,'2016'!$M$3,FALSE),"N/A")</f>
        <v>N/A</v>
      </c>
      <c r="I141" s="63" t="str">
        <f t="shared" ca="1" si="43"/>
        <v>N/A</v>
      </c>
      <c r="J141" s="63" t="str">
        <f t="shared" ca="1" si="43"/>
        <v>N/A</v>
      </c>
      <c r="K141" s="63" t="str">
        <f t="shared" ca="1" si="43"/>
        <v>N/A</v>
      </c>
      <c r="L141" s="63" t="str">
        <f t="shared" ca="1" si="43"/>
        <v>N/A</v>
      </c>
      <c r="M141" s="63" t="str">
        <f t="shared" ca="1" si="43"/>
        <v>N/A</v>
      </c>
      <c r="N141" s="63" t="str">
        <f t="shared" ca="1" si="43"/>
        <v>N/A</v>
      </c>
      <c r="O141" s="63" t="str">
        <f t="shared" ca="1" si="43"/>
        <v>N/A</v>
      </c>
      <c r="P141" s="63" t="str">
        <f t="shared" ca="1" si="43"/>
        <v>N/A</v>
      </c>
      <c r="Q141" s="63" t="str">
        <f t="shared" ca="1" si="43"/>
        <v>N/A</v>
      </c>
      <c r="R141" s="63" t="str">
        <f t="shared" ca="1" si="43"/>
        <v>N/A</v>
      </c>
      <c r="S141" s="63"/>
      <c r="T141" s="17"/>
      <c r="U141" s="17"/>
      <c r="V141" s="17"/>
    </row>
    <row r="142" spans="1:22" hidden="1">
      <c r="A142" s="51">
        <f t="shared" si="37"/>
        <v>0</v>
      </c>
      <c r="B142" s="46" t="e">
        <f t="shared" ca="1" si="38"/>
        <v>#N/A</v>
      </c>
      <c r="C142" s="1" t="str">
        <f>IF(ISERROR(D142),"",IF(D142="","",MAX($C$121:C141)+1))</f>
        <v/>
      </c>
      <c r="D142" t="e">
        <f t="shared" si="39"/>
        <v>#N/A</v>
      </c>
      <c r="E142" s="22"/>
      <c r="F142" s="63" t="e">
        <f t="shared" ca="1" si="42"/>
        <v>#DIV/0!</v>
      </c>
      <c r="G142" s="63" t="str">
        <f t="shared" si="40"/>
        <v>N/A</v>
      </c>
      <c r="H142" s="63" t="str">
        <f ca="1">IFERROR(VLOOKUP($A142,LASTYR,'2016'!$M$3,FALSE),"N/A")</f>
        <v>N/A</v>
      </c>
      <c r="I142" s="63" t="str">
        <f t="shared" ca="1" si="43"/>
        <v>N/A</v>
      </c>
      <c r="J142" s="63" t="str">
        <f t="shared" ca="1" si="43"/>
        <v>N/A</v>
      </c>
      <c r="K142" s="63" t="str">
        <f t="shared" ca="1" si="43"/>
        <v>N/A</v>
      </c>
      <c r="L142" s="63" t="str">
        <f t="shared" ca="1" si="43"/>
        <v>N/A</v>
      </c>
      <c r="M142" s="63" t="str">
        <f t="shared" ca="1" si="43"/>
        <v>N/A</v>
      </c>
      <c r="N142" s="63" t="str">
        <f t="shared" ca="1" si="43"/>
        <v>N/A</v>
      </c>
      <c r="O142" s="63" t="str">
        <f t="shared" ca="1" si="43"/>
        <v>N/A</v>
      </c>
      <c r="P142" s="63" t="str">
        <f t="shared" ca="1" si="43"/>
        <v>N/A</v>
      </c>
      <c r="Q142" s="63" t="str">
        <f t="shared" ca="1" si="43"/>
        <v>N/A</v>
      </c>
      <c r="R142" s="63" t="str">
        <f t="shared" ca="1" si="43"/>
        <v>N/A</v>
      </c>
      <c r="S142" s="63"/>
      <c r="T142" s="17"/>
      <c r="U142" s="17"/>
      <c r="V142" s="17"/>
    </row>
    <row r="143" spans="1:22" hidden="1">
      <c r="A143" s="51">
        <f t="shared" si="37"/>
        <v>0</v>
      </c>
      <c r="B143" s="46" t="e">
        <f t="shared" ca="1" si="38"/>
        <v>#N/A</v>
      </c>
      <c r="C143" s="1" t="str">
        <f>IF(ISERROR(D143),"",IF(D143="","",MAX($C$121:C142)+1))</f>
        <v/>
      </c>
      <c r="D143" t="e">
        <f t="shared" si="39"/>
        <v>#N/A</v>
      </c>
      <c r="E143" s="22"/>
      <c r="F143" s="63" t="e">
        <f t="shared" ca="1" si="42"/>
        <v>#DIV/0!</v>
      </c>
      <c r="G143" s="63" t="str">
        <f t="shared" si="40"/>
        <v>N/A</v>
      </c>
      <c r="H143" s="63" t="str">
        <f ca="1">IFERROR(VLOOKUP($A143,LASTYR,'2016'!$M$3,FALSE),"N/A")</f>
        <v>N/A</v>
      </c>
      <c r="I143" s="63" t="str">
        <f t="shared" ca="1" si="43"/>
        <v>N/A</v>
      </c>
      <c r="J143" s="63" t="str">
        <f t="shared" ca="1" si="43"/>
        <v>N/A</v>
      </c>
      <c r="K143" s="63" t="str">
        <f t="shared" ca="1" si="43"/>
        <v>N/A</v>
      </c>
      <c r="L143" s="63" t="str">
        <f t="shared" ca="1" si="43"/>
        <v>N/A</v>
      </c>
      <c r="M143" s="63" t="str">
        <f t="shared" ca="1" si="43"/>
        <v>N/A</v>
      </c>
      <c r="N143" s="63" t="str">
        <f t="shared" ca="1" si="43"/>
        <v>N/A</v>
      </c>
      <c r="O143" s="63" t="str">
        <f t="shared" ca="1" si="43"/>
        <v>N/A</v>
      </c>
      <c r="P143" s="63" t="str">
        <f t="shared" ca="1" si="43"/>
        <v>N/A</v>
      </c>
      <c r="Q143" s="63" t="str">
        <f t="shared" ca="1" si="43"/>
        <v>N/A</v>
      </c>
      <c r="R143" s="63" t="str">
        <f t="shared" ca="1" si="43"/>
        <v>N/A</v>
      </c>
      <c r="S143" s="63"/>
      <c r="T143" s="17"/>
      <c r="U143" s="17"/>
      <c r="V143" s="17"/>
    </row>
    <row r="144" spans="1:22" hidden="1">
      <c r="A144" s="51">
        <f t="shared" si="37"/>
        <v>0</v>
      </c>
      <c r="B144" s="46" t="e">
        <f t="shared" ca="1" si="38"/>
        <v>#N/A</v>
      </c>
      <c r="C144" s="1" t="str">
        <f>IF(ISERROR(D144),"",IF(D144="","",MAX($C$121:C143)+1))</f>
        <v/>
      </c>
      <c r="D144" t="e">
        <f t="shared" si="39"/>
        <v>#N/A</v>
      </c>
      <c r="E144" s="22"/>
      <c r="F144" s="63" t="e">
        <f t="shared" ca="1" si="42"/>
        <v>#DIV/0!</v>
      </c>
      <c r="G144" s="63" t="str">
        <f t="shared" si="40"/>
        <v>N/A</v>
      </c>
      <c r="H144" s="63" t="str">
        <f ca="1">IFERROR(VLOOKUP($A144,LASTYR,'2016'!$M$3,FALSE),"N/A")</f>
        <v>N/A</v>
      </c>
      <c r="I144" s="63" t="str">
        <f t="shared" ca="1" si="43"/>
        <v>N/A</v>
      </c>
      <c r="J144" s="63" t="str">
        <f t="shared" ca="1" si="43"/>
        <v>N/A</v>
      </c>
      <c r="K144" s="63" t="str">
        <f t="shared" ca="1" si="43"/>
        <v>N/A</v>
      </c>
      <c r="L144" s="63" t="str">
        <f t="shared" ca="1" si="43"/>
        <v>N/A</v>
      </c>
      <c r="M144" s="63" t="str">
        <f t="shared" ca="1" si="43"/>
        <v>N/A</v>
      </c>
      <c r="N144" s="63" t="str">
        <f t="shared" ca="1" si="43"/>
        <v>N/A</v>
      </c>
      <c r="O144" s="63" t="str">
        <f t="shared" ca="1" si="43"/>
        <v>N/A</v>
      </c>
      <c r="P144" s="63" t="str">
        <f t="shared" ca="1" si="43"/>
        <v>N/A</v>
      </c>
      <c r="Q144" s="63" t="str">
        <f t="shared" ca="1" si="43"/>
        <v>N/A</v>
      </c>
      <c r="R144" s="63" t="str">
        <f t="shared" ca="1" si="43"/>
        <v>N/A</v>
      </c>
      <c r="S144" s="63"/>
      <c r="T144" s="17"/>
      <c r="U144" s="17"/>
      <c r="V144" s="17"/>
    </row>
    <row r="145" spans="1:22" hidden="1">
      <c r="A145" s="51">
        <f t="shared" si="37"/>
        <v>0</v>
      </c>
      <c r="B145" s="46" t="e">
        <f t="shared" ca="1" si="38"/>
        <v>#N/A</v>
      </c>
      <c r="C145" s="1" t="str">
        <f>IF(ISERROR(D145),"",IF(D145="","",MAX($C$121:C144)+1))</f>
        <v/>
      </c>
      <c r="D145" t="e">
        <f t="shared" si="39"/>
        <v>#N/A</v>
      </c>
      <c r="E145" s="22"/>
      <c r="F145" s="63" t="e">
        <f t="shared" ca="1" si="42"/>
        <v>#DIV/0!</v>
      </c>
      <c r="G145" s="63" t="str">
        <f t="shared" si="40"/>
        <v>N/A</v>
      </c>
      <c r="H145" s="63" t="str">
        <f ca="1">IFERROR(VLOOKUP($A145,LASTYR,'2016'!$M$3,FALSE),"N/A")</f>
        <v>N/A</v>
      </c>
      <c r="I145" s="63" t="str">
        <f t="shared" ca="1" si="43"/>
        <v>N/A</v>
      </c>
      <c r="J145" s="63" t="str">
        <f t="shared" ca="1" si="43"/>
        <v>N/A</v>
      </c>
      <c r="K145" s="63" t="str">
        <f t="shared" ca="1" si="43"/>
        <v>N/A</v>
      </c>
      <c r="L145" s="63" t="str">
        <f t="shared" ca="1" si="43"/>
        <v>N/A</v>
      </c>
      <c r="M145" s="63" t="str">
        <f t="shared" ca="1" si="43"/>
        <v>N/A</v>
      </c>
      <c r="N145" s="63" t="str">
        <f t="shared" ca="1" si="43"/>
        <v>N/A</v>
      </c>
      <c r="O145" s="63" t="str">
        <f t="shared" ca="1" si="43"/>
        <v>N/A</v>
      </c>
      <c r="P145" s="63" t="str">
        <f t="shared" ca="1" si="43"/>
        <v>N/A</v>
      </c>
      <c r="Q145" s="63" t="str">
        <f t="shared" ca="1" si="43"/>
        <v>N/A</v>
      </c>
      <c r="R145" s="63" t="str">
        <f t="shared" ca="1" si="43"/>
        <v>N/A</v>
      </c>
      <c r="S145" s="63"/>
      <c r="T145" s="17"/>
      <c r="U145" s="17"/>
      <c r="V145" s="17"/>
    </row>
    <row r="146" spans="1:22" hidden="1">
      <c r="A146" s="51">
        <f t="shared" si="37"/>
        <v>0</v>
      </c>
      <c r="B146" s="46" t="e">
        <f t="shared" ca="1" si="38"/>
        <v>#N/A</v>
      </c>
      <c r="C146" s="1" t="str">
        <f>IF(ISERROR(D146),"",IF(D146="","",MAX($C$121:C145)+1))</f>
        <v/>
      </c>
      <c r="D146" t="e">
        <f t="shared" si="39"/>
        <v>#N/A</v>
      </c>
      <c r="E146" s="22"/>
      <c r="F146" s="63" t="e">
        <f t="shared" ca="1" si="42"/>
        <v>#DIV/0!</v>
      </c>
      <c r="G146" s="63" t="str">
        <f t="shared" si="40"/>
        <v>N/A</v>
      </c>
      <c r="H146" s="63" t="str">
        <f ca="1">IFERROR(VLOOKUP($A146,LASTYR,'2016'!$M$3,FALSE),"N/A")</f>
        <v>N/A</v>
      </c>
      <c r="I146" s="63" t="str">
        <f t="shared" ca="1" si="43"/>
        <v>N/A</v>
      </c>
      <c r="J146" s="63" t="str">
        <f t="shared" ca="1" si="43"/>
        <v>N/A</v>
      </c>
      <c r="K146" s="63" t="str">
        <f t="shared" ca="1" si="43"/>
        <v>N/A</v>
      </c>
      <c r="L146" s="63" t="str">
        <f t="shared" ca="1" si="43"/>
        <v>N/A</v>
      </c>
      <c r="M146" s="63" t="str">
        <f t="shared" ca="1" si="43"/>
        <v>N/A</v>
      </c>
      <c r="N146" s="63" t="str">
        <f t="shared" ca="1" si="43"/>
        <v>N/A</v>
      </c>
      <c r="O146" s="63" t="str">
        <f t="shared" ca="1" si="43"/>
        <v>N/A</v>
      </c>
      <c r="P146" s="63" t="str">
        <f t="shared" ca="1" si="43"/>
        <v>N/A</v>
      </c>
      <c r="Q146" s="63" t="str">
        <f t="shared" ca="1" si="43"/>
        <v>N/A</v>
      </c>
      <c r="R146" s="63" t="str">
        <f t="shared" ca="1" si="43"/>
        <v>N/A</v>
      </c>
      <c r="S146" s="63"/>
      <c r="T146" s="17"/>
      <c r="U146" s="17"/>
      <c r="V146" s="17"/>
    </row>
    <row r="147" spans="1:22" hidden="1">
      <c r="A147" s="51">
        <f t="shared" si="37"/>
        <v>0</v>
      </c>
      <c r="B147" s="46" t="e">
        <f t="shared" ca="1" si="38"/>
        <v>#N/A</v>
      </c>
      <c r="C147" s="1" t="str">
        <f>IF(ISERROR(D147),"",IF(D147="","",MAX($C$121:C146)+1))</f>
        <v/>
      </c>
      <c r="D147" t="e">
        <f t="shared" si="39"/>
        <v>#N/A</v>
      </c>
      <c r="E147" s="22"/>
      <c r="F147" s="63" t="e">
        <f t="shared" ca="1" si="42"/>
        <v>#DIV/0!</v>
      </c>
      <c r="G147" s="63" t="str">
        <f t="shared" si="40"/>
        <v>N/A</v>
      </c>
      <c r="H147" s="63" t="str">
        <f ca="1">IFERROR(VLOOKUP($A147,LASTYR,'2016'!$M$3,FALSE),"N/A")</f>
        <v>N/A</v>
      </c>
      <c r="I147" s="63" t="str">
        <f t="shared" ca="1" si="43"/>
        <v>N/A</v>
      </c>
      <c r="J147" s="63" t="str">
        <f t="shared" ca="1" si="43"/>
        <v>N/A</v>
      </c>
      <c r="K147" s="63" t="str">
        <f t="shared" ca="1" si="43"/>
        <v>N/A</v>
      </c>
      <c r="L147" s="63" t="str">
        <f t="shared" ca="1" si="43"/>
        <v>N/A</v>
      </c>
      <c r="M147" s="63" t="str">
        <f t="shared" ca="1" si="43"/>
        <v>N/A</v>
      </c>
      <c r="N147" s="63" t="str">
        <f t="shared" ca="1" si="43"/>
        <v>N/A</v>
      </c>
      <c r="O147" s="63" t="str">
        <f t="shared" ca="1" si="43"/>
        <v>N/A</v>
      </c>
      <c r="P147" s="63" t="str">
        <f t="shared" ca="1" si="43"/>
        <v>N/A</v>
      </c>
      <c r="Q147" s="63" t="str">
        <f t="shared" ca="1" si="43"/>
        <v>N/A</v>
      </c>
      <c r="R147" s="63" t="str">
        <f t="shared" ca="1" si="43"/>
        <v>N/A</v>
      </c>
      <c r="S147" s="63"/>
      <c r="T147" s="17"/>
      <c r="U147" s="17"/>
      <c r="V147" s="17"/>
    </row>
    <row r="148" spans="1:22" hidden="1">
      <c r="A148" s="51">
        <f t="shared" si="37"/>
        <v>0</v>
      </c>
      <c r="B148" s="46" t="e">
        <f t="shared" ca="1" si="38"/>
        <v>#N/A</v>
      </c>
      <c r="C148" s="1" t="str">
        <f>IF(ISERROR(D148),"",IF(D148="","",MAX($C$121:C147)+1))</f>
        <v/>
      </c>
      <c r="D148" t="e">
        <f t="shared" si="39"/>
        <v>#N/A</v>
      </c>
      <c r="E148" s="22"/>
      <c r="F148" s="63" t="e">
        <f t="shared" ca="1" si="42"/>
        <v>#DIV/0!</v>
      </c>
      <c r="G148" s="63" t="str">
        <f t="shared" si="40"/>
        <v>N/A</v>
      </c>
      <c r="H148" s="63" t="str">
        <f ca="1">IFERROR(VLOOKUP($A148,LASTYR,'2016'!$M$3,FALSE),"N/A")</f>
        <v>N/A</v>
      </c>
      <c r="I148" s="63" t="str">
        <f t="shared" ca="1" si="43"/>
        <v>N/A</v>
      </c>
      <c r="J148" s="63" t="str">
        <f t="shared" ca="1" si="43"/>
        <v>N/A</v>
      </c>
      <c r="K148" s="63" t="str">
        <f t="shared" ca="1" si="43"/>
        <v>N/A</v>
      </c>
      <c r="L148" s="63" t="str">
        <f t="shared" ca="1" si="43"/>
        <v>N/A</v>
      </c>
      <c r="M148" s="63" t="str">
        <f t="shared" ca="1" si="43"/>
        <v>N/A</v>
      </c>
      <c r="N148" s="63" t="str">
        <f t="shared" ca="1" si="43"/>
        <v>N/A</v>
      </c>
      <c r="O148" s="63" t="str">
        <f t="shared" ca="1" si="43"/>
        <v>N/A</v>
      </c>
      <c r="P148" s="63" t="str">
        <f t="shared" ca="1" si="43"/>
        <v>N/A</v>
      </c>
      <c r="Q148" s="63" t="str">
        <f t="shared" ca="1" si="43"/>
        <v>N/A</v>
      </c>
      <c r="R148" s="63" t="str">
        <f t="shared" ca="1" si="43"/>
        <v>N/A</v>
      </c>
      <c r="S148" s="63"/>
      <c r="T148" s="17"/>
      <c r="U148" s="17"/>
      <c r="V148" s="17"/>
    </row>
    <row r="149" spans="1:22" hidden="1">
      <c r="A149" s="51">
        <f t="shared" si="37"/>
        <v>0</v>
      </c>
      <c r="B149" s="46" t="e">
        <f t="shared" ca="1" si="38"/>
        <v>#N/A</v>
      </c>
      <c r="C149" s="1" t="str">
        <f>IF(ISERROR(D149),"",IF(D149="","",MAX($C$121:C148)+1))</f>
        <v/>
      </c>
      <c r="D149" t="e">
        <f t="shared" si="39"/>
        <v>#N/A</v>
      </c>
      <c r="E149" s="22"/>
      <c r="F149" s="63" t="e">
        <f t="shared" ca="1" si="42"/>
        <v>#DIV/0!</v>
      </c>
      <c r="G149" s="63" t="str">
        <f t="shared" si="40"/>
        <v>N/A</v>
      </c>
      <c r="H149" s="63" t="str">
        <f ca="1">IFERROR(VLOOKUP($A149,LASTYR,'2016'!$M$3,FALSE),"N/A")</f>
        <v>N/A</v>
      </c>
      <c r="I149" s="63" t="str">
        <f t="shared" ca="1" si="43"/>
        <v>N/A</v>
      </c>
      <c r="J149" s="63" t="str">
        <f t="shared" ca="1" si="43"/>
        <v>N/A</v>
      </c>
      <c r="K149" s="63" t="str">
        <f t="shared" ca="1" si="43"/>
        <v>N/A</v>
      </c>
      <c r="L149" s="63" t="str">
        <f t="shared" ca="1" si="43"/>
        <v>N/A</v>
      </c>
      <c r="M149" s="63" t="str">
        <f t="shared" ca="1" si="43"/>
        <v>N/A</v>
      </c>
      <c r="N149" s="63" t="str">
        <f t="shared" ca="1" si="43"/>
        <v>N/A</v>
      </c>
      <c r="O149" s="63" t="str">
        <f t="shared" ca="1" si="43"/>
        <v>N/A</v>
      </c>
      <c r="P149" s="63" t="str">
        <f t="shared" ca="1" si="43"/>
        <v>N/A</v>
      </c>
      <c r="Q149" s="63" t="str">
        <f t="shared" ca="1" si="43"/>
        <v>N/A</v>
      </c>
      <c r="R149" s="63" t="str">
        <f t="shared" ca="1" si="43"/>
        <v>N/A</v>
      </c>
      <c r="S149" s="63"/>
      <c r="T149" s="17"/>
      <c r="U149" s="17"/>
      <c r="V149" s="17"/>
    </row>
    <row r="150" spans="1:22" hidden="1">
      <c r="A150" s="51">
        <f t="shared" si="37"/>
        <v>0</v>
      </c>
      <c r="B150" s="46" t="e">
        <f t="shared" ca="1" si="38"/>
        <v>#N/A</v>
      </c>
      <c r="C150" s="1" t="str">
        <f>IF(ISERROR(D150),"",IF(D150="","",MAX($C$121:C149)+1))</f>
        <v/>
      </c>
      <c r="D150" t="e">
        <f t="shared" si="39"/>
        <v>#N/A</v>
      </c>
      <c r="E150" s="22"/>
      <c r="F150" s="63" t="e">
        <f t="shared" ca="1" si="42"/>
        <v>#DIV/0!</v>
      </c>
      <c r="G150" s="63" t="str">
        <f t="shared" si="40"/>
        <v>N/A</v>
      </c>
      <c r="H150" s="63" t="str">
        <f ca="1">IFERROR(VLOOKUP($A150,LASTYR,'2016'!$M$3,FALSE),"N/A")</f>
        <v>N/A</v>
      </c>
      <c r="I150" s="63" t="str">
        <f t="shared" ca="1" si="43"/>
        <v>N/A</v>
      </c>
      <c r="J150" s="63" t="str">
        <f t="shared" ca="1" si="43"/>
        <v>N/A</v>
      </c>
      <c r="K150" s="63" t="str">
        <f t="shared" ca="1" si="43"/>
        <v>N/A</v>
      </c>
      <c r="L150" s="63" t="str">
        <f t="shared" ca="1" si="43"/>
        <v>N/A</v>
      </c>
      <c r="M150" s="63" t="str">
        <f t="shared" ca="1" si="43"/>
        <v>N/A</v>
      </c>
      <c r="N150" s="63" t="str">
        <f t="shared" ca="1" si="43"/>
        <v>N/A</v>
      </c>
      <c r="O150" s="63" t="str">
        <f t="shared" ca="1" si="43"/>
        <v>N/A</v>
      </c>
      <c r="P150" s="63" t="str">
        <f t="shared" ca="1" si="43"/>
        <v>N/A</v>
      </c>
      <c r="Q150" s="63" t="str">
        <f t="shared" ca="1" si="43"/>
        <v>N/A</v>
      </c>
      <c r="R150" s="63" t="str">
        <f t="shared" ca="1" si="43"/>
        <v>N/A</v>
      </c>
      <c r="S150" s="63"/>
      <c r="T150" s="17"/>
      <c r="U150" s="17"/>
      <c r="V150" s="17"/>
    </row>
    <row r="151" spans="1:22" hidden="1">
      <c r="A151" s="51">
        <f t="shared" si="37"/>
        <v>0</v>
      </c>
      <c r="B151" s="46" t="e">
        <f t="shared" ca="1" si="38"/>
        <v>#N/A</v>
      </c>
      <c r="C151" s="1" t="str">
        <f>IF(ISERROR(D151),"",IF(D151="","",MAX($C$121:C150)+1))</f>
        <v/>
      </c>
      <c r="D151" t="e">
        <f t="shared" si="39"/>
        <v>#N/A</v>
      </c>
      <c r="E151" s="22"/>
      <c r="F151" s="63" t="e">
        <f t="shared" ca="1" si="42"/>
        <v>#DIV/0!</v>
      </c>
      <c r="G151" s="63" t="str">
        <f t="shared" si="40"/>
        <v>N/A</v>
      </c>
      <c r="H151" s="63" t="str">
        <f ca="1">IFERROR(VLOOKUP($A151,LASTYR,'2016'!$M$3,FALSE),"N/A")</f>
        <v>N/A</v>
      </c>
      <c r="I151" s="63" t="str">
        <f t="shared" ca="1" si="43"/>
        <v>N/A</v>
      </c>
      <c r="J151" s="63" t="str">
        <f t="shared" ca="1" si="43"/>
        <v>N/A</v>
      </c>
      <c r="K151" s="63" t="str">
        <f t="shared" ca="1" si="43"/>
        <v>N/A</v>
      </c>
      <c r="L151" s="63" t="str">
        <f t="shared" ca="1" si="43"/>
        <v>N/A</v>
      </c>
      <c r="M151" s="63" t="str">
        <f t="shared" ca="1" si="43"/>
        <v>N/A</v>
      </c>
      <c r="N151" s="63" t="str">
        <f t="shared" ca="1" si="43"/>
        <v>N/A</v>
      </c>
      <c r="O151" s="63" t="str">
        <f t="shared" ca="1" si="43"/>
        <v>N/A</v>
      </c>
      <c r="P151" s="63" t="str">
        <f t="shared" ca="1" si="43"/>
        <v>N/A</v>
      </c>
      <c r="Q151" s="63" t="str">
        <f t="shared" ca="1" si="43"/>
        <v>N/A</v>
      </c>
      <c r="R151" s="63" t="str">
        <f t="shared" ca="1" si="43"/>
        <v>N/A</v>
      </c>
      <c r="S151" s="63"/>
      <c r="T151" s="17"/>
      <c r="U151" s="17"/>
      <c r="V151" s="17"/>
    </row>
    <row r="152" spans="1:22" hidden="1">
      <c r="A152" s="51">
        <f t="shared" si="37"/>
        <v>0</v>
      </c>
      <c r="B152" s="46" t="e">
        <f t="shared" ca="1" si="38"/>
        <v>#N/A</v>
      </c>
      <c r="C152" s="1" t="str">
        <f>IF(ISERROR(D152),"",IF(D152="","",MAX($C$121:C151)+1))</f>
        <v/>
      </c>
      <c r="D152" t="e">
        <f t="shared" si="39"/>
        <v>#N/A</v>
      </c>
      <c r="E152" s="22"/>
      <c r="F152" s="63" t="e">
        <f t="shared" ca="1" si="42"/>
        <v>#DIV/0!</v>
      </c>
      <c r="G152" s="63" t="str">
        <f t="shared" si="40"/>
        <v>N/A</v>
      </c>
      <c r="H152" s="63" t="str">
        <f ca="1">IFERROR(VLOOKUP($A152,LASTYR,'2016'!$M$3,FALSE),"N/A")</f>
        <v>N/A</v>
      </c>
      <c r="I152" s="63" t="str">
        <f t="shared" ca="1" si="43"/>
        <v>N/A</v>
      </c>
      <c r="J152" s="63" t="str">
        <f t="shared" ca="1" si="43"/>
        <v>N/A</v>
      </c>
      <c r="K152" s="63" t="str">
        <f t="shared" ca="1" si="43"/>
        <v>N/A</v>
      </c>
      <c r="L152" s="63" t="str">
        <f t="shared" ca="1" si="43"/>
        <v>N/A</v>
      </c>
      <c r="M152" s="63" t="str">
        <f t="shared" ca="1" si="43"/>
        <v>N/A</v>
      </c>
      <c r="N152" s="63" t="str">
        <f t="shared" ca="1" si="43"/>
        <v>N/A</v>
      </c>
      <c r="O152" s="63" t="str">
        <f t="shared" ca="1" si="43"/>
        <v>N/A</v>
      </c>
      <c r="P152" s="63" t="str">
        <f t="shared" ca="1" si="43"/>
        <v>N/A</v>
      </c>
      <c r="Q152" s="63" t="str">
        <f t="shared" ca="1" si="43"/>
        <v>N/A</v>
      </c>
      <c r="R152" s="63" t="str">
        <f t="shared" ca="1" si="43"/>
        <v>N/A</v>
      </c>
      <c r="S152" s="63"/>
      <c r="T152" s="17"/>
      <c r="U152" s="17"/>
      <c r="V152" s="17"/>
    </row>
    <row r="153" spans="1:22" hidden="1">
      <c r="A153" s="51">
        <f t="shared" si="37"/>
        <v>0</v>
      </c>
      <c r="B153" s="46" t="e">
        <f t="shared" ca="1" si="38"/>
        <v>#N/A</v>
      </c>
      <c r="C153" s="1" t="str">
        <f>IF(ISERROR(D153),"",IF(D153="","",MAX($C$121:C152)+1))</f>
        <v/>
      </c>
      <c r="D153" t="e">
        <f t="shared" si="39"/>
        <v>#N/A</v>
      </c>
      <c r="E153" s="22"/>
      <c r="F153" s="63" t="e">
        <f t="shared" ca="1" si="42"/>
        <v>#DIV/0!</v>
      </c>
      <c r="G153" s="63" t="str">
        <f t="shared" si="40"/>
        <v>N/A</v>
      </c>
      <c r="H153" s="63" t="str">
        <f ca="1">IFERROR(VLOOKUP($A153,LASTYR,'2016'!$M$3,FALSE),"N/A")</f>
        <v>N/A</v>
      </c>
      <c r="I153" s="63" t="str">
        <f t="shared" ca="1" si="43"/>
        <v>N/A</v>
      </c>
      <c r="J153" s="63" t="str">
        <f t="shared" ca="1" si="43"/>
        <v>N/A</v>
      </c>
      <c r="K153" s="63" t="str">
        <f t="shared" ca="1" si="43"/>
        <v>N/A</v>
      </c>
      <c r="L153" s="63" t="str">
        <f t="shared" ca="1" si="43"/>
        <v>N/A</v>
      </c>
      <c r="M153" s="63" t="str">
        <f t="shared" ca="1" si="43"/>
        <v>N/A</v>
      </c>
      <c r="N153" s="63" t="str">
        <f t="shared" ca="1" si="43"/>
        <v>N/A</v>
      </c>
      <c r="O153" s="63" t="str">
        <f t="shared" ca="1" si="43"/>
        <v>N/A</v>
      </c>
      <c r="P153" s="63" t="str">
        <f t="shared" ca="1" si="43"/>
        <v>N/A</v>
      </c>
      <c r="Q153" s="63" t="str">
        <f t="shared" ca="1" si="43"/>
        <v>N/A</v>
      </c>
      <c r="R153" s="63" t="str">
        <f t="shared" ca="1" si="43"/>
        <v>N/A</v>
      </c>
      <c r="S153" s="63"/>
      <c r="T153" s="17"/>
      <c r="U153" s="17"/>
      <c r="V153" s="17"/>
    </row>
    <row r="154" spans="1:22" hidden="1">
      <c r="A154" s="51">
        <f t="shared" si="37"/>
        <v>0</v>
      </c>
      <c r="B154" s="46" t="e">
        <f t="shared" ca="1" si="38"/>
        <v>#N/A</v>
      </c>
      <c r="C154" s="1" t="str">
        <f>IF(ISERROR(D154),"",IF(D154="","",MAX($C$121:C153)+1))</f>
        <v/>
      </c>
      <c r="D154" t="e">
        <f t="shared" si="39"/>
        <v>#N/A</v>
      </c>
      <c r="E154" s="22"/>
      <c r="F154" s="63" t="e">
        <f t="shared" ca="1" si="42"/>
        <v>#DIV/0!</v>
      </c>
      <c r="G154" s="63" t="str">
        <f t="shared" si="40"/>
        <v>N/A</v>
      </c>
      <c r="H154" s="63" t="str">
        <f ca="1">IFERROR(VLOOKUP($A154,LASTYR,'2016'!$M$3,FALSE),"N/A")</f>
        <v>N/A</v>
      </c>
      <c r="I154" s="63" t="str">
        <f t="shared" ca="1" si="43"/>
        <v>N/A</v>
      </c>
      <c r="J154" s="63" t="str">
        <f t="shared" ca="1" si="43"/>
        <v>N/A</v>
      </c>
      <c r="K154" s="63" t="str">
        <f t="shared" ca="1" si="43"/>
        <v>N/A</v>
      </c>
      <c r="L154" s="63" t="str">
        <f t="shared" ca="1" si="43"/>
        <v>N/A</v>
      </c>
      <c r="M154" s="63" t="str">
        <f t="shared" ca="1" si="43"/>
        <v>N/A</v>
      </c>
      <c r="N154" s="63" t="str">
        <f t="shared" ca="1" si="43"/>
        <v>N/A</v>
      </c>
      <c r="O154" s="63" t="str">
        <f t="shared" ca="1" si="43"/>
        <v>N/A</v>
      </c>
      <c r="P154" s="63" t="str">
        <f t="shared" ca="1" si="43"/>
        <v>N/A</v>
      </c>
      <c r="Q154" s="63" t="str">
        <f t="shared" ca="1" si="43"/>
        <v>N/A</v>
      </c>
      <c r="R154" s="63" t="str">
        <f t="shared" ca="1" si="43"/>
        <v>N/A</v>
      </c>
      <c r="S154" s="63"/>
      <c r="T154" s="17"/>
      <c r="U154" s="17"/>
      <c r="V154" s="17"/>
    </row>
    <row r="155" spans="1:22" hidden="1">
      <c r="A155" s="51">
        <f t="shared" si="37"/>
        <v>0</v>
      </c>
      <c r="B155" s="46" t="e">
        <f t="shared" ca="1" si="38"/>
        <v>#N/A</v>
      </c>
      <c r="C155" s="1" t="str">
        <f>IF(ISERROR(D155),"",IF(D155="","",MAX($C$121:C154)+1))</f>
        <v/>
      </c>
      <c r="D155" t="e">
        <f t="shared" si="39"/>
        <v>#N/A</v>
      </c>
      <c r="E155" s="22"/>
      <c r="F155" s="63" t="e">
        <f t="shared" ca="1" si="42"/>
        <v>#DIV/0!</v>
      </c>
      <c r="G155" s="63" t="str">
        <f t="shared" si="40"/>
        <v>N/A</v>
      </c>
      <c r="H155" s="63" t="str">
        <f ca="1">IFERROR(VLOOKUP($A155,LASTYR,'2016'!$M$3,FALSE),"N/A")</f>
        <v>N/A</v>
      </c>
      <c r="I155" s="63" t="str">
        <f t="shared" ca="1" si="43"/>
        <v>N/A</v>
      </c>
      <c r="J155" s="63" t="str">
        <f t="shared" ca="1" si="43"/>
        <v>N/A</v>
      </c>
      <c r="K155" s="63" t="str">
        <f t="shared" ca="1" si="43"/>
        <v>N/A</v>
      </c>
      <c r="L155" s="63" t="str">
        <f t="shared" ca="1" si="43"/>
        <v>N/A</v>
      </c>
      <c r="M155" s="63" t="str">
        <f t="shared" ca="1" si="43"/>
        <v>N/A</v>
      </c>
      <c r="N155" s="63" t="str">
        <f t="shared" ca="1" si="43"/>
        <v>N/A</v>
      </c>
      <c r="O155" s="63" t="str">
        <f t="shared" ca="1" si="43"/>
        <v>N/A</v>
      </c>
      <c r="P155" s="63" t="str">
        <f t="shared" ca="1" si="43"/>
        <v>N/A</v>
      </c>
      <c r="Q155" s="63" t="str">
        <f t="shared" ca="1" si="43"/>
        <v>N/A</v>
      </c>
      <c r="R155" s="63" t="str">
        <f t="shared" ca="1" si="43"/>
        <v>N/A</v>
      </c>
      <c r="S155" s="63"/>
      <c r="T155" s="17"/>
      <c r="U155" s="17"/>
      <c r="V155" s="17"/>
    </row>
    <row r="156" spans="1:22" hidden="1">
      <c r="A156" s="51">
        <f t="shared" si="37"/>
        <v>0</v>
      </c>
      <c r="B156" s="46" t="e">
        <f t="shared" ca="1" si="38"/>
        <v>#N/A</v>
      </c>
      <c r="C156" s="1" t="str">
        <f>IF(ISERROR(D156),"",IF(D156="","",MAX($C$121:C155)+1))</f>
        <v/>
      </c>
      <c r="D156" t="e">
        <f t="shared" si="39"/>
        <v>#N/A</v>
      </c>
      <c r="E156" s="22"/>
      <c r="F156" s="63" t="e">
        <f t="shared" ca="1" si="42"/>
        <v>#DIV/0!</v>
      </c>
      <c r="G156" s="63" t="str">
        <f t="shared" si="40"/>
        <v>N/A</v>
      </c>
      <c r="H156" s="63" t="str">
        <f ca="1">IFERROR(VLOOKUP($A156,LASTYR,'2016'!$M$3,FALSE),"N/A")</f>
        <v>N/A</v>
      </c>
      <c r="I156" s="63" t="str">
        <f t="shared" ca="1" si="43"/>
        <v>N/A</v>
      </c>
      <c r="J156" s="63" t="str">
        <f t="shared" ca="1" si="43"/>
        <v>N/A</v>
      </c>
      <c r="K156" s="63" t="str">
        <f t="shared" ca="1" si="43"/>
        <v>N/A</v>
      </c>
      <c r="L156" s="63" t="str">
        <f t="shared" ca="1" si="43"/>
        <v>N/A</v>
      </c>
      <c r="M156" s="63" t="str">
        <f t="shared" ca="1" si="43"/>
        <v>N/A</v>
      </c>
      <c r="N156" s="63" t="str">
        <f t="shared" ca="1" si="43"/>
        <v>N/A</v>
      </c>
      <c r="O156" s="63" t="str">
        <f t="shared" ca="1" si="43"/>
        <v>N/A</v>
      </c>
      <c r="P156" s="63" t="str">
        <f t="shared" ca="1" si="43"/>
        <v>N/A</v>
      </c>
      <c r="Q156" s="63" t="str">
        <f t="shared" ca="1" si="43"/>
        <v>N/A</v>
      </c>
      <c r="R156" s="63" t="str">
        <f t="shared" ca="1" si="43"/>
        <v>N/A</v>
      </c>
      <c r="S156" s="63"/>
      <c r="T156" s="17"/>
      <c r="U156" s="17"/>
      <c r="V156" s="17"/>
    </row>
    <row r="157" spans="1:22" hidden="1">
      <c r="A157" s="51">
        <f t="shared" si="37"/>
        <v>0</v>
      </c>
      <c r="B157" s="46" t="e">
        <f t="shared" ca="1" si="38"/>
        <v>#N/A</v>
      </c>
      <c r="C157" s="1" t="str">
        <f>IF(ISERROR(D157),"",IF(D157="","",MAX($C$121:C156)+1))</f>
        <v/>
      </c>
      <c r="D157" t="e">
        <f t="shared" si="39"/>
        <v>#N/A</v>
      </c>
      <c r="E157" s="22"/>
      <c r="F157" s="63" t="e">
        <f t="shared" ca="1" si="42"/>
        <v>#DIV/0!</v>
      </c>
      <c r="G157" s="63" t="str">
        <f t="shared" si="40"/>
        <v>N/A</v>
      </c>
      <c r="H157" s="63" t="str">
        <f ca="1">IFERROR(VLOOKUP($A157,LASTYR,'2016'!$M$3,FALSE),"N/A")</f>
        <v>N/A</v>
      </c>
      <c r="I157" s="63" t="str">
        <f t="shared" ca="1" si="43"/>
        <v>N/A</v>
      </c>
      <c r="J157" s="63" t="str">
        <f t="shared" ca="1" si="43"/>
        <v>N/A</v>
      </c>
      <c r="K157" s="63" t="str">
        <f t="shared" ca="1" si="43"/>
        <v>N/A</v>
      </c>
      <c r="L157" s="63" t="str">
        <f t="shared" ca="1" si="43"/>
        <v>N/A</v>
      </c>
      <c r="M157" s="63" t="str">
        <f t="shared" ca="1" si="43"/>
        <v>N/A</v>
      </c>
      <c r="N157" s="63" t="str">
        <f t="shared" ca="1" si="43"/>
        <v>N/A</v>
      </c>
      <c r="O157" s="63" t="str">
        <f t="shared" ca="1" si="43"/>
        <v>N/A</v>
      </c>
      <c r="P157" s="63" t="str">
        <f t="shared" ca="1" si="43"/>
        <v>N/A</v>
      </c>
      <c r="Q157" s="63" t="str">
        <f t="shared" ca="1" si="43"/>
        <v>N/A</v>
      </c>
      <c r="R157" s="63" t="str">
        <f t="shared" ca="1" si="43"/>
        <v>N/A</v>
      </c>
      <c r="S157" s="63"/>
      <c r="T157" s="17"/>
      <c r="U157" s="17"/>
      <c r="V157" s="17"/>
    </row>
    <row r="158" spans="1:22" hidden="1">
      <c r="A158" s="51">
        <f t="shared" si="37"/>
        <v>0</v>
      </c>
      <c r="B158" s="46" t="e">
        <f t="shared" ca="1" si="38"/>
        <v>#N/A</v>
      </c>
      <c r="C158" s="1" t="str">
        <f>IF(ISERROR(D158),"",IF(D158="","",MAX($C$121:C157)+1))</f>
        <v/>
      </c>
      <c r="D158" t="e">
        <f t="shared" si="39"/>
        <v>#N/A</v>
      </c>
      <c r="E158" s="22"/>
      <c r="F158" s="63" t="e">
        <f t="shared" ca="1" si="42"/>
        <v>#DIV/0!</v>
      </c>
      <c r="G158" s="63" t="str">
        <f t="shared" si="40"/>
        <v>N/A</v>
      </c>
      <c r="H158" s="63" t="str">
        <f ca="1">IFERROR(VLOOKUP($A158,LASTYR,'2016'!$M$3,FALSE),"N/A")</f>
        <v>N/A</v>
      </c>
      <c r="I158" s="63" t="str">
        <f t="shared" ca="1" si="43"/>
        <v>N/A</v>
      </c>
      <c r="J158" s="63" t="str">
        <f t="shared" ca="1" si="43"/>
        <v>N/A</v>
      </c>
      <c r="K158" s="63" t="str">
        <f t="shared" ca="1" si="43"/>
        <v>N/A</v>
      </c>
      <c r="L158" s="63" t="str">
        <f t="shared" ca="1" si="43"/>
        <v>N/A</v>
      </c>
      <c r="M158" s="63" t="str">
        <f t="shared" ca="1" si="43"/>
        <v>N/A</v>
      </c>
      <c r="N158" s="63" t="str">
        <f t="shared" ca="1" si="43"/>
        <v>N/A</v>
      </c>
      <c r="O158" s="63" t="str">
        <f t="shared" ca="1" si="43"/>
        <v>N/A</v>
      </c>
      <c r="P158" s="63" t="str">
        <f t="shared" ca="1" si="43"/>
        <v>N/A</v>
      </c>
      <c r="Q158" s="63" t="str">
        <f t="shared" ca="1" si="43"/>
        <v>N/A</v>
      </c>
      <c r="R158" s="63" t="str">
        <f t="shared" ca="1" si="43"/>
        <v>N/A</v>
      </c>
      <c r="S158" s="63"/>
      <c r="T158" s="17"/>
      <c r="U158" s="17"/>
      <c r="V158" s="17"/>
    </row>
    <row r="159" spans="1:22" hidden="1">
      <c r="A159" s="51">
        <f t="shared" si="37"/>
        <v>0</v>
      </c>
      <c r="B159" s="46" t="e">
        <f t="shared" ca="1" si="38"/>
        <v>#N/A</v>
      </c>
      <c r="C159" s="1" t="str">
        <f>IF(ISERROR(D159),"",IF(D159="","",MAX($C$121:C158)+1))</f>
        <v/>
      </c>
      <c r="D159" t="e">
        <f t="shared" si="39"/>
        <v>#N/A</v>
      </c>
      <c r="E159" s="22"/>
      <c r="F159" s="63" t="e">
        <f t="shared" ca="1" si="42"/>
        <v>#DIV/0!</v>
      </c>
      <c r="G159" s="63" t="str">
        <f t="shared" si="40"/>
        <v>N/A</v>
      </c>
      <c r="H159" s="63" t="str">
        <f ca="1">IFERROR(VLOOKUP($A159,LASTYR,'2016'!$M$3,FALSE),"N/A")</f>
        <v>N/A</v>
      </c>
      <c r="I159" s="63" t="str">
        <f t="shared" ca="1" si="43"/>
        <v>N/A</v>
      </c>
      <c r="J159" s="63" t="str">
        <f t="shared" ca="1" si="43"/>
        <v>N/A</v>
      </c>
      <c r="K159" s="63" t="str">
        <f t="shared" ca="1" si="43"/>
        <v>N/A</v>
      </c>
      <c r="L159" s="63" t="str">
        <f t="shared" ca="1" si="43"/>
        <v>N/A</v>
      </c>
      <c r="M159" s="63" t="str">
        <f t="shared" ca="1" si="43"/>
        <v>N/A</v>
      </c>
      <c r="N159" s="63" t="str">
        <f t="shared" ca="1" si="43"/>
        <v>N/A</v>
      </c>
      <c r="O159" s="63" t="str">
        <f t="shared" ca="1" si="43"/>
        <v>N/A</v>
      </c>
      <c r="P159" s="63" t="str">
        <f t="shared" ca="1" si="43"/>
        <v>N/A</v>
      </c>
      <c r="Q159" s="63" t="str">
        <f t="shared" ca="1" si="43"/>
        <v>N/A</v>
      </c>
      <c r="R159" s="63" t="str">
        <f t="shared" ca="1" si="43"/>
        <v>N/A</v>
      </c>
      <c r="S159" s="63"/>
      <c r="T159" s="17"/>
      <c r="U159" s="17"/>
      <c r="V159" s="17"/>
    </row>
    <row r="160" spans="1:22" hidden="1">
      <c r="A160" s="51">
        <f t="shared" si="37"/>
        <v>0</v>
      </c>
      <c r="B160" s="46" t="e">
        <f t="shared" ca="1" si="38"/>
        <v>#N/A</v>
      </c>
      <c r="C160" s="1" t="str">
        <f>IF(ISERROR(D160),"",IF(D160="","",MAX($C$121:C159)+1))</f>
        <v/>
      </c>
      <c r="D160" t="e">
        <f t="shared" si="39"/>
        <v>#N/A</v>
      </c>
      <c r="E160" s="22"/>
      <c r="F160" s="63" t="e">
        <f t="shared" ca="1" si="42"/>
        <v>#DIV/0!</v>
      </c>
      <c r="G160" s="63" t="str">
        <f t="shared" si="40"/>
        <v>N/A</v>
      </c>
      <c r="H160" s="63" t="str">
        <f ca="1">IFERROR(VLOOKUP($A160,LASTYR,'2016'!$M$3,FALSE),"N/A")</f>
        <v>N/A</v>
      </c>
      <c r="I160" s="63" t="str">
        <f t="shared" ca="1" si="43"/>
        <v>N/A</v>
      </c>
      <c r="J160" s="63" t="str">
        <f t="shared" ca="1" si="43"/>
        <v>N/A</v>
      </c>
      <c r="K160" s="63" t="str">
        <f t="shared" ca="1" si="43"/>
        <v>N/A</v>
      </c>
      <c r="L160" s="63" t="str">
        <f t="shared" ca="1" si="43"/>
        <v>N/A</v>
      </c>
      <c r="M160" s="63" t="str">
        <f t="shared" ca="1" si="43"/>
        <v>N/A</v>
      </c>
      <c r="N160" s="63" t="str">
        <f t="shared" ca="1" si="43"/>
        <v>N/A</v>
      </c>
      <c r="O160" s="63" t="str">
        <f t="shared" ca="1" si="43"/>
        <v>N/A</v>
      </c>
      <c r="P160" s="63" t="str">
        <f t="shared" ca="1" si="43"/>
        <v>N/A</v>
      </c>
      <c r="Q160" s="63" t="str">
        <f t="shared" ca="1" si="43"/>
        <v>N/A</v>
      </c>
      <c r="R160" s="63" t="str">
        <f t="shared" ca="1" si="43"/>
        <v>N/A</v>
      </c>
      <c r="S160" s="63"/>
      <c r="T160" s="17"/>
      <c r="U160" s="17"/>
      <c r="V160" s="17"/>
    </row>
    <row r="161" spans="1:22" hidden="1">
      <c r="A161" s="51">
        <f t="shared" si="37"/>
        <v>0</v>
      </c>
      <c r="B161" s="46" t="e">
        <f t="shared" ca="1" si="38"/>
        <v>#N/A</v>
      </c>
      <c r="C161" s="1" t="str">
        <f>IF(ISERROR(D161),"",IF(D161="","",MAX($C$121:C160)+1))</f>
        <v/>
      </c>
      <c r="D161" t="e">
        <f t="shared" si="39"/>
        <v>#N/A</v>
      </c>
      <c r="E161" s="22"/>
      <c r="F161" s="63" t="e">
        <f t="shared" ca="1" si="42"/>
        <v>#DIV/0!</v>
      </c>
      <c r="G161" s="63" t="str">
        <f t="shared" si="40"/>
        <v>N/A</v>
      </c>
      <c r="H161" s="63" t="str">
        <f ca="1">IFERROR(VLOOKUP($A161,LASTYR,'2016'!$M$3,FALSE),"N/A")</f>
        <v>N/A</v>
      </c>
      <c r="I161" s="63" t="str">
        <f t="shared" ca="1" si="43"/>
        <v>N/A</v>
      </c>
      <c r="J161" s="63" t="str">
        <f t="shared" ca="1" si="43"/>
        <v>N/A</v>
      </c>
      <c r="K161" s="63" t="str">
        <f t="shared" ca="1" si="43"/>
        <v>N/A</v>
      </c>
      <c r="L161" s="63" t="str">
        <f t="shared" ca="1" si="43"/>
        <v>N/A</v>
      </c>
      <c r="M161" s="63" t="str">
        <f t="shared" ca="1" si="43"/>
        <v>N/A</v>
      </c>
      <c r="N161" s="63" t="str">
        <f t="shared" ca="1" si="43"/>
        <v>N/A</v>
      </c>
      <c r="O161" s="63" t="str">
        <f t="shared" ca="1" si="43"/>
        <v>N/A</v>
      </c>
      <c r="P161" s="63" t="str">
        <f t="shared" ca="1" si="43"/>
        <v>N/A</v>
      </c>
      <c r="Q161" s="63" t="str">
        <f t="shared" ca="1" si="43"/>
        <v>N/A</v>
      </c>
      <c r="R161" s="63" t="str">
        <f t="shared" ca="1" si="43"/>
        <v>N/A</v>
      </c>
      <c r="S161" s="63"/>
      <c r="T161" s="17"/>
      <c r="U161" s="17"/>
      <c r="V161" s="17"/>
    </row>
    <row r="162" spans="1:22" hidden="1">
      <c r="A162" s="51">
        <f t="shared" si="37"/>
        <v>0</v>
      </c>
      <c r="B162" s="46" t="e">
        <f t="shared" ca="1" si="38"/>
        <v>#N/A</v>
      </c>
      <c r="C162" s="1" t="str">
        <f>IF(ISERROR(D162),"",IF(D162="","",MAX($C$121:C161)+1))</f>
        <v/>
      </c>
      <c r="D162" t="e">
        <f t="shared" si="39"/>
        <v>#N/A</v>
      </c>
      <c r="E162" s="22"/>
      <c r="F162" s="63" t="e">
        <f t="shared" ca="1" si="42"/>
        <v>#DIV/0!</v>
      </c>
      <c r="G162" s="63" t="str">
        <f t="shared" si="40"/>
        <v>N/A</v>
      </c>
      <c r="H162" s="63" t="str">
        <f ca="1">IFERROR(VLOOKUP($A162,LASTYR,'2016'!$M$3,FALSE),"N/A")</f>
        <v>N/A</v>
      </c>
      <c r="I162" s="63" t="str">
        <f t="shared" ca="1" si="43"/>
        <v>N/A</v>
      </c>
      <c r="J162" s="63" t="str">
        <f t="shared" ca="1" si="43"/>
        <v>N/A</v>
      </c>
      <c r="K162" s="63" t="str">
        <f t="shared" ref="I162:R167" ca="1" si="44">IFERROR(IF(INDEX(MP_BV_WP,$B162,K$122)=0,"N/A",INDEX(MP_BV_WP,$B162,K$122)),"N/A")</f>
        <v>N/A</v>
      </c>
      <c r="L162" s="63" t="str">
        <f t="shared" ca="1" si="44"/>
        <v>N/A</v>
      </c>
      <c r="M162" s="63" t="str">
        <f t="shared" ca="1" si="44"/>
        <v>N/A</v>
      </c>
      <c r="N162" s="63" t="str">
        <f t="shared" ca="1" si="44"/>
        <v>N/A</v>
      </c>
      <c r="O162" s="63" t="str">
        <f t="shared" ca="1" si="44"/>
        <v>N/A</v>
      </c>
      <c r="P162" s="63" t="str">
        <f t="shared" ca="1" si="44"/>
        <v>N/A</v>
      </c>
      <c r="Q162" s="63" t="str">
        <f t="shared" ca="1" si="44"/>
        <v>N/A</v>
      </c>
      <c r="R162" s="63" t="str">
        <f t="shared" ca="1" si="44"/>
        <v>N/A</v>
      </c>
      <c r="S162" s="63"/>
      <c r="T162" s="17"/>
      <c r="U162" s="17"/>
      <c r="V162" s="17"/>
    </row>
    <row r="163" spans="1:22" hidden="1">
      <c r="A163" s="51">
        <f t="shared" si="37"/>
        <v>0</v>
      </c>
      <c r="B163" s="46" t="e">
        <f t="shared" ca="1" si="38"/>
        <v>#N/A</v>
      </c>
      <c r="C163" s="1" t="str">
        <f>IF(ISERROR(D163),"",IF(D163="","",MAX($C$121:C162)+1))</f>
        <v/>
      </c>
      <c r="D163" t="e">
        <f t="shared" si="39"/>
        <v>#N/A</v>
      </c>
      <c r="E163" s="22"/>
      <c r="F163" s="63" t="e">
        <f t="shared" ca="1" si="42"/>
        <v>#DIV/0!</v>
      </c>
      <c r="G163" s="63" t="str">
        <f t="shared" si="40"/>
        <v>N/A</v>
      </c>
      <c r="H163" s="63" t="str">
        <f ca="1">IFERROR(VLOOKUP($A163,LASTYR,'2016'!$M$3,FALSE),"N/A")</f>
        <v>N/A</v>
      </c>
      <c r="I163" s="63" t="str">
        <f t="shared" ca="1" si="44"/>
        <v>N/A</v>
      </c>
      <c r="J163" s="63" t="str">
        <f t="shared" ca="1" si="44"/>
        <v>N/A</v>
      </c>
      <c r="K163" s="63" t="str">
        <f t="shared" ca="1" si="44"/>
        <v>N/A</v>
      </c>
      <c r="L163" s="63" t="str">
        <f t="shared" ca="1" si="44"/>
        <v>N/A</v>
      </c>
      <c r="M163" s="63" t="str">
        <f t="shared" ca="1" si="44"/>
        <v>N/A</v>
      </c>
      <c r="N163" s="63" t="str">
        <f t="shared" ca="1" si="44"/>
        <v>N/A</v>
      </c>
      <c r="O163" s="63" t="str">
        <f t="shared" ca="1" si="44"/>
        <v>N/A</v>
      </c>
      <c r="P163" s="63" t="str">
        <f t="shared" ca="1" si="44"/>
        <v>N/A</v>
      </c>
      <c r="Q163" s="63" t="str">
        <f t="shared" ca="1" si="44"/>
        <v>N/A</v>
      </c>
      <c r="R163" s="63" t="str">
        <f t="shared" ca="1" si="44"/>
        <v>N/A</v>
      </c>
      <c r="S163" s="63"/>
      <c r="T163" s="17"/>
      <c r="U163" s="17"/>
      <c r="V163" s="17"/>
    </row>
    <row r="164" spans="1:22" hidden="1">
      <c r="A164" s="51">
        <f t="shared" si="37"/>
        <v>0</v>
      </c>
      <c r="B164" s="46" t="e">
        <f t="shared" ca="1" si="38"/>
        <v>#N/A</v>
      </c>
      <c r="C164" s="1" t="str">
        <f>IF(ISERROR(D164),"",IF(D164="","",MAX($C$121:C163)+1))</f>
        <v/>
      </c>
      <c r="D164" t="e">
        <f t="shared" si="39"/>
        <v>#N/A</v>
      </c>
      <c r="E164" s="22"/>
      <c r="F164" s="63" t="e">
        <f t="shared" ca="1" si="42"/>
        <v>#DIV/0!</v>
      </c>
      <c r="G164" s="63" t="str">
        <f t="shared" si="40"/>
        <v>N/A</v>
      </c>
      <c r="H164" s="63" t="str">
        <f ca="1">IFERROR(VLOOKUP($A164,LASTYR,'2016'!$M$3,FALSE),"N/A")</f>
        <v>N/A</v>
      </c>
      <c r="I164" s="63" t="str">
        <f t="shared" ca="1" si="44"/>
        <v>N/A</v>
      </c>
      <c r="J164" s="63" t="str">
        <f t="shared" ca="1" si="44"/>
        <v>N/A</v>
      </c>
      <c r="K164" s="63" t="str">
        <f t="shared" ca="1" si="44"/>
        <v>N/A</v>
      </c>
      <c r="L164" s="63" t="str">
        <f t="shared" ca="1" si="44"/>
        <v>N/A</v>
      </c>
      <c r="M164" s="63" t="str">
        <f t="shared" ca="1" si="44"/>
        <v>N/A</v>
      </c>
      <c r="N164" s="63" t="str">
        <f t="shared" ca="1" si="44"/>
        <v>N/A</v>
      </c>
      <c r="O164" s="63" t="str">
        <f t="shared" ca="1" si="44"/>
        <v>N/A</v>
      </c>
      <c r="P164" s="63" t="str">
        <f t="shared" ca="1" si="44"/>
        <v>N/A</v>
      </c>
      <c r="Q164" s="63" t="str">
        <f t="shared" ca="1" si="44"/>
        <v>N/A</v>
      </c>
      <c r="R164" s="63" t="str">
        <f t="shared" ca="1" si="44"/>
        <v>N/A</v>
      </c>
      <c r="S164" s="63"/>
      <c r="T164" s="17"/>
      <c r="U164" s="17"/>
      <c r="V164" s="17"/>
    </row>
    <row r="165" spans="1:22" hidden="1">
      <c r="A165" s="51">
        <f t="shared" si="37"/>
        <v>0</v>
      </c>
      <c r="B165" s="46" t="e">
        <f t="shared" ca="1" si="38"/>
        <v>#N/A</v>
      </c>
      <c r="C165" s="1" t="str">
        <f>IF(ISERROR(D165),"",IF(D165="","",MAX($C$121:C164)+1))</f>
        <v/>
      </c>
      <c r="D165" t="e">
        <f t="shared" si="39"/>
        <v>#N/A</v>
      </c>
      <c r="F165" s="63" t="e">
        <f t="shared" ca="1" si="42"/>
        <v>#DIV/0!</v>
      </c>
      <c r="G165" s="63" t="str">
        <f t="shared" si="40"/>
        <v>N/A</v>
      </c>
      <c r="H165" s="63" t="str">
        <f ca="1">IFERROR(VLOOKUP($A165,LASTYR,'2016'!$M$3,FALSE),"N/A")</f>
        <v>N/A</v>
      </c>
      <c r="I165" s="63" t="str">
        <f t="shared" ca="1" si="44"/>
        <v>N/A</v>
      </c>
      <c r="J165" s="63" t="str">
        <f t="shared" ca="1" si="44"/>
        <v>N/A</v>
      </c>
      <c r="K165" s="63" t="str">
        <f t="shared" ca="1" si="44"/>
        <v>N/A</v>
      </c>
      <c r="L165" s="63" t="str">
        <f t="shared" ca="1" si="44"/>
        <v>N/A</v>
      </c>
      <c r="M165" s="63" t="str">
        <f t="shared" ca="1" si="44"/>
        <v>N/A</v>
      </c>
      <c r="N165" s="63" t="str">
        <f t="shared" ca="1" si="44"/>
        <v>N/A</v>
      </c>
      <c r="O165" s="63" t="str">
        <f t="shared" ca="1" si="44"/>
        <v>N/A</v>
      </c>
      <c r="P165" s="63" t="str">
        <f t="shared" ca="1" si="44"/>
        <v>N/A</v>
      </c>
      <c r="Q165" s="63" t="str">
        <f t="shared" ca="1" si="44"/>
        <v>N/A</v>
      </c>
      <c r="R165" s="63" t="str">
        <f t="shared" ca="1" si="44"/>
        <v>N/A</v>
      </c>
      <c r="S165" s="63"/>
      <c r="T165" s="17"/>
      <c r="U165" s="17"/>
      <c r="V165" s="17"/>
    </row>
    <row r="166" spans="1:22" hidden="1">
      <c r="A166" s="51">
        <f t="shared" si="37"/>
        <v>0</v>
      </c>
      <c r="B166" s="46" t="e">
        <f t="shared" ca="1" si="38"/>
        <v>#N/A</v>
      </c>
      <c r="C166" s="1" t="str">
        <f>IF(ISERROR(D166),"",IF(D166="","",MAX($C$121:C165)+1))</f>
        <v/>
      </c>
      <c r="D166" t="e">
        <f t="shared" si="39"/>
        <v>#N/A</v>
      </c>
      <c r="F166" s="63" t="e">
        <f t="shared" ca="1" si="42"/>
        <v>#DIV/0!</v>
      </c>
      <c r="G166" s="63" t="str">
        <f t="shared" si="40"/>
        <v>N/A</v>
      </c>
      <c r="H166" s="63" t="str">
        <f ca="1">IFERROR(VLOOKUP($A166,LASTYR,'2016'!$M$3,FALSE),"N/A")</f>
        <v>N/A</v>
      </c>
      <c r="I166" s="63" t="str">
        <f t="shared" ca="1" si="44"/>
        <v>N/A</v>
      </c>
      <c r="J166" s="63" t="str">
        <f t="shared" ca="1" si="44"/>
        <v>N/A</v>
      </c>
      <c r="K166" s="63" t="str">
        <f t="shared" ca="1" si="44"/>
        <v>N/A</v>
      </c>
      <c r="L166" s="63" t="str">
        <f t="shared" ca="1" si="44"/>
        <v>N/A</v>
      </c>
      <c r="M166" s="63" t="str">
        <f t="shared" ca="1" si="44"/>
        <v>N/A</v>
      </c>
      <c r="N166" s="63" t="str">
        <f t="shared" ca="1" si="44"/>
        <v>N/A</v>
      </c>
      <c r="O166" s="63" t="str">
        <f t="shared" ca="1" si="44"/>
        <v>N/A</v>
      </c>
      <c r="P166" s="63" t="str">
        <f t="shared" ca="1" si="44"/>
        <v>N/A</v>
      </c>
      <c r="Q166" s="63" t="str">
        <f t="shared" ca="1" si="44"/>
        <v>N/A</v>
      </c>
      <c r="R166" s="63" t="str">
        <f t="shared" ca="1" si="44"/>
        <v>N/A</v>
      </c>
      <c r="S166" s="63"/>
      <c r="T166" s="17"/>
      <c r="U166" s="17"/>
      <c r="V166" s="17"/>
    </row>
    <row r="167" spans="1:22" hidden="1">
      <c r="A167" s="51">
        <f t="shared" si="37"/>
        <v>0</v>
      </c>
      <c r="B167" s="46" t="e">
        <f t="shared" ca="1" si="38"/>
        <v>#N/A</v>
      </c>
      <c r="C167" s="1" t="str">
        <f>IF(ISERROR(D167),"",IF(D167="","",MAX($C$121:C166)+1))</f>
        <v/>
      </c>
      <c r="D167" t="e">
        <f t="shared" si="39"/>
        <v>#N/A</v>
      </c>
      <c r="F167" s="63" t="e">
        <f t="shared" ca="1" si="42"/>
        <v>#DIV/0!</v>
      </c>
      <c r="G167" s="63" t="str">
        <f t="shared" si="40"/>
        <v>N/A</v>
      </c>
      <c r="H167" s="63" t="str">
        <f ca="1">IFERROR(VLOOKUP($A167,LASTYR,'2016'!$M$3,FALSE),"N/A")</f>
        <v>N/A</v>
      </c>
      <c r="I167" s="63" t="str">
        <f t="shared" ca="1" si="44"/>
        <v>N/A</v>
      </c>
      <c r="J167" s="63" t="str">
        <f t="shared" ca="1" si="44"/>
        <v>N/A</v>
      </c>
      <c r="K167" s="63" t="str">
        <f t="shared" ca="1" si="44"/>
        <v>N/A</v>
      </c>
      <c r="L167" s="63" t="str">
        <f t="shared" ca="1" si="44"/>
        <v>N/A</v>
      </c>
      <c r="M167" s="63" t="str">
        <f t="shared" ca="1" si="44"/>
        <v>N/A</v>
      </c>
      <c r="N167" s="63" t="str">
        <f t="shared" ca="1" si="44"/>
        <v>N/A</v>
      </c>
      <c r="O167" s="63" t="str">
        <f t="shared" ca="1" si="44"/>
        <v>N/A</v>
      </c>
      <c r="P167" s="63" t="str">
        <f t="shared" ca="1" si="44"/>
        <v>N/A</v>
      </c>
      <c r="Q167" s="63" t="str">
        <f t="shared" ca="1" si="44"/>
        <v>N/A</v>
      </c>
      <c r="R167" s="63" t="str">
        <f t="shared" ca="1" si="44"/>
        <v>N/A</v>
      </c>
      <c r="S167" s="63"/>
      <c r="T167" s="17"/>
      <c r="U167" s="17"/>
      <c r="V167" s="17"/>
    </row>
    <row r="168" spans="1:22">
      <c r="A168" s="31"/>
      <c r="B168" s="31"/>
      <c r="C168" s="1" t="str">
        <f>IF(ISERROR(D168),"",IF(D168="","",MAX($C$121:C167)+1))</f>
        <v/>
      </c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17"/>
      <c r="U168" s="17"/>
    </row>
    <row r="169" spans="1:22">
      <c r="A169" s="31"/>
      <c r="B169" s="31"/>
      <c r="C169" s="1">
        <f ca="1">IF(ISERROR(D169),"",IF(D169="","",MAX($C$121:C168)+1))</f>
        <v>12</v>
      </c>
      <c r="D169" t="s">
        <v>98</v>
      </c>
      <c r="F169" s="63">
        <f ca="1">AVERAGE(G169:R169)</f>
        <v>1.7534670650791739</v>
      </c>
      <c r="G169" s="63">
        <f t="shared" ref="G169:R169" si="45">AVERAGE(G123:G168)</f>
        <v>2.222732738219678</v>
      </c>
      <c r="H169" s="63">
        <f t="shared" ref="H169" ca="1" si="46">AVERAGE(H123:H168)</f>
        <v>2.0534953805338918</v>
      </c>
      <c r="I169" s="63">
        <f t="shared" ca="1" si="45"/>
        <v>1.8497881985370173</v>
      </c>
      <c r="J169" s="63">
        <f t="shared" ca="1" si="45"/>
        <v>1.7403991669272403</v>
      </c>
      <c r="K169" s="63">
        <f t="shared" ca="1" si="45"/>
        <v>1.7027758058195075</v>
      </c>
      <c r="L169" s="63">
        <f t="shared" ca="1" si="45"/>
        <v>1.6695030277117606</v>
      </c>
      <c r="M169" s="63">
        <f t="shared" ca="1" si="45"/>
        <v>1.6922518894635439</v>
      </c>
      <c r="N169" s="63">
        <f t="shared" ca="1" si="45"/>
        <v>1.5436563088574364</v>
      </c>
      <c r="O169" s="63">
        <f t="shared" ca="1" si="45"/>
        <v>1.4696059664087402</v>
      </c>
      <c r="P169" s="63">
        <f t="shared" ca="1" si="45"/>
        <v>1.6239894287107202</v>
      </c>
      <c r="Q169" s="63">
        <f t="shared" ca="1" si="45"/>
        <v>1.7751005075346367</v>
      </c>
      <c r="R169" s="63">
        <f t="shared" ca="1" si="45"/>
        <v>1.6983063622259151</v>
      </c>
      <c r="S169" s="63"/>
      <c r="T169" s="17"/>
      <c r="U169" s="17"/>
      <c r="V169" s="17"/>
    </row>
    <row r="170" spans="1:22">
      <c r="A170" s="31"/>
      <c r="B170" s="31"/>
      <c r="C170" s="1">
        <f ca="1">IF(ISERROR(D170),"",IF(D170="","",MAX($C$121:C169)+1))</f>
        <v>13</v>
      </c>
      <c r="D170" t="s">
        <v>257</v>
      </c>
      <c r="F170" s="63">
        <f ca="1">AVERAGE(G170:R170)</f>
        <v>1.7099364018387131</v>
      </c>
      <c r="G170" s="63">
        <f>MEDIAN(G123:G168)</f>
        <v>2.1186666666666665</v>
      </c>
      <c r="H170" s="63">
        <f t="shared" ref="H170" ca="1" si="47">MEDIAN(H123:H168)</f>
        <v>1.9644916366957812</v>
      </c>
      <c r="I170" s="63">
        <f t="shared" ref="I170:R170" ca="1" si="48">MEDIAN(I123:I168)</f>
        <v>1.7678522571819426</v>
      </c>
      <c r="J170" s="63">
        <f t="shared" ca="1" si="48"/>
        <v>1.6859740906826108</v>
      </c>
      <c r="K170" s="63">
        <f t="shared" ca="1" si="48"/>
        <v>1.6470674305191138</v>
      </c>
      <c r="L170" s="63">
        <f t="shared" ca="1" si="48"/>
        <v>1.5845043570678499</v>
      </c>
      <c r="M170" s="63">
        <f t="shared" ca="1" si="48"/>
        <v>1.6200003209818787</v>
      </c>
      <c r="N170" s="63">
        <f t="shared" ca="1" si="48"/>
        <v>1.4533619139382599</v>
      </c>
      <c r="O170" s="63">
        <f t="shared" ca="1" si="48"/>
        <v>1.5554466881030333</v>
      </c>
      <c r="P170" s="63">
        <f t="shared" ca="1" si="48"/>
        <v>1.6738848845046999</v>
      </c>
      <c r="Q170" s="63">
        <f t="shared" ca="1" si="48"/>
        <v>1.746885138392827</v>
      </c>
      <c r="R170" s="63">
        <f t="shared" ca="1" si="48"/>
        <v>1.7011014373298932</v>
      </c>
      <c r="S170" s="63"/>
      <c r="T170" s="17"/>
      <c r="U170" s="17"/>
      <c r="V170" s="17"/>
    </row>
    <row r="171" spans="1:22">
      <c r="A171" s="31"/>
      <c r="B171" s="31"/>
      <c r="C171" s="1"/>
    </row>
    <row r="172" spans="1:22">
      <c r="A172" s="31"/>
      <c r="B172" s="31"/>
      <c r="D172" s="18"/>
      <c r="E172" s="91"/>
    </row>
    <row r="173" spans="1:22">
      <c r="A173" s="31"/>
      <c r="B173" s="31"/>
      <c r="D173" s="20" t="s">
        <v>107</v>
      </c>
    </row>
    <row r="174" spans="1:22" ht="16.5">
      <c r="A174" s="31"/>
      <c r="B174" s="31"/>
      <c r="D174" s="79">
        <v>1</v>
      </c>
      <c r="E174" s="21" t="str">
        <f>"The Value Line Investment Survey Investment Analyzer Software, downloaded on "&amp;TEXT('2016'!$A$1,"mmmm d, yyyy.")</f>
        <v>The Value Line Investment Survey Investment Analyzer Software, downloaded on June 21, 2017.</v>
      </c>
    </row>
    <row r="175" spans="1:22" ht="16.5">
      <c r="A175" s="31"/>
      <c r="B175" s="31"/>
      <c r="D175" s="79">
        <v>2</v>
      </c>
      <c r="E175" s="21" t="str">
        <f>"The Value Line Investment Survey, "&amp;'2017 Data (WP)'!$D$2</f>
        <v>The Value Line Investment Survey, September 1, 2017.</v>
      </c>
    </row>
    <row r="176" spans="1:22">
      <c r="A176" s="31"/>
      <c r="B176" s="31"/>
      <c r="D176" s="20" t="s">
        <v>336</v>
      </c>
    </row>
    <row r="177" spans="1:5" ht="16.5">
      <c r="A177" s="31"/>
      <c r="B177" s="31"/>
      <c r="D177" s="79" t="s">
        <v>362</v>
      </c>
      <c r="E177" s="21" t="str">
        <f>"Based on the average of the high and low price for 2017 and the projected 2017 Cash Flow per share, published in The Value Line Investment Survey, "&amp;'2017 Data (WP)'!$D$2</f>
        <v>Based on the average of the high and low price for 2017 and the projected 2017 Cash Flow per share, published in The Value Line Investment Survey, September 1, 2017.</v>
      </c>
    </row>
    <row r="178" spans="1:5" ht="16.5">
      <c r="A178" s="31"/>
      <c r="B178" s="31"/>
      <c r="D178" s="79" t="s">
        <v>363</v>
      </c>
      <c r="E178" s="21" t="str">
        <f>"Based on the average of the high and low price for 2017 and the projected 2017 Book Value per share, published in The Value Line Investment Survey, "&amp;'2017 Data (WP)'!$D$2</f>
        <v>Based on the average of the high and low price for 2017 and the projected 2017 Book Value per share, published in The Value Line Investment Survey, September 1, 2017.</v>
      </c>
    </row>
    <row r="179" spans="1:5" ht="16.5">
      <c r="D179" s="79"/>
      <c r="E179" s="92"/>
    </row>
  </sheetData>
  <mergeCells count="9">
    <mergeCell ref="F118:V118"/>
    <mergeCell ref="D120:E120"/>
    <mergeCell ref="C4:V4"/>
    <mergeCell ref="C1:V1"/>
    <mergeCell ref="C5:V5"/>
    <mergeCell ref="F8:V8"/>
    <mergeCell ref="D10:E10"/>
    <mergeCell ref="F63:V63"/>
    <mergeCell ref="D65:E65"/>
  </mergeCells>
  <printOptions horizontalCentered="1"/>
  <pageMargins left="0.7" right="0.7" top="1" bottom="0.75" header="0.55000000000000004" footer="0.51"/>
  <pageSetup scale="57" fitToHeight="0" orientation="portrait" useFirstPageNumber="1" r:id="rId1"/>
  <headerFooter>
    <oddHeader>&amp;R&amp;17Exhibit MPG-2
Page 1 of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149"/>
  <sheetViews>
    <sheetView topLeftCell="A113" zoomScale="70" zoomScaleNormal="70" workbookViewId="0"/>
  </sheetViews>
  <sheetFormatPr defaultRowHeight="14.25"/>
  <cols>
    <col min="1" max="2" width="8" customWidth="1"/>
    <col min="3" max="3" width="4.75" bestFit="1" customWidth="1"/>
    <col min="4" max="4" width="1.75" customWidth="1"/>
    <col min="5" max="5" width="20.875" customWidth="1"/>
    <col min="6" max="18" width="9" customWidth="1"/>
  </cols>
  <sheetData>
    <row r="1" spans="1:18" ht="27.75">
      <c r="C1" s="140" t="str">
        <f>GasU</f>
        <v>Enter Utility Name Here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ht="20.25">
      <c r="C4" s="141" t="s">
        <v>274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ht="18">
      <c r="C5" s="142" t="s">
        <v>275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18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7.25">
      <c r="C8" s="6"/>
      <c r="D8" s="7"/>
      <c r="E8" s="7"/>
      <c r="F8" s="143" t="s">
        <v>403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</row>
    <row r="9" spans="1:18" ht="15">
      <c r="A9" s="42" t="s">
        <v>99</v>
      </c>
      <c r="B9" s="42" t="s">
        <v>241</v>
      </c>
      <c r="C9" s="6"/>
      <c r="D9" s="7"/>
      <c r="E9" s="7"/>
      <c r="F9" s="8" t="s">
        <v>258</v>
      </c>
      <c r="G9" s="117">
        <v>2017</v>
      </c>
      <c r="H9" s="8"/>
      <c r="I9" s="8"/>
      <c r="J9" s="8"/>
      <c r="K9" s="8"/>
      <c r="L9" s="8"/>
      <c r="M9" s="7"/>
      <c r="N9" s="7"/>
      <c r="O9" s="7"/>
      <c r="P9" s="7"/>
      <c r="Q9" s="7"/>
      <c r="R9" s="7"/>
    </row>
    <row r="10" spans="1:18" ht="17.25">
      <c r="A10" s="42" t="s">
        <v>100</v>
      </c>
      <c r="B10" s="42" t="s">
        <v>242</v>
      </c>
      <c r="C10" s="9" t="s">
        <v>96</v>
      </c>
      <c r="D10" s="138" t="s">
        <v>97</v>
      </c>
      <c r="E10" s="138"/>
      <c r="F10" s="10" t="s">
        <v>98</v>
      </c>
      <c r="G10" s="41" t="s">
        <v>330</v>
      </c>
      <c r="H10" s="41">
        <v>2016</v>
      </c>
      <c r="I10" s="41">
        <v>2015</v>
      </c>
      <c r="J10" s="41">
        <v>2014</v>
      </c>
      <c r="K10" s="41">
        <v>2013</v>
      </c>
      <c r="L10" s="41">
        <v>2012</v>
      </c>
      <c r="M10" s="41">
        <v>2011</v>
      </c>
      <c r="N10" s="41">
        <v>2010</v>
      </c>
      <c r="O10" s="41">
        <v>2009</v>
      </c>
      <c r="P10" s="41">
        <v>2008</v>
      </c>
      <c r="Q10" s="41">
        <v>2007</v>
      </c>
      <c r="R10" s="41">
        <v>2006</v>
      </c>
    </row>
    <row r="11" spans="1:18" ht="15">
      <c r="A11" s="42"/>
      <c r="B11" s="42"/>
      <c r="C11" s="9"/>
      <c r="D11" s="94"/>
      <c r="E11" s="94"/>
      <c r="F11" s="12">
        <v>-1</v>
      </c>
      <c r="G11" s="12">
        <f t="shared" ref="G11:R11" si="0">+F11-1</f>
        <v>-2</v>
      </c>
      <c r="H11" s="12">
        <f t="shared" si="0"/>
        <v>-3</v>
      </c>
      <c r="I11" s="12">
        <f t="shared" si="0"/>
        <v>-4</v>
      </c>
      <c r="J11" s="12">
        <f t="shared" si="0"/>
        <v>-5</v>
      </c>
      <c r="K11" s="12">
        <f t="shared" si="0"/>
        <v>-6</v>
      </c>
      <c r="L11" s="12">
        <f t="shared" si="0"/>
        <v>-7</v>
      </c>
      <c r="M11" s="12">
        <f t="shared" si="0"/>
        <v>-8</v>
      </c>
      <c r="N11" s="12">
        <f t="shared" si="0"/>
        <v>-9</v>
      </c>
      <c r="O11" s="12">
        <f t="shared" si="0"/>
        <v>-10</v>
      </c>
      <c r="P11" s="12">
        <f t="shared" si="0"/>
        <v>-11</v>
      </c>
      <c r="Q11" s="12">
        <f t="shared" si="0"/>
        <v>-12</v>
      </c>
      <c r="R11" s="12">
        <f t="shared" si="0"/>
        <v>-13</v>
      </c>
    </row>
    <row r="12" spans="1:18" ht="15">
      <c r="A12" s="43"/>
      <c r="B12" s="44"/>
      <c r="C12" s="9"/>
      <c r="D12" s="14" t="s">
        <v>101</v>
      </c>
      <c r="E12" s="11"/>
      <c r="F12" s="36"/>
      <c r="G12" s="36"/>
      <c r="H12" s="16">
        <f ca="1">MATCH(H10,OFFSET(DIV_BV_WP,-1,0,1,),0)</f>
        <v>6</v>
      </c>
      <c r="I12" s="16">
        <f t="shared" ref="I12:R12" ca="1" si="1">MATCH(I10,OFFSET(DIV_MP_WP,-1,0,1,),0)</f>
        <v>7</v>
      </c>
      <c r="J12" s="16">
        <f t="shared" ca="1" si="1"/>
        <v>8</v>
      </c>
      <c r="K12" s="16">
        <f t="shared" ca="1" si="1"/>
        <v>9</v>
      </c>
      <c r="L12" s="16">
        <f t="shared" ca="1" si="1"/>
        <v>10</v>
      </c>
      <c r="M12" s="16">
        <f t="shared" ca="1" si="1"/>
        <v>11</v>
      </c>
      <c r="N12" s="16">
        <f t="shared" ca="1" si="1"/>
        <v>12</v>
      </c>
      <c r="O12" s="16">
        <f t="shared" ca="1" si="1"/>
        <v>13</v>
      </c>
      <c r="P12" s="16">
        <f t="shared" ca="1" si="1"/>
        <v>14</v>
      </c>
      <c r="Q12" s="16">
        <f t="shared" ca="1" si="1"/>
        <v>15</v>
      </c>
      <c r="R12" s="16">
        <f t="shared" ca="1" si="1"/>
        <v>16</v>
      </c>
    </row>
    <row r="13" spans="1:18">
      <c r="A13" s="45" t="s">
        <v>175</v>
      </c>
      <c r="B13" s="118">
        <f t="shared" ref="B13:B57" ca="1" si="2">IFERROR(MATCH(A13,OFFSET(DIV_MP_WP,0,0,,1),0),"")</f>
        <v>9</v>
      </c>
      <c r="C13" s="1">
        <f ca="1">IF(ISERROR(D13),"",IF(D13="","",MAX($C$12:C12)+1))</f>
        <v>1</v>
      </c>
      <c r="D13" t="str">
        <f t="shared" ref="D13:D57" ca="1" si="3">VLOOKUP(A13,LUCurYr,2,FALSE)</f>
        <v>Atmos Energy</v>
      </c>
      <c r="E13" s="15"/>
      <c r="F13" s="80">
        <f t="shared" ref="F13:F57" ca="1" si="4">IFERROR(AVERAGE(G13:R13),"N/A")</f>
        <v>3.8418506350745778E-2</v>
      </c>
      <c r="G13" s="80">
        <f t="shared" ref="G13:G57" si="5">IFERROR(IF(VLOOKUP(A13,LUCurYr,18,FALSE)=0,"",VLOOKUP(A13,LUCurYr,18,FALSE)),"N/A")</f>
        <v>2.2332506203473948E-2</v>
      </c>
      <c r="H13" s="80">
        <f ca="1">IFERROR(VLOOKUP($A13,LASTYR,'2016'!$Q$3,FALSE),"N/A")</f>
        <v>2.389588222743759E-2</v>
      </c>
      <c r="I13" s="80">
        <f t="shared" ref="I13:R22" ca="1" si="6">IFERROR(INDEX(DIV_MP_WP,$B13,I$12),"N/A")</f>
        <v>2.8846687253832357E-2</v>
      </c>
      <c r="J13" s="80">
        <f t="shared" ca="1" si="6"/>
        <v>3.1070896227405369E-2</v>
      </c>
      <c r="K13" s="80">
        <f t="shared" ca="1" si="6"/>
        <v>3.527959075674722E-2</v>
      </c>
      <c r="L13" s="80">
        <f t="shared" ca="1" si="6"/>
        <v>4.1253138825780224E-2</v>
      </c>
      <c r="M13" s="80">
        <f t="shared" ca="1" si="6"/>
        <v>4.1920966648172124E-2</v>
      </c>
      <c r="N13" s="80">
        <f t="shared" ca="1" si="6"/>
        <v>4.6963165457540396E-2</v>
      </c>
      <c r="O13" s="80">
        <f t="shared" ca="1" si="6"/>
        <v>5.3441295546558708E-2</v>
      </c>
      <c r="P13" s="80">
        <f t="shared" ca="1" si="6"/>
        <v>4.7848651036107331E-2</v>
      </c>
      <c r="Q13" s="80">
        <f t="shared" ca="1" si="6"/>
        <v>4.1585445094217022E-2</v>
      </c>
      <c r="R13" s="80">
        <f t="shared" ca="1" si="6"/>
        <v>4.6583850931677023E-2</v>
      </c>
    </row>
    <row r="14" spans="1:18">
      <c r="A14" s="45" t="s">
        <v>178</v>
      </c>
      <c r="B14" s="118">
        <f t="shared" ca="1" si="2"/>
        <v>16</v>
      </c>
      <c r="C14" s="1">
        <f ca="1">IF(ISERROR(D14),"",IF(D14="","",MAX($C$12:C13)+1))</f>
        <v>2</v>
      </c>
      <c r="D14" t="str">
        <f t="shared" ca="1" si="3"/>
        <v>Chesapeake Utilities</v>
      </c>
      <c r="E14" s="15"/>
      <c r="F14" s="80">
        <f t="shared" ca="1" si="4"/>
        <v>3.10491261791099E-2</v>
      </c>
      <c r="G14" s="80">
        <f t="shared" si="5"/>
        <v>1.7585484996510817E-2</v>
      </c>
      <c r="H14" s="80">
        <f ca="1">IFERROR(VLOOKUP($A14,LASTYR,'2016'!$Q$3,FALSE),"N/A")</f>
        <v>1.9108791649939783E-2</v>
      </c>
      <c r="I14" s="80">
        <f t="shared" ca="1" si="6"/>
        <v>2.1828529107953774E-2</v>
      </c>
      <c r="J14" s="80">
        <f t="shared" ca="1" si="6"/>
        <v>2.4403631955721244E-2</v>
      </c>
      <c r="K14" s="80">
        <f t="shared" ca="1" si="6"/>
        <v>2.8692007024301816E-2</v>
      </c>
      <c r="L14" s="80">
        <f t="shared" ca="1" si="6"/>
        <v>3.2528038491512215E-2</v>
      </c>
      <c r="M14" s="80">
        <f t="shared" ca="1" si="6"/>
        <v>3.3594211458948614E-2</v>
      </c>
      <c r="N14" s="80">
        <f t="shared" ca="1" si="6"/>
        <v>3.9138062890818302E-2</v>
      </c>
      <c r="O14" s="80">
        <f t="shared" ca="1" si="6"/>
        <v>4.0927627376799482E-2</v>
      </c>
      <c r="P14" s="80">
        <f t="shared" ca="1" si="6"/>
        <v>4.0960308598111866E-2</v>
      </c>
      <c r="Q14" s="80">
        <f t="shared" ca="1" si="6"/>
        <v>3.6221492343988526E-2</v>
      </c>
      <c r="R14" s="80">
        <f t="shared" ca="1" si="6"/>
        <v>3.7601328254712373E-2</v>
      </c>
    </row>
    <row r="15" spans="1:18">
      <c r="A15" s="45" t="s">
        <v>190</v>
      </c>
      <c r="B15" s="118">
        <f t="shared" ca="1" si="2"/>
        <v>42</v>
      </c>
      <c r="C15" s="1">
        <f ca="1">IF(ISERROR(D15),"",IF(D15="","",MAX($C$12:C14)+1))</f>
        <v>3</v>
      </c>
      <c r="D15" t="str">
        <f t="shared" ca="1" si="3"/>
        <v>New Jersey Resources</v>
      </c>
      <c r="E15" s="15"/>
      <c r="F15" s="80">
        <f t="shared" ca="1" si="4"/>
        <v>3.2716331299442493E-2</v>
      </c>
      <c r="G15" s="80">
        <f t="shared" si="5"/>
        <v>2.6153846153846156E-2</v>
      </c>
      <c r="H15" s="80">
        <f ca="1">IFERROR(VLOOKUP($A15,LASTYR,'2016'!$Q$3,FALSE),"N/A")</f>
        <v>2.8644082658638527E-2</v>
      </c>
      <c r="I15" s="80">
        <f t="shared" ca="1" si="6"/>
        <v>3.1449731155523991E-2</v>
      </c>
      <c r="J15" s="80">
        <f t="shared" ca="1" si="6"/>
        <v>3.50366758185469E-2</v>
      </c>
      <c r="K15" s="80">
        <f t="shared" ca="1" si="6"/>
        <v>3.7127011046431686E-2</v>
      </c>
      <c r="L15" s="80">
        <f t="shared" ca="1" si="6"/>
        <v>3.3767486734201636E-2</v>
      </c>
      <c r="M15" s="80">
        <f t="shared" ca="1" si="6"/>
        <v>3.3311742389192191E-2</v>
      </c>
      <c r="N15" s="80">
        <f t="shared" ca="1" si="6"/>
        <v>3.689636462289745E-2</v>
      </c>
      <c r="O15" s="80">
        <f t="shared" ca="1" si="6"/>
        <v>3.461753210496929E-2</v>
      </c>
      <c r="P15" s="80">
        <f t="shared" ca="1" si="6"/>
        <v>3.3494266747133378E-2</v>
      </c>
      <c r="Q15" s="80">
        <f t="shared" ca="1" si="6"/>
        <v>3.0192949023344448E-2</v>
      </c>
      <c r="R15" s="80">
        <f t="shared" ca="1" si="6"/>
        <v>3.1904287138584245E-2</v>
      </c>
    </row>
    <row r="16" spans="1:18">
      <c r="A16" s="45" t="s">
        <v>26</v>
      </c>
      <c r="B16" s="118">
        <f t="shared" ca="1" si="2"/>
        <v>44</v>
      </c>
      <c r="C16" s="1">
        <f ca="1">IF(ISERROR(D16),"",IF(D16="","",MAX($C$12:C15)+1))</f>
        <v>4</v>
      </c>
      <c r="D16" t="str">
        <f t="shared" ca="1" si="3"/>
        <v>NiSource Inc.</v>
      </c>
      <c r="E16" s="15"/>
      <c r="F16" s="80">
        <f t="shared" ca="1" si="4"/>
        <v>4.2511325767519072E-2</v>
      </c>
      <c r="G16" s="80">
        <f t="shared" si="5"/>
        <v>2.874743326488706E-2</v>
      </c>
      <c r="H16" s="80">
        <f ca="1">IFERROR(VLOOKUP($A16,LASTYR,'2016'!$Q$3,FALSE),"N/A")</f>
        <v>2.7606435750334297E-2</v>
      </c>
      <c r="I16" s="80">
        <f t="shared" ca="1" si="6"/>
        <v>3.5283115116476783E-2</v>
      </c>
      <c r="J16" s="80">
        <f t="shared" ca="1" si="6"/>
        <v>2.6856947260328078E-2</v>
      </c>
      <c r="K16" s="80">
        <f t="shared" ca="1" si="6"/>
        <v>3.304670375990558E-2</v>
      </c>
      <c r="L16" s="80">
        <f t="shared" ca="1" si="6"/>
        <v>3.8395555918634097E-2</v>
      </c>
      <c r="M16" s="80">
        <f t="shared" ca="1" si="6"/>
        <v>4.525109438788058E-2</v>
      </c>
      <c r="N16" s="80">
        <f t="shared" ca="1" si="6"/>
        <v>5.6625838616359947E-2</v>
      </c>
      <c r="O16" s="80">
        <f t="shared" ca="1" si="6"/>
        <v>7.6405614151648538E-2</v>
      </c>
      <c r="P16" s="80">
        <f t="shared" ca="1" si="6"/>
        <v>5.6906043174367538E-2</v>
      </c>
      <c r="Q16" s="80">
        <f t="shared" ca="1" si="6"/>
        <v>4.2890442890442894E-2</v>
      </c>
      <c r="R16" s="80">
        <f t="shared" ca="1" si="6"/>
        <v>4.2120684918963466E-2</v>
      </c>
    </row>
    <row r="17" spans="1:18">
      <c r="A17" s="45" t="s">
        <v>192</v>
      </c>
      <c r="B17" s="118">
        <f t="shared" ca="1" si="2"/>
        <v>45</v>
      </c>
      <c r="C17" s="1">
        <f ca="1">IF(ISERROR(D17),"",IF(D17="","",MAX($C$12:C16)+1))</f>
        <v>5</v>
      </c>
      <c r="D17" t="str">
        <f t="shared" ca="1" si="3"/>
        <v>Northwest Nat. Gas</v>
      </c>
      <c r="E17" s="15"/>
      <c r="F17" s="80">
        <f t="shared" ca="1" si="4"/>
        <v>3.6545949883797363E-2</v>
      </c>
      <c r="G17" s="80">
        <f t="shared" si="5"/>
        <v>3.0693877551020408E-2</v>
      </c>
      <c r="H17" s="80">
        <f ca="1">IFERROR(VLOOKUP($A17,LASTYR,'2016'!$Q$3,FALSE),"N/A")</f>
        <v>3.2763333099726684E-2</v>
      </c>
      <c r="I17" s="80">
        <f t="shared" ca="1" si="6"/>
        <v>4.0055129640795939E-2</v>
      </c>
      <c r="J17" s="80">
        <f t="shared" ca="1" si="6"/>
        <v>4.1395359244590632E-2</v>
      </c>
      <c r="K17" s="80">
        <f t="shared" ca="1" si="6"/>
        <v>4.2156185210780933E-2</v>
      </c>
      <c r="L17" s="80">
        <f t="shared" ca="1" si="6"/>
        <v>3.8256855243753871E-2</v>
      </c>
      <c r="M17" s="80">
        <f t="shared" ca="1" si="6"/>
        <v>3.8500462005544064E-2</v>
      </c>
      <c r="N17" s="80">
        <f t="shared" ca="1" si="6"/>
        <v>3.6260036260036259E-2</v>
      </c>
      <c r="O17" s="80">
        <f t="shared" ca="1" si="6"/>
        <v>3.7261294829995344E-2</v>
      </c>
      <c r="P17" s="80">
        <f t="shared" ca="1" si="6"/>
        <v>3.2721245129485717E-2</v>
      </c>
      <c r="Q17" s="80">
        <f t="shared" ca="1" si="6"/>
        <v>3.1170180527295553E-2</v>
      </c>
      <c r="R17" s="80">
        <f t="shared" ca="1" si="6"/>
        <v>3.7317439862542955E-2</v>
      </c>
    </row>
    <row r="18" spans="1:18">
      <c r="A18" s="45" t="s">
        <v>353</v>
      </c>
      <c r="B18" s="118">
        <f t="shared" ca="1" si="2"/>
        <v>48</v>
      </c>
      <c r="C18" s="1">
        <f ca="1">IF(ISERROR(D18),"",IF(D18="","",MAX($C$12:C17)+1))</f>
        <v>6</v>
      </c>
      <c r="D18" t="str">
        <f t="shared" ca="1" si="3"/>
        <v>ONE Gas Inc.</v>
      </c>
      <c r="E18" s="15"/>
      <c r="F18" s="80">
        <f t="shared" ca="1" si="4"/>
        <v>2.4424986152044709E-2</v>
      </c>
      <c r="G18" s="80">
        <f t="shared" si="5"/>
        <v>2.4633431085043987E-2</v>
      </c>
      <c r="H18" s="80">
        <f ca="1">IFERROR(VLOOKUP($A18,LASTYR,'2016'!$Q$3,FALSE),"N/A")</f>
        <v>2.3233815158404832E-2</v>
      </c>
      <c r="I18" s="80">
        <f t="shared" ca="1" si="6"/>
        <v>2.7069704489059328E-2</v>
      </c>
      <c r="J18" s="80">
        <f t="shared" ca="1" si="6"/>
        <v>2.2762993875670694E-2</v>
      </c>
      <c r="K18" s="80" t="str">
        <f t="shared" ca="1" si="6"/>
        <v>N/A</v>
      </c>
      <c r="L18" s="80" t="str">
        <f t="shared" ca="1" si="6"/>
        <v>N/A</v>
      </c>
      <c r="M18" s="80" t="str">
        <f t="shared" ca="1" si="6"/>
        <v>N/A</v>
      </c>
      <c r="N18" s="80" t="str">
        <f t="shared" ca="1" si="6"/>
        <v>N/A</v>
      </c>
      <c r="O18" s="80" t="str">
        <f t="shared" ca="1" si="6"/>
        <v>N/A</v>
      </c>
      <c r="P18" s="80" t="str">
        <f t="shared" ca="1" si="6"/>
        <v>N/A</v>
      </c>
      <c r="Q18" s="80" t="str">
        <f t="shared" ca="1" si="6"/>
        <v>N/A</v>
      </c>
      <c r="R18" s="80" t="str">
        <f t="shared" ca="1" si="6"/>
        <v>N/A</v>
      </c>
    </row>
    <row r="19" spans="1:18">
      <c r="A19" s="45" t="s">
        <v>198</v>
      </c>
      <c r="B19" s="118">
        <f t="shared" ca="1" si="2"/>
        <v>61</v>
      </c>
      <c r="C19" s="1">
        <f ca="1">IF(ISERROR(D19),"",IF(D19="","",MAX($C$12:C18)+1))</f>
        <v>7</v>
      </c>
      <c r="D19" t="str">
        <f t="shared" ca="1" si="3"/>
        <v>South Jersey Inds.</v>
      </c>
      <c r="E19" s="15"/>
      <c r="F19" s="80">
        <f t="shared" ca="1" si="4"/>
        <v>3.2313794289220703E-2</v>
      </c>
      <c r="G19" s="80">
        <f t="shared" si="5"/>
        <v>3.1518624641833817E-2</v>
      </c>
      <c r="H19" s="80">
        <f ca="1">IFERROR(VLOOKUP($A19,LASTYR,'2016'!$Q$3,FALSE),"N/A")</f>
        <v>3.6429872495446269E-2</v>
      </c>
      <c r="I19" s="80">
        <f t="shared" ca="1" si="6"/>
        <v>3.9464520622146559E-2</v>
      </c>
      <c r="J19" s="80">
        <f t="shared" ca="1" si="6"/>
        <v>3.4014810615455478E-2</v>
      </c>
      <c r="K19" s="80">
        <f t="shared" ca="1" si="6"/>
        <v>3.1426775612822123E-2</v>
      </c>
      <c r="L19" s="80">
        <f t="shared" ca="1" si="6"/>
        <v>3.215622076707203E-2</v>
      </c>
      <c r="M19" s="80">
        <f t="shared" ca="1" si="6"/>
        <v>2.8083576724331611E-2</v>
      </c>
      <c r="N19" s="80">
        <f t="shared" ca="1" si="6"/>
        <v>2.996914940502424E-2</v>
      </c>
      <c r="O19" s="80">
        <f t="shared" ca="1" si="6"/>
        <v>3.4275439680845086E-2</v>
      </c>
      <c r="P19" s="80">
        <f t="shared" ca="1" si="6"/>
        <v>3.0759851465942473E-2</v>
      </c>
      <c r="Q19" s="80">
        <f t="shared" ca="1" si="6"/>
        <v>2.8127436782889606E-2</v>
      </c>
      <c r="R19" s="80">
        <f t="shared" ca="1" si="6"/>
        <v>3.1539252656839219E-2</v>
      </c>
    </row>
    <row r="20" spans="1:18">
      <c r="A20" s="45" t="s">
        <v>200</v>
      </c>
      <c r="B20" s="118">
        <f t="shared" ca="1" si="2"/>
        <v>63</v>
      </c>
      <c r="C20" s="1">
        <f ca="1">IF(ISERROR(D20),"",IF(D20="","",MAX($C$12:C19)+1))</f>
        <v>8</v>
      </c>
      <c r="D20" t="str">
        <f t="shared" ca="1" si="3"/>
        <v>Southwest Gas</v>
      </c>
      <c r="E20" s="15"/>
      <c r="F20" s="80">
        <f t="shared" ca="1" si="4"/>
        <v>2.8691713363230956E-2</v>
      </c>
      <c r="G20" s="80">
        <f t="shared" si="5"/>
        <v>2.4921334172435496E-2</v>
      </c>
      <c r="H20" s="80">
        <f ca="1">IFERROR(VLOOKUP($A20,LASTYR,'2016'!$Q$3,FALSE),"N/A")</f>
        <v>2.6153667325351623E-2</v>
      </c>
      <c r="I20" s="80">
        <f t="shared" ca="1" si="6"/>
        <v>2.866495620631691E-2</v>
      </c>
      <c r="J20" s="80">
        <f t="shared" ca="1" si="6"/>
        <v>2.7158243270894174E-2</v>
      </c>
      <c r="K20" s="80">
        <f t="shared" ca="1" si="6"/>
        <v>2.6936026936026935E-2</v>
      </c>
      <c r="L20" s="80">
        <f t="shared" ca="1" si="6"/>
        <v>2.750134010767474E-2</v>
      </c>
      <c r="M20" s="80">
        <f t="shared" ca="1" si="6"/>
        <v>2.7806196059914481E-2</v>
      </c>
      <c r="N20" s="80">
        <f t="shared" ca="1" si="6"/>
        <v>3.1535793125197095E-2</v>
      </c>
      <c r="O20" s="80">
        <f t="shared" ca="1" si="6"/>
        <v>4.0141975830305078E-2</v>
      </c>
      <c r="P20" s="80">
        <f t="shared" ca="1" si="6"/>
        <v>3.1944345850784414E-2</v>
      </c>
      <c r="Q20" s="80">
        <f t="shared" ca="1" si="6"/>
        <v>2.5551131974567709E-2</v>
      </c>
      <c r="R20" s="80">
        <f t="shared" ca="1" si="6"/>
        <v>2.5985549499302825E-2</v>
      </c>
    </row>
    <row r="21" spans="1:18">
      <c r="A21" s="45" t="s">
        <v>244</v>
      </c>
      <c r="B21" s="118">
        <f t="shared" ca="1" si="2"/>
        <v>64</v>
      </c>
      <c r="C21" s="1">
        <f ca="1">IF(ISERROR(D21),"",IF(D21="","",MAX($C$12:C20)+1))</f>
        <v>9</v>
      </c>
      <c r="D21" t="str">
        <f t="shared" ca="1" si="3"/>
        <v>Spire Inc.</v>
      </c>
      <c r="E21" s="15"/>
      <c r="F21" s="80">
        <f t="shared" ca="1" si="4"/>
        <v>3.9274220179336371E-2</v>
      </c>
      <c r="G21" s="80">
        <f t="shared" si="5"/>
        <v>3.0129124820659978E-2</v>
      </c>
      <c r="H21" s="80">
        <f ca="1">IFERROR(VLOOKUP($A21,LASTYR,'2016'!$Q$3,FALSE),"N/A")</f>
        <v>3.0841856805664831E-2</v>
      </c>
      <c r="I21" s="80">
        <f t="shared" ca="1" si="6"/>
        <v>3.5318054435870862E-2</v>
      </c>
      <c r="J21" s="80">
        <f t="shared" ca="1" si="6"/>
        <v>3.7829124126813544E-2</v>
      </c>
      <c r="K21" s="80">
        <f t="shared" ca="1" si="6"/>
        <v>3.9597503028044344E-2</v>
      </c>
      <c r="L21" s="80">
        <f t="shared" ca="1" si="6"/>
        <v>4.1146143168748754E-2</v>
      </c>
      <c r="M21" s="80">
        <f t="shared" ca="1" si="6"/>
        <v>4.3148500522606062E-2</v>
      </c>
      <c r="N21" s="80">
        <f t="shared" ca="1" si="6"/>
        <v>4.702710798262693E-2</v>
      </c>
      <c r="O21" s="80">
        <f t="shared" ca="1" si="6"/>
        <v>3.9134438305709028E-2</v>
      </c>
      <c r="P21" s="80">
        <f t="shared" ca="1" si="6"/>
        <v>3.9430507039271728E-2</v>
      </c>
      <c r="Q21" s="80">
        <f t="shared" ca="1" si="6"/>
        <v>4.425183874019592E-2</v>
      </c>
      <c r="R21" s="80">
        <f t="shared" ca="1" si="6"/>
        <v>4.3436443175824513E-2</v>
      </c>
    </row>
    <row r="22" spans="1:18">
      <c r="A22" s="45" t="s">
        <v>204</v>
      </c>
      <c r="B22" s="118">
        <f t="shared" ca="1" si="2"/>
        <v>66</v>
      </c>
      <c r="C22" s="1">
        <f ca="1">IF(ISERROR(D22),"",IF(D22="","",MAX($C$12:C21)+1))</f>
        <v>10</v>
      </c>
      <c r="D22" t="str">
        <f t="shared" ca="1" si="3"/>
        <v>UGI Corp.</v>
      </c>
      <c r="E22" s="15"/>
      <c r="F22" s="80">
        <f t="shared" ca="1" si="4"/>
        <v>2.8842411988696314E-2</v>
      </c>
      <c r="G22" s="80">
        <f t="shared" si="5"/>
        <v>1.9587628865979381E-2</v>
      </c>
      <c r="H22" s="80">
        <f ca="1">IFERROR(VLOOKUP($A22,LASTYR,'2016'!$Q$3,FALSE),"N/A")</f>
        <v>2.3471216212805696E-2</v>
      </c>
      <c r="I22" s="80">
        <f t="shared" ca="1" si="6"/>
        <v>2.499648925712681E-2</v>
      </c>
      <c r="J22" s="80">
        <f t="shared" ca="1" si="6"/>
        <v>2.6066038357608911E-2</v>
      </c>
      <c r="K22" s="80">
        <f t="shared" ca="1" si="6"/>
        <v>3.0095981779729948E-2</v>
      </c>
      <c r="L22" s="80">
        <f t="shared" ca="1" si="6"/>
        <v>3.6801832283587528E-2</v>
      </c>
      <c r="M22" s="80">
        <f t="shared" ca="1" si="6"/>
        <v>3.2956913681965787E-2</v>
      </c>
      <c r="N22" s="80">
        <f t="shared" ca="1" si="6"/>
        <v>3.4804803062822666E-2</v>
      </c>
      <c r="O22" s="80">
        <f t="shared" ca="1" si="6"/>
        <v>3.2295912066197363E-2</v>
      </c>
      <c r="P22" s="80">
        <f t="shared" ca="1" si="6"/>
        <v>2.8496969010254378E-2</v>
      </c>
      <c r="Q22" s="80">
        <f t="shared" ca="1" si="6"/>
        <v>2.6916620033575821E-2</v>
      </c>
      <c r="R22" s="80">
        <f t="shared" ca="1" si="6"/>
        <v>2.9618539252701474E-2</v>
      </c>
    </row>
    <row r="23" spans="1:18">
      <c r="A23" s="45" t="s">
        <v>206</v>
      </c>
      <c r="B23" s="118">
        <f t="shared" ca="1" si="2"/>
        <v>73</v>
      </c>
      <c r="C23" s="1">
        <f ca="1">IF(ISERROR(D23),"",IF(D23="","",MAX($C$12:C22)+1))</f>
        <v>11</v>
      </c>
      <c r="D23" t="str">
        <f t="shared" ca="1" si="3"/>
        <v>WGL Holdings Inc.</v>
      </c>
      <c r="E23" s="15"/>
      <c r="F23" s="80">
        <f t="shared" ca="1" si="4"/>
        <v>3.9061811394878243E-2</v>
      </c>
      <c r="G23" s="80">
        <f t="shared" si="5"/>
        <v>2.5187032418952617E-2</v>
      </c>
      <c r="H23" s="80">
        <f ca="1">IFERROR(VLOOKUP($A23,LASTYR,'2016'!$Q$3,FALSE),"N/A")</f>
        <v>2.9439580219042676E-2</v>
      </c>
      <c r="I23" s="80">
        <f t="shared" ref="I23:R32" ca="1" si="7">IFERROR(INDEX(DIV_MP_WP,$B23,I$12),"N/A")</f>
        <v>3.4080116207609361E-2</v>
      </c>
      <c r="J23" s="80">
        <f t="shared" ca="1" si="7"/>
        <v>4.2359315355251816E-2</v>
      </c>
      <c r="K23" s="80">
        <f t="shared" ca="1" si="7"/>
        <v>3.9387827737572663E-2</v>
      </c>
      <c r="L23" s="80">
        <f t="shared" ca="1" si="7"/>
        <v>3.8857254576113789E-2</v>
      </c>
      <c r="M23" s="80">
        <f t="shared" ca="1" si="7"/>
        <v>4.0588666596836701E-2</v>
      </c>
      <c r="N23" s="80">
        <f t="shared" ca="1" si="7"/>
        <v>4.3729228616407205E-2</v>
      </c>
      <c r="O23" s="80">
        <f t="shared" ca="1" si="7"/>
        <v>4.6171241912180409E-2</v>
      </c>
      <c r="P23" s="80">
        <f t="shared" ca="1" si="7"/>
        <v>4.2240422404224043E-2</v>
      </c>
      <c r="Q23" s="80">
        <f t="shared" ca="1" si="7"/>
        <v>4.1855758616460195E-2</v>
      </c>
      <c r="R23" s="80">
        <f t="shared" ca="1" si="7"/>
        <v>4.4845292077887434E-2</v>
      </c>
    </row>
    <row r="24" spans="1:18" hidden="1">
      <c r="A24" s="45"/>
      <c r="B24" s="118" t="str">
        <f t="shared" ca="1" si="2"/>
        <v/>
      </c>
      <c r="C24" s="1" t="str">
        <f>IF(ISERROR(D24),"",IF(D24="","",MAX($C$12:C23)+1))</f>
        <v/>
      </c>
      <c r="D24" t="e">
        <f t="shared" si="3"/>
        <v>#N/A</v>
      </c>
      <c r="E24" s="15"/>
      <c r="F24" s="80" t="str">
        <f t="shared" ca="1" si="4"/>
        <v>N/A</v>
      </c>
      <c r="G24" s="80" t="str">
        <f t="shared" si="5"/>
        <v>N/A</v>
      </c>
      <c r="H24" s="80" t="str">
        <f ca="1">IFERROR(VLOOKUP($A24,LASTYR,'2016'!$Q$3,FALSE),"N/A")</f>
        <v>N/A</v>
      </c>
      <c r="I24" s="80" t="str">
        <f t="shared" ca="1" si="7"/>
        <v>N/A</v>
      </c>
      <c r="J24" s="80" t="str">
        <f t="shared" ca="1" si="7"/>
        <v>N/A</v>
      </c>
      <c r="K24" s="80" t="str">
        <f t="shared" ca="1" si="7"/>
        <v>N/A</v>
      </c>
      <c r="L24" s="80" t="str">
        <f t="shared" ca="1" si="7"/>
        <v>N/A</v>
      </c>
      <c r="M24" s="80" t="str">
        <f t="shared" ca="1" si="7"/>
        <v>N/A</v>
      </c>
      <c r="N24" s="80" t="str">
        <f t="shared" ca="1" si="7"/>
        <v>N/A</v>
      </c>
      <c r="O24" s="80" t="str">
        <f t="shared" ca="1" si="7"/>
        <v>N/A</v>
      </c>
      <c r="P24" s="80" t="str">
        <f t="shared" ca="1" si="7"/>
        <v>N/A</v>
      </c>
      <c r="Q24" s="80" t="str">
        <f t="shared" ca="1" si="7"/>
        <v>N/A</v>
      </c>
      <c r="R24" s="80" t="str">
        <f t="shared" ca="1" si="7"/>
        <v>N/A</v>
      </c>
    </row>
    <row r="25" spans="1:18" hidden="1">
      <c r="A25" s="45"/>
      <c r="B25" s="118" t="str">
        <f t="shared" ca="1" si="2"/>
        <v/>
      </c>
      <c r="C25" s="1" t="str">
        <f>IF(ISERROR(D25),"",IF(D25="","",MAX($C$12:C24)+1))</f>
        <v/>
      </c>
      <c r="D25" t="e">
        <f t="shared" si="3"/>
        <v>#N/A</v>
      </c>
      <c r="E25" s="15"/>
      <c r="F25" s="80" t="str">
        <f t="shared" ca="1" si="4"/>
        <v>N/A</v>
      </c>
      <c r="G25" s="80" t="str">
        <f t="shared" si="5"/>
        <v>N/A</v>
      </c>
      <c r="H25" s="80" t="str">
        <f ca="1">IFERROR(VLOOKUP($A25,LASTYR,'2016'!$Q$3,FALSE),"N/A")</f>
        <v>N/A</v>
      </c>
      <c r="I25" s="80" t="str">
        <f t="shared" ca="1" si="7"/>
        <v>N/A</v>
      </c>
      <c r="J25" s="80" t="str">
        <f t="shared" ca="1" si="7"/>
        <v>N/A</v>
      </c>
      <c r="K25" s="80" t="str">
        <f t="shared" ca="1" si="7"/>
        <v>N/A</v>
      </c>
      <c r="L25" s="80" t="str">
        <f t="shared" ca="1" si="7"/>
        <v>N/A</v>
      </c>
      <c r="M25" s="80" t="str">
        <f t="shared" ca="1" si="7"/>
        <v>N/A</v>
      </c>
      <c r="N25" s="80" t="str">
        <f t="shared" ca="1" si="7"/>
        <v>N/A</v>
      </c>
      <c r="O25" s="80" t="str">
        <f t="shared" ca="1" si="7"/>
        <v>N/A</v>
      </c>
      <c r="P25" s="80" t="str">
        <f t="shared" ca="1" si="7"/>
        <v>N/A</v>
      </c>
      <c r="Q25" s="80" t="str">
        <f t="shared" ca="1" si="7"/>
        <v>N/A</v>
      </c>
      <c r="R25" s="80" t="str">
        <f t="shared" ca="1" si="7"/>
        <v>N/A</v>
      </c>
    </row>
    <row r="26" spans="1:18" hidden="1">
      <c r="A26" s="45"/>
      <c r="B26" s="118" t="str">
        <f t="shared" ca="1" si="2"/>
        <v/>
      </c>
      <c r="C26" s="1" t="str">
        <f>IF(ISERROR(D26),"",IF(D26="","",MAX($C$12:C25)+1))</f>
        <v/>
      </c>
      <c r="D26" t="e">
        <f t="shared" si="3"/>
        <v>#N/A</v>
      </c>
      <c r="E26" s="15"/>
      <c r="F26" s="80" t="str">
        <f t="shared" ca="1" si="4"/>
        <v>N/A</v>
      </c>
      <c r="G26" s="80" t="str">
        <f t="shared" si="5"/>
        <v>N/A</v>
      </c>
      <c r="H26" s="80" t="str">
        <f ca="1">IFERROR(VLOOKUP($A26,LASTYR,'2016'!$Q$3,FALSE),"N/A")</f>
        <v>N/A</v>
      </c>
      <c r="I26" s="80" t="str">
        <f t="shared" ca="1" si="7"/>
        <v>N/A</v>
      </c>
      <c r="J26" s="80" t="str">
        <f t="shared" ca="1" si="7"/>
        <v>N/A</v>
      </c>
      <c r="K26" s="80" t="str">
        <f t="shared" ca="1" si="7"/>
        <v>N/A</v>
      </c>
      <c r="L26" s="80" t="str">
        <f t="shared" ca="1" si="7"/>
        <v>N/A</v>
      </c>
      <c r="M26" s="80" t="str">
        <f t="shared" ca="1" si="7"/>
        <v>N/A</v>
      </c>
      <c r="N26" s="80" t="str">
        <f t="shared" ca="1" si="7"/>
        <v>N/A</v>
      </c>
      <c r="O26" s="80" t="str">
        <f t="shared" ca="1" si="7"/>
        <v>N/A</v>
      </c>
      <c r="P26" s="80" t="str">
        <f t="shared" ca="1" si="7"/>
        <v>N/A</v>
      </c>
      <c r="Q26" s="80" t="str">
        <f t="shared" ca="1" si="7"/>
        <v>N/A</v>
      </c>
      <c r="R26" s="80" t="str">
        <f t="shared" ca="1" si="7"/>
        <v>N/A</v>
      </c>
    </row>
    <row r="27" spans="1:18" hidden="1">
      <c r="A27" s="45"/>
      <c r="B27" s="118" t="str">
        <f t="shared" ca="1" si="2"/>
        <v/>
      </c>
      <c r="C27" s="1" t="str">
        <f>IF(ISERROR(D27),"",IF(D27="","",MAX($C$12:C26)+1))</f>
        <v/>
      </c>
      <c r="D27" t="e">
        <f t="shared" si="3"/>
        <v>#N/A</v>
      </c>
      <c r="E27" s="15"/>
      <c r="F27" s="80" t="str">
        <f t="shared" ca="1" si="4"/>
        <v>N/A</v>
      </c>
      <c r="G27" s="80" t="str">
        <f t="shared" si="5"/>
        <v>N/A</v>
      </c>
      <c r="H27" s="80" t="str">
        <f ca="1">IFERROR(VLOOKUP($A27,LASTYR,'2016'!$Q$3,FALSE),"N/A")</f>
        <v>N/A</v>
      </c>
      <c r="I27" s="80" t="str">
        <f t="shared" ca="1" si="7"/>
        <v>N/A</v>
      </c>
      <c r="J27" s="80" t="str">
        <f t="shared" ca="1" si="7"/>
        <v>N/A</v>
      </c>
      <c r="K27" s="80" t="str">
        <f t="shared" ca="1" si="7"/>
        <v>N/A</v>
      </c>
      <c r="L27" s="80" t="str">
        <f t="shared" ca="1" si="7"/>
        <v>N/A</v>
      </c>
      <c r="M27" s="80" t="str">
        <f t="shared" ca="1" si="7"/>
        <v>N/A</v>
      </c>
      <c r="N27" s="80" t="str">
        <f t="shared" ca="1" si="7"/>
        <v>N/A</v>
      </c>
      <c r="O27" s="80" t="str">
        <f t="shared" ca="1" si="7"/>
        <v>N/A</v>
      </c>
      <c r="P27" s="80" t="str">
        <f t="shared" ca="1" si="7"/>
        <v>N/A</v>
      </c>
      <c r="Q27" s="80" t="str">
        <f t="shared" ca="1" si="7"/>
        <v>N/A</v>
      </c>
      <c r="R27" s="80" t="str">
        <f t="shared" ca="1" si="7"/>
        <v>N/A</v>
      </c>
    </row>
    <row r="28" spans="1:18" hidden="1">
      <c r="A28" s="45"/>
      <c r="B28" s="118" t="str">
        <f t="shared" ca="1" si="2"/>
        <v/>
      </c>
      <c r="C28" s="1" t="str">
        <f>IF(ISERROR(D28),"",IF(D28="","",MAX($C$12:C27)+1))</f>
        <v/>
      </c>
      <c r="D28" t="e">
        <f t="shared" si="3"/>
        <v>#N/A</v>
      </c>
      <c r="E28" s="15"/>
      <c r="F28" s="80" t="str">
        <f t="shared" ca="1" si="4"/>
        <v>N/A</v>
      </c>
      <c r="G28" s="80" t="str">
        <f t="shared" si="5"/>
        <v>N/A</v>
      </c>
      <c r="H28" s="80" t="str">
        <f ca="1">IFERROR(VLOOKUP($A28,LASTYR,'2016'!$Q$3,FALSE),"N/A")</f>
        <v>N/A</v>
      </c>
      <c r="I28" s="80" t="str">
        <f t="shared" ca="1" si="7"/>
        <v>N/A</v>
      </c>
      <c r="J28" s="80" t="str">
        <f t="shared" ca="1" si="7"/>
        <v>N/A</v>
      </c>
      <c r="K28" s="80" t="str">
        <f t="shared" ca="1" si="7"/>
        <v>N/A</v>
      </c>
      <c r="L28" s="80" t="str">
        <f t="shared" ca="1" si="7"/>
        <v>N/A</v>
      </c>
      <c r="M28" s="80" t="str">
        <f t="shared" ca="1" si="7"/>
        <v>N/A</v>
      </c>
      <c r="N28" s="80" t="str">
        <f t="shared" ca="1" si="7"/>
        <v>N/A</v>
      </c>
      <c r="O28" s="80" t="str">
        <f t="shared" ca="1" si="7"/>
        <v>N/A</v>
      </c>
      <c r="P28" s="80" t="str">
        <f t="shared" ca="1" si="7"/>
        <v>N/A</v>
      </c>
      <c r="Q28" s="80" t="str">
        <f t="shared" ca="1" si="7"/>
        <v>N/A</v>
      </c>
      <c r="R28" s="80" t="str">
        <f t="shared" ca="1" si="7"/>
        <v>N/A</v>
      </c>
    </row>
    <row r="29" spans="1:18" hidden="1">
      <c r="A29" s="45"/>
      <c r="B29" s="118" t="str">
        <f t="shared" ca="1" si="2"/>
        <v/>
      </c>
      <c r="C29" s="1" t="str">
        <f>IF(ISERROR(D29),"",IF(D29="","",MAX($C$12:C28)+1))</f>
        <v/>
      </c>
      <c r="D29" t="e">
        <f t="shared" si="3"/>
        <v>#N/A</v>
      </c>
      <c r="E29" s="15"/>
      <c r="F29" s="80" t="str">
        <f t="shared" ca="1" si="4"/>
        <v>N/A</v>
      </c>
      <c r="G29" s="80" t="str">
        <f t="shared" si="5"/>
        <v>N/A</v>
      </c>
      <c r="H29" s="80" t="str">
        <f ca="1">IFERROR(VLOOKUP($A29,LASTYR,'2016'!$Q$3,FALSE),"N/A")</f>
        <v>N/A</v>
      </c>
      <c r="I29" s="80" t="str">
        <f t="shared" ca="1" si="7"/>
        <v>N/A</v>
      </c>
      <c r="J29" s="80" t="str">
        <f t="shared" ca="1" si="7"/>
        <v>N/A</v>
      </c>
      <c r="K29" s="80" t="str">
        <f t="shared" ca="1" si="7"/>
        <v>N/A</v>
      </c>
      <c r="L29" s="80" t="str">
        <f t="shared" ca="1" si="7"/>
        <v>N/A</v>
      </c>
      <c r="M29" s="80" t="str">
        <f t="shared" ca="1" si="7"/>
        <v>N/A</v>
      </c>
      <c r="N29" s="80" t="str">
        <f t="shared" ca="1" si="7"/>
        <v>N/A</v>
      </c>
      <c r="O29" s="80" t="str">
        <f t="shared" ca="1" si="7"/>
        <v>N/A</v>
      </c>
      <c r="P29" s="80" t="str">
        <f t="shared" ca="1" si="7"/>
        <v>N/A</v>
      </c>
      <c r="Q29" s="80" t="str">
        <f t="shared" ca="1" si="7"/>
        <v>N/A</v>
      </c>
      <c r="R29" s="80" t="str">
        <f t="shared" ca="1" si="7"/>
        <v>N/A</v>
      </c>
    </row>
    <row r="30" spans="1:18" hidden="1">
      <c r="A30" s="45"/>
      <c r="B30" s="118" t="str">
        <f t="shared" ca="1" si="2"/>
        <v/>
      </c>
      <c r="C30" s="1" t="str">
        <f>IF(ISERROR(D30),"",IF(D30="","",MAX($C$12:C29)+1))</f>
        <v/>
      </c>
      <c r="D30" t="e">
        <f t="shared" si="3"/>
        <v>#N/A</v>
      </c>
      <c r="E30" s="15"/>
      <c r="F30" s="80" t="str">
        <f t="shared" ca="1" si="4"/>
        <v>N/A</v>
      </c>
      <c r="G30" s="80" t="str">
        <f t="shared" si="5"/>
        <v>N/A</v>
      </c>
      <c r="H30" s="80" t="str">
        <f ca="1">IFERROR(VLOOKUP($A30,LASTYR,'2016'!$Q$3,FALSE),"N/A")</f>
        <v>N/A</v>
      </c>
      <c r="I30" s="80" t="str">
        <f t="shared" ca="1" si="7"/>
        <v>N/A</v>
      </c>
      <c r="J30" s="80" t="str">
        <f t="shared" ca="1" si="7"/>
        <v>N/A</v>
      </c>
      <c r="K30" s="80" t="str">
        <f t="shared" ca="1" si="7"/>
        <v>N/A</v>
      </c>
      <c r="L30" s="80" t="str">
        <f t="shared" ca="1" si="7"/>
        <v>N/A</v>
      </c>
      <c r="M30" s="80" t="str">
        <f t="shared" ca="1" si="7"/>
        <v>N/A</v>
      </c>
      <c r="N30" s="80" t="str">
        <f t="shared" ca="1" si="7"/>
        <v>N/A</v>
      </c>
      <c r="O30" s="80" t="str">
        <f t="shared" ca="1" si="7"/>
        <v>N/A</v>
      </c>
      <c r="P30" s="80" t="str">
        <f t="shared" ca="1" si="7"/>
        <v>N/A</v>
      </c>
      <c r="Q30" s="80" t="str">
        <f t="shared" ca="1" si="7"/>
        <v>N/A</v>
      </c>
      <c r="R30" s="80" t="str">
        <f t="shared" ca="1" si="7"/>
        <v>N/A</v>
      </c>
    </row>
    <row r="31" spans="1:18" hidden="1">
      <c r="A31" s="45"/>
      <c r="B31" s="118" t="str">
        <f t="shared" ca="1" si="2"/>
        <v/>
      </c>
      <c r="C31" s="1" t="str">
        <f>IF(ISERROR(D31),"",IF(D31="","",MAX($C$12:C30)+1))</f>
        <v/>
      </c>
      <c r="D31" t="e">
        <f t="shared" si="3"/>
        <v>#N/A</v>
      </c>
      <c r="E31" s="15"/>
      <c r="F31" s="80" t="str">
        <f t="shared" ca="1" si="4"/>
        <v>N/A</v>
      </c>
      <c r="G31" s="80" t="str">
        <f t="shared" si="5"/>
        <v>N/A</v>
      </c>
      <c r="H31" s="80" t="str">
        <f ca="1">IFERROR(VLOOKUP($A31,LASTYR,'2016'!$Q$3,FALSE),"N/A")</f>
        <v>N/A</v>
      </c>
      <c r="I31" s="80" t="str">
        <f t="shared" ca="1" si="7"/>
        <v>N/A</v>
      </c>
      <c r="J31" s="80" t="str">
        <f t="shared" ca="1" si="7"/>
        <v>N/A</v>
      </c>
      <c r="K31" s="80" t="str">
        <f t="shared" ca="1" si="7"/>
        <v>N/A</v>
      </c>
      <c r="L31" s="80" t="str">
        <f t="shared" ca="1" si="7"/>
        <v>N/A</v>
      </c>
      <c r="M31" s="80" t="str">
        <f t="shared" ca="1" si="7"/>
        <v>N/A</v>
      </c>
      <c r="N31" s="80" t="str">
        <f t="shared" ca="1" si="7"/>
        <v>N/A</v>
      </c>
      <c r="O31" s="80" t="str">
        <f t="shared" ca="1" si="7"/>
        <v>N/A</v>
      </c>
      <c r="P31" s="80" t="str">
        <f t="shared" ca="1" si="7"/>
        <v>N/A</v>
      </c>
      <c r="Q31" s="80" t="str">
        <f t="shared" ca="1" si="7"/>
        <v>N/A</v>
      </c>
      <c r="R31" s="80" t="str">
        <f t="shared" ca="1" si="7"/>
        <v>N/A</v>
      </c>
    </row>
    <row r="32" spans="1:18" hidden="1">
      <c r="A32" s="45"/>
      <c r="B32" s="118" t="str">
        <f t="shared" ca="1" si="2"/>
        <v/>
      </c>
      <c r="C32" s="1" t="str">
        <f>IF(ISERROR(D32),"",IF(D32="","",MAX($C$12:C31)+1))</f>
        <v/>
      </c>
      <c r="D32" t="e">
        <f t="shared" si="3"/>
        <v>#N/A</v>
      </c>
      <c r="E32" s="15"/>
      <c r="F32" s="80" t="str">
        <f t="shared" ca="1" si="4"/>
        <v>N/A</v>
      </c>
      <c r="G32" s="80" t="str">
        <f t="shared" si="5"/>
        <v>N/A</v>
      </c>
      <c r="H32" s="80" t="str">
        <f ca="1">IFERROR(VLOOKUP($A32,LASTYR,'2016'!$Q$3,FALSE),"N/A")</f>
        <v>N/A</v>
      </c>
      <c r="I32" s="80" t="str">
        <f t="shared" ca="1" si="7"/>
        <v>N/A</v>
      </c>
      <c r="J32" s="80" t="str">
        <f t="shared" ca="1" si="7"/>
        <v>N/A</v>
      </c>
      <c r="K32" s="80" t="str">
        <f t="shared" ca="1" si="7"/>
        <v>N/A</v>
      </c>
      <c r="L32" s="80" t="str">
        <f t="shared" ca="1" si="7"/>
        <v>N/A</v>
      </c>
      <c r="M32" s="80" t="str">
        <f t="shared" ca="1" si="7"/>
        <v>N/A</v>
      </c>
      <c r="N32" s="80" t="str">
        <f t="shared" ca="1" si="7"/>
        <v>N/A</v>
      </c>
      <c r="O32" s="80" t="str">
        <f t="shared" ca="1" si="7"/>
        <v>N/A</v>
      </c>
      <c r="P32" s="80" t="str">
        <f t="shared" ca="1" si="7"/>
        <v>N/A</v>
      </c>
      <c r="Q32" s="80" t="str">
        <f t="shared" ca="1" si="7"/>
        <v>N/A</v>
      </c>
      <c r="R32" s="80" t="str">
        <f t="shared" ca="1" si="7"/>
        <v>N/A</v>
      </c>
    </row>
    <row r="33" spans="1:18" hidden="1">
      <c r="A33" s="45"/>
      <c r="B33" s="118" t="str">
        <f t="shared" ca="1" si="2"/>
        <v/>
      </c>
      <c r="C33" s="1" t="str">
        <f>IF(ISERROR(D33),"",IF(D33="","",MAX($C$12:C32)+1))</f>
        <v/>
      </c>
      <c r="D33" t="e">
        <f t="shared" si="3"/>
        <v>#N/A</v>
      </c>
      <c r="E33" s="15"/>
      <c r="F33" s="80" t="str">
        <f t="shared" ca="1" si="4"/>
        <v>N/A</v>
      </c>
      <c r="G33" s="80" t="str">
        <f t="shared" si="5"/>
        <v>N/A</v>
      </c>
      <c r="H33" s="80" t="str">
        <f ca="1">IFERROR(VLOOKUP($A33,LASTYR,'2016'!$Q$3,FALSE),"N/A")</f>
        <v>N/A</v>
      </c>
      <c r="I33" s="80" t="str">
        <f t="shared" ref="I33:R42" ca="1" si="8">IFERROR(INDEX(DIV_MP_WP,$B33,I$12),"N/A")</f>
        <v>N/A</v>
      </c>
      <c r="J33" s="80" t="str">
        <f t="shared" ca="1" si="8"/>
        <v>N/A</v>
      </c>
      <c r="K33" s="80" t="str">
        <f t="shared" ca="1" si="8"/>
        <v>N/A</v>
      </c>
      <c r="L33" s="80" t="str">
        <f t="shared" ca="1" si="8"/>
        <v>N/A</v>
      </c>
      <c r="M33" s="80" t="str">
        <f t="shared" ca="1" si="8"/>
        <v>N/A</v>
      </c>
      <c r="N33" s="80" t="str">
        <f t="shared" ca="1" si="8"/>
        <v>N/A</v>
      </c>
      <c r="O33" s="80" t="str">
        <f t="shared" ca="1" si="8"/>
        <v>N/A</v>
      </c>
      <c r="P33" s="80" t="str">
        <f t="shared" ca="1" si="8"/>
        <v>N/A</v>
      </c>
      <c r="Q33" s="80" t="str">
        <f t="shared" ca="1" si="8"/>
        <v>N/A</v>
      </c>
      <c r="R33" s="80" t="str">
        <f t="shared" ca="1" si="8"/>
        <v>N/A</v>
      </c>
    </row>
    <row r="34" spans="1:18" hidden="1">
      <c r="A34" s="45"/>
      <c r="B34" s="118" t="str">
        <f t="shared" ca="1" si="2"/>
        <v/>
      </c>
      <c r="C34" s="1" t="str">
        <f>IF(ISERROR(D34),"",IF(D34="","",MAX($C$12:C33)+1))</f>
        <v/>
      </c>
      <c r="D34" t="e">
        <f t="shared" si="3"/>
        <v>#N/A</v>
      </c>
      <c r="E34" s="15"/>
      <c r="F34" s="80" t="str">
        <f t="shared" ca="1" si="4"/>
        <v>N/A</v>
      </c>
      <c r="G34" s="80" t="str">
        <f t="shared" si="5"/>
        <v>N/A</v>
      </c>
      <c r="H34" s="80" t="str">
        <f ca="1">IFERROR(VLOOKUP($A34,LASTYR,'2016'!$Q$3,FALSE),"N/A")</f>
        <v>N/A</v>
      </c>
      <c r="I34" s="80" t="str">
        <f t="shared" ca="1" si="8"/>
        <v>N/A</v>
      </c>
      <c r="J34" s="80" t="str">
        <f t="shared" ca="1" si="8"/>
        <v>N/A</v>
      </c>
      <c r="K34" s="80" t="str">
        <f t="shared" ca="1" si="8"/>
        <v>N/A</v>
      </c>
      <c r="L34" s="80" t="str">
        <f t="shared" ca="1" si="8"/>
        <v>N/A</v>
      </c>
      <c r="M34" s="80" t="str">
        <f t="shared" ca="1" si="8"/>
        <v>N/A</v>
      </c>
      <c r="N34" s="80" t="str">
        <f t="shared" ca="1" si="8"/>
        <v>N/A</v>
      </c>
      <c r="O34" s="80" t="str">
        <f t="shared" ca="1" si="8"/>
        <v>N/A</v>
      </c>
      <c r="P34" s="80" t="str">
        <f t="shared" ca="1" si="8"/>
        <v>N/A</v>
      </c>
      <c r="Q34" s="80" t="str">
        <f t="shared" ca="1" si="8"/>
        <v>N/A</v>
      </c>
      <c r="R34" s="80" t="str">
        <f t="shared" ca="1" si="8"/>
        <v>N/A</v>
      </c>
    </row>
    <row r="35" spans="1:18" hidden="1">
      <c r="A35" s="45"/>
      <c r="B35" s="118" t="str">
        <f t="shared" ca="1" si="2"/>
        <v/>
      </c>
      <c r="C35" s="1" t="str">
        <f>IF(ISERROR(D35),"",IF(D35="","",MAX($C$12:C34)+1))</f>
        <v/>
      </c>
      <c r="D35" t="e">
        <f t="shared" si="3"/>
        <v>#N/A</v>
      </c>
      <c r="E35" s="15"/>
      <c r="F35" s="80" t="str">
        <f t="shared" ca="1" si="4"/>
        <v>N/A</v>
      </c>
      <c r="G35" s="80" t="str">
        <f t="shared" si="5"/>
        <v>N/A</v>
      </c>
      <c r="H35" s="80" t="str">
        <f ca="1">IFERROR(VLOOKUP($A35,LASTYR,'2016'!$Q$3,FALSE),"N/A")</f>
        <v>N/A</v>
      </c>
      <c r="I35" s="80" t="str">
        <f t="shared" ca="1" si="8"/>
        <v>N/A</v>
      </c>
      <c r="J35" s="80" t="str">
        <f t="shared" ca="1" si="8"/>
        <v>N/A</v>
      </c>
      <c r="K35" s="80" t="str">
        <f t="shared" ca="1" si="8"/>
        <v>N/A</v>
      </c>
      <c r="L35" s="80" t="str">
        <f t="shared" ca="1" si="8"/>
        <v>N/A</v>
      </c>
      <c r="M35" s="80" t="str">
        <f t="shared" ca="1" si="8"/>
        <v>N/A</v>
      </c>
      <c r="N35" s="80" t="str">
        <f t="shared" ca="1" si="8"/>
        <v>N/A</v>
      </c>
      <c r="O35" s="80" t="str">
        <f t="shared" ca="1" si="8"/>
        <v>N/A</v>
      </c>
      <c r="P35" s="80" t="str">
        <f t="shared" ca="1" si="8"/>
        <v>N/A</v>
      </c>
      <c r="Q35" s="80" t="str">
        <f t="shared" ca="1" si="8"/>
        <v>N/A</v>
      </c>
      <c r="R35" s="80" t="str">
        <f t="shared" ca="1" si="8"/>
        <v>N/A</v>
      </c>
    </row>
    <row r="36" spans="1:18" hidden="1">
      <c r="A36" s="45"/>
      <c r="B36" s="118" t="str">
        <f t="shared" ca="1" si="2"/>
        <v/>
      </c>
      <c r="C36" s="1" t="str">
        <f>IF(ISERROR(D36),"",IF(D36="","",MAX($C$12:C35)+1))</f>
        <v/>
      </c>
      <c r="D36" t="e">
        <f t="shared" si="3"/>
        <v>#N/A</v>
      </c>
      <c r="E36" s="15"/>
      <c r="F36" s="80" t="str">
        <f t="shared" ca="1" si="4"/>
        <v>N/A</v>
      </c>
      <c r="G36" s="80" t="str">
        <f t="shared" si="5"/>
        <v>N/A</v>
      </c>
      <c r="H36" s="80" t="str">
        <f ca="1">IFERROR(VLOOKUP($A36,LASTYR,'2016'!$Q$3,FALSE),"N/A")</f>
        <v>N/A</v>
      </c>
      <c r="I36" s="80" t="str">
        <f t="shared" ca="1" si="8"/>
        <v>N/A</v>
      </c>
      <c r="J36" s="80" t="str">
        <f t="shared" ca="1" si="8"/>
        <v>N/A</v>
      </c>
      <c r="K36" s="80" t="str">
        <f t="shared" ca="1" si="8"/>
        <v>N/A</v>
      </c>
      <c r="L36" s="80" t="str">
        <f t="shared" ca="1" si="8"/>
        <v>N/A</v>
      </c>
      <c r="M36" s="80" t="str">
        <f t="shared" ca="1" si="8"/>
        <v>N/A</v>
      </c>
      <c r="N36" s="80" t="str">
        <f t="shared" ca="1" si="8"/>
        <v>N/A</v>
      </c>
      <c r="O36" s="80" t="str">
        <f t="shared" ca="1" si="8"/>
        <v>N/A</v>
      </c>
      <c r="P36" s="80" t="str">
        <f t="shared" ca="1" si="8"/>
        <v>N/A</v>
      </c>
      <c r="Q36" s="80" t="str">
        <f t="shared" ca="1" si="8"/>
        <v>N/A</v>
      </c>
      <c r="R36" s="80" t="str">
        <f t="shared" ca="1" si="8"/>
        <v>N/A</v>
      </c>
    </row>
    <row r="37" spans="1:18" hidden="1">
      <c r="A37" s="45"/>
      <c r="B37" s="118" t="str">
        <f t="shared" ca="1" si="2"/>
        <v/>
      </c>
      <c r="C37" s="1" t="str">
        <f>IF(ISERROR(D37),"",IF(D37="","",MAX($C$12:C36)+1))</f>
        <v/>
      </c>
      <c r="D37" t="e">
        <f t="shared" si="3"/>
        <v>#N/A</v>
      </c>
      <c r="E37" s="15"/>
      <c r="F37" s="80" t="str">
        <f t="shared" ca="1" si="4"/>
        <v>N/A</v>
      </c>
      <c r="G37" s="80" t="str">
        <f t="shared" si="5"/>
        <v>N/A</v>
      </c>
      <c r="H37" s="80" t="str">
        <f ca="1">IFERROR(VLOOKUP($A37,LASTYR,'2016'!$Q$3,FALSE),"N/A")</f>
        <v>N/A</v>
      </c>
      <c r="I37" s="80" t="str">
        <f t="shared" ca="1" si="8"/>
        <v>N/A</v>
      </c>
      <c r="J37" s="80" t="str">
        <f t="shared" ca="1" si="8"/>
        <v>N/A</v>
      </c>
      <c r="K37" s="80" t="str">
        <f t="shared" ca="1" si="8"/>
        <v>N/A</v>
      </c>
      <c r="L37" s="80" t="str">
        <f t="shared" ca="1" si="8"/>
        <v>N/A</v>
      </c>
      <c r="M37" s="80" t="str">
        <f t="shared" ca="1" si="8"/>
        <v>N/A</v>
      </c>
      <c r="N37" s="80" t="str">
        <f t="shared" ca="1" si="8"/>
        <v>N/A</v>
      </c>
      <c r="O37" s="80" t="str">
        <f t="shared" ca="1" si="8"/>
        <v>N/A</v>
      </c>
      <c r="P37" s="80" t="str">
        <f t="shared" ca="1" si="8"/>
        <v>N/A</v>
      </c>
      <c r="Q37" s="80" t="str">
        <f t="shared" ca="1" si="8"/>
        <v>N/A</v>
      </c>
      <c r="R37" s="80" t="str">
        <f t="shared" ca="1" si="8"/>
        <v>N/A</v>
      </c>
    </row>
    <row r="38" spans="1:18" hidden="1">
      <c r="A38" s="45"/>
      <c r="B38" s="118" t="str">
        <f t="shared" ca="1" si="2"/>
        <v/>
      </c>
      <c r="C38" s="1" t="str">
        <f>IF(ISERROR(D38),"",IF(D38="","",MAX($C$12:C37)+1))</f>
        <v/>
      </c>
      <c r="D38" t="e">
        <f t="shared" si="3"/>
        <v>#N/A</v>
      </c>
      <c r="E38" s="15"/>
      <c r="F38" s="80" t="str">
        <f t="shared" ca="1" si="4"/>
        <v>N/A</v>
      </c>
      <c r="G38" s="80" t="str">
        <f t="shared" si="5"/>
        <v>N/A</v>
      </c>
      <c r="H38" s="80" t="str">
        <f ca="1">IFERROR(VLOOKUP($A38,LASTYR,'2016'!$Q$3,FALSE),"N/A")</f>
        <v>N/A</v>
      </c>
      <c r="I38" s="80" t="str">
        <f t="shared" ca="1" si="8"/>
        <v>N/A</v>
      </c>
      <c r="J38" s="80" t="str">
        <f t="shared" ca="1" si="8"/>
        <v>N/A</v>
      </c>
      <c r="K38" s="80" t="str">
        <f t="shared" ca="1" si="8"/>
        <v>N/A</v>
      </c>
      <c r="L38" s="80" t="str">
        <f t="shared" ca="1" si="8"/>
        <v>N/A</v>
      </c>
      <c r="M38" s="80" t="str">
        <f t="shared" ca="1" si="8"/>
        <v>N/A</v>
      </c>
      <c r="N38" s="80" t="str">
        <f t="shared" ca="1" si="8"/>
        <v>N/A</v>
      </c>
      <c r="O38" s="80" t="str">
        <f t="shared" ca="1" si="8"/>
        <v>N/A</v>
      </c>
      <c r="P38" s="80" t="str">
        <f t="shared" ca="1" si="8"/>
        <v>N/A</v>
      </c>
      <c r="Q38" s="80" t="str">
        <f t="shared" ca="1" si="8"/>
        <v>N/A</v>
      </c>
      <c r="R38" s="80" t="str">
        <f t="shared" ca="1" si="8"/>
        <v>N/A</v>
      </c>
    </row>
    <row r="39" spans="1:18" hidden="1">
      <c r="A39" s="45"/>
      <c r="B39" s="118" t="str">
        <f t="shared" ca="1" si="2"/>
        <v/>
      </c>
      <c r="C39" s="1" t="str">
        <f>IF(ISERROR(D39),"",IF(D39="","",MAX($C$12:C38)+1))</f>
        <v/>
      </c>
      <c r="D39" t="e">
        <f t="shared" si="3"/>
        <v>#N/A</v>
      </c>
      <c r="E39" s="15"/>
      <c r="F39" s="80" t="str">
        <f t="shared" ca="1" si="4"/>
        <v>N/A</v>
      </c>
      <c r="G39" s="80" t="str">
        <f t="shared" si="5"/>
        <v>N/A</v>
      </c>
      <c r="H39" s="80" t="str">
        <f ca="1">IFERROR(VLOOKUP($A39,LASTYR,'2016'!$Q$3,FALSE),"N/A")</f>
        <v>N/A</v>
      </c>
      <c r="I39" s="80" t="str">
        <f t="shared" ca="1" si="8"/>
        <v>N/A</v>
      </c>
      <c r="J39" s="80" t="str">
        <f t="shared" ca="1" si="8"/>
        <v>N/A</v>
      </c>
      <c r="K39" s="80" t="str">
        <f t="shared" ca="1" si="8"/>
        <v>N/A</v>
      </c>
      <c r="L39" s="80" t="str">
        <f t="shared" ca="1" si="8"/>
        <v>N/A</v>
      </c>
      <c r="M39" s="80" t="str">
        <f t="shared" ca="1" si="8"/>
        <v>N/A</v>
      </c>
      <c r="N39" s="80" t="str">
        <f t="shared" ca="1" si="8"/>
        <v>N/A</v>
      </c>
      <c r="O39" s="80" t="str">
        <f t="shared" ca="1" si="8"/>
        <v>N/A</v>
      </c>
      <c r="P39" s="80" t="str">
        <f t="shared" ca="1" si="8"/>
        <v>N/A</v>
      </c>
      <c r="Q39" s="80" t="str">
        <f t="shared" ca="1" si="8"/>
        <v>N/A</v>
      </c>
      <c r="R39" s="80" t="str">
        <f t="shared" ca="1" si="8"/>
        <v>N/A</v>
      </c>
    </row>
    <row r="40" spans="1:18" hidden="1">
      <c r="A40" s="45"/>
      <c r="B40" s="118" t="str">
        <f t="shared" ca="1" si="2"/>
        <v/>
      </c>
      <c r="C40" s="1" t="str">
        <f>IF(ISERROR(D40),"",IF(D40="","",MAX($C$12:C39)+1))</f>
        <v/>
      </c>
      <c r="D40" t="e">
        <f t="shared" si="3"/>
        <v>#N/A</v>
      </c>
      <c r="E40" s="15"/>
      <c r="F40" s="80" t="str">
        <f t="shared" ca="1" si="4"/>
        <v>N/A</v>
      </c>
      <c r="G40" s="80" t="str">
        <f t="shared" si="5"/>
        <v>N/A</v>
      </c>
      <c r="H40" s="80" t="str">
        <f ca="1">IFERROR(VLOOKUP($A40,LASTYR,'2016'!$Q$3,FALSE),"N/A")</f>
        <v>N/A</v>
      </c>
      <c r="I40" s="80" t="str">
        <f t="shared" ca="1" si="8"/>
        <v>N/A</v>
      </c>
      <c r="J40" s="80" t="str">
        <f t="shared" ca="1" si="8"/>
        <v>N/A</v>
      </c>
      <c r="K40" s="80" t="str">
        <f t="shared" ca="1" si="8"/>
        <v>N/A</v>
      </c>
      <c r="L40" s="80" t="str">
        <f t="shared" ca="1" si="8"/>
        <v>N/A</v>
      </c>
      <c r="M40" s="80" t="str">
        <f t="shared" ca="1" si="8"/>
        <v>N/A</v>
      </c>
      <c r="N40" s="80" t="str">
        <f t="shared" ca="1" si="8"/>
        <v>N/A</v>
      </c>
      <c r="O40" s="80" t="str">
        <f t="shared" ca="1" si="8"/>
        <v>N/A</v>
      </c>
      <c r="P40" s="80" t="str">
        <f t="shared" ca="1" si="8"/>
        <v>N/A</v>
      </c>
      <c r="Q40" s="80" t="str">
        <f t="shared" ca="1" si="8"/>
        <v>N/A</v>
      </c>
      <c r="R40" s="80" t="str">
        <f t="shared" ca="1" si="8"/>
        <v>N/A</v>
      </c>
    </row>
    <row r="41" spans="1:18" hidden="1">
      <c r="A41" s="45"/>
      <c r="B41" s="118" t="str">
        <f t="shared" ca="1" si="2"/>
        <v/>
      </c>
      <c r="C41" s="1" t="str">
        <f>IF(ISERROR(D41),"",IF(D41="","",MAX($C$12:C40)+1))</f>
        <v/>
      </c>
      <c r="D41" t="e">
        <f t="shared" si="3"/>
        <v>#N/A</v>
      </c>
      <c r="E41" s="15"/>
      <c r="F41" s="80" t="str">
        <f t="shared" ca="1" si="4"/>
        <v>N/A</v>
      </c>
      <c r="G41" s="80" t="str">
        <f t="shared" si="5"/>
        <v>N/A</v>
      </c>
      <c r="H41" s="80" t="str">
        <f ca="1">IFERROR(VLOOKUP($A41,LASTYR,'2016'!$Q$3,FALSE),"N/A")</f>
        <v>N/A</v>
      </c>
      <c r="I41" s="80" t="str">
        <f t="shared" ca="1" si="8"/>
        <v>N/A</v>
      </c>
      <c r="J41" s="80" t="str">
        <f t="shared" ca="1" si="8"/>
        <v>N/A</v>
      </c>
      <c r="K41" s="80" t="str">
        <f t="shared" ca="1" si="8"/>
        <v>N/A</v>
      </c>
      <c r="L41" s="80" t="str">
        <f t="shared" ca="1" si="8"/>
        <v>N/A</v>
      </c>
      <c r="M41" s="80" t="str">
        <f t="shared" ca="1" si="8"/>
        <v>N/A</v>
      </c>
      <c r="N41" s="80" t="str">
        <f t="shared" ca="1" si="8"/>
        <v>N/A</v>
      </c>
      <c r="O41" s="80" t="str">
        <f t="shared" ca="1" si="8"/>
        <v>N/A</v>
      </c>
      <c r="P41" s="80" t="str">
        <f t="shared" ca="1" si="8"/>
        <v>N/A</v>
      </c>
      <c r="Q41" s="80" t="str">
        <f t="shared" ca="1" si="8"/>
        <v>N/A</v>
      </c>
      <c r="R41" s="80" t="str">
        <f t="shared" ca="1" si="8"/>
        <v>N/A</v>
      </c>
    </row>
    <row r="42" spans="1:18" hidden="1">
      <c r="A42" s="45"/>
      <c r="B42" s="118" t="str">
        <f t="shared" ca="1" si="2"/>
        <v/>
      </c>
      <c r="C42" s="1" t="str">
        <f>IF(ISERROR(D42),"",IF(D42="","",MAX($C$12:C41)+1))</f>
        <v/>
      </c>
      <c r="D42" t="e">
        <f t="shared" si="3"/>
        <v>#N/A</v>
      </c>
      <c r="E42" s="15"/>
      <c r="F42" s="80" t="str">
        <f t="shared" ca="1" si="4"/>
        <v>N/A</v>
      </c>
      <c r="G42" s="80" t="str">
        <f t="shared" si="5"/>
        <v>N/A</v>
      </c>
      <c r="H42" s="80" t="str">
        <f ca="1">IFERROR(VLOOKUP($A42,LASTYR,'2016'!$Q$3,FALSE),"N/A")</f>
        <v>N/A</v>
      </c>
      <c r="I42" s="80" t="str">
        <f t="shared" ca="1" si="8"/>
        <v>N/A</v>
      </c>
      <c r="J42" s="80" t="str">
        <f t="shared" ca="1" si="8"/>
        <v>N/A</v>
      </c>
      <c r="K42" s="80" t="str">
        <f t="shared" ca="1" si="8"/>
        <v>N/A</v>
      </c>
      <c r="L42" s="80" t="str">
        <f t="shared" ca="1" si="8"/>
        <v>N/A</v>
      </c>
      <c r="M42" s="80" t="str">
        <f t="shared" ca="1" si="8"/>
        <v>N/A</v>
      </c>
      <c r="N42" s="80" t="str">
        <f t="shared" ca="1" si="8"/>
        <v>N/A</v>
      </c>
      <c r="O42" s="80" t="str">
        <f t="shared" ca="1" si="8"/>
        <v>N/A</v>
      </c>
      <c r="P42" s="80" t="str">
        <f t="shared" ca="1" si="8"/>
        <v>N/A</v>
      </c>
      <c r="Q42" s="80" t="str">
        <f t="shared" ca="1" si="8"/>
        <v>N/A</v>
      </c>
      <c r="R42" s="80" t="str">
        <f t="shared" ca="1" si="8"/>
        <v>N/A</v>
      </c>
    </row>
    <row r="43" spans="1:18" hidden="1">
      <c r="A43" s="45"/>
      <c r="B43" s="118" t="str">
        <f t="shared" ca="1" si="2"/>
        <v/>
      </c>
      <c r="C43" s="1" t="str">
        <f>IF(ISERROR(D43),"",IF(D43="","",MAX($C$12:C42)+1))</f>
        <v/>
      </c>
      <c r="D43" t="e">
        <f t="shared" si="3"/>
        <v>#N/A</v>
      </c>
      <c r="E43" s="15"/>
      <c r="F43" s="80" t="str">
        <f t="shared" ca="1" si="4"/>
        <v>N/A</v>
      </c>
      <c r="G43" s="80" t="str">
        <f t="shared" si="5"/>
        <v>N/A</v>
      </c>
      <c r="H43" s="80" t="str">
        <f ca="1">IFERROR(VLOOKUP($A43,LASTYR,'2016'!$Q$3,FALSE),"N/A")</f>
        <v>N/A</v>
      </c>
      <c r="I43" s="80" t="str">
        <f t="shared" ref="I43:R57" ca="1" si="9">IFERROR(INDEX(DIV_MP_WP,$B43,I$12),"N/A")</f>
        <v>N/A</v>
      </c>
      <c r="J43" s="80" t="str">
        <f t="shared" ca="1" si="9"/>
        <v>N/A</v>
      </c>
      <c r="K43" s="80" t="str">
        <f t="shared" ca="1" si="9"/>
        <v>N/A</v>
      </c>
      <c r="L43" s="80" t="str">
        <f t="shared" ca="1" si="9"/>
        <v>N/A</v>
      </c>
      <c r="M43" s="80" t="str">
        <f t="shared" ca="1" si="9"/>
        <v>N/A</v>
      </c>
      <c r="N43" s="80" t="str">
        <f t="shared" ca="1" si="9"/>
        <v>N/A</v>
      </c>
      <c r="O43" s="80" t="str">
        <f t="shared" ca="1" si="9"/>
        <v>N/A</v>
      </c>
      <c r="P43" s="80" t="str">
        <f t="shared" ca="1" si="9"/>
        <v>N/A</v>
      </c>
      <c r="Q43" s="80" t="str">
        <f t="shared" ca="1" si="9"/>
        <v>N/A</v>
      </c>
      <c r="R43" s="80" t="str">
        <f t="shared" ca="1" si="9"/>
        <v>N/A</v>
      </c>
    </row>
    <row r="44" spans="1:18" hidden="1">
      <c r="A44" s="45"/>
      <c r="B44" s="118" t="str">
        <f t="shared" ca="1" si="2"/>
        <v/>
      </c>
      <c r="C44" s="1" t="str">
        <f>IF(ISERROR(D44),"",IF(D44="","",MAX($C$12:C43)+1))</f>
        <v/>
      </c>
      <c r="D44" t="e">
        <f t="shared" si="3"/>
        <v>#N/A</v>
      </c>
      <c r="E44" s="15"/>
      <c r="F44" s="80" t="str">
        <f t="shared" ca="1" si="4"/>
        <v>N/A</v>
      </c>
      <c r="G44" s="80" t="str">
        <f t="shared" si="5"/>
        <v>N/A</v>
      </c>
      <c r="H44" s="80" t="str">
        <f ca="1">IFERROR(VLOOKUP($A44,LASTYR,'2016'!$Q$3,FALSE),"N/A")</f>
        <v>N/A</v>
      </c>
      <c r="I44" s="80" t="str">
        <f t="shared" ca="1" si="9"/>
        <v>N/A</v>
      </c>
      <c r="J44" s="80" t="str">
        <f t="shared" ca="1" si="9"/>
        <v>N/A</v>
      </c>
      <c r="K44" s="80" t="str">
        <f t="shared" ca="1" si="9"/>
        <v>N/A</v>
      </c>
      <c r="L44" s="80" t="str">
        <f t="shared" ca="1" si="9"/>
        <v>N/A</v>
      </c>
      <c r="M44" s="80" t="str">
        <f t="shared" ca="1" si="9"/>
        <v>N/A</v>
      </c>
      <c r="N44" s="80" t="str">
        <f t="shared" ca="1" si="9"/>
        <v>N/A</v>
      </c>
      <c r="O44" s="80" t="str">
        <f t="shared" ca="1" si="9"/>
        <v>N/A</v>
      </c>
      <c r="P44" s="80" t="str">
        <f t="shared" ca="1" si="9"/>
        <v>N/A</v>
      </c>
      <c r="Q44" s="80" t="str">
        <f t="shared" ca="1" si="9"/>
        <v>N/A</v>
      </c>
      <c r="R44" s="80" t="str">
        <f t="shared" ca="1" si="9"/>
        <v>N/A</v>
      </c>
    </row>
    <row r="45" spans="1:18" hidden="1">
      <c r="A45" s="45"/>
      <c r="B45" s="118" t="str">
        <f t="shared" ca="1" si="2"/>
        <v/>
      </c>
      <c r="C45" s="1" t="str">
        <f>IF(ISERROR(D45),"",IF(D45="","",MAX($C$12:C44)+1))</f>
        <v/>
      </c>
      <c r="D45" t="e">
        <f t="shared" si="3"/>
        <v>#N/A</v>
      </c>
      <c r="E45" s="15"/>
      <c r="F45" s="80" t="str">
        <f t="shared" ca="1" si="4"/>
        <v>N/A</v>
      </c>
      <c r="G45" s="80" t="str">
        <f t="shared" si="5"/>
        <v>N/A</v>
      </c>
      <c r="H45" s="80" t="str">
        <f ca="1">IFERROR(VLOOKUP($A45,LASTYR,'2016'!$Q$3,FALSE),"N/A")</f>
        <v>N/A</v>
      </c>
      <c r="I45" s="80" t="str">
        <f t="shared" ca="1" si="9"/>
        <v>N/A</v>
      </c>
      <c r="J45" s="80" t="str">
        <f t="shared" ca="1" si="9"/>
        <v>N/A</v>
      </c>
      <c r="K45" s="80" t="str">
        <f t="shared" ca="1" si="9"/>
        <v>N/A</v>
      </c>
      <c r="L45" s="80" t="str">
        <f t="shared" ca="1" si="9"/>
        <v>N/A</v>
      </c>
      <c r="M45" s="80" t="str">
        <f t="shared" ca="1" si="9"/>
        <v>N/A</v>
      </c>
      <c r="N45" s="80" t="str">
        <f t="shared" ca="1" si="9"/>
        <v>N/A</v>
      </c>
      <c r="O45" s="80" t="str">
        <f t="shared" ca="1" si="9"/>
        <v>N/A</v>
      </c>
      <c r="P45" s="80" t="str">
        <f t="shared" ca="1" si="9"/>
        <v>N/A</v>
      </c>
      <c r="Q45" s="80" t="str">
        <f t="shared" ca="1" si="9"/>
        <v>N/A</v>
      </c>
      <c r="R45" s="80" t="str">
        <f t="shared" ca="1" si="9"/>
        <v>N/A</v>
      </c>
    </row>
    <row r="46" spans="1:18" hidden="1">
      <c r="A46" s="45"/>
      <c r="B46" s="118" t="str">
        <f t="shared" ca="1" si="2"/>
        <v/>
      </c>
      <c r="C46" s="1" t="str">
        <f>IF(ISERROR(D46),"",IF(D46="","",MAX($C$12:C45)+1))</f>
        <v/>
      </c>
      <c r="D46" t="e">
        <f t="shared" si="3"/>
        <v>#N/A</v>
      </c>
      <c r="E46" s="15"/>
      <c r="F46" s="80" t="str">
        <f t="shared" ca="1" si="4"/>
        <v>N/A</v>
      </c>
      <c r="G46" s="80" t="str">
        <f t="shared" si="5"/>
        <v>N/A</v>
      </c>
      <c r="H46" s="80" t="str">
        <f ca="1">IFERROR(VLOOKUP($A46,LASTYR,'2016'!$Q$3,FALSE),"N/A")</f>
        <v>N/A</v>
      </c>
      <c r="I46" s="80" t="str">
        <f t="shared" ca="1" si="9"/>
        <v>N/A</v>
      </c>
      <c r="J46" s="80" t="str">
        <f t="shared" ca="1" si="9"/>
        <v>N/A</v>
      </c>
      <c r="K46" s="80" t="str">
        <f t="shared" ca="1" si="9"/>
        <v>N/A</v>
      </c>
      <c r="L46" s="80" t="str">
        <f t="shared" ca="1" si="9"/>
        <v>N/A</v>
      </c>
      <c r="M46" s="80" t="str">
        <f t="shared" ca="1" si="9"/>
        <v>N/A</v>
      </c>
      <c r="N46" s="80" t="str">
        <f t="shared" ca="1" si="9"/>
        <v>N/A</v>
      </c>
      <c r="O46" s="80" t="str">
        <f t="shared" ca="1" si="9"/>
        <v>N/A</v>
      </c>
      <c r="P46" s="80" t="str">
        <f t="shared" ca="1" si="9"/>
        <v>N/A</v>
      </c>
      <c r="Q46" s="80" t="str">
        <f t="shared" ca="1" si="9"/>
        <v>N/A</v>
      </c>
      <c r="R46" s="80" t="str">
        <f t="shared" ca="1" si="9"/>
        <v>N/A</v>
      </c>
    </row>
    <row r="47" spans="1:18" hidden="1">
      <c r="A47" s="45"/>
      <c r="B47" s="118" t="str">
        <f t="shared" ca="1" si="2"/>
        <v/>
      </c>
      <c r="C47" s="1" t="str">
        <f>IF(ISERROR(D47),"",IF(D47="","",MAX($C$12:C46)+1))</f>
        <v/>
      </c>
      <c r="D47" t="e">
        <f t="shared" si="3"/>
        <v>#N/A</v>
      </c>
      <c r="E47" s="15"/>
      <c r="F47" s="80" t="str">
        <f t="shared" ca="1" si="4"/>
        <v>N/A</v>
      </c>
      <c r="G47" s="80" t="str">
        <f t="shared" si="5"/>
        <v>N/A</v>
      </c>
      <c r="H47" s="80" t="str">
        <f ca="1">IFERROR(VLOOKUP($A47,LASTYR,'2016'!$Q$3,FALSE),"N/A")</f>
        <v>N/A</v>
      </c>
      <c r="I47" s="80" t="str">
        <f t="shared" ca="1" si="9"/>
        <v>N/A</v>
      </c>
      <c r="J47" s="80" t="str">
        <f t="shared" ca="1" si="9"/>
        <v>N/A</v>
      </c>
      <c r="K47" s="80" t="str">
        <f t="shared" ca="1" si="9"/>
        <v>N/A</v>
      </c>
      <c r="L47" s="80" t="str">
        <f t="shared" ca="1" si="9"/>
        <v>N/A</v>
      </c>
      <c r="M47" s="80" t="str">
        <f t="shared" ca="1" si="9"/>
        <v>N/A</v>
      </c>
      <c r="N47" s="80" t="str">
        <f t="shared" ca="1" si="9"/>
        <v>N/A</v>
      </c>
      <c r="O47" s="80" t="str">
        <f t="shared" ca="1" si="9"/>
        <v>N/A</v>
      </c>
      <c r="P47" s="80" t="str">
        <f t="shared" ca="1" si="9"/>
        <v>N/A</v>
      </c>
      <c r="Q47" s="80" t="str">
        <f t="shared" ca="1" si="9"/>
        <v>N/A</v>
      </c>
      <c r="R47" s="80" t="str">
        <f t="shared" ca="1" si="9"/>
        <v>N/A</v>
      </c>
    </row>
    <row r="48" spans="1:18" hidden="1">
      <c r="A48" s="45"/>
      <c r="B48" s="118" t="str">
        <f t="shared" ca="1" si="2"/>
        <v/>
      </c>
      <c r="C48" s="1" t="str">
        <f>IF(ISERROR(D48),"",IF(D48="","",MAX($C$12:C47)+1))</f>
        <v/>
      </c>
      <c r="D48" t="e">
        <f t="shared" si="3"/>
        <v>#N/A</v>
      </c>
      <c r="E48" s="15"/>
      <c r="F48" s="80" t="str">
        <f t="shared" ca="1" si="4"/>
        <v>N/A</v>
      </c>
      <c r="G48" s="80" t="str">
        <f t="shared" si="5"/>
        <v>N/A</v>
      </c>
      <c r="H48" s="80" t="str">
        <f ca="1">IFERROR(VLOOKUP($A48,LASTYR,'2016'!$Q$3,FALSE),"N/A")</f>
        <v>N/A</v>
      </c>
      <c r="I48" s="80" t="str">
        <f t="shared" ca="1" si="9"/>
        <v>N/A</v>
      </c>
      <c r="J48" s="80" t="str">
        <f t="shared" ca="1" si="9"/>
        <v>N/A</v>
      </c>
      <c r="K48" s="80" t="str">
        <f t="shared" ca="1" si="9"/>
        <v>N/A</v>
      </c>
      <c r="L48" s="80" t="str">
        <f t="shared" ca="1" si="9"/>
        <v>N/A</v>
      </c>
      <c r="M48" s="80" t="str">
        <f t="shared" ca="1" si="9"/>
        <v>N/A</v>
      </c>
      <c r="N48" s="80" t="str">
        <f t="shared" ca="1" si="9"/>
        <v>N/A</v>
      </c>
      <c r="O48" s="80" t="str">
        <f t="shared" ca="1" si="9"/>
        <v>N/A</v>
      </c>
      <c r="P48" s="80" t="str">
        <f t="shared" ca="1" si="9"/>
        <v>N/A</v>
      </c>
      <c r="Q48" s="80" t="str">
        <f t="shared" ca="1" si="9"/>
        <v>N/A</v>
      </c>
      <c r="R48" s="80" t="str">
        <f t="shared" ca="1" si="9"/>
        <v>N/A</v>
      </c>
    </row>
    <row r="49" spans="1:18" hidden="1">
      <c r="A49" s="45"/>
      <c r="B49" s="118" t="str">
        <f t="shared" ca="1" si="2"/>
        <v/>
      </c>
      <c r="C49" s="1" t="str">
        <f>IF(ISERROR(D49),"",IF(D49="","",MAX($C$12:C48)+1))</f>
        <v/>
      </c>
      <c r="D49" t="e">
        <f t="shared" si="3"/>
        <v>#N/A</v>
      </c>
      <c r="E49" s="15"/>
      <c r="F49" s="80" t="str">
        <f t="shared" ca="1" si="4"/>
        <v>N/A</v>
      </c>
      <c r="G49" s="80" t="str">
        <f t="shared" si="5"/>
        <v>N/A</v>
      </c>
      <c r="H49" s="80" t="str">
        <f ca="1">IFERROR(VLOOKUP($A49,LASTYR,'2016'!$Q$3,FALSE),"N/A")</f>
        <v>N/A</v>
      </c>
      <c r="I49" s="80" t="str">
        <f t="shared" ca="1" si="9"/>
        <v>N/A</v>
      </c>
      <c r="J49" s="80" t="str">
        <f t="shared" ca="1" si="9"/>
        <v>N/A</v>
      </c>
      <c r="K49" s="80" t="str">
        <f t="shared" ca="1" si="9"/>
        <v>N/A</v>
      </c>
      <c r="L49" s="80" t="str">
        <f t="shared" ca="1" si="9"/>
        <v>N/A</v>
      </c>
      <c r="M49" s="80" t="str">
        <f t="shared" ca="1" si="9"/>
        <v>N/A</v>
      </c>
      <c r="N49" s="80" t="str">
        <f t="shared" ca="1" si="9"/>
        <v>N/A</v>
      </c>
      <c r="O49" s="80" t="str">
        <f t="shared" ca="1" si="9"/>
        <v>N/A</v>
      </c>
      <c r="P49" s="80" t="str">
        <f t="shared" ca="1" si="9"/>
        <v>N/A</v>
      </c>
      <c r="Q49" s="80" t="str">
        <f t="shared" ca="1" si="9"/>
        <v>N/A</v>
      </c>
      <c r="R49" s="80" t="str">
        <f t="shared" ca="1" si="9"/>
        <v>N/A</v>
      </c>
    </row>
    <row r="50" spans="1:18" hidden="1">
      <c r="A50" s="45"/>
      <c r="B50" s="118" t="str">
        <f t="shared" ca="1" si="2"/>
        <v/>
      </c>
      <c r="C50" s="1" t="str">
        <f>IF(ISERROR(D50),"",IF(D50="","",MAX($C$12:C49)+1))</f>
        <v/>
      </c>
      <c r="D50" t="e">
        <f t="shared" si="3"/>
        <v>#N/A</v>
      </c>
      <c r="E50" s="15"/>
      <c r="F50" s="80" t="str">
        <f t="shared" ca="1" si="4"/>
        <v>N/A</v>
      </c>
      <c r="G50" s="80" t="str">
        <f t="shared" si="5"/>
        <v>N/A</v>
      </c>
      <c r="H50" s="80" t="str">
        <f ca="1">IFERROR(VLOOKUP($A50,LASTYR,'2016'!$Q$3,FALSE),"N/A")</f>
        <v>N/A</v>
      </c>
      <c r="I50" s="80" t="str">
        <f t="shared" ca="1" si="9"/>
        <v>N/A</v>
      </c>
      <c r="J50" s="80" t="str">
        <f t="shared" ca="1" si="9"/>
        <v>N/A</v>
      </c>
      <c r="K50" s="80" t="str">
        <f t="shared" ca="1" si="9"/>
        <v>N/A</v>
      </c>
      <c r="L50" s="80" t="str">
        <f t="shared" ca="1" si="9"/>
        <v>N/A</v>
      </c>
      <c r="M50" s="80" t="str">
        <f t="shared" ca="1" si="9"/>
        <v>N/A</v>
      </c>
      <c r="N50" s="80" t="str">
        <f t="shared" ca="1" si="9"/>
        <v>N/A</v>
      </c>
      <c r="O50" s="80" t="str">
        <f t="shared" ca="1" si="9"/>
        <v>N/A</v>
      </c>
      <c r="P50" s="80" t="str">
        <f t="shared" ca="1" si="9"/>
        <v>N/A</v>
      </c>
      <c r="Q50" s="80" t="str">
        <f t="shared" ca="1" si="9"/>
        <v>N/A</v>
      </c>
      <c r="R50" s="80" t="str">
        <f t="shared" ca="1" si="9"/>
        <v>N/A</v>
      </c>
    </row>
    <row r="51" spans="1:18" hidden="1">
      <c r="A51" s="45"/>
      <c r="B51" s="118" t="str">
        <f t="shared" ca="1" si="2"/>
        <v/>
      </c>
      <c r="C51" s="1" t="str">
        <f>IF(ISERROR(D51),"",IF(D51="","",MAX($C$12:C50)+1))</f>
        <v/>
      </c>
      <c r="D51" t="e">
        <f t="shared" si="3"/>
        <v>#N/A</v>
      </c>
      <c r="E51" s="15"/>
      <c r="F51" s="80" t="str">
        <f t="shared" ca="1" si="4"/>
        <v>N/A</v>
      </c>
      <c r="G51" s="80" t="str">
        <f t="shared" si="5"/>
        <v>N/A</v>
      </c>
      <c r="H51" s="80" t="str">
        <f ca="1">IFERROR(VLOOKUP($A51,LASTYR,'2016'!$Q$3,FALSE),"N/A")</f>
        <v>N/A</v>
      </c>
      <c r="I51" s="80" t="str">
        <f t="shared" ca="1" si="9"/>
        <v>N/A</v>
      </c>
      <c r="J51" s="80" t="str">
        <f t="shared" ca="1" si="9"/>
        <v>N/A</v>
      </c>
      <c r="K51" s="80" t="str">
        <f t="shared" ca="1" si="9"/>
        <v>N/A</v>
      </c>
      <c r="L51" s="80" t="str">
        <f t="shared" ca="1" si="9"/>
        <v>N/A</v>
      </c>
      <c r="M51" s="80" t="str">
        <f t="shared" ca="1" si="9"/>
        <v>N/A</v>
      </c>
      <c r="N51" s="80" t="str">
        <f t="shared" ca="1" si="9"/>
        <v>N/A</v>
      </c>
      <c r="O51" s="80" t="str">
        <f t="shared" ca="1" si="9"/>
        <v>N/A</v>
      </c>
      <c r="P51" s="80" t="str">
        <f t="shared" ca="1" si="9"/>
        <v>N/A</v>
      </c>
      <c r="Q51" s="80" t="str">
        <f t="shared" ca="1" si="9"/>
        <v>N/A</v>
      </c>
      <c r="R51" s="80" t="str">
        <f t="shared" ca="1" si="9"/>
        <v>N/A</v>
      </c>
    </row>
    <row r="52" spans="1:18" hidden="1">
      <c r="A52" s="45"/>
      <c r="B52" s="118" t="str">
        <f t="shared" ca="1" si="2"/>
        <v/>
      </c>
      <c r="C52" s="1" t="str">
        <f>IF(ISERROR(D52),"",IF(D52="","",MAX($C$12:C51)+1))</f>
        <v/>
      </c>
      <c r="D52" t="e">
        <f t="shared" si="3"/>
        <v>#N/A</v>
      </c>
      <c r="E52" s="15"/>
      <c r="F52" s="80" t="str">
        <f t="shared" ca="1" si="4"/>
        <v>N/A</v>
      </c>
      <c r="G52" s="80" t="str">
        <f t="shared" si="5"/>
        <v>N/A</v>
      </c>
      <c r="H52" s="80" t="str">
        <f ca="1">IFERROR(VLOOKUP($A52,LASTYR,'2016'!$Q$3,FALSE),"N/A")</f>
        <v>N/A</v>
      </c>
      <c r="I52" s="80" t="str">
        <f t="shared" ca="1" si="9"/>
        <v>N/A</v>
      </c>
      <c r="J52" s="80" t="str">
        <f t="shared" ca="1" si="9"/>
        <v>N/A</v>
      </c>
      <c r="K52" s="80" t="str">
        <f t="shared" ca="1" si="9"/>
        <v>N/A</v>
      </c>
      <c r="L52" s="80" t="str">
        <f t="shared" ca="1" si="9"/>
        <v>N/A</v>
      </c>
      <c r="M52" s="80" t="str">
        <f t="shared" ca="1" si="9"/>
        <v>N/A</v>
      </c>
      <c r="N52" s="80" t="str">
        <f t="shared" ca="1" si="9"/>
        <v>N/A</v>
      </c>
      <c r="O52" s="80" t="str">
        <f t="shared" ca="1" si="9"/>
        <v>N/A</v>
      </c>
      <c r="P52" s="80" t="str">
        <f t="shared" ca="1" si="9"/>
        <v>N/A</v>
      </c>
      <c r="Q52" s="80" t="str">
        <f t="shared" ca="1" si="9"/>
        <v>N/A</v>
      </c>
      <c r="R52" s="80" t="str">
        <f t="shared" ca="1" si="9"/>
        <v>N/A</v>
      </c>
    </row>
    <row r="53" spans="1:18" hidden="1">
      <c r="A53" s="45"/>
      <c r="B53" s="118" t="str">
        <f t="shared" ca="1" si="2"/>
        <v/>
      </c>
      <c r="C53" s="1" t="str">
        <f>IF(ISERROR(D53),"",IF(D53="","",MAX($C$12:C52)+1))</f>
        <v/>
      </c>
      <c r="D53" t="e">
        <f t="shared" si="3"/>
        <v>#N/A</v>
      </c>
      <c r="E53" s="15"/>
      <c r="F53" s="80" t="str">
        <f t="shared" ca="1" si="4"/>
        <v>N/A</v>
      </c>
      <c r="G53" s="80" t="str">
        <f t="shared" si="5"/>
        <v>N/A</v>
      </c>
      <c r="H53" s="80" t="str">
        <f ca="1">IFERROR(VLOOKUP($A53,LASTYR,'2016'!$Q$3,FALSE),"N/A")</f>
        <v>N/A</v>
      </c>
      <c r="I53" s="80" t="str">
        <f t="shared" ca="1" si="9"/>
        <v>N/A</v>
      </c>
      <c r="J53" s="80" t="str">
        <f t="shared" ca="1" si="9"/>
        <v>N/A</v>
      </c>
      <c r="K53" s="80" t="str">
        <f t="shared" ca="1" si="9"/>
        <v>N/A</v>
      </c>
      <c r="L53" s="80" t="str">
        <f t="shared" ca="1" si="9"/>
        <v>N/A</v>
      </c>
      <c r="M53" s="80" t="str">
        <f t="shared" ca="1" si="9"/>
        <v>N/A</v>
      </c>
      <c r="N53" s="80" t="str">
        <f t="shared" ca="1" si="9"/>
        <v>N/A</v>
      </c>
      <c r="O53" s="80" t="str">
        <f t="shared" ca="1" si="9"/>
        <v>N/A</v>
      </c>
      <c r="P53" s="80" t="str">
        <f t="shared" ca="1" si="9"/>
        <v>N/A</v>
      </c>
      <c r="Q53" s="80" t="str">
        <f t="shared" ca="1" si="9"/>
        <v>N/A</v>
      </c>
      <c r="R53" s="80" t="str">
        <f t="shared" ca="1" si="9"/>
        <v>N/A</v>
      </c>
    </row>
    <row r="54" spans="1:18" hidden="1">
      <c r="A54" s="45"/>
      <c r="B54" s="118" t="str">
        <f t="shared" ca="1" si="2"/>
        <v/>
      </c>
      <c r="C54" s="1" t="str">
        <f>IF(ISERROR(D54),"",IF(D54="","",MAX($C$12:C53)+1))</f>
        <v/>
      </c>
      <c r="D54" t="e">
        <f t="shared" si="3"/>
        <v>#N/A</v>
      </c>
      <c r="E54" s="15"/>
      <c r="F54" s="80" t="str">
        <f t="shared" ca="1" si="4"/>
        <v>N/A</v>
      </c>
      <c r="G54" s="80" t="str">
        <f t="shared" si="5"/>
        <v>N/A</v>
      </c>
      <c r="H54" s="80" t="str">
        <f ca="1">IFERROR(VLOOKUP($A54,LASTYR,'2016'!$Q$3,FALSE),"N/A")</f>
        <v>N/A</v>
      </c>
      <c r="I54" s="80" t="str">
        <f t="shared" ca="1" si="9"/>
        <v>N/A</v>
      </c>
      <c r="J54" s="80" t="str">
        <f t="shared" ca="1" si="9"/>
        <v>N/A</v>
      </c>
      <c r="K54" s="80" t="str">
        <f t="shared" ca="1" si="9"/>
        <v>N/A</v>
      </c>
      <c r="L54" s="80" t="str">
        <f t="shared" ca="1" si="9"/>
        <v>N/A</v>
      </c>
      <c r="M54" s="80" t="str">
        <f t="shared" ca="1" si="9"/>
        <v>N/A</v>
      </c>
      <c r="N54" s="80" t="str">
        <f t="shared" ca="1" si="9"/>
        <v>N/A</v>
      </c>
      <c r="O54" s="80" t="str">
        <f t="shared" ca="1" si="9"/>
        <v>N/A</v>
      </c>
      <c r="P54" s="80" t="str">
        <f t="shared" ca="1" si="9"/>
        <v>N/A</v>
      </c>
      <c r="Q54" s="80" t="str">
        <f t="shared" ca="1" si="9"/>
        <v>N/A</v>
      </c>
      <c r="R54" s="80" t="str">
        <f t="shared" ca="1" si="9"/>
        <v>N/A</v>
      </c>
    </row>
    <row r="55" spans="1:18" hidden="1">
      <c r="A55" s="51"/>
      <c r="B55" s="118" t="str">
        <f t="shared" ca="1" si="2"/>
        <v/>
      </c>
      <c r="C55" s="1" t="str">
        <f>IF(ISERROR(D55),"",IF(D55="","",MAX($C$12:C54)+1))</f>
        <v/>
      </c>
      <c r="D55" t="e">
        <f t="shared" si="3"/>
        <v>#N/A</v>
      </c>
      <c r="F55" s="80" t="str">
        <f t="shared" ca="1" si="4"/>
        <v>N/A</v>
      </c>
      <c r="G55" s="80" t="str">
        <f t="shared" si="5"/>
        <v>N/A</v>
      </c>
      <c r="H55" s="80" t="str">
        <f ca="1">IFERROR(VLOOKUP($A55,LASTYR,'2016'!$Q$3,FALSE),"N/A")</f>
        <v>N/A</v>
      </c>
      <c r="I55" s="80" t="str">
        <f t="shared" ca="1" si="9"/>
        <v>N/A</v>
      </c>
      <c r="J55" s="80" t="str">
        <f t="shared" ca="1" si="9"/>
        <v>N/A</v>
      </c>
      <c r="K55" s="80" t="str">
        <f t="shared" ca="1" si="9"/>
        <v>N/A</v>
      </c>
      <c r="L55" s="80" t="str">
        <f t="shared" ca="1" si="9"/>
        <v>N/A</v>
      </c>
      <c r="M55" s="80" t="str">
        <f t="shared" ca="1" si="9"/>
        <v>N/A</v>
      </c>
      <c r="N55" s="80" t="str">
        <f t="shared" ca="1" si="9"/>
        <v>N/A</v>
      </c>
      <c r="O55" s="80" t="str">
        <f t="shared" ca="1" si="9"/>
        <v>N/A</v>
      </c>
      <c r="P55" s="80" t="str">
        <f t="shared" ca="1" si="9"/>
        <v>N/A</v>
      </c>
      <c r="Q55" s="80" t="str">
        <f t="shared" ca="1" si="9"/>
        <v>N/A</v>
      </c>
      <c r="R55" s="80" t="str">
        <f t="shared" ca="1" si="9"/>
        <v>N/A</v>
      </c>
    </row>
    <row r="56" spans="1:18" hidden="1">
      <c r="A56" s="51"/>
      <c r="B56" s="118" t="str">
        <f t="shared" ca="1" si="2"/>
        <v/>
      </c>
      <c r="C56" s="1" t="str">
        <f>IF(ISERROR(D56),"",IF(D56="","",MAX($C$12:C55)+1))</f>
        <v/>
      </c>
      <c r="D56" t="e">
        <f t="shared" si="3"/>
        <v>#N/A</v>
      </c>
      <c r="F56" s="80" t="str">
        <f t="shared" ca="1" si="4"/>
        <v>N/A</v>
      </c>
      <c r="G56" s="80" t="str">
        <f t="shared" si="5"/>
        <v>N/A</v>
      </c>
      <c r="H56" s="80" t="str">
        <f ca="1">IFERROR(VLOOKUP($A56,LASTYR,'2016'!$Q$3,FALSE),"N/A")</f>
        <v>N/A</v>
      </c>
      <c r="I56" s="80" t="str">
        <f t="shared" ca="1" si="9"/>
        <v>N/A</v>
      </c>
      <c r="J56" s="80" t="str">
        <f t="shared" ca="1" si="9"/>
        <v>N/A</v>
      </c>
      <c r="K56" s="80" t="str">
        <f t="shared" ca="1" si="9"/>
        <v>N/A</v>
      </c>
      <c r="L56" s="80" t="str">
        <f t="shared" ca="1" si="9"/>
        <v>N/A</v>
      </c>
      <c r="M56" s="80" t="str">
        <f t="shared" ca="1" si="9"/>
        <v>N/A</v>
      </c>
      <c r="N56" s="80" t="str">
        <f t="shared" ca="1" si="9"/>
        <v>N/A</v>
      </c>
      <c r="O56" s="80" t="str">
        <f t="shared" ca="1" si="9"/>
        <v>N/A</v>
      </c>
      <c r="P56" s="80" t="str">
        <f t="shared" ca="1" si="9"/>
        <v>N/A</v>
      </c>
      <c r="Q56" s="80" t="str">
        <f t="shared" ca="1" si="9"/>
        <v>N/A</v>
      </c>
      <c r="R56" s="80" t="str">
        <f t="shared" ca="1" si="9"/>
        <v>N/A</v>
      </c>
    </row>
    <row r="57" spans="1:18" hidden="1">
      <c r="A57" s="51"/>
      <c r="B57" s="118" t="str">
        <f t="shared" ca="1" si="2"/>
        <v/>
      </c>
      <c r="C57" s="1" t="str">
        <f>IF(ISERROR(D57),"",IF(D57="","",MAX($C$12:C56)+1))</f>
        <v/>
      </c>
      <c r="D57" t="e">
        <f t="shared" si="3"/>
        <v>#N/A</v>
      </c>
      <c r="F57" s="80" t="str">
        <f t="shared" ca="1" si="4"/>
        <v>N/A</v>
      </c>
      <c r="G57" s="80" t="str">
        <f t="shared" si="5"/>
        <v>N/A</v>
      </c>
      <c r="H57" s="80" t="str">
        <f ca="1">IFERROR(VLOOKUP($A57,LASTYR,'2016'!$Q$3,FALSE),"N/A")</f>
        <v>N/A</v>
      </c>
      <c r="I57" s="80" t="str">
        <f t="shared" ca="1" si="9"/>
        <v>N/A</v>
      </c>
      <c r="J57" s="80" t="str">
        <f t="shared" ca="1" si="9"/>
        <v>N/A</v>
      </c>
      <c r="K57" s="80" t="str">
        <f t="shared" ca="1" si="9"/>
        <v>N/A</v>
      </c>
      <c r="L57" s="80" t="str">
        <f t="shared" ca="1" si="9"/>
        <v>N/A</v>
      </c>
      <c r="M57" s="80" t="str">
        <f t="shared" ca="1" si="9"/>
        <v>N/A</v>
      </c>
      <c r="N57" s="80" t="str">
        <f t="shared" ca="1" si="9"/>
        <v>N/A</v>
      </c>
      <c r="O57" s="80" t="str">
        <f t="shared" ca="1" si="9"/>
        <v>N/A</v>
      </c>
      <c r="P57" s="80" t="str">
        <f t="shared" ca="1" si="9"/>
        <v>N/A</v>
      </c>
      <c r="Q57" s="80" t="str">
        <f t="shared" ca="1" si="9"/>
        <v>N/A</v>
      </c>
      <c r="R57" s="80" t="str">
        <f t="shared" ca="1" si="9"/>
        <v>N/A</v>
      </c>
    </row>
    <row r="58" spans="1:18">
      <c r="A58" s="31"/>
      <c r="B58" s="31"/>
      <c r="C58" s="1" t="str">
        <f>IF(ISERROR(D58),"",IF(D58="","",MAX($C$12:C57)+1))</f>
        <v/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ht="15">
      <c r="A59" s="31"/>
      <c r="B59" s="31"/>
      <c r="C59" s="1">
        <f ca="1">IF(ISERROR(D59),"",IF(D59="","",MAX($C$12:C58)+1))</f>
        <v>12</v>
      </c>
      <c r="D59" s="112" t="s">
        <v>98</v>
      </c>
      <c r="E59" s="112"/>
      <c r="F59" s="116">
        <f ca="1">AVERAGE(G59:R59)</f>
        <v>3.4787677753924641E-2</v>
      </c>
      <c r="G59" s="116">
        <f t="shared" ref="G59:R59" si="10">AVERAGE(G13:G58)</f>
        <v>2.5590029470422146E-2</v>
      </c>
      <c r="H59" s="116">
        <f t="shared" ca="1" si="10"/>
        <v>2.7417139418435713E-2</v>
      </c>
      <c r="I59" s="116">
        <f t="shared" ca="1" si="10"/>
        <v>3.1550639408428428E-2</v>
      </c>
      <c r="J59" s="116">
        <f t="shared" ca="1" si="10"/>
        <v>3.1723094191662436E-2</v>
      </c>
      <c r="K59" s="116">
        <f t="shared" ca="1" si="10"/>
        <v>3.437456128923632E-2</v>
      </c>
      <c r="L59" s="116">
        <f t="shared" ca="1" si="10"/>
        <v>3.6066386611707892E-2</v>
      </c>
      <c r="M59" s="116">
        <f t="shared" ca="1" si="10"/>
        <v>3.6516233047539218E-2</v>
      </c>
      <c r="N59" s="116">
        <f t="shared" ca="1" si="10"/>
        <v>4.0294955003973051E-2</v>
      </c>
      <c r="O59" s="116">
        <f t="shared" ca="1" si="10"/>
        <v>4.3467237180520833E-2</v>
      </c>
      <c r="P59" s="116">
        <f t="shared" ca="1" si="10"/>
        <v>3.8480261045568287E-2</v>
      </c>
      <c r="Q59" s="116">
        <f t="shared" ca="1" si="10"/>
        <v>3.4876329602697771E-2</v>
      </c>
      <c r="R59" s="116">
        <f t="shared" ca="1" si="10"/>
        <v>3.7095266776903557E-2</v>
      </c>
    </row>
    <row r="60" spans="1:18">
      <c r="A60" s="31"/>
      <c r="B60" s="31"/>
      <c r="C60" s="1">
        <f ca="1">IF(ISERROR(D60),"",IF(D60="","",MAX($C$12:C59)+1))</f>
        <v>13</v>
      </c>
      <c r="D60" t="s">
        <v>257</v>
      </c>
      <c r="F60" s="80">
        <f ca="1">AVERAGE(G60:R60)</f>
        <v>3.4027245959899748E-2</v>
      </c>
      <c r="G60" s="80">
        <f t="shared" ref="G60:R60" si="11">MEDIAN(G13:G58)</f>
        <v>2.5187032418952617E-2</v>
      </c>
      <c r="H60" s="80">
        <f t="shared" ca="1" si="11"/>
        <v>2.7606435750334297E-2</v>
      </c>
      <c r="I60" s="80">
        <f t="shared" ca="1" si="11"/>
        <v>3.1449731155523991E-2</v>
      </c>
      <c r="J60" s="80">
        <f t="shared" ca="1" si="11"/>
        <v>3.1070896227405369E-2</v>
      </c>
      <c r="K60" s="80">
        <f t="shared" ca="1" si="11"/>
        <v>3.41631472583264E-2</v>
      </c>
      <c r="L60" s="80">
        <f t="shared" ca="1" si="11"/>
        <v>3.7529343763670703E-2</v>
      </c>
      <c r="M60" s="80">
        <f t="shared" ca="1" si="11"/>
        <v>3.6047336732246339E-2</v>
      </c>
      <c r="N60" s="80">
        <f t="shared" ca="1" si="11"/>
        <v>3.8017213756857876E-2</v>
      </c>
      <c r="O60" s="80">
        <f t="shared" ca="1" si="11"/>
        <v>3.9638207068007053E-2</v>
      </c>
      <c r="P60" s="80">
        <f t="shared" ca="1" si="11"/>
        <v>3.6462386893202553E-2</v>
      </c>
      <c r="Q60" s="80">
        <f t="shared" ca="1" si="11"/>
        <v>3.3695836435642043E-2</v>
      </c>
      <c r="R60" s="80">
        <f t="shared" ca="1" si="11"/>
        <v>3.7459384058627664E-2</v>
      </c>
    </row>
    <row r="61" spans="1:18">
      <c r="A61" s="31"/>
      <c r="B61" s="31"/>
      <c r="C61" s="1" t="str">
        <f>IF(ISERROR(D61),"",IF(D61="","",MAX($C$12:C60)+1))</f>
        <v/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>
      <c r="A62" s="31"/>
      <c r="B62" s="31"/>
      <c r="C62" s="1" t="str">
        <f>IF(ISERROR(D62),"",IF(D62="","",MAX($C$12:C61)+1))</f>
        <v/>
      </c>
    </row>
    <row r="63" spans="1:18" s="103" customFormat="1" ht="29.45" customHeight="1">
      <c r="C63" s="115">
        <f ca="1">IF(ISERROR(D63),"",IF(D63="","",MAX($C$12:C62)+1))</f>
        <v>14</v>
      </c>
      <c r="D63" s="144" t="s">
        <v>378</v>
      </c>
      <c r="E63" s="144"/>
      <c r="F63" s="114">
        <f>AVERAGE(G63:R63)</f>
        <v>5.0180576683828991E-2</v>
      </c>
      <c r="G63" s="114">
        <f>VLOOKUP(2017,'Annual Yields (WP)'!$B$6:$C$43,2,FALSE)</f>
        <v>4.0725393956729763E-2</v>
      </c>
      <c r="H63" s="114">
        <f>VLOOKUP(H10,'Annual Yields (WP)'!$B$6:$C$43,2,FALSE)</f>
        <v>3.930199127182251E-2</v>
      </c>
      <c r="I63" s="114">
        <f>VLOOKUP(I10,'Annual Yields (WP)'!$B$6:$C$43,2,FALSE)</f>
        <v>4.1153967589428117E-2</v>
      </c>
      <c r="J63" s="114">
        <f>VLOOKUP(J10,'Annual Yields (WP)'!$B$6:$C$43,2,FALSE)</f>
        <v>4.2774094021446961E-2</v>
      </c>
      <c r="K63" s="114">
        <f>VLOOKUP(K10,'Annual Yields (WP)'!$B$6:$C$43,2,FALSE)</f>
        <v>4.4759707479483019E-2</v>
      </c>
      <c r="L63" s="114">
        <f>VLOOKUP(L10,'Annual Yields (WP)'!$B$6:$C$43,2,FALSE)</f>
        <v>4.1308564221010043E-2</v>
      </c>
      <c r="M63" s="114">
        <f>VLOOKUP(M10,'Annual Yields (WP)'!$B$6:$C$43,2,FALSE)</f>
        <v>5.0407157265811221E-2</v>
      </c>
      <c r="N63" s="114">
        <f>VLOOKUP(N10,'Annual Yields (WP)'!$B$6:$C$43,2,FALSE)</f>
        <v>5.4644377733549555E-2</v>
      </c>
      <c r="O63" s="114">
        <f>VLOOKUP(O10,'Annual Yields (WP)'!$B$6:$C$43,2,FALSE)</f>
        <v>6.0391666666666656E-2</v>
      </c>
      <c r="P63" s="114">
        <f>VLOOKUP(P10,'Annual Yields (WP)'!$B$6:$C$43,2,FALSE)</f>
        <v>6.5283333333333332E-2</v>
      </c>
      <c r="Q63" s="114">
        <f>VLOOKUP(Q10,'Annual Yields (WP)'!$B$6:$C$43,2,FALSE)</f>
        <v>6.0733333333333334E-2</v>
      </c>
      <c r="R63" s="114">
        <f>VLOOKUP(R10,'Annual Yields (WP)'!$B$6:$C$43,2,FALSE)</f>
        <v>6.0683333333333332E-2</v>
      </c>
    </row>
    <row r="64" spans="1:18" s="103" customFormat="1" ht="15">
      <c r="C64" s="1" t="str">
        <f>IF(ISERROR(D64),"",IF(D64="","",MAX($C$12:C63)+1))</f>
        <v/>
      </c>
      <c r="D64"/>
      <c r="E64"/>
      <c r="F64" s="80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2:18" s="103" customFormat="1" ht="15">
      <c r="C65" s="1" t="str">
        <f>IF(ISERROR(D65),"",IF(D65="","",MAX($C$12:C64)+1))</f>
        <v/>
      </c>
      <c r="D65" s="109"/>
      <c r="E65" s="109"/>
      <c r="F65" s="8"/>
      <c r="G65" s="8"/>
      <c r="H65" s="8"/>
      <c r="I65" s="8"/>
      <c r="J65" s="8"/>
      <c r="K65" s="8"/>
      <c r="L65" s="8"/>
      <c r="M65" s="8"/>
      <c r="N65" s="8"/>
      <c r="O65" s="109"/>
      <c r="P65" s="109"/>
      <c r="Q65" s="109"/>
      <c r="R65" s="109"/>
    </row>
    <row r="66" spans="2:18" s="103" customFormat="1" ht="15">
      <c r="C66" s="1">
        <f ca="1">IF(ISERROR(D66),"",IF(D66="","",MAX($C$12:C65)+1))</f>
        <v>15</v>
      </c>
      <c r="D66" s="112" t="s">
        <v>377</v>
      </c>
      <c r="E66"/>
      <c r="F66" s="111">
        <f t="shared" ref="F66:R66" ca="1" si="12">F63-F59</f>
        <v>1.539289892990435E-2</v>
      </c>
      <c r="G66" s="111">
        <f t="shared" si="12"/>
        <v>1.5135364486307618E-2</v>
      </c>
      <c r="H66" s="111">
        <f t="shared" ca="1" si="12"/>
        <v>1.1884851853386797E-2</v>
      </c>
      <c r="I66" s="111">
        <f t="shared" ca="1" si="12"/>
        <v>9.6033281809996887E-3</v>
      </c>
      <c r="J66" s="111">
        <f t="shared" ca="1" si="12"/>
        <v>1.1050999829784525E-2</v>
      </c>
      <c r="K66" s="111">
        <f t="shared" ca="1" si="12"/>
        <v>1.0385146190246698E-2</v>
      </c>
      <c r="L66" s="111">
        <f t="shared" ca="1" si="12"/>
        <v>5.242177609302151E-3</v>
      </c>
      <c r="M66" s="111">
        <f t="shared" ca="1" si="12"/>
        <v>1.3890924218272004E-2</v>
      </c>
      <c r="N66" s="111">
        <f t="shared" ca="1" si="12"/>
        <v>1.4349422729576504E-2</v>
      </c>
      <c r="O66" s="111">
        <f t="shared" ca="1" si="12"/>
        <v>1.6924429486145823E-2</v>
      </c>
      <c r="P66" s="111">
        <f t="shared" ca="1" si="12"/>
        <v>2.6803072287765045E-2</v>
      </c>
      <c r="Q66" s="111">
        <f t="shared" ca="1" si="12"/>
        <v>2.5857003730635562E-2</v>
      </c>
      <c r="R66" s="111">
        <f t="shared" ca="1" si="12"/>
        <v>2.3588066556429775E-2</v>
      </c>
    </row>
    <row r="67" spans="2:18" s="103" customFormat="1" ht="15">
      <c r="C67" s="10"/>
      <c r="D67" s="10"/>
      <c r="E67" s="10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2:18" s="103" customFormat="1">
      <c r="B68" s="106"/>
      <c r="C68" s="107"/>
      <c r="E68" s="20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2:18" s="103" customFormat="1">
      <c r="B69" s="106"/>
      <c r="C69" s="107"/>
      <c r="E69" s="20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</row>
    <row r="70" spans="2:18" s="103" customFormat="1">
      <c r="B70" s="106"/>
      <c r="C70" s="107"/>
      <c r="E70" s="20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</row>
    <row r="71" spans="2:18" s="103" customFormat="1">
      <c r="B71" s="106"/>
      <c r="C71" s="107"/>
      <c r="E71" s="20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</row>
    <row r="72" spans="2:18" s="103" customFormat="1">
      <c r="B72" s="106"/>
      <c r="C72" s="107"/>
      <c r="E72" s="20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</row>
    <row r="73" spans="2:18" s="103" customFormat="1">
      <c r="B73" s="106"/>
      <c r="C73" s="107"/>
      <c r="E73" s="20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</row>
    <row r="74" spans="2:18" s="103" customFormat="1">
      <c r="B74" s="106"/>
      <c r="C74" s="107"/>
      <c r="E74" s="20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</row>
    <row r="75" spans="2:18" s="103" customFormat="1">
      <c r="B75" s="106"/>
      <c r="C75" s="107"/>
      <c r="E75" s="20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</row>
    <row r="76" spans="2:18" s="103" customFormat="1">
      <c r="B76" s="106"/>
      <c r="C76" s="107"/>
      <c r="E76" s="20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</row>
    <row r="77" spans="2:18" s="103" customFormat="1">
      <c r="B77" s="106"/>
      <c r="C77" s="107"/>
      <c r="E77" s="20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</row>
    <row r="78" spans="2:18" s="103" customFormat="1">
      <c r="B78" s="106"/>
      <c r="C78" s="107"/>
      <c r="E78" s="20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</row>
    <row r="79" spans="2:18" s="103" customFormat="1" hidden="1">
      <c r="B79" s="106"/>
      <c r="C79" s="107"/>
      <c r="E79" s="20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</row>
    <row r="80" spans="2:18" s="103" customFormat="1" hidden="1">
      <c r="B80" s="106"/>
      <c r="C80" s="107"/>
      <c r="E80" s="20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</row>
    <row r="81" spans="2:18" s="103" customFormat="1" hidden="1">
      <c r="B81" s="106"/>
      <c r="C81" s="107"/>
      <c r="E81" s="20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</row>
    <row r="82" spans="2:18" s="103" customFormat="1" hidden="1">
      <c r="B82" s="106"/>
      <c r="C82" s="107"/>
      <c r="E82" s="20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</row>
    <row r="83" spans="2:18" s="103" customFormat="1" hidden="1">
      <c r="B83" s="106"/>
      <c r="C83" s="107"/>
      <c r="E83" s="20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</row>
    <row r="84" spans="2:18" s="103" customFormat="1" hidden="1">
      <c r="B84" s="106"/>
      <c r="C84" s="107"/>
      <c r="E84" s="20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</row>
    <row r="85" spans="2:18" s="103" customFormat="1" hidden="1">
      <c r="B85" s="106"/>
      <c r="C85" s="107"/>
      <c r="E85" s="20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</row>
    <row r="86" spans="2:18" s="103" customFormat="1" hidden="1">
      <c r="B86" s="106"/>
      <c r="C86" s="107"/>
      <c r="E86" s="20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</row>
    <row r="87" spans="2:18" s="103" customFormat="1" hidden="1">
      <c r="B87" s="106"/>
      <c r="C87" s="107"/>
      <c r="E87" s="20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2:18" s="103" customFormat="1" hidden="1">
      <c r="B88" s="106"/>
      <c r="C88" s="107"/>
      <c r="E88" s="20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</row>
    <row r="89" spans="2:18" s="103" customFormat="1" hidden="1">
      <c r="B89" s="106"/>
      <c r="C89" s="107"/>
      <c r="E89" s="20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</row>
    <row r="90" spans="2:18" s="103" customFormat="1" hidden="1">
      <c r="B90" s="106"/>
      <c r="C90" s="107"/>
      <c r="E90" s="20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</row>
    <row r="91" spans="2:18" s="103" customFormat="1" hidden="1">
      <c r="B91" s="106"/>
      <c r="C91" s="107"/>
      <c r="E91" s="20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</row>
    <row r="92" spans="2:18" s="103" customFormat="1" hidden="1">
      <c r="B92" s="106"/>
      <c r="C92" s="107"/>
      <c r="E92" s="20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</row>
    <row r="93" spans="2:18" s="103" customFormat="1" hidden="1">
      <c r="B93" s="106"/>
      <c r="C93" s="107"/>
      <c r="E93" s="20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2:18" s="103" customFormat="1" hidden="1">
      <c r="B94" s="106"/>
      <c r="C94" s="107"/>
      <c r="E94" s="20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2:18" s="103" customFormat="1" hidden="1">
      <c r="B95" s="106"/>
      <c r="C95" s="107"/>
      <c r="E95" s="20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2:18" s="103" customFormat="1" hidden="1">
      <c r="B96" s="106"/>
      <c r="C96" s="107"/>
      <c r="E96" s="20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</row>
    <row r="97" spans="2:18" s="103" customFormat="1" hidden="1">
      <c r="B97" s="106"/>
      <c r="C97" s="107"/>
      <c r="E97" s="20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</row>
    <row r="98" spans="2:18" s="103" customFormat="1" hidden="1">
      <c r="B98" s="106"/>
      <c r="C98" s="107"/>
      <c r="E98" s="20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</row>
    <row r="99" spans="2:18" s="103" customFormat="1" hidden="1">
      <c r="B99" s="106"/>
      <c r="C99" s="107"/>
      <c r="E99" s="20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</row>
    <row r="100" spans="2:18" s="103" customFormat="1" hidden="1">
      <c r="B100" s="106"/>
      <c r="C100" s="107"/>
      <c r="E100" s="20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</row>
    <row r="101" spans="2:18" s="103" customFormat="1" hidden="1">
      <c r="B101" s="106"/>
      <c r="C101" s="107"/>
      <c r="E101" s="20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</row>
    <row r="102" spans="2:18" s="103" customFormat="1" hidden="1">
      <c r="B102" s="106"/>
      <c r="C102" s="107"/>
      <c r="E102" s="20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</row>
    <row r="103" spans="2:18" s="103" customFormat="1" hidden="1">
      <c r="B103" s="106"/>
      <c r="C103" s="107"/>
      <c r="E103" s="20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</row>
    <row r="104" spans="2:18" s="103" customFormat="1" hidden="1">
      <c r="B104" s="106"/>
      <c r="C104" s="107"/>
      <c r="E104" s="20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</row>
    <row r="105" spans="2:18" s="103" customFormat="1" hidden="1">
      <c r="B105" s="106"/>
      <c r="C105" s="107"/>
      <c r="E105" s="20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</row>
    <row r="106" spans="2:18" s="103" customFormat="1" hidden="1">
      <c r="B106" s="106"/>
      <c r="C106" s="107"/>
      <c r="E106" s="20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</row>
    <row r="107" spans="2:18" s="103" customFormat="1" hidden="1">
      <c r="B107" s="106"/>
      <c r="C107" s="107"/>
      <c r="E107" s="20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</row>
    <row r="108" spans="2:18" s="103" customFormat="1" hidden="1">
      <c r="B108" s="106"/>
      <c r="C108" s="107"/>
      <c r="E108" s="20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</row>
    <row r="109" spans="2:18" s="103" customFormat="1" hidden="1">
      <c r="B109" s="106"/>
      <c r="C109" s="107"/>
      <c r="E109" s="20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</row>
    <row r="110" spans="2:18" s="103" customFormat="1" hidden="1">
      <c r="B110" s="106"/>
      <c r="C110" s="107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 s="103" customFormat="1" hidden="1">
      <c r="B111" s="106"/>
      <c r="C111" s="107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 s="103" customFormat="1" hidden="1">
      <c r="B112" s="106"/>
      <c r="C112" s="107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 s="103" customFormat="1">
      <c r="C113" s="107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 s="103" customFormat="1">
      <c r="C114" s="107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 s="103" customFormat="1">
      <c r="C115" s="107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 s="103" customFormat="1">
      <c r="C116" s="107"/>
    </row>
    <row r="117" spans="2:18" s="103" customFormat="1">
      <c r="C117" s="107"/>
    </row>
    <row r="118" spans="2:18" s="103" customFormat="1" ht="15">
      <c r="C118" s="108"/>
      <c r="D118" s="108"/>
      <c r="E118" s="110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</row>
    <row r="119" spans="2:18" s="103" customFormat="1" ht="15">
      <c r="C119" s="108"/>
      <c r="D119" s="109"/>
      <c r="E119" s="109"/>
      <c r="F119" s="8"/>
      <c r="G119" s="8"/>
      <c r="H119" s="8"/>
      <c r="I119" s="8"/>
      <c r="J119" s="8"/>
      <c r="K119" s="8"/>
      <c r="L119" s="8"/>
      <c r="M119" s="8"/>
      <c r="N119" s="8"/>
      <c r="O119" s="109"/>
      <c r="P119" s="109"/>
      <c r="Q119" s="109"/>
      <c r="R119" s="109"/>
    </row>
    <row r="120" spans="2:18" s="103" customFormat="1" ht="15">
      <c r="C120" s="10"/>
      <c r="D120" s="147"/>
      <c r="E120" s="147"/>
      <c r="F120" s="10"/>
      <c r="G120" s="10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</row>
    <row r="121" spans="2:18" s="103" customFormat="1" ht="15">
      <c r="C121" s="10"/>
      <c r="D121" s="10"/>
      <c r="E121" s="10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2:18" s="103" customFormat="1">
      <c r="C122" s="108"/>
      <c r="E122" s="20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 s="103" customFormat="1">
      <c r="B123" s="106"/>
      <c r="C123" s="107"/>
      <c r="E123" s="20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 s="103" customFormat="1">
      <c r="B124" s="106"/>
      <c r="C124" s="107"/>
      <c r="E124" s="20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 s="103" customFormat="1">
      <c r="B125" s="106"/>
      <c r="C125" s="107"/>
      <c r="E125" s="20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 s="103" customFormat="1">
      <c r="B126" s="106"/>
      <c r="C126" s="107"/>
      <c r="E126" s="20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 s="103" customFormat="1">
      <c r="B127" s="106"/>
      <c r="C127" s="107"/>
      <c r="E127" s="20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 s="103" customFormat="1">
      <c r="B128" s="106"/>
      <c r="C128" s="107"/>
      <c r="E128" s="20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 s="103" customFormat="1">
      <c r="B129" s="106"/>
      <c r="C129" s="107"/>
      <c r="E129" s="20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 s="103" customFormat="1">
      <c r="B130" s="106"/>
      <c r="C130" s="107"/>
      <c r="E130" s="20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 s="103" customFormat="1">
      <c r="B131" s="106"/>
      <c r="C131" s="107"/>
      <c r="E131" s="20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 s="103" customFormat="1">
      <c r="B132" s="106"/>
      <c r="C132" s="107"/>
      <c r="E132" s="20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 s="103" customFormat="1">
      <c r="B133" s="106"/>
      <c r="C133" s="107"/>
      <c r="E133" s="20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 s="103" customFormat="1">
      <c r="B134" s="106"/>
      <c r="C134" s="107"/>
      <c r="E134" s="20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 s="103" customFormat="1">
      <c r="B135" s="106"/>
      <c r="C135" s="107"/>
      <c r="E135" s="20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 s="103" customFormat="1">
      <c r="B136" s="106"/>
      <c r="C136" s="107"/>
      <c r="E136" s="20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 s="103" customFormat="1">
      <c r="B137" s="106"/>
      <c r="C137" s="107"/>
      <c r="E137" s="20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 s="103" customFormat="1">
      <c r="B138" s="106"/>
      <c r="C138" s="107"/>
      <c r="E138" s="20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 s="103" customFormat="1">
      <c r="B139" s="106"/>
      <c r="C139" s="107"/>
      <c r="E139" s="20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 s="103" customFormat="1">
      <c r="B140" s="106"/>
      <c r="C140" s="107"/>
      <c r="E140" s="20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 s="103" customFormat="1">
      <c r="B141" s="106"/>
      <c r="C141" s="107"/>
      <c r="E141" s="20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 s="103" customFormat="1">
      <c r="B142" s="106"/>
      <c r="C142" s="107"/>
      <c r="D142" s="18"/>
      <c r="E142" s="91"/>
      <c r="F142"/>
      <c r="G142"/>
      <c r="H142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 s="103" customFormat="1">
      <c r="B143" s="106"/>
      <c r="C143" s="1"/>
      <c r="D143" s="20" t="s">
        <v>107</v>
      </c>
      <c r="E143"/>
      <c r="F143"/>
      <c r="G143"/>
      <c r="H143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 s="103" customFormat="1" ht="16.5">
      <c r="B144" s="106"/>
      <c r="C144"/>
      <c r="D144" s="79">
        <v>1</v>
      </c>
      <c r="E144" s="21" t="str">
        <f>"The Value Line Investment Survey Investment Analyzer Software, downloaded on "&amp;TEXT('[1]2016'!$A$1,"mmmm d, yyyy.")</f>
        <v>The Value Line Investment Survey Investment Analyzer Software, downloaded on June 21, 2017.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5" ht="16.5">
      <c r="A145" s="31"/>
      <c r="B145" s="31"/>
      <c r="D145" s="79">
        <v>2</v>
      </c>
      <c r="E145" s="21" t="str">
        <f>"The Value Line Investment Survey, "&amp;'2017 Data (WP)'!$D$2</f>
        <v>The Value Line Investment Survey, September 1, 2017.</v>
      </c>
    </row>
    <row r="146" spans="1:5" ht="16.5">
      <c r="A146" s="31"/>
      <c r="B146" s="31"/>
      <c r="D146" s="79">
        <v>3</v>
      </c>
      <c r="E146" t="s">
        <v>398</v>
      </c>
    </row>
    <row r="147" spans="1:5">
      <c r="A147" s="31"/>
      <c r="B147" s="31"/>
      <c r="D147" s="20" t="s">
        <v>336</v>
      </c>
    </row>
    <row r="148" spans="1:5" ht="16.5">
      <c r="A148" s="31"/>
      <c r="B148" s="31"/>
      <c r="D148" s="79" t="s">
        <v>362</v>
      </c>
      <c r="E148" s="21" t="str">
        <f>"Based on the average of the high and low price for 2017 and the projected 2017 Dividends Declared per share, "</f>
        <v xml:space="preserve">Based on the average of the high and low price for 2017 and the projected 2017 Dividends Declared per share, </v>
      </c>
    </row>
    <row r="149" spans="1:5">
      <c r="A149" s="31"/>
      <c r="B149" s="31"/>
      <c r="E149" t="str">
        <f>"published in The Value Line Investment Survey, "&amp;'2017 Data (WP)'!$D$2</f>
        <v>published in The Value Line Investment Survey, September 1, 2017.</v>
      </c>
    </row>
  </sheetData>
  <mergeCells count="8">
    <mergeCell ref="C1:R1"/>
    <mergeCell ref="C4:R4"/>
    <mergeCell ref="C5:R5"/>
    <mergeCell ref="F118:R118"/>
    <mergeCell ref="D120:E120"/>
    <mergeCell ref="D10:E10"/>
    <mergeCell ref="D63:E63"/>
    <mergeCell ref="F8:R8"/>
  </mergeCells>
  <printOptions horizontalCentered="1"/>
  <pageMargins left="0.7" right="0.7" top="1" bottom="0.75" header="0.55000000000000004" footer="0.51"/>
  <pageSetup scale="57" fitToHeight="0" orientation="portrait" useFirstPageNumber="1" r:id="rId1"/>
  <headerFooter>
    <oddHeader>&amp;R&amp;17Schedule MPG-2
Page 2 of 2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0"/>
  <sheetViews>
    <sheetView zoomScale="70" zoomScaleNormal="70" workbookViewId="0"/>
  </sheetViews>
  <sheetFormatPr defaultRowHeight="14.25"/>
  <cols>
    <col min="1" max="2" width="8" customWidth="1"/>
    <col min="3" max="3" width="5.875" bestFit="1" customWidth="1"/>
    <col min="4" max="4" width="1.75" customWidth="1"/>
    <col min="5" max="5" width="34.625" customWidth="1"/>
    <col min="6" max="19" width="9" customWidth="1"/>
    <col min="20" max="22" width="8.75" customWidth="1"/>
  </cols>
  <sheetData>
    <row r="1" spans="1:22" ht="27.75">
      <c r="C1" s="140" t="str">
        <f>ElectricU</f>
        <v>Avista Corporation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30"/>
      <c r="T1" s="130"/>
      <c r="U1" s="130"/>
      <c r="V1" s="130"/>
    </row>
    <row r="2" spans="1:22"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</row>
    <row r="3" spans="1:22"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</row>
    <row r="4" spans="1:22" ht="20.25">
      <c r="C4" s="141" t="s">
        <v>274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31"/>
      <c r="T4" s="131"/>
      <c r="U4" s="131"/>
      <c r="V4" s="131"/>
    </row>
    <row r="5" spans="1:22" ht="18">
      <c r="C5" s="142" t="s">
        <v>275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32"/>
      <c r="T5" s="132"/>
      <c r="U5" s="132"/>
      <c r="V5" s="132"/>
    </row>
    <row r="6" spans="1:22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7.25">
      <c r="C8" s="6"/>
      <c r="D8" s="7"/>
      <c r="E8" s="7"/>
      <c r="F8" s="143" t="s">
        <v>404</v>
      </c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33"/>
      <c r="T8" s="133"/>
      <c r="U8" s="133"/>
      <c r="V8" s="133"/>
    </row>
    <row r="9" spans="1:22" ht="15">
      <c r="A9" s="42" t="s">
        <v>99</v>
      </c>
      <c r="B9" s="42" t="s">
        <v>241</v>
      </c>
      <c r="C9" s="6"/>
      <c r="D9" s="7"/>
      <c r="E9" s="7"/>
      <c r="F9" s="8" t="s">
        <v>258</v>
      </c>
      <c r="G9" s="117">
        <v>2017</v>
      </c>
      <c r="H9" s="8"/>
      <c r="I9" s="8"/>
      <c r="J9" s="8"/>
      <c r="K9" s="8"/>
      <c r="L9" s="8"/>
      <c r="M9" s="7"/>
      <c r="N9" s="7"/>
      <c r="O9" s="7"/>
      <c r="P9" s="7"/>
      <c r="Q9" s="7"/>
      <c r="R9" s="7"/>
      <c r="S9" s="7"/>
      <c r="T9" s="7"/>
      <c r="U9" s="7"/>
    </row>
    <row r="10" spans="1:22" ht="17.25">
      <c r="A10" s="42" t="s">
        <v>100</v>
      </c>
      <c r="B10" s="42" t="s">
        <v>242</v>
      </c>
      <c r="C10" s="9" t="s">
        <v>96</v>
      </c>
      <c r="D10" s="138" t="s">
        <v>97</v>
      </c>
      <c r="E10" s="138"/>
      <c r="F10" s="10" t="s">
        <v>98</v>
      </c>
      <c r="G10" s="41" t="s">
        <v>318</v>
      </c>
      <c r="H10" s="41">
        <v>2016</v>
      </c>
      <c r="I10" s="41">
        <v>2015</v>
      </c>
      <c r="J10" s="41">
        <v>2014</v>
      </c>
      <c r="K10" s="41">
        <v>2013</v>
      </c>
      <c r="L10" s="41">
        <v>2012</v>
      </c>
      <c r="M10" s="41">
        <v>2011</v>
      </c>
      <c r="N10" s="41">
        <v>2010</v>
      </c>
      <c r="O10" s="41">
        <v>2009</v>
      </c>
      <c r="P10" s="41">
        <v>2008</v>
      </c>
      <c r="Q10" s="41">
        <v>2007</v>
      </c>
      <c r="R10" s="41">
        <v>2006</v>
      </c>
      <c r="S10" s="41"/>
      <c r="T10" s="41"/>
      <c r="U10" s="41"/>
      <c r="V10" s="41"/>
    </row>
    <row r="11" spans="1:22" ht="15">
      <c r="A11" s="42"/>
      <c r="B11" s="42"/>
      <c r="C11" s="9"/>
      <c r="D11" s="129"/>
      <c r="E11" s="129"/>
      <c r="F11" s="12">
        <v>-1</v>
      </c>
      <c r="G11" s="12">
        <f t="shared" ref="G11:R11" si="0">+F11-1</f>
        <v>-2</v>
      </c>
      <c r="H11" s="12">
        <f t="shared" si="0"/>
        <v>-3</v>
      </c>
      <c r="I11" s="12">
        <f t="shared" si="0"/>
        <v>-4</v>
      </c>
      <c r="J11" s="12">
        <f t="shared" si="0"/>
        <v>-5</v>
      </c>
      <c r="K11" s="12">
        <f t="shared" si="0"/>
        <v>-6</v>
      </c>
      <c r="L11" s="12">
        <f t="shared" si="0"/>
        <v>-7</v>
      </c>
      <c r="M11" s="12">
        <f t="shared" si="0"/>
        <v>-8</v>
      </c>
      <c r="N11" s="12">
        <f t="shared" si="0"/>
        <v>-9</v>
      </c>
      <c r="O11" s="12">
        <f t="shared" si="0"/>
        <v>-10</v>
      </c>
      <c r="P11" s="12">
        <f t="shared" si="0"/>
        <v>-11</v>
      </c>
      <c r="Q11" s="12">
        <f t="shared" si="0"/>
        <v>-12</v>
      </c>
      <c r="R11" s="12">
        <f t="shared" si="0"/>
        <v>-13</v>
      </c>
      <c r="S11" s="12"/>
      <c r="T11" s="12"/>
      <c r="U11" s="12"/>
      <c r="V11" s="12"/>
    </row>
    <row r="12" spans="1:22" ht="15">
      <c r="A12" s="43"/>
      <c r="B12" s="44"/>
      <c r="C12" s="9"/>
      <c r="D12" s="14" t="s">
        <v>101</v>
      </c>
      <c r="E12" s="11"/>
      <c r="F12" s="36"/>
      <c r="G12" s="36"/>
      <c r="H12" s="52"/>
      <c r="I12" s="135">
        <f t="shared" ref="I12:R12" ca="1" si="1">MATCH(I10,OFFSET(Dividends,-2,0,1,),0)</f>
        <v>3</v>
      </c>
      <c r="J12" s="135">
        <f t="shared" ca="1" si="1"/>
        <v>4</v>
      </c>
      <c r="K12" s="135">
        <f t="shared" ca="1" si="1"/>
        <v>5</v>
      </c>
      <c r="L12" s="135">
        <f t="shared" ca="1" si="1"/>
        <v>6</v>
      </c>
      <c r="M12" s="135">
        <f t="shared" ca="1" si="1"/>
        <v>7</v>
      </c>
      <c r="N12" s="135">
        <f t="shared" ca="1" si="1"/>
        <v>8</v>
      </c>
      <c r="O12" s="135">
        <f t="shared" ca="1" si="1"/>
        <v>9</v>
      </c>
      <c r="P12" s="135">
        <f t="shared" ca="1" si="1"/>
        <v>10</v>
      </c>
      <c r="Q12" s="135">
        <f t="shared" ca="1" si="1"/>
        <v>11</v>
      </c>
      <c r="R12" s="135">
        <f t="shared" ca="1" si="1"/>
        <v>12</v>
      </c>
      <c r="S12" s="16"/>
      <c r="T12" s="16"/>
      <c r="U12" s="16"/>
      <c r="V12" s="16"/>
    </row>
    <row r="13" spans="1:22">
      <c r="A13" s="45" t="s">
        <v>175</v>
      </c>
      <c r="B13" s="118">
        <f t="shared" ref="B13:B57" ca="1" si="2">IFERROR(MATCH(A13,OFFSET(Dividends,0,0,,1),0),"")</f>
        <v>12</v>
      </c>
      <c r="C13" s="1">
        <f ca="1">IF(ISERROR(D13),"",IF(D13="","",MAX($C$12:C12)+1))</f>
        <v>1</v>
      </c>
      <c r="D13" t="str">
        <f t="shared" ref="D13:D57" ca="1" si="3">VLOOKUP(A13,LUCurYr,2,FALSE)</f>
        <v>Atmos Energy</v>
      </c>
      <c r="E13" s="15"/>
      <c r="F13" s="134">
        <f t="shared" ref="F13:F57" ca="1" si="4">IFERROR(AVERAGE(G13:R13),"N/A")</f>
        <v>1.43</v>
      </c>
      <c r="G13" s="134">
        <f t="shared" ref="G13:G57" si="5">IFERROR(IF(VLOOKUP(A13,LUCurYr,9,FALSE)=0,"",VLOOKUP(A13,LUCurYr,9,FALSE)),"N/A")</f>
        <v>1.8</v>
      </c>
      <c r="H13" s="134">
        <f ca="1">IFERROR(IF(VLOOKUP($A13,LASTYR,'2016'!$I$3,FALSE)=0,"N/A",VLOOKUP($A13,LASTYR,'2016'!$I$3,FALSE)),"N/A")</f>
        <v>1.68</v>
      </c>
      <c r="I13" s="134">
        <f t="shared" ref="I13:R22" ca="1" si="6">IFERROR(IF(INDEX(Dividends,$B13,I$12)=0,"N/A",INDEX(Dividends,$B13,I$12)),"N/A")</f>
        <v>1.56</v>
      </c>
      <c r="J13" s="134">
        <f t="shared" ca="1" si="6"/>
        <v>1.48</v>
      </c>
      <c r="K13" s="134">
        <f t="shared" ca="1" si="6"/>
        <v>1.4</v>
      </c>
      <c r="L13" s="134">
        <f t="shared" ca="1" si="6"/>
        <v>1.38</v>
      </c>
      <c r="M13" s="134">
        <f t="shared" ca="1" si="6"/>
        <v>1.36</v>
      </c>
      <c r="N13" s="134">
        <f t="shared" ca="1" si="6"/>
        <v>1.34</v>
      </c>
      <c r="O13" s="134">
        <f t="shared" ca="1" si="6"/>
        <v>1.32</v>
      </c>
      <c r="P13" s="134">
        <f t="shared" ca="1" si="6"/>
        <v>1.3</v>
      </c>
      <c r="Q13" s="134">
        <f t="shared" ca="1" si="6"/>
        <v>1.28</v>
      </c>
      <c r="R13" s="134">
        <f t="shared" ca="1" si="6"/>
        <v>1.26</v>
      </c>
      <c r="S13" s="63"/>
      <c r="T13" s="63"/>
      <c r="U13" s="63"/>
      <c r="V13" s="63"/>
    </row>
    <row r="14" spans="1:22">
      <c r="A14" s="45" t="s">
        <v>178</v>
      </c>
      <c r="B14" s="118">
        <f t="shared" ca="1" si="2"/>
        <v>18</v>
      </c>
      <c r="C14" s="1">
        <f ca="1">IF(ISERROR(D14),"",IF(D14="","",MAX($C$12:C13)+1))</f>
        <v>2</v>
      </c>
      <c r="D14" t="str">
        <f t="shared" ca="1" si="3"/>
        <v>Chesapeake Utilities</v>
      </c>
      <c r="E14" s="15"/>
      <c r="F14" s="134">
        <f t="shared" ca="1" si="4"/>
        <v>0.96525000000000005</v>
      </c>
      <c r="G14" s="134">
        <f t="shared" si="5"/>
        <v>1.26</v>
      </c>
      <c r="H14" s="134">
        <f ca="1">IFERROR(IF(VLOOKUP($A14,LASTYR,'2016'!$I$3,FALSE)=0,"N/A",VLOOKUP($A14,LASTYR,'2016'!$I$3,FALSE)),"N/A")</f>
        <v>1.19</v>
      </c>
      <c r="I14" s="134">
        <f t="shared" ca="1" si="6"/>
        <v>1.1200000000000001</v>
      </c>
      <c r="J14" s="134">
        <f t="shared" ca="1" si="6"/>
        <v>1.0669999999999999</v>
      </c>
      <c r="K14" s="134">
        <f t="shared" ca="1" si="6"/>
        <v>1.0129999999999999</v>
      </c>
      <c r="L14" s="134">
        <f t="shared" ca="1" si="6"/>
        <v>0.96</v>
      </c>
      <c r="M14" s="134">
        <f t="shared" ca="1" si="6"/>
        <v>0.91</v>
      </c>
      <c r="N14" s="134">
        <f t="shared" ca="1" si="6"/>
        <v>0.87</v>
      </c>
      <c r="O14" s="134">
        <f t="shared" ca="1" si="6"/>
        <v>0.83299999999999996</v>
      </c>
      <c r="P14" s="134">
        <f t="shared" ca="1" si="6"/>
        <v>0.80700000000000005</v>
      </c>
      <c r="Q14" s="134">
        <f t="shared" ca="1" si="6"/>
        <v>0.78300000000000003</v>
      </c>
      <c r="R14" s="134">
        <f t="shared" ca="1" si="6"/>
        <v>0.77</v>
      </c>
      <c r="S14" s="63"/>
      <c r="T14" s="63"/>
      <c r="U14" s="63"/>
      <c r="V14" s="63"/>
    </row>
    <row r="15" spans="1:22">
      <c r="A15" s="45" t="s">
        <v>190</v>
      </c>
      <c r="B15" s="118">
        <f t="shared" ca="1" si="2"/>
        <v>40</v>
      </c>
      <c r="C15" s="1">
        <f ca="1">IF(ISERROR(D15),"",IF(D15="","",MAX($C$12:C14)+1))</f>
        <v>3</v>
      </c>
      <c r="D15" t="str">
        <f t="shared" ca="1" si="3"/>
        <v>New Jersey Resources</v>
      </c>
      <c r="E15" s="15"/>
      <c r="F15" s="134">
        <f t="shared" ca="1" si="4"/>
        <v>0.74391666666666667</v>
      </c>
      <c r="G15" s="134">
        <f t="shared" si="5"/>
        <v>1.02</v>
      </c>
      <c r="H15" s="134">
        <f ca="1">IFERROR(IF(VLOOKUP($A15,LASTYR,'2016'!$I$3,FALSE)=0,"N/A",VLOOKUP($A15,LASTYR,'2016'!$I$3,FALSE)),"N/A")</f>
        <v>0.98</v>
      </c>
      <c r="I15" s="134">
        <f t="shared" ca="1" si="6"/>
        <v>0.93</v>
      </c>
      <c r="J15" s="134">
        <f t="shared" ca="1" si="6"/>
        <v>0.85499999999999998</v>
      </c>
      <c r="K15" s="134">
        <f t="shared" ca="1" si="6"/>
        <v>0.81</v>
      </c>
      <c r="L15" s="134">
        <f t="shared" ca="1" si="6"/>
        <v>0.77</v>
      </c>
      <c r="M15" s="134">
        <f t="shared" ca="1" si="6"/>
        <v>0.72</v>
      </c>
      <c r="N15" s="134">
        <f t="shared" ca="1" si="6"/>
        <v>0.68</v>
      </c>
      <c r="O15" s="134">
        <f t="shared" ca="1" si="6"/>
        <v>0.62</v>
      </c>
      <c r="P15" s="134">
        <f t="shared" ca="1" si="6"/>
        <v>0.55500000000000005</v>
      </c>
      <c r="Q15" s="134">
        <f t="shared" ca="1" si="6"/>
        <v>0.50700000000000001</v>
      </c>
      <c r="R15" s="134">
        <f t="shared" ca="1" si="6"/>
        <v>0.48</v>
      </c>
      <c r="S15" s="63"/>
      <c r="T15" s="63"/>
      <c r="U15" s="63"/>
      <c r="V15" s="63"/>
    </row>
    <row r="16" spans="1:22">
      <c r="A16" s="45" t="s">
        <v>26</v>
      </c>
      <c r="B16" s="118">
        <f t="shared" ca="1" si="2"/>
        <v>42</v>
      </c>
      <c r="C16" s="1">
        <f ca="1">IF(ISERROR(D16),"",IF(D16="","",MAX($C$12:C15)+1))</f>
        <v>4</v>
      </c>
      <c r="D16" t="str">
        <f t="shared" ca="1" si="3"/>
        <v>NiSource Inc.</v>
      </c>
      <c r="E16" s="15"/>
      <c r="F16" s="134">
        <f t="shared" ca="1" si="4"/>
        <v>0.88583333333333325</v>
      </c>
      <c r="G16" s="134">
        <f t="shared" si="5"/>
        <v>0.7</v>
      </c>
      <c r="H16" s="134">
        <f ca="1">IFERROR(IF(VLOOKUP($A16,LASTYR,'2016'!$I$3,FALSE)=0,"N/A",VLOOKUP($A16,LASTYR,'2016'!$I$3,FALSE)),"N/A")</f>
        <v>0.64</v>
      </c>
      <c r="I16" s="134">
        <f t="shared" ca="1" si="6"/>
        <v>0.83</v>
      </c>
      <c r="J16" s="134">
        <f t="shared" ca="1" si="6"/>
        <v>1.02</v>
      </c>
      <c r="K16" s="134">
        <f t="shared" ca="1" si="6"/>
        <v>0.98</v>
      </c>
      <c r="L16" s="134">
        <f t="shared" ca="1" si="6"/>
        <v>0.94</v>
      </c>
      <c r="M16" s="134">
        <f t="shared" ca="1" si="6"/>
        <v>0.92</v>
      </c>
      <c r="N16" s="134">
        <f t="shared" ca="1" si="6"/>
        <v>0.92</v>
      </c>
      <c r="O16" s="134">
        <f t="shared" ca="1" si="6"/>
        <v>0.92</v>
      </c>
      <c r="P16" s="134">
        <f t="shared" ca="1" si="6"/>
        <v>0.92</v>
      </c>
      <c r="Q16" s="134">
        <f t="shared" ca="1" si="6"/>
        <v>0.92</v>
      </c>
      <c r="R16" s="134">
        <f t="shared" ca="1" si="6"/>
        <v>0.92</v>
      </c>
      <c r="S16" s="63"/>
      <c r="T16" s="63"/>
      <c r="U16" s="63"/>
      <c r="V16" s="63"/>
    </row>
    <row r="17" spans="1:22">
      <c r="A17" s="45" t="s">
        <v>192</v>
      </c>
      <c r="B17" s="118">
        <f t="shared" ca="1" si="2"/>
        <v>43</v>
      </c>
      <c r="C17" s="1">
        <f ca="1">IF(ISERROR(D17),"",IF(D17="","",MAX($C$12:C16)+1))</f>
        <v>5</v>
      </c>
      <c r="D17" t="str">
        <f t="shared" ca="1" si="3"/>
        <v>Northwest Nat. Gas</v>
      </c>
      <c r="E17" s="15"/>
      <c r="F17" s="134">
        <f t="shared" ca="1" si="4"/>
        <v>1.7050000000000003</v>
      </c>
      <c r="G17" s="134">
        <f t="shared" si="5"/>
        <v>1.88</v>
      </c>
      <c r="H17" s="134">
        <f ca="1">IFERROR(IF(VLOOKUP($A17,LASTYR,'2016'!$I$3,FALSE)=0,"N/A",VLOOKUP($A17,LASTYR,'2016'!$I$3,FALSE)),"N/A")</f>
        <v>1.87</v>
      </c>
      <c r="I17" s="134">
        <f t="shared" ca="1" si="6"/>
        <v>1.86</v>
      </c>
      <c r="J17" s="134">
        <f t="shared" ca="1" si="6"/>
        <v>1.85</v>
      </c>
      <c r="K17" s="134">
        <f t="shared" ca="1" si="6"/>
        <v>1.83</v>
      </c>
      <c r="L17" s="134">
        <f t="shared" ca="1" si="6"/>
        <v>1.79</v>
      </c>
      <c r="M17" s="134">
        <f t="shared" ca="1" si="6"/>
        <v>1.75</v>
      </c>
      <c r="N17" s="134">
        <f t="shared" ca="1" si="6"/>
        <v>1.68</v>
      </c>
      <c r="O17" s="134">
        <f t="shared" ca="1" si="6"/>
        <v>1.6</v>
      </c>
      <c r="P17" s="134">
        <f t="shared" ca="1" si="6"/>
        <v>1.52</v>
      </c>
      <c r="Q17" s="134">
        <f t="shared" ca="1" si="6"/>
        <v>1.44</v>
      </c>
      <c r="R17" s="134">
        <f t="shared" ca="1" si="6"/>
        <v>1.39</v>
      </c>
      <c r="S17" s="63"/>
      <c r="T17" s="63"/>
      <c r="U17" s="63"/>
      <c r="V17" s="63"/>
    </row>
    <row r="18" spans="1:22">
      <c r="A18" s="45" t="s">
        <v>353</v>
      </c>
      <c r="B18" s="118">
        <f t="shared" ca="1" si="2"/>
        <v>46</v>
      </c>
      <c r="C18" s="1">
        <f ca="1">IF(ISERROR(D18),"",IF(D18="","",MAX($C$12:C17)+1))</f>
        <v>6</v>
      </c>
      <c r="D18" t="str">
        <f t="shared" ca="1" si="3"/>
        <v>ONE Gas Inc.</v>
      </c>
      <c r="E18" s="15"/>
      <c r="F18" s="134">
        <f t="shared" ca="1" si="4"/>
        <v>1.28</v>
      </c>
      <c r="G18" s="134">
        <f t="shared" si="5"/>
        <v>1.68</v>
      </c>
      <c r="H18" s="134">
        <f ca="1">IFERROR(IF(VLOOKUP($A18,LASTYR,'2016'!$I$3,FALSE)=0,"N/A",VLOOKUP($A18,LASTYR,'2016'!$I$3,FALSE)),"N/A")</f>
        <v>1.4</v>
      </c>
      <c r="I18" s="134">
        <f t="shared" ca="1" si="6"/>
        <v>1.2</v>
      </c>
      <c r="J18" s="134">
        <f t="shared" ca="1" si="6"/>
        <v>0.84</v>
      </c>
      <c r="K18" s="134" t="str">
        <f t="shared" ca="1" si="6"/>
        <v>N/A</v>
      </c>
      <c r="L18" s="134" t="str">
        <f t="shared" ca="1" si="6"/>
        <v>N/A</v>
      </c>
      <c r="M18" s="134" t="str">
        <f t="shared" ca="1" si="6"/>
        <v>N/A</v>
      </c>
      <c r="N18" s="134" t="str">
        <f t="shared" ca="1" si="6"/>
        <v>N/A</v>
      </c>
      <c r="O18" s="134" t="str">
        <f t="shared" ca="1" si="6"/>
        <v>N/A</v>
      </c>
      <c r="P18" s="134" t="str">
        <f t="shared" ca="1" si="6"/>
        <v>N/A</v>
      </c>
      <c r="Q18" s="134" t="str">
        <f t="shared" ca="1" si="6"/>
        <v>N/A</v>
      </c>
      <c r="R18" s="134" t="str">
        <f t="shared" ca="1" si="6"/>
        <v>N/A</v>
      </c>
      <c r="S18" s="63"/>
      <c r="T18" s="63"/>
      <c r="U18" s="63"/>
      <c r="V18" s="63"/>
    </row>
    <row r="19" spans="1:22">
      <c r="A19" s="45" t="s">
        <v>198</v>
      </c>
      <c r="B19" s="118">
        <f t="shared" ca="1" si="2"/>
        <v>58</v>
      </c>
      <c r="C19" s="1">
        <f ca="1">IF(ISERROR(D19),"",IF(D19="","",MAX($C$12:C18)+1))</f>
        <v>7</v>
      </c>
      <c r="D19" t="str">
        <f t="shared" ca="1" si="3"/>
        <v>South Jersey Inds.</v>
      </c>
      <c r="E19" s="15"/>
      <c r="F19" s="134">
        <f t="shared" ca="1" si="4"/>
        <v>0.78541666666666687</v>
      </c>
      <c r="G19" s="134">
        <f t="shared" si="5"/>
        <v>1.1000000000000001</v>
      </c>
      <c r="H19" s="134">
        <f ca="1">IFERROR(IF(VLOOKUP($A19,LASTYR,'2016'!$I$3,FALSE)=0,"N/A",VLOOKUP($A19,LASTYR,'2016'!$I$3,FALSE)),"N/A")</f>
        <v>1.06</v>
      </c>
      <c r="I19" s="134">
        <f t="shared" ca="1" si="6"/>
        <v>1.02</v>
      </c>
      <c r="J19" s="134">
        <f t="shared" ca="1" si="6"/>
        <v>0.96</v>
      </c>
      <c r="K19" s="134">
        <f t="shared" ca="1" si="6"/>
        <v>0.9</v>
      </c>
      <c r="L19" s="134">
        <f t="shared" ca="1" si="6"/>
        <v>0.82499999999999996</v>
      </c>
      <c r="M19" s="134">
        <f t="shared" ca="1" si="6"/>
        <v>0.75</v>
      </c>
      <c r="N19" s="134">
        <f t="shared" ca="1" si="6"/>
        <v>0.68</v>
      </c>
      <c r="O19" s="134">
        <f t="shared" ca="1" si="6"/>
        <v>0.61</v>
      </c>
      <c r="P19" s="134">
        <f t="shared" ca="1" si="6"/>
        <v>0.55500000000000005</v>
      </c>
      <c r="Q19" s="134">
        <f t="shared" ca="1" si="6"/>
        <v>0.505</v>
      </c>
      <c r="R19" s="134">
        <f t="shared" ca="1" si="6"/>
        <v>0.46</v>
      </c>
      <c r="S19" s="63"/>
      <c r="T19" s="63"/>
      <c r="U19" s="63"/>
      <c r="V19" s="63"/>
    </row>
    <row r="20" spans="1:22">
      <c r="A20" s="45" t="s">
        <v>200</v>
      </c>
      <c r="B20" s="118">
        <f t="shared" ca="1" si="2"/>
        <v>60</v>
      </c>
      <c r="C20" s="1">
        <f ca="1">IF(ISERROR(D20),"",IF(D20="","",MAX($C$12:C19)+1))</f>
        <v>8</v>
      </c>
      <c r="D20" t="str">
        <f t="shared" ca="1" si="3"/>
        <v>Southwest Gas</v>
      </c>
      <c r="E20" s="15"/>
      <c r="F20" s="134">
        <f t="shared" ca="1" si="4"/>
        <v>1.2458333333333333</v>
      </c>
      <c r="G20" s="134">
        <f t="shared" si="5"/>
        <v>1.98</v>
      </c>
      <c r="H20" s="134">
        <f ca="1">IFERROR(IF(VLOOKUP($A20,LASTYR,'2016'!$I$3,FALSE)=0,"N/A",VLOOKUP($A20,LASTYR,'2016'!$I$3,FALSE)),"N/A")</f>
        <v>1.8</v>
      </c>
      <c r="I20" s="134">
        <f t="shared" ca="1" si="6"/>
        <v>1.62</v>
      </c>
      <c r="J20" s="134">
        <f t="shared" ca="1" si="6"/>
        <v>1.46</v>
      </c>
      <c r="K20" s="134">
        <f t="shared" ca="1" si="6"/>
        <v>1.32</v>
      </c>
      <c r="L20" s="134">
        <f t="shared" ca="1" si="6"/>
        <v>1.18</v>
      </c>
      <c r="M20" s="134">
        <f t="shared" ca="1" si="6"/>
        <v>1.06</v>
      </c>
      <c r="N20" s="134">
        <f t="shared" ca="1" si="6"/>
        <v>1</v>
      </c>
      <c r="O20" s="134">
        <f t="shared" ca="1" si="6"/>
        <v>0.95</v>
      </c>
      <c r="P20" s="134">
        <f t="shared" ca="1" si="6"/>
        <v>0.9</v>
      </c>
      <c r="Q20" s="134">
        <f t="shared" ca="1" si="6"/>
        <v>0.86</v>
      </c>
      <c r="R20" s="134">
        <f t="shared" ca="1" si="6"/>
        <v>0.82</v>
      </c>
      <c r="S20" s="63"/>
      <c r="T20" s="63"/>
      <c r="U20" s="63"/>
      <c r="V20" s="63"/>
    </row>
    <row r="21" spans="1:22">
      <c r="A21" s="45" t="s">
        <v>244</v>
      </c>
      <c r="B21" s="118">
        <f t="shared" ca="1" si="2"/>
        <v>61</v>
      </c>
      <c r="C21" s="1">
        <f ca="1">IF(ISERROR(D21),"",IF(D21="","",MAX($C$12:C20)+1))</f>
        <v>9</v>
      </c>
      <c r="D21" t="str">
        <f t="shared" ca="1" si="3"/>
        <v>Spire Inc.</v>
      </c>
      <c r="E21" s="15"/>
      <c r="F21" s="134">
        <f t="shared" ca="1" si="4"/>
        <v>1.6724999999999997</v>
      </c>
      <c r="G21" s="134">
        <f t="shared" si="5"/>
        <v>2.1</v>
      </c>
      <c r="H21" s="134">
        <f ca="1">IFERROR(IF(VLOOKUP($A21,LASTYR,'2016'!$I$3,FALSE)=0,"N/A",VLOOKUP($A21,LASTYR,'2016'!$I$3,FALSE)),"N/A")</f>
        <v>1.96</v>
      </c>
      <c r="I21" s="134">
        <f t="shared" ca="1" si="6"/>
        <v>1.84</v>
      </c>
      <c r="J21" s="134">
        <f t="shared" ca="1" si="6"/>
        <v>1.76</v>
      </c>
      <c r="K21" s="134">
        <f t="shared" ca="1" si="6"/>
        <v>1.7</v>
      </c>
      <c r="L21" s="134">
        <f t="shared" ca="1" si="6"/>
        <v>1.66</v>
      </c>
      <c r="M21" s="134">
        <f t="shared" ca="1" si="6"/>
        <v>1.61</v>
      </c>
      <c r="N21" s="134">
        <f t="shared" ca="1" si="6"/>
        <v>1.57</v>
      </c>
      <c r="O21" s="134">
        <f t="shared" ca="1" si="6"/>
        <v>1.53</v>
      </c>
      <c r="P21" s="134">
        <f t="shared" ca="1" si="6"/>
        <v>1.49</v>
      </c>
      <c r="Q21" s="134">
        <f t="shared" ca="1" si="6"/>
        <v>1.45</v>
      </c>
      <c r="R21" s="134">
        <f t="shared" ca="1" si="6"/>
        <v>1.4</v>
      </c>
      <c r="S21" s="63"/>
      <c r="T21" s="63"/>
      <c r="U21" s="63"/>
      <c r="V21" s="63"/>
    </row>
    <row r="22" spans="1:22">
      <c r="A22" s="45" t="s">
        <v>204</v>
      </c>
      <c r="B22" s="118">
        <f t="shared" ca="1" si="2"/>
        <v>63</v>
      </c>
      <c r="C22" s="1">
        <f ca="1">IF(ISERROR(D22),"",IF(D22="","",MAX($C$12:C21)+1))</f>
        <v>10</v>
      </c>
      <c r="D22" t="str">
        <f t="shared" ca="1" si="3"/>
        <v>UGI Corp.</v>
      </c>
      <c r="E22" s="15"/>
      <c r="F22" s="134">
        <f t="shared" ca="1" si="4"/>
        <v>0.68749999999999989</v>
      </c>
      <c r="G22" s="134">
        <f t="shared" si="5"/>
        <v>0.95</v>
      </c>
      <c r="H22" s="134">
        <f ca="1">IFERROR(IF(VLOOKUP($A22,LASTYR,'2016'!$I$3,FALSE)=0,"N/A",VLOOKUP($A22,LASTYR,'2016'!$I$3,FALSE)),"N/A")</f>
        <v>0.93</v>
      </c>
      <c r="I22" s="134">
        <f t="shared" ca="1" si="6"/>
        <v>0.89</v>
      </c>
      <c r="J22" s="134">
        <f t="shared" ca="1" si="6"/>
        <v>0.79100000000000004</v>
      </c>
      <c r="K22" s="134">
        <f t="shared" ca="1" si="6"/>
        <v>0.74</v>
      </c>
      <c r="L22" s="134">
        <f t="shared" ca="1" si="6"/>
        <v>0.70699999999999996</v>
      </c>
      <c r="M22" s="134">
        <f t="shared" ca="1" si="6"/>
        <v>0.68</v>
      </c>
      <c r="N22" s="134">
        <f t="shared" ca="1" si="6"/>
        <v>0.6</v>
      </c>
      <c r="O22" s="134">
        <f t="shared" ca="1" si="6"/>
        <v>0.52300000000000002</v>
      </c>
      <c r="P22" s="134">
        <f t="shared" ca="1" si="6"/>
        <v>0.503</v>
      </c>
      <c r="Q22" s="134">
        <f t="shared" ca="1" si="6"/>
        <v>0.48099999999999998</v>
      </c>
      <c r="R22" s="134">
        <f t="shared" ca="1" si="6"/>
        <v>0.45500000000000002</v>
      </c>
      <c r="S22" s="63"/>
      <c r="T22" s="63"/>
      <c r="U22" s="63"/>
      <c r="V22" s="63"/>
    </row>
    <row r="23" spans="1:22">
      <c r="A23" s="45" t="s">
        <v>206</v>
      </c>
      <c r="B23" s="118">
        <f t="shared" ca="1" si="2"/>
        <v>68</v>
      </c>
      <c r="C23" s="1">
        <f ca="1">IF(ISERROR(D23),"",IF(D23="","",MAX($C$12:C22)+1))</f>
        <v>11</v>
      </c>
      <c r="D23" t="str">
        <f t="shared" ca="1" si="3"/>
        <v>WGL Holdings Inc.</v>
      </c>
      <c r="E23" s="15"/>
      <c r="F23" s="134">
        <f t="shared" ca="1" si="4"/>
        <v>1.6156666666666666</v>
      </c>
      <c r="G23" s="134">
        <f t="shared" si="5"/>
        <v>2.02</v>
      </c>
      <c r="H23" s="134">
        <f ca="1">IFERROR(IF(VLOOKUP($A23,LASTYR,'2016'!$I$3,FALSE)=0,"N/A",VLOOKUP($A23,LASTYR,'2016'!$I$3,FALSE)),"N/A")</f>
        <v>1.93</v>
      </c>
      <c r="I23" s="134">
        <f t="shared" ref="I23:R32" ca="1" si="7">IFERROR(IF(INDEX(Dividends,$B23,I$12)=0,"N/A",INDEX(Dividends,$B23,I$12)),"N/A")</f>
        <v>1.83</v>
      </c>
      <c r="J23" s="134">
        <f t="shared" ca="1" si="7"/>
        <v>1.72</v>
      </c>
      <c r="K23" s="134">
        <f t="shared" ca="1" si="7"/>
        <v>1.66</v>
      </c>
      <c r="L23" s="134">
        <f t="shared" ca="1" si="7"/>
        <v>1.59</v>
      </c>
      <c r="M23" s="134">
        <f t="shared" ca="1" si="7"/>
        <v>1.55</v>
      </c>
      <c r="N23" s="134">
        <f t="shared" ca="1" si="7"/>
        <v>1.5</v>
      </c>
      <c r="O23" s="134">
        <f t="shared" ca="1" si="7"/>
        <v>1.47</v>
      </c>
      <c r="P23" s="134">
        <f t="shared" ca="1" si="7"/>
        <v>1.4079999999999999</v>
      </c>
      <c r="Q23" s="134">
        <f t="shared" ca="1" si="7"/>
        <v>1.365</v>
      </c>
      <c r="R23" s="134">
        <f t="shared" ca="1" si="7"/>
        <v>1.345</v>
      </c>
      <c r="S23" s="63"/>
      <c r="T23" s="63"/>
      <c r="U23" s="63"/>
      <c r="V23" s="63"/>
    </row>
    <row r="24" spans="1:22" hidden="1">
      <c r="A24" s="45"/>
      <c r="B24" s="118" t="str">
        <f t="shared" ca="1" si="2"/>
        <v/>
      </c>
      <c r="C24" s="1" t="str">
        <f>IF(ISERROR(D24),"",IF(D24="","",MAX($C$12:C23)+1))</f>
        <v/>
      </c>
      <c r="D24" t="e">
        <f t="shared" si="3"/>
        <v>#N/A</v>
      </c>
      <c r="E24" s="15"/>
      <c r="F24" s="134" t="str">
        <f t="shared" ca="1" si="4"/>
        <v>N/A</v>
      </c>
      <c r="G24" s="134" t="str">
        <f t="shared" si="5"/>
        <v>N/A</v>
      </c>
      <c r="H24" s="134" t="str">
        <f ca="1">IFERROR(IF(VLOOKUP($A24,LASTYR,'2016'!$I$3,FALSE)=0,"N/A",VLOOKUP($A24,LASTYR,'2016'!$I$3,FALSE)),"N/A")</f>
        <v>N/A</v>
      </c>
      <c r="I24" s="134" t="str">
        <f t="shared" ca="1" si="7"/>
        <v>N/A</v>
      </c>
      <c r="J24" s="134" t="str">
        <f t="shared" ca="1" si="7"/>
        <v>N/A</v>
      </c>
      <c r="K24" s="134" t="str">
        <f t="shared" ca="1" si="7"/>
        <v>N/A</v>
      </c>
      <c r="L24" s="134" t="str">
        <f t="shared" ca="1" si="7"/>
        <v>N/A</v>
      </c>
      <c r="M24" s="134" t="str">
        <f t="shared" ca="1" si="7"/>
        <v>N/A</v>
      </c>
      <c r="N24" s="134" t="str">
        <f t="shared" ca="1" si="7"/>
        <v>N/A</v>
      </c>
      <c r="O24" s="134" t="str">
        <f t="shared" ca="1" si="7"/>
        <v>N/A</v>
      </c>
      <c r="P24" s="134" t="str">
        <f t="shared" ca="1" si="7"/>
        <v>N/A</v>
      </c>
      <c r="Q24" s="134" t="str">
        <f t="shared" ca="1" si="7"/>
        <v>N/A</v>
      </c>
      <c r="R24" s="134" t="str">
        <f t="shared" ca="1" si="7"/>
        <v>N/A</v>
      </c>
      <c r="S24" s="63"/>
      <c r="T24" s="63"/>
      <c r="U24" s="63"/>
      <c r="V24" s="63"/>
    </row>
    <row r="25" spans="1:22" hidden="1">
      <c r="A25" s="45"/>
      <c r="B25" s="118" t="str">
        <f t="shared" ca="1" si="2"/>
        <v/>
      </c>
      <c r="C25" s="1" t="str">
        <f>IF(ISERROR(D25),"",IF(D25="","",MAX($C$12:C24)+1))</f>
        <v/>
      </c>
      <c r="D25" t="e">
        <f t="shared" si="3"/>
        <v>#N/A</v>
      </c>
      <c r="E25" s="15"/>
      <c r="F25" s="134" t="str">
        <f t="shared" ca="1" si="4"/>
        <v>N/A</v>
      </c>
      <c r="G25" s="134" t="str">
        <f t="shared" si="5"/>
        <v>N/A</v>
      </c>
      <c r="H25" s="134" t="str">
        <f ca="1">IFERROR(IF(VLOOKUP($A25,LASTYR,'2016'!$I$3,FALSE)=0,"N/A",VLOOKUP($A25,LASTYR,'2016'!$I$3,FALSE)),"N/A")</f>
        <v>N/A</v>
      </c>
      <c r="I25" s="134" t="str">
        <f t="shared" ca="1" si="7"/>
        <v>N/A</v>
      </c>
      <c r="J25" s="134" t="str">
        <f t="shared" ca="1" si="7"/>
        <v>N/A</v>
      </c>
      <c r="K25" s="134" t="str">
        <f t="shared" ca="1" si="7"/>
        <v>N/A</v>
      </c>
      <c r="L25" s="134" t="str">
        <f t="shared" ca="1" si="7"/>
        <v>N/A</v>
      </c>
      <c r="M25" s="134" t="str">
        <f t="shared" ca="1" si="7"/>
        <v>N/A</v>
      </c>
      <c r="N25" s="134" t="str">
        <f t="shared" ca="1" si="7"/>
        <v>N/A</v>
      </c>
      <c r="O25" s="134" t="str">
        <f t="shared" ca="1" si="7"/>
        <v>N/A</v>
      </c>
      <c r="P25" s="134" t="str">
        <f t="shared" ca="1" si="7"/>
        <v>N/A</v>
      </c>
      <c r="Q25" s="134" t="str">
        <f t="shared" ca="1" si="7"/>
        <v>N/A</v>
      </c>
      <c r="R25" s="134" t="str">
        <f t="shared" ca="1" si="7"/>
        <v>N/A</v>
      </c>
      <c r="S25" s="63"/>
      <c r="T25" s="63"/>
      <c r="U25" s="63"/>
      <c r="V25" s="63"/>
    </row>
    <row r="26" spans="1:22" hidden="1">
      <c r="A26" s="45"/>
      <c r="B26" s="118" t="str">
        <f t="shared" ca="1" si="2"/>
        <v/>
      </c>
      <c r="C26" s="1" t="str">
        <f>IF(ISERROR(D26),"",IF(D26="","",MAX($C$12:C25)+1))</f>
        <v/>
      </c>
      <c r="D26" t="e">
        <f t="shared" si="3"/>
        <v>#N/A</v>
      </c>
      <c r="E26" s="15"/>
      <c r="F26" s="134" t="str">
        <f t="shared" ca="1" si="4"/>
        <v>N/A</v>
      </c>
      <c r="G26" s="134" t="str">
        <f t="shared" si="5"/>
        <v>N/A</v>
      </c>
      <c r="H26" s="134" t="str">
        <f ca="1">IFERROR(IF(VLOOKUP($A26,LASTYR,'2016'!$I$3,FALSE)=0,"N/A",VLOOKUP($A26,LASTYR,'2016'!$I$3,FALSE)),"N/A")</f>
        <v>N/A</v>
      </c>
      <c r="I26" s="134" t="str">
        <f t="shared" ca="1" si="7"/>
        <v>N/A</v>
      </c>
      <c r="J26" s="134" t="str">
        <f t="shared" ca="1" si="7"/>
        <v>N/A</v>
      </c>
      <c r="K26" s="134" t="str">
        <f t="shared" ca="1" si="7"/>
        <v>N/A</v>
      </c>
      <c r="L26" s="134" t="str">
        <f t="shared" ca="1" si="7"/>
        <v>N/A</v>
      </c>
      <c r="M26" s="134" t="str">
        <f t="shared" ca="1" si="7"/>
        <v>N/A</v>
      </c>
      <c r="N26" s="134" t="str">
        <f t="shared" ca="1" si="7"/>
        <v>N/A</v>
      </c>
      <c r="O26" s="134" t="str">
        <f t="shared" ca="1" si="7"/>
        <v>N/A</v>
      </c>
      <c r="P26" s="134" t="str">
        <f t="shared" ca="1" si="7"/>
        <v>N/A</v>
      </c>
      <c r="Q26" s="134" t="str">
        <f t="shared" ca="1" si="7"/>
        <v>N/A</v>
      </c>
      <c r="R26" s="134" t="str">
        <f t="shared" ca="1" si="7"/>
        <v>N/A</v>
      </c>
      <c r="S26" s="63"/>
      <c r="T26" s="63"/>
      <c r="U26" s="63"/>
      <c r="V26" s="63"/>
    </row>
    <row r="27" spans="1:22" hidden="1">
      <c r="A27" s="45"/>
      <c r="B27" s="118" t="str">
        <f t="shared" ca="1" si="2"/>
        <v/>
      </c>
      <c r="C27" s="1" t="str">
        <f>IF(ISERROR(D27),"",IF(D27="","",MAX($C$12:C26)+1))</f>
        <v/>
      </c>
      <c r="D27" t="e">
        <f t="shared" si="3"/>
        <v>#N/A</v>
      </c>
      <c r="E27" s="15"/>
      <c r="F27" s="134" t="str">
        <f t="shared" ca="1" si="4"/>
        <v>N/A</v>
      </c>
      <c r="G27" s="134" t="str">
        <f t="shared" si="5"/>
        <v>N/A</v>
      </c>
      <c r="H27" s="134" t="str">
        <f ca="1">IFERROR(IF(VLOOKUP($A27,LASTYR,'2016'!$I$3,FALSE)=0,"N/A",VLOOKUP($A27,LASTYR,'2016'!$I$3,FALSE)),"N/A")</f>
        <v>N/A</v>
      </c>
      <c r="I27" s="134" t="str">
        <f t="shared" ca="1" si="7"/>
        <v>N/A</v>
      </c>
      <c r="J27" s="134" t="str">
        <f t="shared" ca="1" si="7"/>
        <v>N/A</v>
      </c>
      <c r="K27" s="134" t="str">
        <f t="shared" ca="1" si="7"/>
        <v>N/A</v>
      </c>
      <c r="L27" s="134" t="str">
        <f t="shared" ca="1" si="7"/>
        <v>N/A</v>
      </c>
      <c r="M27" s="134" t="str">
        <f t="shared" ca="1" si="7"/>
        <v>N/A</v>
      </c>
      <c r="N27" s="134" t="str">
        <f t="shared" ca="1" si="7"/>
        <v>N/A</v>
      </c>
      <c r="O27" s="134" t="str">
        <f t="shared" ca="1" si="7"/>
        <v>N/A</v>
      </c>
      <c r="P27" s="134" t="str">
        <f t="shared" ca="1" si="7"/>
        <v>N/A</v>
      </c>
      <c r="Q27" s="134" t="str">
        <f t="shared" ca="1" si="7"/>
        <v>N/A</v>
      </c>
      <c r="R27" s="134" t="str">
        <f t="shared" ca="1" si="7"/>
        <v>N/A</v>
      </c>
      <c r="S27" s="63"/>
      <c r="T27" s="63"/>
      <c r="U27" s="63"/>
      <c r="V27" s="63"/>
    </row>
    <row r="28" spans="1:22" hidden="1">
      <c r="A28" s="45"/>
      <c r="B28" s="118" t="str">
        <f t="shared" ca="1" si="2"/>
        <v/>
      </c>
      <c r="C28" s="1" t="str">
        <f>IF(ISERROR(D28),"",IF(D28="","",MAX($C$12:C27)+1))</f>
        <v/>
      </c>
      <c r="D28" t="e">
        <f t="shared" si="3"/>
        <v>#N/A</v>
      </c>
      <c r="E28" s="15"/>
      <c r="F28" s="134" t="str">
        <f t="shared" ca="1" si="4"/>
        <v>N/A</v>
      </c>
      <c r="G28" s="134" t="str">
        <f t="shared" si="5"/>
        <v>N/A</v>
      </c>
      <c r="H28" s="134" t="str">
        <f ca="1">IFERROR(IF(VLOOKUP($A28,LASTYR,'2016'!$I$3,FALSE)=0,"N/A",VLOOKUP($A28,LASTYR,'2016'!$I$3,FALSE)),"N/A")</f>
        <v>N/A</v>
      </c>
      <c r="I28" s="134" t="str">
        <f t="shared" ca="1" si="7"/>
        <v>N/A</v>
      </c>
      <c r="J28" s="134" t="str">
        <f t="shared" ca="1" si="7"/>
        <v>N/A</v>
      </c>
      <c r="K28" s="134" t="str">
        <f t="shared" ca="1" si="7"/>
        <v>N/A</v>
      </c>
      <c r="L28" s="134" t="str">
        <f t="shared" ca="1" si="7"/>
        <v>N/A</v>
      </c>
      <c r="M28" s="134" t="str">
        <f t="shared" ca="1" si="7"/>
        <v>N/A</v>
      </c>
      <c r="N28" s="134" t="str">
        <f t="shared" ca="1" si="7"/>
        <v>N/A</v>
      </c>
      <c r="O28" s="134" t="str">
        <f t="shared" ca="1" si="7"/>
        <v>N/A</v>
      </c>
      <c r="P28" s="134" t="str">
        <f t="shared" ca="1" si="7"/>
        <v>N/A</v>
      </c>
      <c r="Q28" s="134" t="str">
        <f t="shared" ca="1" si="7"/>
        <v>N/A</v>
      </c>
      <c r="R28" s="134" t="str">
        <f t="shared" ca="1" si="7"/>
        <v>N/A</v>
      </c>
      <c r="S28" s="63"/>
      <c r="T28" s="63"/>
      <c r="U28" s="63"/>
      <c r="V28" s="63"/>
    </row>
    <row r="29" spans="1:22" hidden="1">
      <c r="A29" s="45"/>
      <c r="B29" s="118" t="str">
        <f t="shared" ca="1" si="2"/>
        <v/>
      </c>
      <c r="C29" s="1" t="str">
        <f>IF(ISERROR(D29),"",IF(D29="","",MAX($C$12:C28)+1))</f>
        <v/>
      </c>
      <c r="D29" t="e">
        <f t="shared" si="3"/>
        <v>#N/A</v>
      </c>
      <c r="E29" s="15"/>
      <c r="F29" s="134" t="str">
        <f t="shared" ca="1" si="4"/>
        <v>N/A</v>
      </c>
      <c r="G29" s="134" t="str">
        <f t="shared" si="5"/>
        <v>N/A</v>
      </c>
      <c r="H29" s="134" t="str">
        <f ca="1">IFERROR(IF(VLOOKUP($A29,LASTYR,'2016'!$I$3,FALSE)=0,"N/A",VLOOKUP($A29,LASTYR,'2016'!$I$3,FALSE)),"N/A")</f>
        <v>N/A</v>
      </c>
      <c r="I29" s="134" t="str">
        <f t="shared" ca="1" si="7"/>
        <v>N/A</v>
      </c>
      <c r="J29" s="134" t="str">
        <f t="shared" ca="1" si="7"/>
        <v>N/A</v>
      </c>
      <c r="K29" s="134" t="str">
        <f t="shared" ca="1" si="7"/>
        <v>N/A</v>
      </c>
      <c r="L29" s="134" t="str">
        <f t="shared" ca="1" si="7"/>
        <v>N/A</v>
      </c>
      <c r="M29" s="134" t="str">
        <f t="shared" ca="1" si="7"/>
        <v>N/A</v>
      </c>
      <c r="N29" s="134" t="str">
        <f t="shared" ca="1" si="7"/>
        <v>N/A</v>
      </c>
      <c r="O29" s="134" t="str">
        <f t="shared" ca="1" si="7"/>
        <v>N/A</v>
      </c>
      <c r="P29" s="134" t="str">
        <f t="shared" ca="1" si="7"/>
        <v>N/A</v>
      </c>
      <c r="Q29" s="134" t="str">
        <f t="shared" ca="1" si="7"/>
        <v>N/A</v>
      </c>
      <c r="R29" s="134" t="str">
        <f t="shared" ca="1" si="7"/>
        <v>N/A</v>
      </c>
      <c r="S29" s="63"/>
      <c r="T29" s="63"/>
      <c r="U29" s="63"/>
      <c r="V29" s="63"/>
    </row>
    <row r="30" spans="1:22" hidden="1">
      <c r="A30" s="45"/>
      <c r="B30" s="118" t="str">
        <f t="shared" ca="1" si="2"/>
        <v/>
      </c>
      <c r="C30" s="1" t="str">
        <f>IF(ISERROR(D30),"",IF(D30="","",MAX($C$12:C29)+1))</f>
        <v/>
      </c>
      <c r="D30" t="e">
        <f t="shared" si="3"/>
        <v>#N/A</v>
      </c>
      <c r="E30" s="15"/>
      <c r="F30" s="134" t="str">
        <f t="shared" ca="1" si="4"/>
        <v>N/A</v>
      </c>
      <c r="G30" s="134" t="str">
        <f t="shared" si="5"/>
        <v>N/A</v>
      </c>
      <c r="H30" s="134" t="str">
        <f ca="1">IFERROR(IF(VLOOKUP($A30,LASTYR,'2016'!$I$3,FALSE)=0,"N/A",VLOOKUP($A30,LASTYR,'2016'!$I$3,FALSE)),"N/A")</f>
        <v>N/A</v>
      </c>
      <c r="I30" s="134" t="str">
        <f t="shared" ca="1" si="7"/>
        <v>N/A</v>
      </c>
      <c r="J30" s="134" t="str">
        <f t="shared" ca="1" si="7"/>
        <v>N/A</v>
      </c>
      <c r="K30" s="134" t="str">
        <f t="shared" ca="1" si="7"/>
        <v>N/A</v>
      </c>
      <c r="L30" s="134" t="str">
        <f t="shared" ca="1" si="7"/>
        <v>N/A</v>
      </c>
      <c r="M30" s="134" t="str">
        <f t="shared" ca="1" si="7"/>
        <v>N/A</v>
      </c>
      <c r="N30" s="134" t="str">
        <f t="shared" ca="1" si="7"/>
        <v>N/A</v>
      </c>
      <c r="O30" s="134" t="str">
        <f t="shared" ca="1" si="7"/>
        <v>N/A</v>
      </c>
      <c r="P30" s="134" t="str">
        <f t="shared" ca="1" si="7"/>
        <v>N/A</v>
      </c>
      <c r="Q30" s="134" t="str">
        <f t="shared" ca="1" si="7"/>
        <v>N/A</v>
      </c>
      <c r="R30" s="134" t="str">
        <f t="shared" ca="1" si="7"/>
        <v>N/A</v>
      </c>
      <c r="S30" s="63"/>
      <c r="T30" s="63"/>
      <c r="U30" s="63"/>
      <c r="V30" s="63"/>
    </row>
    <row r="31" spans="1:22" hidden="1">
      <c r="A31" s="45"/>
      <c r="B31" s="118" t="str">
        <f t="shared" ca="1" si="2"/>
        <v/>
      </c>
      <c r="C31" s="1" t="str">
        <f>IF(ISERROR(D31),"",IF(D31="","",MAX($C$12:C30)+1))</f>
        <v/>
      </c>
      <c r="D31" t="e">
        <f t="shared" si="3"/>
        <v>#N/A</v>
      </c>
      <c r="E31" s="15"/>
      <c r="F31" s="134" t="str">
        <f t="shared" ca="1" si="4"/>
        <v>N/A</v>
      </c>
      <c r="G31" s="134" t="str">
        <f t="shared" si="5"/>
        <v>N/A</v>
      </c>
      <c r="H31" s="134" t="str">
        <f ca="1">IFERROR(IF(VLOOKUP($A31,LASTYR,'2016'!$I$3,FALSE)=0,"N/A",VLOOKUP($A31,LASTYR,'2016'!$I$3,FALSE)),"N/A")</f>
        <v>N/A</v>
      </c>
      <c r="I31" s="134" t="str">
        <f t="shared" ca="1" si="7"/>
        <v>N/A</v>
      </c>
      <c r="J31" s="134" t="str">
        <f t="shared" ca="1" si="7"/>
        <v>N/A</v>
      </c>
      <c r="K31" s="134" t="str">
        <f t="shared" ca="1" si="7"/>
        <v>N/A</v>
      </c>
      <c r="L31" s="134" t="str">
        <f t="shared" ca="1" si="7"/>
        <v>N/A</v>
      </c>
      <c r="M31" s="134" t="str">
        <f t="shared" ca="1" si="7"/>
        <v>N/A</v>
      </c>
      <c r="N31" s="134" t="str">
        <f t="shared" ca="1" si="7"/>
        <v>N/A</v>
      </c>
      <c r="O31" s="134" t="str">
        <f t="shared" ca="1" si="7"/>
        <v>N/A</v>
      </c>
      <c r="P31" s="134" t="str">
        <f t="shared" ca="1" si="7"/>
        <v>N/A</v>
      </c>
      <c r="Q31" s="134" t="str">
        <f t="shared" ca="1" si="7"/>
        <v>N/A</v>
      </c>
      <c r="R31" s="134" t="str">
        <f t="shared" ca="1" si="7"/>
        <v>N/A</v>
      </c>
      <c r="S31" s="63"/>
      <c r="T31" s="63"/>
      <c r="U31" s="63"/>
      <c r="V31" s="63"/>
    </row>
    <row r="32" spans="1:22" hidden="1">
      <c r="A32" s="45"/>
      <c r="B32" s="118" t="str">
        <f t="shared" ca="1" si="2"/>
        <v/>
      </c>
      <c r="C32" s="1" t="str">
        <f>IF(ISERROR(D32),"",IF(D32="","",MAX($C$12:C31)+1))</f>
        <v/>
      </c>
      <c r="D32" t="e">
        <f t="shared" si="3"/>
        <v>#N/A</v>
      </c>
      <c r="E32" s="15"/>
      <c r="F32" s="134" t="str">
        <f t="shared" ca="1" si="4"/>
        <v>N/A</v>
      </c>
      <c r="G32" s="134" t="str">
        <f t="shared" si="5"/>
        <v>N/A</v>
      </c>
      <c r="H32" s="134" t="str">
        <f ca="1">IFERROR(IF(VLOOKUP($A32,LASTYR,'2016'!$I$3,FALSE)=0,"N/A",VLOOKUP($A32,LASTYR,'2016'!$I$3,FALSE)),"N/A")</f>
        <v>N/A</v>
      </c>
      <c r="I32" s="134" t="str">
        <f t="shared" ca="1" si="7"/>
        <v>N/A</v>
      </c>
      <c r="J32" s="134" t="str">
        <f t="shared" ca="1" si="7"/>
        <v>N/A</v>
      </c>
      <c r="K32" s="134" t="str">
        <f t="shared" ca="1" si="7"/>
        <v>N/A</v>
      </c>
      <c r="L32" s="134" t="str">
        <f t="shared" ca="1" si="7"/>
        <v>N/A</v>
      </c>
      <c r="M32" s="134" t="str">
        <f t="shared" ca="1" si="7"/>
        <v>N/A</v>
      </c>
      <c r="N32" s="134" t="str">
        <f t="shared" ca="1" si="7"/>
        <v>N/A</v>
      </c>
      <c r="O32" s="134" t="str">
        <f t="shared" ca="1" si="7"/>
        <v>N/A</v>
      </c>
      <c r="P32" s="134" t="str">
        <f t="shared" ca="1" si="7"/>
        <v>N/A</v>
      </c>
      <c r="Q32" s="134" t="str">
        <f t="shared" ca="1" si="7"/>
        <v>N/A</v>
      </c>
      <c r="R32" s="134" t="str">
        <f t="shared" ca="1" si="7"/>
        <v>N/A</v>
      </c>
      <c r="S32" s="63"/>
      <c r="T32" s="63"/>
      <c r="U32" s="63"/>
      <c r="V32" s="63"/>
    </row>
    <row r="33" spans="1:22" hidden="1">
      <c r="A33" s="45"/>
      <c r="B33" s="118" t="str">
        <f t="shared" ca="1" si="2"/>
        <v/>
      </c>
      <c r="C33" s="1" t="str">
        <f>IF(ISERROR(D33),"",IF(D33="","",MAX($C$12:C32)+1))</f>
        <v/>
      </c>
      <c r="D33" t="e">
        <f t="shared" si="3"/>
        <v>#N/A</v>
      </c>
      <c r="E33" s="15"/>
      <c r="F33" s="134" t="str">
        <f t="shared" ca="1" si="4"/>
        <v>N/A</v>
      </c>
      <c r="G33" s="134" t="str">
        <f t="shared" si="5"/>
        <v>N/A</v>
      </c>
      <c r="H33" s="134" t="str">
        <f ca="1">IFERROR(IF(VLOOKUP($A33,LASTYR,'2016'!$I$3,FALSE)=0,"N/A",VLOOKUP($A33,LASTYR,'2016'!$I$3,FALSE)),"N/A")</f>
        <v>N/A</v>
      </c>
      <c r="I33" s="134" t="str">
        <f t="shared" ref="I33:R42" ca="1" si="8">IFERROR(IF(INDEX(Dividends,$B33,I$12)=0,"N/A",INDEX(Dividends,$B33,I$12)),"N/A")</f>
        <v>N/A</v>
      </c>
      <c r="J33" s="134" t="str">
        <f t="shared" ca="1" si="8"/>
        <v>N/A</v>
      </c>
      <c r="K33" s="134" t="str">
        <f t="shared" ca="1" si="8"/>
        <v>N/A</v>
      </c>
      <c r="L33" s="134" t="str">
        <f t="shared" ca="1" si="8"/>
        <v>N/A</v>
      </c>
      <c r="M33" s="134" t="str">
        <f t="shared" ca="1" si="8"/>
        <v>N/A</v>
      </c>
      <c r="N33" s="134" t="str">
        <f t="shared" ca="1" si="8"/>
        <v>N/A</v>
      </c>
      <c r="O33" s="134" t="str">
        <f t="shared" ca="1" si="8"/>
        <v>N/A</v>
      </c>
      <c r="P33" s="134" t="str">
        <f t="shared" ca="1" si="8"/>
        <v>N/A</v>
      </c>
      <c r="Q33" s="134" t="str">
        <f t="shared" ca="1" si="8"/>
        <v>N/A</v>
      </c>
      <c r="R33" s="134" t="str">
        <f t="shared" ca="1" si="8"/>
        <v>N/A</v>
      </c>
      <c r="S33" s="63"/>
      <c r="T33" s="63"/>
      <c r="U33" s="63"/>
      <c r="V33" s="63"/>
    </row>
    <row r="34" spans="1:22" hidden="1">
      <c r="A34" s="45"/>
      <c r="B34" s="118" t="str">
        <f t="shared" ca="1" si="2"/>
        <v/>
      </c>
      <c r="C34" s="1" t="str">
        <f>IF(ISERROR(D34),"",IF(D34="","",MAX($C$12:C33)+1))</f>
        <v/>
      </c>
      <c r="D34" t="e">
        <f t="shared" si="3"/>
        <v>#N/A</v>
      </c>
      <c r="E34" s="15"/>
      <c r="F34" s="134" t="str">
        <f t="shared" ca="1" si="4"/>
        <v>N/A</v>
      </c>
      <c r="G34" s="134" t="str">
        <f t="shared" si="5"/>
        <v>N/A</v>
      </c>
      <c r="H34" s="134" t="str">
        <f ca="1">IFERROR(IF(VLOOKUP($A34,LASTYR,'2016'!$I$3,FALSE)=0,"N/A",VLOOKUP($A34,LASTYR,'2016'!$I$3,FALSE)),"N/A")</f>
        <v>N/A</v>
      </c>
      <c r="I34" s="134" t="str">
        <f t="shared" ca="1" si="8"/>
        <v>N/A</v>
      </c>
      <c r="J34" s="134" t="str">
        <f t="shared" ca="1" si="8"/>
        <v>N/A</v>
      </c>
      <c r="K34" s="134" t="str">
        <f t="shared" ca="1" si="8"/>
        <v>N/A</v>
      </c>
      <c r="L34" s="134" t="str">
        <f t="shared" ca="1" si="8"/>
        <v>N/A</v>
      </c>
      <c r="M34" s="134" t="str">
        <f t="shared" ca="1" si="8"/>
        <v>N/A</v>
      </c>
      <c r="N34" s="134" t="str">
        <f t="shared" ca="1" si="8"/>
        <v>N/A</v>
      </c>
      <c r="O34" s="134" t="str">
        <f t="shared" ca="1" si="8"/>
        <v>N/A</v>
      </c>
      <c r="P34" s="134" t="str">
        <f t="shared" ca="1" si="8"/>
        <v>N/A</v>
      </c>
      <c r="Q34" s="134" t="str">
        <f t="shared" ca="1" si="8"/>
        <v>N/A</v>
      </c>
      <c r="R34" s="134" t="str">
        <f t="shared" ca="1" si="8"/>
        <v>N/A</v>
      </c>
      <c r="S34" s="63"/>
      <c r="T34" s="63"/>
      <c r="U34" s="63"/>
      <c r="V34" s="63"/>
    </row>
    <row r="35" spans="1:22" hidden="1">
      <c r="A35" s="45"/>
      <c r="B35" s="118" t="str">
        <f t="shared" ca="1" si="2"/>
        <v/>
      </c>
      <c r="C35" s="1" t="str">
        <f>IF(ISERROR(D35),"",IF(D35="","",MAX($C$12:C34)+1))</f>
        <v/>
      </c>
      <c r="D35" t="e">
        <f t="shared" si="3"/>
        <v>#N/A</v>
      </c>
      <c r="E35" s="15"/>
      <c r="F35" s="134" t="str">
        <f t="shared" ca="1" si="4"/>
        <v>N/A</v>
      </c>
      <c r="G35" s="134" t="str">
        <f t="shared" si="5"/>
        <v>N/A</v>
      </c>
      <c r="H35" s="134" t="str">
        <f ca="1">IFERROR(IF(VLOOKUP($A35,LASTYR,'2016'!$I$3,FALSE)=0,"N/A",VLOOKUP($A35,LASTYR,'2016'!$I$3,FALSE)),"N/A")</f>
        <v>N/A</v>
      </c>
      <c r="I35" s="134" t="str">
        <f t="shared" ca="1" si="8"/>
        <v>N/A</v>
      </c>
      <c r="J35" s="134" t="str">
        <f t="shared" ca="1" si="8"/>
        <v>N/A</v>
      </c>
      <c r="K35" s="134" t="str">
        <f t="shared" ca="1" si="8"/>
        <v>N/A</v>
      </c>
      <c r="L35" s="134" t="str">
        <f t="shared" ca="1" si="8"/>
        <v>N/A</v>
      </c>
      <c r="M35" s="134" t="str">
        <f t="shared" ca="1" si="8"/>
        <v>N/A</v>
      </c>
      <c r="N35" s="134" t="str">
        <f t="shared" ca="1" si="8"/>
        <v>N/A</v>
      </c>
      <c r="O35" s="134" t="str">
        <f t="shared" ca="1" si="8"/>
        <v>N/A</v>
      </c>
      <c r="P35" s="134" t="str">
        <f t="shared" ca="1" si="8"/>
        <v>N/A</v>
      </c>
      <c r="Q35" s="134" t="str">
        <f t="shared" ca="1" si="8"/>
        <v>N/A</v>
      </c>
      <c r="R35" s="134" t="str">
        <f t="shared" ca="1" si="8"/>
        <v>N/A</v>
      </c>
      <c r="S35" s="63"/>
      <c r="T35" s="63"/>
      <c r="U35" s="63"/>
      <c r="V35" s="63"/>
    </row>
    <row r="36" spans="1:22" hidden="1">
      <c r="A36" s="45"/>
      <c r="B36" s="118" t="str">
        <f t="shared" ca="1" si="2"/>
        <v/>
      </c>
      <c r="C36" s="1" t="str">
        <f>IF(ISERROR(D36),"",IF(D36="","",MAX($C$12:C35)+1))</f>
        <v/>
      </c>
      <c r="D36" t="e">
        <f t="shared" si="3"/>
        <v>#N/A</v>
      </c>
      <c r="E36" s="15"/>
      <c r="F36" s="134" t="str">
        <f t="shared" ca="1" si="4"/>
        <v>N/A</v>
      </c>
      <c r="G36" s="134" t="str">
        <f t="shared" si="5"/>
        <v>N/A</v>
      </c>
      <c r="H36" s="134" t="str">
        <f ca="1">IFERROR(IF(VLOOKUP($A36,LASTYR,'2016'!$I$3,FALSE)=0,"N/A",VLOOKUP($A36,LASTYR,'2016'!$I$3,FALSE)),"N/A")</f>
        <v>N/A</v>
      </c>
      <c r="I36" s="134" t="str">
        <f t="shared" ca="1" si="8"/>
        <v>N/A</v>
      </c>
      <c r="J36" s="134" t="str">
        <f t="shared" ca="1" si="8"/>
        <v>N/A</v>
      </c>
      <c r="K36" s="134" t="str">
        <f t="shared" ca="1" si="8"/>
        <v>N/A</v>
      </c>
      <c r="L36" s="134" t="str">
        <f t="shared" ca="1" si="8"/>
        <v>N/A</v>
      </c>
      <c r="M36" s="134" t="str">
        <f t="shared" ca="1" si="8"/>
        <v>N/A</v>
      </c>
      <c r="N36" s="134" t="str">
        <f t="shared" ca="1" si="8"/>
        <v>N/A</v>
      </c>
      <c r="O36" s="134" t="str">
        <f t="shared" ca="1" si="8"/>
        <v>N/A</v>
      </c>
      <c r="P36" s="134" t="str">
        <f t="shared" ca="1" si="8"/>
        <v>N/A</v>
      </c>
      <c r="Q36" s="134" t="str">
        <f t="shared" ca="1" si="8"/>
        <v>N/A</v>
      </c>
      <c r="R36" s="134" t="str">
        <f t="shared" ca="1" si="8"/>
        <v>N/A</v>
      </c>
      <c r="S36" s="63"/>
      <c r="T36" s="63"/>
      <c r="U36" s="63"/>
      <c r="V36" s="63"/>
    </row>
    <row r="37" spans="1:22" hidden="1">
      <c r="A37" s="45"/>
      <c r="B37" s="118" t="str">
        <f t="shared" ca="1" si="2"/>
        <v/>
      </c>
      <c r="C37" s="1" t="str">
        <f>IF(ISERROR(D37),"",IF(D37="","",MAX($C$12:C36)+1))</f>
        <v/>
      </c>
      <c r="D37" t="e">
        <f t="shared" si="3"/>
        <v>#N/A</v>
      </c>
      <c r="E37" s="15"/>
      <c r="F37" s="134" t="str">
        <f t="shared" ca="1" si="4"/>
        <v>N/A</v>
      </c>
      <c r="G37" s="134" t="str">
        <f t="shared" si="5"/>
        <v>N/A</v>
      </c>
      <c r="H37" s="134" t="str">
        <f ca="1">IFERROR(IF(VLOOKUP($A37,LASTYR,'2016'!$I$3,FALSE)=0,"N/A",VLOOKUP($A37,LASTYR,'2016'!$I$3,FALSE)),"N/A")</f>
        <v>N/A</v>
      </c>
      <c r="I37" s="134" t="str">
        <f t="shared" ca="1" si="8"/>
        <v>N/A</v>
      </c>
      <c r="J37" s="134" t="str">
        <f t="shared" ca="1" si="8"/>
        <v>N/A</v>
      </c>
      <c r="K37" s="134" t="str">
        <f t="shared" ca="1" si="8"/>
        <v>N/A</v>
      </c>
      <c r="L37" s="134" t="str">
        <f t="shared" ca="1" si="8"/>
        <v>N/A</v>
      </c>
      <c r="M37" s="134" t="str">
        <f t="shared" ca="1" si="8"/>
        <v>N/A</v>
      </c>
      <c r="N37" s="134" t="str">
        <f t="shared" ca="1" si="8"/>
        <v>N/A</v>
      </c>
      <c r="O37" s="134" t="str">
        <f t="shared" ca="1" si="8"/>
        <v>N/A</v>
      </c>
      <c r="P37" s="134" t="str">
        <f t="shared" ca="1" si="8"/>
        <v>N/A</v>
      </c>
      <c r="Q37" s="134" t="str">
        <f t="shared" ca="1" si="8"/>
        <v>N/A</v>
      </c>
      <c r="R37" s="134" t="str">
        <f t="shared" ca="1" si="8"/>
        <v>N/A</v>
      </c>
      <c r="S37" s="63"/>
      <c r="T37" s="63"/>
      <c r="U37" s="63"/>
      <c r="V37" s="63"/>
    </row>
    <row r="38" spans="1:22" hidden="1">
      <c r="A38" s="45"/>
      <c r="B38" s="118" t="str">
        <f t="shared" ca="1" si="2"/>
        <v/>
      </c>
      <c r="C38" s="1" t="str">
        <f>IF(ISERROR(D38),"",IF(D38="","",MAX($C$12:C37)+1))</f>
        <v/>
      </c>
      <c r="D38" t="e">
        <f t="shared" si="3"/>
        <v>#N/A</v>
      </c>
      <c r="E38" s="15"/>
      <c r="F38" s="134" t="str">
        <f t="shared" ca="1" si="4"/>
        <v>N/A</v>
      </c>
      <c r="G38" s="134" t="str">
        <f t="shared" si="5"/>
        <v>N/A</v>
      </c>
      <c r="H38" s="134" t="str">
        <f ca="1">IFERROR(IF(VLOOKUP($A38,LASTYR,'2016'!$I$3,FALSE)=0,"N/A",VLOOKUP($A38,LASTYR,'2016'!$I$3,FALSE)),"N/A")</f>
        <v>N/A</v>
      </c>
      <c r="I38" s="134" t="str">
        <f t="shared" ca="1" si="8"/>
        <v>N/A</v>
      </c>
      <c r="J38" s="134" t="str">
        <f t="shared" ca="1" si="8"/>
        <v>N/A</v>
      </c>
      <c r="K38" s="134" t="str">
        <f t="shared" ca="1" si="8"/>
        <v>N/A</v>
      </c>
      <c r="L38" s="134" t="str">
        <f t="shared" ca="1" si="8"/>
        <v>N/A</v>
      </c>
      <c r="M38" s="134" t="str">
        <f t="shared" ca="1" si="8"/>
        <v>N/A</v>
      </c>
      <c r="N38" s="134" t="str">
        <f t="shared" ca="1" si="8"/>
        <v>N/A</v>
      </c>
      <c r="O38" s="134" t="str">
        <f t="shared" ca="1" si="8"/>
        <v>N/A</v>
      </c>
      <c r="P38" s="134" t="str">
        <f t="shared" ca="1" si="8"/>
        <v>N/A</v>
      </c>
      <c r="Q38" s="134" t="str">
        <f t="shared" ca="1" si="8"/>
        <v>N/A</v>
      </c>
      <c r="R38" s="134" t="str">
        <f t="shared" ca="1" si="8"/>
        <v>N/A</v>
      </c>
      <c r="S38" s="63"/>
      <c r="T38" s="63"/>
      <c r="U38" s="63"/>
      <c r="V38" s="63"/>
    </row>
    <row r="39" spans="1:22" hidden="1">
      <c r="A39" s="45"/>
      <c r="B39" s="118" t="str">
        <f t="shared" ca="1" si="2"/>
        <v/>
      </c>
      <c r="C39" s="1" t="str">
        <f>IF(ISERROR(D39),"",IF(D39="","",MAX($C$12:C38)+1))</f>
        <v/>
      </c>
      <c r="D39" t="e">
        <f t="shared" si="3"/>
        <v>#N/A</v>
      </c>
      <c r="E39" s="15"/>
      <c r="F39" s="134" t="str">
        <f t="shared" ca="1" si="4"/>
        <v>N/A</v>
      </c>
      <c r="G39" s="134" t="str">
        <f t="shared" si="5"/>
        <v>N/A</v>
      </c>
      <c r="H39" s="134" t="str">
        <f ca="1">IFERROR(IF(VLOOKUP($A39,LASTYR,'2016'!$I$3,FALSE)=0,"N/A",VLOOKUP($A39,LASTYR,'2016'!$I$3,FALSE)),"N/A")</f>
        <v>N/A</v>
      </c>
      <c r="I39" s="134" t="str">
        <f t="shared" ca="1" si="8"/>
        <v>N/A</v>
      </c>
      <c r="J39" s="134" t="str">
        <f t="shared" ca="1" si="8"/>
        <v>N/A</v>
      </c>
      <c r="K39" s="134" t="str">
        <f t="shared" ca="1" si="8"/>
        <v>N/A</v>
      </c>
      <c r="L39" s="134" t="str">
        <f t="shared" ca="1" si="8"/>
        <v>N/A</v>
      </c>
      <c r="M39" s="134" t="str">
        <f t="shared" ca="1" si="8"/>
        <v>N/A</v>
      </c>
      <c r="N39" s="134" t="str">
        <f t="shared" ca="1" si="8"/>
        <v>N/A</v>
      </c>
      <c r="O39" s="134" t="str">
        <f t="shared" ca="1" si="8"/>
        <v>N/A</v>
      </c>
      <c r="P39" s="134" t="str">
        <f t="shared" ca="1" si="8"/>
        <v>N/A</v>
      </c>
      <c r="Q39" s="134" t="str">
        <f t="shared" ca="1" si="8"/>
        <v>N/A</v>
      </c>
      <c r="R39" s="134" t="str">
        <f t="shared" ca="1" si="8"/>
        <v>N/A</v>
      </c>
      <c r="S39" s="63"/>
      <c r="T39" s="63"/>
      <c r="U39" s="63"/>
      <c r="V39" s="63"/>
    </row>
    <row r="40" spans="1:22" hidden="1">
      <c r="A40" s="45"/>
      <c r="B40" s="118" t="str">
        <f t="shared" ca="1" si="2"/>
        <v/>
      </c>
      <c r="C40" s="1" t="str">
        <f>IF(ISERROR(D40),"",IF(D40="","",MAX($C$12:C39)+1))</f>
        <v/>
      </c>
      <c r="D40" t="e">
        <f t="shared" si="3"/>
        <v>#N/A</v>
      </c>
      <c r="E40" s="15"/>
      <c r="F40" s="134" t="str">
        <f t="shared" ca="1" si="4"/>
        <v>N/A</v>
      </c>
      <c r="G40" s="134" t="str">
        <f t="shared" si="5"/>
        <v>N/A</v>
      </c>
      <c r="H40" s="134" t="str">
        <f ca="1">IFERROR(IF(VLOOKUP($A40,LASTYR,'2016'!$I$3,FALSE)=0,"N/A",VLOOKUP($A40,LASTYR,'2016'!$I$3,FALSE)),"N/A")</f>
        <v>N/A</v>
      </c>
      <c r="I40" s="134" t="str">
        <f t="shared" ca="1" si="8"/>
        <v>N/A</v>
      </c>
      <c r="J40" s="134" t="str">
        <f t="shared" ca="1" si="8"/>
        <v>N/A</v>
      </c>
      <c r="K40" s="134" t="str">
        <f t="shared" ca="1" si="8"/>
        <v>N/A</v>
      </c>
      <c r="L40" s="134" t="str">
        <f t="shared" ca="1" si="8"/>
        <v>N/A</v>
      </c>
      <c r="M40" s="134" t="str">
        <f t="shared" ca="1" si="8"/>
        <v>N/A</v>
      </c>
      <c r="N40" s="134" t="str">
        <f t="shared" ca="1" si="8"/>
        <v>N/A</v>
      </c>
      <c r="O40" s="134" t="str">
        <f t="shared" ca="1" si="8"/>
        <v>N/A</v>
      </c>
      <c r="P40" s="134" t="str">
        <f t="shared" ca="1" si="8"/>
        <v>N/A</v>
      </c>
      <c r="Q40" s="134" t="str">
        <f t="shared" ca="1" si="8"/>
        <v>N/A</v>
      </c>
      <c r="R40" s="134" t="str">
        <f t="shared" ca="1" si="8"/>
        <v>N/A</v>
      </c>
      <c r="S40" s="63"/>
      <c r="T40" s="63"/>
      <c r="U40" s="63"/>
      <c r="V40" s="63"/>
    </row>
    <row r="41" spans="1:22" hidden="1">
      <c r="A41" s="45"/>
      <c r="B41" s="118" t="str">
        <f t="shared" ca="1" si="2"/>
        <v/>
      </c>
      <c r="C41" s="1" t="str">
        <f>IF(ISERROR(D41),"",IF(D41="","",MAX($C$12:C40)+1))</f>
        <v/>
      </c>
      <c r="D41" t="e">
        <f t="shared" si="3"/>
        <v>#N/A</v>
      </c>
      <c r="E41" s="15"/>
      <c r="F41" s="134" t="str">
        <f t="shared" ca="1" si="4"/>
        <v>N/A</v>
      </c>
      <c r="G41" s="134" t="str">
        <f t="shared" si="5"/>
        <v>N/A</v>
      </c>
      <c r="H41" s="134" t="str">
        <f ca="1">IFERROR(IF(VLOOKUP($A41,LASTYR,'2016'!$I$3,FALSE)=0,"N/A",VLOOKUP($A41,LASTYR,'2016'!$I$3,FALSE)),"N/A")</f>
        <v>N/A</v>
      </c>
      <c r="I41" s="134" t="str">
        <f t="shared" ca="1" si="8"/>
        <v>N/A</v>
      </c>
      <c r="J41" s="134" t="str">
        <f t="shared" ca="1" si="8"/>
        <v>N/A</v>
      </c>
      <c r="K41" s="134" t="str">
        <f t="shared" ca="1" si="8"/>
        <v>N/A</v>
      </c>
      <c r="L41" s="134" t="str">
        <f t="shared" ca="1" si="8"/>
        <v>N/A</v>
      </c>
      <c r="M41" s="134" t="str">
        <f t="shared" ca="1" si="8"/>
        <v>N/A</v>
      </c>
      <c r="N41" s="134" t="str">
        <f t="shared" ca="1" si="8"/>
        <v>N/A</v>
      </c>
      <c r="O41" s="134" t="str">
        <f t="shared" ca="1" si="8"/>
        <v>N/A</v>
      </c>
      <c r="P41" s="134" t="str">
        <f t="shared" ca="1" si="8"/>
        <v>N/A</v>
      </c>
      <c r="Q41" s="134" t="str">
        <f t="shared" ca="1" si="8"/>
        <v>N/A</v>
      </c>
      <c r="R41" s="134" t="str">
        <f t="shared" ca="1" si="8"/>
        <v>N/A</v>
      </c>
      <c r="S41" s="63"/>
      <c r="T41" s="63"/>
      <c r="U41" s="63"/>
      <c r="V41" s="63"/>
    </row>
    <row r="42" spans="1:22" hidden="1">
      <c r="A42" s="45"/>
      <c r="B42" s="118" t="str">
        <f t="shared" ca="1" si="2"/>
        <v/>
      </c>
      <c r="C42" s="1" t="str">
        <f>IF(ISERROR(D42),"",IF(D42="","",MAX($C$12:C41)+1))</f>
        <v/>
      </c>
      <c r="D42" t="e">
        <f t="shared" si="3"/>
        <v>#N/A</v>
      </c>
      <c r="E42" s="15"/>
      <c r="F42" s="134" t="str">
        <f t="shared" ca="1" si="4"/>
        <v>N/A</v>
      </c>
      <c r="G42" s="134" t="str">
        <f t="shared" si="5"/>
        <v>N/A</v>
      </c>
      <c r="H42" s="134" t="str">
        <f ca="1">IFERROR(IF(VLOOKUP($A42,LASTYR,'2016'!$I$3,FALSE)=0,"N/A",VLOOKUP($A42,LASTYR,'2016'!$I$3,FALSE)),"N/A")</f>
        <v>N/A</v>
      </c>
      <c r="I42" s="134" t="str">
        <f t="shared" ca="1" si="8"/>
        <v>N/A</v>
      </c>
      <c r="J42" s="134" t="str">
        <f t="shared" ca="1" si="8"/>
        <v>N/A</v>
      </c>
      <c r="K42" s="134" t="str">
        <f t="shared" ca="1" si="8"/>
        <v>N/A</v>
      </c>
      <c r="L42" s="134" t="str">
        <f t="shared" ca="1" si="8"/>
        <v>N/A</v>
      </c>
      <c r="M42" s="134" t="str">
        <f t="shared" ca="1" si="8"/>
        <v>N/A</v>
      </c>
      <c r="N42" s="134" t="str">
        <f t="shared" ca="1" si="8"/>
        <v>N/A</v>
      </c>
      <c r="O42" s="134" t="str">
        <f t="shared" ca="1" si="8"/>
        <v>N/A</v>
      </c>
      <c r="P42" s="134" t="str">
        <f t="shared" ca="1" si="8"/>
        <v>N/A</v>
      </c>
      <c r="Q42" s="134" t="str">
        <f t="shared" ca="1" si="8"/>
        <v>N/A</v>
      </c>
      <c r="R42" s="134" t="str">
        <f t="shared" ca="1" si="8"/>
        <v>N/A</v>
      </c>
      <c r="S42" s="63"/>
      <c r="T42" s="63"/>
      <c r="U42" s="63"/>
      <c r="V42" s="63"/>
    </row>
    <row r="43" spans="1:22" hidden="1">
      <c r="A43" s="45"/>
      <c r="B43" s="118" t="str">
        <f t="shared" ca="1" si="2"/>
        <v/>
      </c>
      <c r="C43" s="1" t="str">
        <f>IF(ISERROR(D43),"",IF(D43="","",MAX($C$12:C42)+1))</f>
        <v/>
      </c>
      <c r="D43" t="e">
        <f t="shared" si="3"/>
        <v>#N/A</v>
      </c>
      <c r="E43" s="15"/>
      <c r="F43" s="134" t="str">
        <f t="shared" ca="1" si="4"/>
        <v>N/A</v>
      </c>
      <c r="G43" s="134" t="str">
        <f t="shared" si="5"/>
        <v>N/A</v>
      </c>
      <c r="H43" s="134" t="str">
        <f ca="1">IFERROR(IF(VLOOKUP($A43,LASTYR,'2016'!$I$3,FALSE)=0,"N/A",VLOOKUP($A43,LASTYR,'2016'!$I$3,FALSE)),"N/A")</f>
        <v>N/A</v>
      </c>
      <c r="I43" s="134" t="str">
        <f t="shared" ref="I43:R57" ca="1" si="9">IFERROR(IF(INDEX(Dividends,$B43,I$12)=0,"N/A",INDEX(Dividends,$B43,I$12)),"N/A")</f>
        <v>N/A</v>
      </c>
      <c r="J43" s="134" t="str">
        <f t="shared" ca="1" si="9"/>
        <v>N/A</v>
      </c>
      <c r="K43" s="134" t="str">
        <f t="shared" ca="1" si="9"/>
        <v>N/A</v>
      </c>
      <c r="L43" s="134" t="str">
        <f t="shared" ca="1" si="9"/>
        <v>N/A</v>
      </c>
      <c r="M43" s="134" t="str">
        <f t="shared" ca="1" si="9"/>
        <v>N/A</v>
      </c>
      <c r="N43" s="134" t="str">
        <f t="shared" ca="1" si="9"/>
        <v>N/A</v>
      </c>
      <c r="O43" s="134" t="str">
        <f t="shared" ca="1" si="9"/>
        <v>N/A</v>
      </c>
      <c r="P43" s="134" t="str">
        <f t="shared" ca="1" si="9"/>
        <v>N/A</v>
      </c>
      <c r="Q43" s="134" t="str">
        <f t="shared" ca="1" si="9"/>
        <v>N/A</v>
      </c>
      <c r="R43" s="134" t="str">
        <f t="shared" ca="1" si="9"/>
        <v>N/A</v>
      </c>
      <c r="S43" s="63"/>
      <c r="T43" s="63"/>
      <c r="U43" s="63"/>
      <c r="V43" s="63"/>
    </row>
    <row r="44" spans="1:22" hidden="1">
      <c r="A44" s="45"/>
      <c r="B44" s="118" t="str">
        <f t="shared" ca="1" si="2"/>
        <v/>
      </c>
      <c r="C44" s="1" t="str">
        <f>IF(ISERROR(D44),"",IF(D44="","",MAX($C$12:C43)+1))</f>
        <v/>
      </c>
      <c r="D44" t="e">
        <f t="shared" si="3"/>
        <v>#N/A</v>
      </c>
      <c r="E44" s="15"/>
      <c r="F44" s="134" t="str">
        <f t="shared" ca="1" si="4"/>
        <v>N/A</v>
      </c>
      <c r="G44" s="134" t="str">
        <f t="shared" si="5"/>
        <v>N/A</v>
      </c>
      <c r="H44" s="134" t="str">
        <f ca="1">IFERROR(IF(VLOOKUP($A44,LASTYR,'2016'!$I$3,FALSE)=0,"N/A",VLOOKUP($A44,LASTYR,'2016'!$I$3,FALSE)),"N/A")</f>
        <v>N/A</v>
      </c>
      <c r="I44" s="134" t="str">
        <f t="shared" ca="1" si="9"/>
        <v>N/A</v>
      </c>
      <c r="J44" s="134" t="str">
        <f t="shared" ca="1" si="9"/>
        <v>N/A</v>
      </c>
      <c r="K44" s="134" t="str">
        <f t="shared" ca="1" si="9"/>
        <v>N/A</v>
      </c>
      <c r="L44" s="134" t="str">
        <f t="shared" ca="1" si="9"/>
        <v>N/A</v>
      </c>
      <c r="M44" s="134" t="str">
        <f t="shared" ca="1" si="9"/>
        <v>N/A</v>
      </c>
      <c r="N44" s="134" t="str">
        <f t="shared" ca="1" si="9"/>
        <v>N/A</v>
      </c>
      <c r="O44" s="134" t="str">
        <f t="shared" ca="1" si="9"/>
        <v>N/A</v>
      </c>
      <c r="P44" s="134" t="str">
        <f t="shared" ca="1" si="9"/>
        <v>N/A</v>
      </c>
      <c r="Q44" s="134" t="str">
        <f t="shared" ca="1" si="9"/>
        <v>N/A</v>
      </c>
      <c r="R44" s="134" t="str">
        <f t="shared" ca="1" si="9"/>
        <v>N/A</v>
      </c>
      <c r="S44" s="63"/>
      <c r="T44" s="63"/>
      <c r="U44" s="63"/>
      <c r="V44" s="63"/>
    </row>
    <row r="45" spans="1:22" hidden="1">
      <c r="A45" s="45"/>
      <c r="B45" s="118" t="str">
        <f t="shared" ca="1" si="2"/>
        <v/>
      </c>
      <c r="C45" s="1" t="str">
        <f>IF(ISERROR(D45),"",IF(D45="","",MAX($C$12:C44)+1))</f>
        <v/>
      </c>
      <c r="D45" t="e">
        <f t="shared" si="3"/>
        <v>#N/A</v>
      </c>
      <c r="E45" s="15"/>
      <c r="F45" s="134" t="str">
        <f t="shared" ca="1" si="4"/>
        <v>N/A</v>
      </c>
      <c r="G45" s="134" t="str">
        <f t="shared" si="5"/>
        <v>N/A</v>
      </c>
      <c r="H45" s="134" t="str">
        <f ca="1">IFERROR(IF(VLOOKUP($A45,LASTYR,'2016'!$I$3,FALSE)=0,"N/A",VLOOKUP($A45,LASTYR,'2016'!$I$3,FALSE)),"N/A")</f>
        <v>N/A</v>
      </c>
      <c r="I45" s="134" t="str">
        <f t="shared" ca="1" si="9"/>
        <v>N/A</v>
      </c>
      <c r="J45" s="134" t="str">
        <f t="shared" ca="1" si="9"/>
        <v>N/A</v>
      </c>
      <c r="K45" s="134" t="str">
        <f t="shared" ca="1" si="9"/>
        <v>N/A</v>
      </c>
      <c r="L45" s="134" t="str">
        <f t="shared" ca="1" si="9"/>
        <v>N/A</v>
      </c>
      <c r="M45" s="134" t="str">
        <f t="shared" ca="1" si="9"/>
        <v>N/A</v>
      </c>
      <c r="N45" s="134" t="str">
        <f t="shared" ca="1" si="9"/>
        <v>N/A</v>
      </c>
      <c r="O45" s="134" t="str">
        <f t="shared" ca="1" si="9"/>
        <v>N/A</v>
      </c>
      <c r="P45" s="134" t="str">
        <f t="shared" ca="1" si="9"/>
        <v>N/A</v>
      </c>
      <c r="Q45" s="134" t="str">
        <f t="shared" ca="1" si="9"/>
        <v>N/A</v>
      </c>
      <c r="R45" s="134" t="str">
        <f t="shared" ca="1" si="9"/>
        <v>N/A</v>
      </c>
      <c r="S45" s="63"/>
      <c r="T45" s="63"/>
      <c r="U45" s="63"/>
      <c r="V45" s="63"/>
    </row>
    <row r="46" spans="1:22" hidden="1">
      <c r="A46" s="45"/>
      <c r="B46" s="118" t="str">
        <f t="shared" ca="1" si="2"/>
        <v/>
      </c>
      <c r="C46" s="1" t="str">
        <f>IF(ISERROR(D46),"",IF(D46="","",MAX($C$12:C45)+1))</f>
        <v/>
      </c>
      <c r="D46" t="e">
        <f t="shared" si="3"/>
        <v>#N/A</v>
      </c>
      <c r="E46" s="15"/>
      <c r="F46" s="134" t="str">
        <f t="shared" ca="1" si="4"/>
        <v>N/A</v>
      </c>
      <c r="G46" s="134" t="str">
        <f t="shared" si="5"/>
        <v>N/A</v>
      </c>
      <c r="H46" s="134" t="str">
        <f ca="1">IFERROR(IF(VLOOKUP($A46,LASTYR,'2016'!$I$3,FALSE)=0,"N/A",VLOOKUP($A46,LASTYR,'2016'!$I$3,FALSE)),"N/A")</f>
        <v>N/A</v>
      </c>
      <c r="I46" s="134" t="str">
        <f t="shared" ca="1" si="9"/>
        <v>N/A</v>
      </c>
      <c r="J46" s="134" t="str">
        <f t="shared" ca="1" si="9"/>
        <v>N/A</v>
      </c>
      <c r="K46" s="134" t="str">
        <f t="shared" ca="1" si="9"/>
        <v>N/A</v>
      </c>
      <c r="L46" s="134" t="str">
        <f t="shared" ca="1" si="9"/>
        <v>N/A</v>
      </c>
      <c r="M46" s="134" t="str">
        <f t="shared" ca="1" si="9"/>
        <v>N/A</v>
      </c>
      <c r="N46" s="134" t="str">
        <f t="shared" ca="1" si="9"/>
        <v>N/A</v>
      </c>
      <c r="O46" s="134" t="str">
        <f t="shared" ca="1" si="9"/>
        <v>N/A</v>
      </c>
      <c r="P46" s="134" t="str">
        <f t="shared" ca="1" si="9"/>
        <v>N/A</v>
      </c>
      <c r="Q46" s="134" t="str">
        <f t="shared" ca="1" si="9"/>
        <v>N/A</v>
      </c>
      <c r="R46" s="134" t="str">
        <f t="shared" ca="1" si="9"/>
        <v>N/A</v>
      </c>
      <c r="S46" s="63"/>
      <c r="T46" s="63"/>
      <c r="U46" s="63"/>
      <c r="V46" s="63"/>
    </row>
    <row r="47" spans="1:22" hidden="1">
      <c r="A47" s="45"/>
      <c r="B47" s="118" t="str">
        <f t="shared" ca="1" si="2"/>
        <v/>
      </c>
      <c r="C47" s="1" t="str">
        <f>IF(ISERROR(D47),"",IF(D47="","",MAX($C$12:C46)+1))</f>
        <v/>
      </c>
      <c r="D47" t="e">
        <f t="shared" si="3"/>
        <v>#N/A</v>
      </c>
      <c r="E47" s="15"/>
      <c r="F47" s="134" t="str">
        <f t="shared" ca="1" si="4"/>
        <v>N/A</v>
      </c>
      <c r="G47" s="134" t="str">
        <f t="shared" si="5"/>
        <v>N/A</v>
      </c>
      <c r="H47" s="134" t="str">
        <f ca="1">IFERROR(IF(VLOOKUP($A47,LASTYR,'2016'!$I$3,FALSE)=0,"N/A",VLOOKUP($A47,LASTYR,'2016'!$I$3,FALSE)),"N/A")</f>
        <v>N/A</v>
      </c>
      <c r="I47" s="134" t="str">
        <f t="shared" ca="1" si="9"/>
        <v>N/A</v>
      </c>
      <c r="J47" s="134" t="str">
        <f t="shared" ca="1" si="9"/>
        <v>N/A</v>
      </c>
      <c r="K47" s="134" t="str">
        <f t="shared" ca="1" si="9"/>
        <v>N/A</v>
      </c>
      <c r="L47" s="134" t="str">
        <f t="shared" ca="1" si="9"/>
        <v>N/A</v>
      </c>
      <c r="M47" s="134" t="str">
        <f t="shared" ca="1" si="9"/>
        <v>N/A</v>
      </c>
      <c r="N47" s="134" t="str">
        <f t="shared" ca="1" si="9"/>
        <v>N/A</v>
      </c>
      <c r="O47" s="134" t="str">
        <f t="shared" ca="1" si="9"/>
        <v>N/A</v>
      </c>
      <c r="P47" s="134" t="str">
        <f t="shared" ca="1" si="9"/>
        <v>N/A</v>
      </c>
      <c r="Q47" s="134" t="str">
        <f t="shared" ca="1" si="9"/>
        <v>N/A</v>
      </c>
      <c r="R47" s="134" t="str">
        <f t="shared" ca="1" si="9"/>
        <v>N/A</v>
      </c>
      <c r="S47" s="63"/>
      <c r="T47" s="63"/>
      <c r="U47" s="63"/>
      <c r="V47" s="63"/>
    </row>
    <row r="48" spans="1:22" hidden="1">
      <c r="A48" s="45"/>
      <c r="B48" s="118" t="str">
        <f t="shared" ca="1" si="2"/>
        <v/>
      </c>
      <c r="C48" s="1" t="str">
        <f>IF(ISERROR(D48),"",IF(D48="","",MAX($C$12:C47)+1))</f>
        <v/>
      </c>
      <c r="D48" t="e">
        <f t="shared" si="3"/>
        <v>#N/A</v>
      </c>
      <c r="E48" s="15"/>
      <c r="F48" s="134" t="str">
        <f t="shared" ca="1" si="4"/>
        <v>N/A</v>
      </c>
      <c r="G48" s="134" t="str">
        <f t="shared" si="5"/>
        <v>N/A</v>
      </c>
      <c r="H48" s="134" t="str">
        <f ca="1">IFERROR(IF(VLOOKUP($A48,LASTYR,'2016'!$I$3,FALSE)=0,"N/A",VLOOKUP($A48,LASTYR,'2016'!$I$3,FALSE)),"N/A")</f>
        <v>N/A</v>
      </c>
      <c r="I48" s="134" t="str">
        <f t="shared" ca="1" si="9"/>
        <v>N/A</v>
      </c>
      <c r="J48" s="134" t="str">
        <f t="shared" ca="1" si="9"/>
        <v>N/A</v>
      </c>
      <c r="K48" s="134" t="str">
        <f t="shared" ca="1" si="9"/>
        <v>N/A</v>
      </c>
      <c r="L48" s="134" t="str">
        <f t="shared" ca="1" si="9"/>
        <v>N/A</v>
      </c>
      <c r="M48" s="134" t="str">
        <f t="shared" ca="1" si="9"/>
        <v>N/A</v>
      </c>
      <c r="N48" s="134" t="str">
        <f t="shared" ca="1" si="9"/>
        <v>N/A</v>
      </c>
      <c r="O48" s="134" t="str">
        <f t="shared" ca="1" si="9"/>
        <v>N/A</v>
      </c>
      <c r="P48" s="134" t="str">
        <f t="shared" ca="1" si="9"/>
        <v>N/A</v>
      </c>
      <c r="Q48" s="134" t="str">
        <f t="shared" ca="1" si="9"/>
        <v>N/A</v>
      </c>
      <c r="R48" s="134" t="str">
        <f t="shared" ca="1" si="9"/>
        <v>N/A</v>
      </c>
      <c r="S48" s="63"/>
      <c r="T48" s="63"/>
      <c r="U48" s="63"/>
      <c r="V48" s="63"/>
    </row>
    <row r="49" spans="1:22" hidden="1">
      <c r="A49" s="45"/>
      <c r="B49" s="118" t="str">
        <f t="shared" ca="1" si="2"/>
        <v/>
      </c>
      <c r="C49" s="1" t="str">
        <f>IF(ISERROR(D49),"",IF(D49="","",MAX($C$12:C48)+1))</f>
        <v/>
      </c>
      <c r="D49" t="e">
        <f t="shared" si="3"/>
        <v>#N/A</v>
      </c>
      <c r="E49" s="15"/>
      <c r="F49" s="134" t="str">
        <f t="shared" ca="1" si="4"/>
        <v>N/A</v>
      </c>
      <c r="G49" s="134" t="str">
        <f t="shared" si="5"/>
        <v>N/A</v>
      </c>
      <c r="H49" s="134" t="str">
        <f ca="1">IFERROR(IF(VLOOKUP($A49,LASTYR,'2016'!$I$3,FALSE)=0,"N/A",VLOOKUP($A49,LASTYR,'2016'!$I$3,FALSE)),"N/A")</f>
        <v>N/A</v>
      </c>
      <c r="I49" s="134" t="str">
        <f t="shared" ca="1" si="9"/>
        <v>N/A</v>
      </c>
      <c r="J49" s="134" t="str">
        <f t="shared" ca="1" si="9"/>
        <v>N/A</v>
      </c>
      <c r="K49" s="134" t="str">
        <f t="shared" ca="1" si="9"/>
        <v>N/A</v>
      </c>
      <c r="L49" s="134" t="str">
        <f t="shared" ca="1" si="9"/>
        <v>N/A</v>
      </c>
      <c r="M49" s="134" t="str">
        <f t="shared" ca="1" si="9"/>
        <v>N/A</v>
      </c>
      <c r="N49" s="134" t="str">
        <f t="shared" ca="1" si="9"/>
        <v>N/A</v>
      </c>
      <c r="O49" s="134" t="str">
        <f t="shared" ca="1" si="9"/>
        <v>N/A</v>
      </c>
      <c r="P49" s="134" t="str">
        <f t="shared" ca="1" si="9"/>
        <v>N/A</v>
      </c>
      <c r="Q49" s="134" t="str">
        <f t="shared" ca="1" si="9"/>
        <v>N/A</v>
      </c>
      <c r="R49" s="134" t="str">
        <f t="shared" ca="1" si="9"/>
        <v>N/A</v>
      </c>
      <c r="S49" s="63"/>
      <c r="T49" s="63"/>
      <c r="U49" s="63"/>
      <c r="V49" s="63"/>
    </row>
    <row r="50" spans="1:22" hidden="1">
      <c r="A50" s="45"/>
      <c r="B50" s="118" t="str">
        <f t="shared" ca="1" si="2"/>
        <v/>
      </c>
      <c r="C50" s="1" t="str">
        <f>IF(ISERROR(D50),"",IF(D50="","",MAX($C$12:C49)+1))</f>
        <v/>
      </c>
      <c r="D50" t="e">
        <f t="shared" si="3"/>
        <v>#N/A</v>
      </c>
      <c r="E50" s="15"/>
      <c r="F50" s="134" t="str">
        <f t="shared" ca="1" si="4"/>
        <v>N/A</v>
      </c>
      <c r="G50" s="134" t="str">
        <f t="shared" si="5"/>
        <v>N/A</v>
      </c>
      <c r="H50" s="134" t="str">
        <f ca="1">IFERROR(IF(VLOOKUP($A50,LASTYR,'2016'!$I$3,FALSE)=0,"N/A",VLOOKUP($A50,LASTYR,'2016'!$I$3,FALSE)),"N/A")</f>
        <v>N/A</v>
      </c>
      <c r="I50" s="134" t="str">
        <f t="shared" ca="1" si="9"/>
        <v>N/A</v>
      </c>
      <c r="J50" s="134" t="str">
        <f t="shared" ca="1" si="9"/>
        <v>N/A</v>
      </c>
      <c r="K50" s="134" t="str">
        <f t="shared" ca="1" si="9"/>
        <v>N/A</v>
      </c>
      <c r="L50" s="134" t="str">
        <f t="shared" ca="1" si="9"/>
        <v>N/A</v>
      </c>
      <c r="M50" s="134" t="str">
        <f t="shared" ca="1" si="9"/>
        <v>N/A</v>
      </c>
      <c r="N50" s="134" t="str">
        <f t="shared" ca="1" si="9"/>
        <v>N/A</v>
      </c>
      <c r="O50" s="134" t="str">
        <f t="shared" ca="1" si="9"/>
        <v>N/A</v>
      </c>
      <c r="P50" s="134" t="str">
        <f t="shared" ca="1" si="9"/>
        <v>N/A</v>
      </c>
      <c r="Q50" s="134" t="str">
        <f t="shared" ca="1" si="9"/>
        <v>N/A</v>
      </c>
      <c r="R50" s="134" t="str">
        <f t="shared" ca="1" si="9"/>
        <v>N/A</v>
      </c>
      <c r="S50" s="63"/>
      <c r="T50" s="63"/>
      <c r="U50" s="63"/>
      <c r="V50" s="63"/>
    </row>
    <row r="51" spans="1:22" hidden="1">
      <c r="A51" s="45"/>
      <c r="B51" s="118" t="str">
        <f t="shared" ca="1" si="2"/>
        <v/>
      </c>
      <c r="C51" s="1" t="str">
        <f>IF(ISERROR(D51),"",IF(D51="","",MAX($C$12:C50)+1))</f>
        <v/>
      </c>
      <c r="D51" t="e">
        <f t="shared" si="3"/>
        <v>#N/A</v>
      </c>
      <c r="E51" s="15"/>
      <c r="F51" s="134" t="str">
        <f t="shared" ca="1" si="4"/>
        <v>N/A</v>
      </c>
      <c r="G51" s="134" t="str">
        <f t="shared" si="5"/>
        <v>N/A</v>
      </c>
      <c r="H51" s="134" t="str">
        <f ca="1">IFERROR(IF(VLOOKUP($A51,LASTYR,'2016'!$I$3,FALSE)=0,"N/A",VLOOKUP($A51,LASTYR,'2016'!$I$3,FALSE)),"N/A")</f>
        <v>N/A</v>
      </c>
      <c r="I51" s="134" t="str">
        <f t="shared" ca="1" si="9"/>
        <v>N/A</v>
      </c>
      <c r="J51" s="134" t="str">
        <f t="shared" ca="1" si="9"/>
        <v>N/A</v>
      </c>
      <c r="K51" s="134" t="str">
        <f t="shared" ca="1" si="9"/>
        <v>N/A</v>
      </c>
      <c r="L51" s="134" t="str">
        <f t="shared" ca="1" si="9"/>
        <v>N/A</v>
      </c>
      <c r="M51" s="134" t="str">
        <f t="shared" ca="1" si="9"/>
        <v>N/A</v>
      </c>
      <c r="N51" s="134" t="str">
        <f t="shared" ca="1" si="9"/>
        <v>N/A</v>
      </c>
      <c r="O51" s="134" t="str">
        <f t="shared" ca="1" si="9"/>
        <v>N/A</v>
      </c>
      <c r="P51" s="134" t="str">
        <f t="shared" ca="1" si="9"/>
        <v>N/A</v>
      </c>
      <c r="Q51" s="134" t="str">
        <f t="shared" ca="1" si="9"/>
        <v>N/A</v>
      </c>
      <c r="R51" s="134" t="str">
        <f t="shared" ca="1" si="9"/>
        <v>N/A</v>
      </c>
      <c r="S51" s="63"/>
      <c r="T51" s="63"/>
      <c r="U51" s="63"/>
      <c r="V51" s="63"/>
    </row>
    <row r="52" spans="1:22" hidden="1">
      <c r="A52" s="45"/>
      <c r="B52" s="118" t="str">
        <f t="shared" ca="1" si="2"/>
        <v/>
      </c>
      <c r="C52" s="1" t="str">
        <f>IF(ISERROR(D52),"",IF(D52="","",MAX($C$12:C51)+1))</f>
        <v/>
      </c>
      <c r="D52" t="e">
        <f t="shared" si="3"/>
        <v>#N/A</v>
      </c>
      <c r="E52" s="15"/>
      <c r="F52" s="134" t="str">
        <f t="shared" ca="1" si="4"/>
        <v>N/A</v>
      </c>
      <c r="G52" s="134" t="str">
        <f t="shared" si="5"/>
        <v>N/A</v>
      </c>
      <c r="H52" s="134" t="str">
        <f ca="1">IFERROR(IF(VLOOKUP($A52,LASTYR,'2016'!$I$3,FALSE)=0,"N/A",VLOOKUP($A52,LASTYR,'2016'!$I$3,FALSE)),"N/A")</f>
        <v>N/A</v>
      </c>
      <c r="I52" s="134" t="str">
        <f t="shared" ca="1" si="9"/>
        <v>N/A</v>
      </c>
      <c r="J52" s="134" t="str">
        <f t="shared" ca="1" si="9"/>
        <v>N/A</v>
      </c>
      <c r="K52" s="134" t="str">
        <f t="shared" ca="1" si="9"/>
        <v>N/A</v>
      </c>
      <c r="L52" s="134" t="str">
        <f t="shared" ca="1" si="9"/>
        <v>N/A</v>
      </c>
      <c r="M52" s="134" t="str">
        <f t="shared" ca="1" si="9"/>
        <v>N/A</v>
      </c>
      <c r="N52" s="134" t="str">
        <f t="shared" ca="1" si="9"/>
        <v>N/A</v>
      </c>
      <c r="O52" s="134" t="str">
        <f t="shared" ca="1" si="9"/>
        <v>N/A</v>
      </c>
      <c r="P52" s="134" t="str">
        <f t="shared" ca="1" si="9"/>
        <v>N/A</v>
      </c>
      <c r="Q52" s="134" t="str">
        <f t="shared" ca="1" si="9"/>
        <v>N/A</v>
      </c>
      <c r="R52" s="134" t="str">
        <f t="shared" ca="1" si="9"/>
        <v>N/A</v>
      </c>
      <c r="S52" s="63"/>
      <c r="T52" s="63"/>
      <c r="U52" s="63"/>
      <c r="V52" s="63"/>
    </row>
    <row r="53" spans="1:22" hidden="1">
      <c r="A53" s="45"/>
      <c r="B53" s="118" t="str">
        <f t="shared" ca="1" si="2"/>
        <v/>
      </c>
      <c r="C53" s="1" t="str">
        <f>IF(ISERROR(D53),"",IF(D53="","",MAX($C$12:C52)+1))</f>
        <v/>
      </c>
      <c r="D53" t="e">
        <f t="shared" si="3"/>
        <v>#N/A</v>
      </c>
      <c r="E53" s="15"/>
      <c r="F53" s="134" t="str">
        <f t="shared" ca="1" si="4"/>
        <v>N/A</v>
      </c>
      <c r="G53" s="134" t="str">
        <f t="shared" si="5"/>
        <v>N/A</v>
      </c>
      <c r="H53" s="134" t="str">
        <f ca="1">IFERROR(IF(VLOOKUP($A53,LASTYR,'2016'!$I$3,FALSE)=0,"N/A",VLOOKUP($A53,LASTYR,'2016'!$I$3,FALSE)),"N/A")</f>
        <v>N/A</v>
      </c>
      <c r="I53" s="134" t="str">
        <f t="shared" ca="1" si="9"/>
        <v>N/A</v>
      </c>
      <c r="J53" s="134" t="str">
        <f t="shared" ca="1" si="9"/>
        <v>N/A</v>
      </c>
      <c r="K53" s="134" t="str">
        <f t="shared" ca="1" si="9"/>
        <v>N/A</v>
      </c>
      <c r="L53" s="134" t="str">
        <f t="shared" ca="1" si="9"/>
        <v>N/A</v>
      </c>
      <c r="M53" s="134" t="str">
        <f t="shared" ca="1" si="9"/>
        <v>N/A</v>
      </c>
      <c r="N53" s="134" t="str">
        <f t="shared" ca="1" si="9"/>
        <v>N/A</v>
      </c>
      <c r="O53" s="134" t="str">
        <f t="shared" ca="1" si="9"/>
        <v>N/A</v>
      </c>
      <c r="P53" s="134" t="str">
        <f t="shared" ca="1" si="9"/>
        <v>N/A</v>
      </c>
      <c r="Q53" s="134" t="str">
        <f t="shared" ca="1" si="9"/>
        <v>N/A</v>
      </c>
      <c r="R53" s="134" t="str">
        <f t="shared" ca="1" si="9"/>
        <v>N/A</v>
      </c>
      <c r="S53" s="63"/>
      <c r="T53" s="63"/>
      <c r="U53" s="63"/>
      <c r="V53" s="63"/>
    </row>
    <row r="54" spans="1:22" hidden="1">
      <c r="A54" s="45"/>
      <c r="B54" s="118" t="str">
        <f t="shared" ca="1" si="2"/>
        <v/>
      </c>
      <c r="C54" s="1" t="str">
        <f>IF(ISERROR(D54),"",IF(D54="","",MAX($C$12:C53)+1))</f>
        <v/>
      </c>
      <c r="D54" t="e">
        <f t="shared" si="3"/>
        <v>#N/A</v>
      </c>
      <c r="E54" s="15"/>
      <c r="F54" s="134" t="str">
        <f t="shared" ca="1" si="4"/>
        <v>N/A</v>
      </c>
      <c r="G54" s="134" t="str">
        <f t="shared" si="5"/>
        <v>N/A</v>
      </c>
      <c r="H54" s="134" t="str">
        <f ca="1">IFERROR(IF(VLOOKUP($A54,LASTYR,'2016'!$I$3,FALSE)=0,"N/A",VLOOKUP($A54,LASTYR,'2016'!$I$3,FALSE)),"N/A")</f>
        <v>N/A</v>
      </c>
      <c r="I54" s="134" t="str">
        <f t="shared" ca="1" si="9"/>
        <v>N/A</v>
      </c>
      <c r="J54" s="134" t="str">
        <f t="shared" ca="1" si="9"/>
        <v>N/A</v>
      </c>
      <c r="K54" s="134" t="str">
        <f t="shared" ca="1" si="9"/>
        <v>N/A</v>
      </c>
      <c r="L54" s="134" t="str">
        <f t="shared" ca="1" si="9"/>
        <v>N/A</v>
      </c>
      <c r="M54" s="134" t="str">
        <f t="shared" ca="1" si="9"/>
        <v>N/A</v>
      </c>
      <c r="N54" s="134" t="str">
        <f t="shared" ca="1" si="9"/>
        <v>N/A</v>
      </c>
      <c r="O54" s="134" t="str">
        <f t="shared" ca="1" si="9"/>
        <v>N/A</v>
      </c>
      <c r="P54" s="134" t="str">
        <f t="shared" ca="1" si="9"/>
        <v>N/A</v>
      </c>
      <c r="Q54" s="134" t="str">
        <f t="shared" ca="1" si="9"/>
        <v>N/A</v>
      </c>
      <c r="R54" s="134" t="str">
        <f t="shared" ca="1" si="9"/>
        <v>N/A</v>
      </c>
      <c r="S54" s="63"/>
      <c r="T54" s="63"/>
      <c r="U54" s="63"/>
      <c r="V54" s="63"/>
    </row>
    <row r="55" spans="1:22" hidden="1">
      <c r="A55" s="51"/>
      <c r="B55" s="118" t="str">
        <f t="shared" ca="1" si="2"/>
        <v/>
      </c>
      <c r="C55" s="1" t="str">
        <f>IF(ISERROR(D55),"",IF(D55="","",MAX($C$12:C54)+1))</f>
        <v/>
      </c>
      <c r="D55" t="e">
        <f t="shared" si="3"/>
        <v>#N/A</v>
      </c>
      <c r="F55" s="134" t="str">
        <f t="shared" ca="1" si="4"/>
        <v>N/A</v>
      </c>
      <c r="G55" s="134" t="str">
        <f t="shared" si="5"/>
        <v>N/A</v>
      </c>
      <c r="H55" s="134" t="str">
        <f ca="1">IFERROR(IF(VLOOKUP($A55,LASTYR,'2016'!$I$3,FALSE)=0,"N/A",VLOOKUP($A55,LASTYR,'2016'!$I$3,FALSE)),"N/A")</f>
        <v>N/A</v>
      </c>
      <c r="I55" s="134" t="str">
        <f t="shared" ca="1" si="9"/>
        <v>N/A</v>
      </c>
      <c r="J55" s="134" t="str">
        <f t="shared" ca="1" si="9"/>
        <v>N/A</v>
      </c>
      <c r="K55" s="134" t="str">
        <f t="shared" ca="1" si="9"/>
        <v>N/A</v>
      </c>
      <c r="L55" s="134" t="str">
        <f t="shared" ca="1" si="9"/>
        <v>N/A</v>
      </c>
      <c r="M55" s="134" t="str">
        <f t="shared" ca="1" si="9"/>
        <v>N/A</v>
      </c>
      <c r="N55" s="134" t="str">
        <f t="shared" ca="1" si="9"/>
        <v>N/A</v>
      </c>
      <c r="O55" s="134" t="str">
        <f t="shared" ca="1" si="9"/>
        <v>N/A</v>
      </c>
      <c r="P55" s="134" t="str">
        <f t="shared" ca="1" si="9"/>
        <v>N/A</v>
      </c>
      <c r="Q55" s="134" t="str">
        <f t="shared" ca="1" si="9"/>
        <v>N/A</v>
      </c>
      <c r="R55" s="134" t="str">
        <f t="shared" ca="1" si="9"/>
        <v>N/A</v>
      </c>
      <c r="S55" s="63"/>
      <c r="T55" s="63"/>
      <c r="U55" s="63"/>
      <c r="V55" s="63"/>
    </row>
    <row r="56" spans="1:22" hidden="1">
      <c r="A56" s="51"/>
      <c r="B56" s="118" t="str">
        <f t="shared" ca="1" si="2"/>
        <v/>
      </c>
      <c r="C56" s="1" t="str">
        <f>IF(ISERROR(D56),"",IF(D56="","",MAX($C$12:C55)+1))</f>
        <v/>
      </c>
      <c r="D56" t="e">
        <f t="shared" si="3"/>
        <v>#N/A</v>
      </c>
      <c r="F56" s="134" t="str">
        <f t="shared" ca="1" si="4"/>
        <v>N/A</v>
      </c>
      <c r="G56" s="134" t="str">
        <f t="shared" si="5"/>
        <v>N/A</v>
      </c>
      <c r="H56" s="134" t="str">
        <f ca="1">IFERROR(IF(VLOOKUP($A56,LASTYR,'2016'!$I$3,FALSE)=0,"N/A",VLOOKUP($A56,LASTYR,'2016'!$I$3,FALSE)),"N/A")</f>
        <v>N/A</v>
      </c>
      <c r="I56" s="134" t="str">
        <f t="shared" ca="1" si="9"/>
        <v>N/A</v>
      </c>
      <c r="J56" s="134" t="str">
        <f t="shared" ca="1" si="9"/>
        <v>N/A</v>
      </c>
      <c r="K56" s="134" t="str">
        <f t="shared" ca="1" si="9"/>
        <v>N/A</v>
      </c>
      <c r="L56" s="134" t="str">
        <f t="shared" ca="1" si="9"/>
        <v>N/A</v>
      </c>
      <c r="M56" s="134" t="str">
        <f t="shared" ca="1" si="9"/>
        <v>N/A</v>
      </c>
      <c r="N56" s="134" t="str">
        <f t="shared" ca="1" si="9"/>
        <v>N/A</v>
      </c>
      <c r="O56" s="134" t="str">
        <f t="shared" ca="1" si="9"/>
        <v>N/A</v>
      </c>
      <c r="P56" s="134" t="str">
        <f t="shared" ca="1" si="9"/>
        <v>N/A</v>
      </c>
      <c r="Q56" s="134" t="str">
        <f t="shared" ca="1" si="9"/>
        <v>N/A</v>
      </c>
      <c r="R56" s="134" t="str">
        <f t="shared" ca="1" si="9"/>
        <v>N/A</v>
      </c>
      <c r="S56" s="63"/>
      <c r="T56" s="63"/>
      <c r="U56" s="63"/>
      <c r="V56" s="63"/>
    </row>
    <row r="57" spans="1:22" hidden="1">
      <c r="A57" s="51"/>
      <c r="B57" s="118" t="str">
        <f t="shared" ca="1" si="2"/>
        <v/>
      </c>
      <c r="C57" s="1" t="str">
        <f>IF(ISERROR(D57),"",IF(D57="","",MAX($C$12:C56)+1))</f>
        <v/>
      </c>
      <c r="D57" t="e">
        <f t="shared" si="3"/>
        <v>#N/A</v>
      </c>
      <c r="F57" s="134" t="str">
        <f t="shared" ca="1" si="4"/>
        <v>N/A</v>
      </c>
      <c r="G57" s="134" t="str">
        <f t="shared" si="5"/>
        <v>N/A</v>
      </c>
      <c r="H57" s="134" t="str">
        <f ca="1">IFERROR(IF(VLOOKUP($A57,LASTYR,'2016'!$I$3,FALSE)=0,"N/A",VLOOKUP($A57,LASTYR,'2016'!$I$3,FALSE)),"N/A")</f>
        <v>N/A</v>
      </c>
      <c r="I57" s="134" t="str">
        <f t="shared" ca="1" si="9"/>
        <v>N/A</v>
      </c>
      <c r="J57" s="134" t="str">
        <f t="shared" ca="1" si="9"/>
        <v>N/A</v>
      </c>
      <c r="K57" s="134" t="str">
        <f t="shared" ca="1" si="9"/>
        <v>N/A</v>
      </c>
      <c r="L57" s="134" t="str">
        <f t="shared" ca="1" si="9"/>
        <v>N/A</v>
      </c>
      <c r="M57" s="134" t="str">
        <f t="shared" ca="1" si="9"/>
        <v>N/A</v>
      </c>
      <c r="N57" s="134" t="str">
        <f t="shared" ca="1" si="9"/>
        <v>N/A</v>
      </c>
      <c r="O57" s="134" t="str">
        <f t="shared" ca="1" si="9"/>
        <v>N/A</v>
      </c>
      <c r="P57" s="134" t="str">
        <f t="shared" ca="1" si="9"/>
        <v>N/A</v>
      </c>
      <c r="Q57" s="134" t="str">
        <f t="shared" ca="1" si="9"/>
        <v>N/A</v>
      </c>
      <c r="R57" s="134" t="str">
        <f t="shared" ca="1" si="9"/>
        <v>N/A</v>
      </c>
      <c r="S57" s="63"/>
      <c r="T57" s="63"/>
      <c r="U57" s="63"/>
      <c r="V57" s="63"/>
    </row>
    <row r="58" spans="1:22">
      <c r="A58" s="31"/>
      <c r="B58" s="31"/>
      <c r="C58" s="1" t="str">
        <f>IF(ISERROR(D58),"",IF(D58="","",MAX($C$12:C57)+1))</f>
        <v/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63"/>
      <c r="T58" s="63"/>
      <c r="U58" s="63"/>
      <c r="V58" s="63"/>
    </row>
    <row r="59" spans="1:22" ht="15">
      <c r="A59" s="31"/>
      <c r="B59" s="31"/>
      <c r="C59" s="1">
        <f ca="1">IF(ISERROR(D59),"",IF(D59="","",MAX($C$12:C58)+1))</f>
        <v>12</v>
      </c>
      <c r="D59" s="112" t="s">
        <v>98</v>
      </c>
      <c r="E59" s="112"/>
      <c r="F59" s="136">
        <f ca="1">AVERAGE(G59:R59)</f>
        <v>1.1705757575757574</v>
      </c>
      <c r="G59" s="136">
        <f t="shared" ref="G59:Q59" si="10">AVERAGE(G13:G58)</f>
        <v>1.499090909090909</v>
      </c>
      <c r="H59" s="136">
        <f t="shared" ca="1" si="10"/>
        <v>1.4036363636363638</v>
      </c>
      <c r="I59" s="136">
        <f t="shared" ca="1" si="10"/>
        <v>1.3363636363636364</v>
      </c>
      <c r="J59" s="136">
        <f t="shared" ca="1" si="10"/>
        <v>1.2548181818181818</v>
      </c>
      <c r="K59" s="136">
        <f t="shared" ca="1" si="10"/>
        <v>1.2353000000000001</v>
      </c>
      <c r="L59" s="136">
        <f t="shared" ca="1" si="10"/>
        <v>1.1801999999999999</v>
      </c>
      <c r="M59" s="136">
        <f t="shared" ca="1" si="10"/>
        <v>1.131</v>
      </c>
      <c r="N59" s="136">
        <f t="shared" ca="1" si="10"/>
        <v>1.0840000000000001</v>
      </c>
      <c r="O59" s="136">
        <f t="shared" ca="1" si="10"/>
        <v>1.0376000000000001</v>
      </c>
      <c r="P59" s="136">
        <f t="shared" ca="1" si="10"/>
        <v>0.99580000000000002</v>
      </c>
      <c r="Q59" s="136">
        <f t="shared" ca="1" si="10"/>
        <v>0.95910000000000006</v>
      </c>
      <c r="R59" s="136">
        <f ca="1">AVERAGE(R13:R58)</f>
        <v>0.93</v>
      </c>
      <c r="S59" s="63"/>
      <c r="T59" s="63"/>
      <c r="U59" s="63"/>
      <c r="V59" s="63"/>
    </row>
    <row r="60" spans="1:22">
      <c r="A60" s="31"/>
      <c r="B60" s="31"/>
      <c r="C60" s="1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63"/>
      <c r="T60" s="63"/>
      <c r="U60" s="63"/>
      <c r="V60" s="63"/>
    </row>
    <row r="61" spans="1:22" ht="15">
      <c r="A61" s="31"/>
      <c r="B61" s="31"/>
      <c r="C61" s="1">
        <v>43</v>
      </c>
      <c r="D61" s="112" t="s">
        <v>401</v>
      </c>
      <c r="F61" s="137">
        <f ca="1">(G59/R59)^(1/COUNT(H59:R59))-1</f>
        <v>4.4358359684643522E-2</v>
      </c>
    </row>
    <row r="62" spans="1:22" s="103" customFormat="1" ht="15">
      <c r="C62" s="10"/>
      <c r="D62" s="10"/>
      <c r="E62" s="10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03" customFormat="1">
      <c r="B63" s="106"/>
      <c r="C63" s="107"/>
      <c r="E63" s="20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</row>
    <row r="64" spans="1:22" s="103" customFormat="1">
      <c r="B64" s="106"/>
      <c r="C64" s="107"/>
      <c r="E64" s="20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</row>
    <row r="65" spans="1:22" s="103" customFormat="1">
      <c r="B65" s="106"/>
      <c r="C65" s="107"/>
      <c r="D65" s="18"/>
      <c r="E65" s="91"/>
      <c r="F65"/>
      <c r="G65"/>
      <c r="H6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4"/>
      <c r="U65" s="104"/>
      <c r="V65" s="104"/>
    </row>
    <row r="66" spans="1:22" s="103" customFormat="1">
      <c r="B66" s="106"/>
      <c r="C66" s="1"/>
      <c r="D66" s="20" t="s">
        <v>107</v>
      </c>
      <c r="E66"/>
      <c r="F66"/>
      <c r="G66"/>
      <c r="H66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4"/>
      <c r="U66" s="104"/>
      <c r="V66" s="104"/>
    </row>
    <row r="67" spans="1:22" s="103" customFormat="1" ht="16.5">
      <c r="B67" s="106"/>
      <c r="C67"/>
      <c r="D67" s="79">
        <v>1</v>
      </c>
      <c r="E67" s="21" t="str">
        <f>"The Value Line Investment Survey Investment Analyzer Software, downloaded on "&amp;TEXT('2016'!$A$1,"mmmm d, yyyy.")</f>
        <v>The Value Line Investment Survey Investment Analyzer Software, downloaded on June 21, 2017.</v>
      </c>
      <c r="F67"/>
      <c r="G67"/>
      <c r="H67"/>
      <c r="I67"/>
      <c r="J67"/>
      <c r="K67"/>
      <c r="L67"/>
      <c r="M67"/>
      <c r="N67"/>
      <c r="O67"/>
      <c r="P67"/>
      <c r="Q67"/>
      <c r="R67"/>
      <c r="S67" s="105"/>
      <c r="T67" s="104"/>
      <c r="U67" s="104"/>
      <c r="V67" s="104"/>
    </row>
    <row r="68" spans="1:22" ht="16.5">
      <c r="A68" s="31"/>
      <c r="B68" s="31"/>
      <c r="D68" s="79">
        <v>2</v>
      </c>
      <c r="E68" s="21" t="str">
        <f>"The Value Line Investment Survey, "&amp;'2017 Data (WP)'!$D$2</f>
        <v>The Value Line Investment Survey, September 1, 2017.</v>
      </c>
    </row>
    <row r="69" spans="1:22">
      <c r="A69" s="31"/>
      <c r="B69" s="31"/>
      <c r="D69" s="20" t="s">
        <v>336</v>
      </c>
    </row>
    <row r="70" spans="1:22">
      <c r="D70" t="s">
        <v>402</v>
      </c>
    </row>
  </sheetData>
  <mergeCells count="5">
    <mergeCell ref="C1:R1"/>
    <mergeCell ref="C4:R4"/>
    <mergeCell ref="C5:R5"/>
    <mergeCell ref="F8:R8"/>
    <mergeCell ref="D10:E10"/>
  </mergeCells>
  <printOptions horizontalCentered="1"/>
  <pageMargins left="0.7" right="0.7" top="1" bottom="0.75" header="0.55000000000000004" footer="0.51"/>
  <pageSetup scale="52" fitToHeight="0" orientation="portrait" useFirstPageNumber="1" r:id="rId1"/>
  <headerFooter>
    <oddHeader>&amp;R&amp;19Exhibit MPG-2
Page 4 of 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1"/>
  <sheetViews>
    <sheetView zoomScale="80" zoomScaleNormal="80" workbookViewId="0"/>
  </sheetViews>
  <sheetFormatPr defaultRowHeight="14.25"/>
  <cols>
    <col min="1" max="2" width="8" customWidth="1"/>
    <col min="3" max="3" width="9" customWidth="1"/>
    <col min="4" max="4" width="4.75" bestFit="1" customWidth="1"/>
    <col min="5" max="5" width="2.125" customWidth="1"/>
    <col min="6" max="6" width="18.75" customWidth="1"/>
    <col min="7" max="19" width="9" customWidth="1"/>
    <col min="20" max="20" width="9" hidden="1" customWidth="1"/>
    <col min="21" max="23" width="0" hidden="1" customWidth="1"/>
  </cols>
  <sheetData>
    <row r="1" spans="1:23" ht="27.75">
      <c r="C1" s="140" t="str">
        <f>ElectricU</f>
        <v>Avista Corporation</v>
      </c>
      <c r="D1" s="140"/>
      <c r="E1" s="140"/>
      <c r="F1" s="140"/>
      <c r="G1" s="140"/>
      <c r="H1" s="140"/>
      <c r="I1" s="140"/>
      <c r="J1" s="140"/>
      <c r="K1" s="140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3"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7"/>
    </row>
    <row r="3" spans="1:23"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</row>
    <row r="4" spans="1:23" ht="20.25">
      <c r="D4" s="141" t="s">
        <v>273</v>
      </c>
      <c r="E4" s="141"/>
      <c r="F4" s="141"/>
      <c r="G4" s="141"/>
      <c r="H4" s="141"/>
      <c r="I4" s="141"/>
      <c r="J4" s="141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18">
      <c r="D5" s="142" t="s">
        <v>275</v>
      </c>
      <c r="E5" s="142"/>
      <c r="F5" s="142"/>
      <c r="G5" s="142"/>
      <c r="H5" s="142"/>
      <c r="I5" s="142"/>
      <c r="J5" s="142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3" ht="15">
      <c r="A8" s="31"/>
      <c r="B8" s="31"/>
      <c r="C8" s="31"/>
      <c r="E8" s="127"/>
      <c r="F8" s="127"/>
      <c r="G8" s="127"/>
      <c r="H8" s="127"/>
      <c r="I8" s="127"/>
      <c r="J8" s="127"/>
    </row>
    <row r="9" spans="1:23" ht="15">
      <c r="A9" s="31"/>
      <c r="B9" s="31"/>
      <c r="C9" s="31"/>
      <c r="D9" s="6"/>
      <c r="E9" s="6"/>
      <c r="F9" s="19"/>
      <c r="G9" s="145" t="s">
        <v>399</v>
      </c>
      <c r="H9" s="145"/>
      <c r="I9" s="145"/>
      <c r="J9" s="145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</row>
    <row r="10" spans="1:23" ht="15">
      <c r="A10" s="31"/>
      <c r="B10" s="31"/>
      <c r="C10" s="31"/>
      <c r="D10" s="6"/>
      <c r="E10" s="7"/>
      <c r="F10" s="7"/>
      <c r="G10" s="8"/>
      <c r="H10" s="8"/>
      <c r="I10" s="8"/>
      <c r="J10" s="8" t="s">
        <v>392</v>
      </c>
      <c r="K10" s="8"/>
      <c r="L10" s="8"/>
      <c r="M10" s="8"/>
      <c r="N10" s="8"/>
      <c r="O10" s="8"/>
      <c r="P10" s="7"/>
      <c r="Q10" s="7"/>
      <c r="R10" s="7"/>
      <c r="S10" s="7"/>
      <c r="T10" s="7"/>
      <c r="U10" s="7"/>
      <c r="V10" s="7"/>
    </row>
    <row r="11" spans="1:23" ht="15">
      <c r="A11" s="31"/>
      <c r="B11" s="31"/>
      <c r="C11" s="31"/>
      <c r="D11" s="9" t="s">
        <v>96</v>
      </c>
      <c r="E11" s="138" t="s">
        <v>97</v>
      </c>
      <c r="F11" s="138"/>
      <c r="G11" s="10" t="s">
        <v>394</v>
      </c>
      <c r="H11" s="41">
        <v>2018</v>
      </c>
      <c r="I11" s="41"/>
      <c r="J11" s="41" t="s">
        <v>393</v>
      </c>
      <c r="K11" s="41"/>
      <c r="L11" s="41"/>
      <c r="M11" s="41"/>
      <c r="N11" s="41"/>
      <c r="O11" s="41"/>
      <c r="P11" s="41"/>
      <c r="Q11" s="41"/>
      <c r="R11" s="41"/>
      <c r="S11" s="41"/>
      <c r="T11" s="41">
        <v>2005</v>
      </c>
      <c r="U11" s="41"/>
      <c r="V11" s="41"/>
      <c r="W11" s="41"/>
    </row>
    <row r="12" spans="1:23" ht="15">
      <c r="A12" s="42"/>
      <c r="B12" s="42"/>
      <c r="C12" s="42"/>
      <c r="D12" s="9"/>
      <c r="E12" s="11"/>
      <c r="F12" s="11"/>
      <c r="G12" s="12">
        <f>0-1</f>
        <v>-1</v>
      </c>
      <c r="H12" s="12">
        <f t="shared" ref="H12:T12" si="0">+G12-1</f>
        <v>-2</v>
      </c>
      <c r="I12" s="12"/>
      <c r="J12" s="12">
        <f>+H12-1</f>
        <v>-3</v>
      </c>
      <c r="K12" s="12"/>
      <c r="L12" s="12"/>
      <c r="M12" s="12"/>
      <c r="N12" s="12"/>
      <c r="O12" s="12"/>
      <c r="P12" s="12"/>
      <c r="Q12" s="12"/>
      <c r="R12" s="12"/>
      <c r="S12" s="12"/>
      <c r="T12" s="12">
        <f t="shared" si="0"/>
        <v>-1</v>
      </c>
      <c r="U12" s="12"/>
      <c r="V12" s="12"/>
      <c r="W12" s="12"/>
    </row>
    <row r="13" spans="1:23">
      <c r="A13" s="43"/>
      <c r="B13" s="44"/>
      <c r="C13" s="44"/>
      <c r="D13" s="6"/>
      <c r="F13" s="22"/>
      <c r="G13" s="3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 t="e">
        <f t="shared" ref="T13:W13" ca="1" si="1">MATCH(VALUE(LEFT(T11,4)),OFFSET(CF_CAP_WP,-1,0,1,),0)</f>
        <v>#N/A</v>
      </c>
      <c r="U13" s="16" t="e">
        <f t="shared" ca="1" si="1"/>
        <v>#VALUE!</v>
      </c>
      <c r="V13" s="16" t="e">
        <f t="shared" ca="1" si="1"/>
        <v>#VALUE!</v>
      </c>
      <c r="W13" s="16" t="e">
        <f t="shared" ca="1" si="1"/>
        <v>#VALUE!</v>
      </c>
    </row>
    <row r="14" spans="1:23">
      <c r="A14" s="45" t="s">
        <v>175</v>
      </c>
      <c r="B14" s="46">
        <f t="shared" ref="B14:B58" si="2">MATCH(A14,CapCashTic,0)</f>
        <v>14</v>
      </c>
      <c r="C14" s="46"/>
      <c r="D14" s="1">
        <f>IF(ISERROR(E14),"",IF(E14="","",MAX($D$12:D13)+1))</f>
        <v>1</v>
      </c>
      <c r="E14" t="s">
        <v>174</v>
      </c>
      <c r="F14" s="22"/>
      <c r="G14" s="125">
        <f t="shared" ref="G14:G58" si="3">IFERROR(INDEX(CapCash,$B14,7)/INDEX(CapCash,$B14,3),"N/A")</f>
        <v>0.59090909090909094</v>
      </c>
      <c r="H14" s="125">
        <f t="shared" ref="H14:H58" si="4">IFERROR(INDEX(CapCash,$B14,8)/INDEX(CapCash,$B14,4),"N/A")</f>
        <v>0.59471365638766527</v>
      </c>
      <c r="I14" s="125"/>
      <c r="J14" s="125">
        <f t="shared" ref="J14:J58" si="5">IFERROR(INDEX(CapCash,$B14,10)/INDEX(CapCash,$B14,6),"N/A")</f>
        <v>0.59215686274509804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17"/>
      <c r="V14" s="17"/>
      <c r="W14" s="17"/>
    </row>
    <row r="15" spans="1:23">
      <c r="A15" s="45" t="s">
        <v>178</v>
      </c>
      <c r="B15" s="46">
        <f t="shared" si="2"/>
        <v>20</v>
      </c>
      <c r="C15" s="46"/>
      <c r="D15" s="1">
        <f>IF(ISERROR(E15),"",IF(E15="","",MAX($D$12:D14)+1))</f>
        <v>2</v>
      </c>
      <c r="E15" t="s">
        <v>215</v>
      </c>
      <c r="F15" s="22"/>
      <c r="G15" s="125">
        <f t="shared" si="3"/>
        <v>0.45631067961165045</v>
      </c>
      <c r="H15" s="125">
        <f t="shared" si="4"/>
        <v>0.50476190476190474</v>
      </c>
      <c r="I15" s="125"/>
      <c r="J15" s="125">
        <f t="shared" si="5"/>
        <v>0.63559322033898302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17"/>
      <c r="V15" s="17"/>
      <c r="W15" s="17"/>
    </row>
    <row r="16" spans="1:23">
      <c r="A16" s="45" t="s">
        <v>190</v>
      </c>
      <c r="B16" s="46">
        <f t="shared" si="2"/>
        <v>41</v>
      </c>
      <c r="C16" s="46"/>
      <c r="D16" s="1">
        <f>IF(ISERROR(E16),"",IF(E16="","",MAX($D$12:D15)+1))</f>
        <v>3</v>
      </c>
      <c r="E16" t="s">
        <v>189</v>
      </c>
      <c r="F16" s="22"/>
      <c r="G16" s="125">
        <f t="shared" si="3"/>
        <v>1.1860465116279069</v>
      </c>
      <c r="H16" s="125">
        <f t="shared" si="4"/>
        <v>1.2272727272727273</v>
      </c>
      <c r="I16" s="125"/>
      <c r="J16" s="125">
        <f t="shared" si="5"/>
        <v>1.2708333333333333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17"/>
      <c r="V16" s="17"/>
      <c r="W16" s="17"/>
    </row>
    <row r="17" spans="1:23">
      <c r="A17" s="45" t="s">
        <v>26</v>
      </c>
      <c r="B17" s="46">
        <f t="shared" si="2"/>
        <v>43</v>
      </c>
      <c r="C17" s="46"/>
      <c r="D17" s="1">
        <f>IF(ISERROR(E17),"",IF(E17="","",MAX($D$12:D16)+1))</f>
        <v>4</v>
      </c>
      <c r="E17" t="s">
        <v>142</v>
      </c>
      <c r="F17" s="22"/>
      <c r="G17" s="125">
        <f t="shared" si="3"/>
        <v>0.54081632653061218</v>
      </c>
      <c r="H17" s="125">
        <f t="shared" si="4"/>
        <v>0.59615384615384615</v>
      </c>
      <c r="I17" s="125"/>
      <c r="J17" s="125">
        <f t="shared" si="5"/>
        <v>0.62385321100917424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17"/>
      <c r="V17" s="17"/>
      <c r="W17" s="17"/>
    </row>
    <row r="18" spans="1:23">
      <c r="A18" s="45" t="s">
        <v>192</v>
      </c>
      <c r="B18" s="46">
        <f t="shared" si="2"/>
        <v>44</v>
      </c>
      <c r="C18" s="46"/>
      <c r="D18" s="1">
        <f>IF(ISERROR(E18),"",IF(E18="","",MAX($D$12:D17)+1))</f>
        <v>5</v>
      </c>
      <c r="E18" t="s">
        <v>191</v>
      </c>
      <c r="F18" s="22"/>
      <c r="G18" s="125">
        <f t="shared" si="3"/>
        <v>0.87096774193548387</v>
      </c>
      <c r="H18" s="125">
        <f t="shared" si="4"/>
        <v>0.79844961240310086</v>
      </c>
      <c r="I18" s="125"/>
      <c r="J18" s="125">
        <f t="shared" si="5"/>
        <v>0.96062992125984248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17"/>
      <c r="V18" s="17"/>
      <c r="W18" s="17"/>
    </row>
    <row r="19" spans="1:23">
      <c r="A19" s="45" t="s">
        <v>353</v>
      </c>
      <c r="B19" s="46">
        <f t="shared" si="2"/>
        <v>47</v>
      </c>
      <c r="C19" s="46"/>
      <c r="D19" s="1">
        <f>IF(ISERROR(E19),"",IF(E19="","",MAX($D$12:D18)+1))</f>
        <v>6</v>
      </c>
      <c r="E19" t="s">
        <v>356</v>
      </c>
      <c r="F19" s="22"/>
      <c r="G19" s="125">
        <f t="shared" si="3"/>
        <v>0.88721804511278191</v>
      </c>
      <c r="H19" s="125">
        <f t="shared" si="4"/>
        <v>0.92753623188405798</v>
      </c>
      <c r="I19" s="125"/>
      <c r="J19" s="125">
        <f t="shared" si="5"/>
        <v>1.1240875912408761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17"/>
      <c r="V19" s="17"/>
      <c r="W19" s="17"/>
    </row>
    <row r="20" spans="1:23">
      <c r="A20" s="45" t="s">
        <v>198</v>
      </c>
      <c r="B20" s="46">
        <f t="shared" si="2"/>
        <v>59</v>
      </c>
      <c r="C20" s="46"/>
      <c r="D20" s="1">
        <f>IF(ISERROR(E20),"",IF(E20="","",MAX($D$12:D19)+1))</f>
        <v>7</v>
      </c>
      <c r="E20" t="s">
        <v>197</v>
      </c>
      <c r="F20" s="22"/>
      <c r="G20" s="125">
        <f t="shared" si="3"/>
        <v>0.70588235294117652</v>
      </c>
      <c r="H20" s="125">
        <f t="shared" si="4"/>
        <v>0.71052631578947378</v>
      </c>
      <c r="I20" s="125"/>
      <c r="J20" s="125">
        <f t="shared" si="5"/>
        <v>0.63207547169811329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17"/>
      <c r="V20" s="17"/>
      <c r="W20" s="17"/>
    </row>
    <row r="21" spans="1:23">
      <c r="A21" s="45" t="s">
        <v>200</v>
      </c>
      <c r="B21" s="46">
        <f t="shared" si="2"/>
        <v>61</v>
      </c>
      <c r="C21" s="46"/>
      <c r="D21" s="1">
        <f>IF(ISERROR(E21),"",IF(E21="","",MAX($D$12:D20)+1))</f>
        <v>8</v>
      </c>
      <c r="E21" t="s">
        <v>199</v>
      </c>
      <c r="F21" s="22"/>
      <c r="G21" s="125">
        <f t="shared" si="3"/>
        <v>0.84474885844748859</v>
      </c>
      <c r="H21" s="125">
        <f t="shared" si="4"/>
        <v>0.88510638297872346</v>
      </c>
      <c r="I21" s="125"/>
      <c r="J21" s="125">
        <f t="shared" si="5"/>
        <v>0.96415770609318996</v>
      </c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17"/>
      <c r="V21" s="17"/>
      <c r="W21" s="17"/>
    </row>
    <row r="22" spans="1:23">
      <c r="A22" s="45" t="s">
        <v>244</v>
      </c>
      <c r="B22" s="46">
        <f t="shared" si="2"/>
        <v>62</v>
      </c>
      <c r="C22" s="46"/>
      <c r="D22" s="1">
        <f>IF(ISERROR(E22),"",IF(E22="","",MAX($D$12:D21)+1))</f>
        <v>9</v>
      </c>
      <c r="E22" t="s">
        <v>243</v>
      </c>
      <c r="F22" s="22"/>
      <c r="G22" s="125">
        <f t="shared" si="3"/>
        <v>0.91851851851851851</v>
      </c>
      <c r="H22" s="125">
        <f t="shared" si="4"/>
        <v>1</v>
      </c>
      <c r="I22" s="125"/>
      <c r="J22" s="125">
        <f t="shared" si="5"/>
        <v>1.147887323943662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17"/>
      <c r="V22" s="17"/>
      <c r="W22" s="17"/>
    </row>
    <row r="23" spans="1:23">
      <c r="A23" s="45" t="s">
        <v>204</v>
      </c>
      <c r="B23" s="46">
        <f t="shared" si="2"/>
        <v>64</v>
      </c>
      <c r="C23" s="46"/>
      <c r="D23" s="1">
        <f>IF(ISERROR(E23),"",IF(E23="","",MAX($D$12:D22)+1))</f>
        <v>10</v>
      </c>
      <c r="E23" t="s">
        <v>203</v>
      </c>
      <c r="F23" s="22"/>
      <c r="G23" s="125">
        <f t="shared" si="3"/>
        <v>1.4461538461538461</v>
      </c>
      <c r="H23" s="125">
        <f t="shared" si="4"/>
        <v>1.5384615384615385</v>
      </c>
      <c r="I23" s="125"/>
      <c r="J23" s="125">
        <f t="shared" si="5"/>
        <v>1.6615384615384616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17"/>
      <c r="V23" s="17"/>
      <c r="W23" s="17"/>
    </row>
    <row r="24" spans="1:23">
      <c r="A24" s="45" t="s">
        <v>206</v>
      </c>
      <c r="B24" s="46">
        <f t="shared" si="2"/>
        <v>69</v>
      </c>
      <c r="C24" s="46"/>
      <c r="D24" s="1">
        <f>IF(ISERROR(E24),"",IF(E24="","",MAX($D$12:D23)+1))</f>
        <v>11</v>
      </c>
      <c r="E24" t="s">
        <v>205</v>
      </c>
      <c r="F24" s="22"/>
      <c r="G24" s="125">
        <f t="shared" si="3"/>
        <v>0.53773584905660377</v>
      </c>
      <c r="H24" s="125">
        <f t="shared" si="4"/>
        <v>0.57142857142857151</v>
      </c>
      <c r="I24" s="125"/>
      <c r="J24" s="125">
        <f t="shared" si="5"/>
        <v>0.55932203389830504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17"/>
      <c r="V24" s="17"/>
      <c r="W24" s="17"/>
    </row>
    <row r="25" spans="1:23" hidden="1">
      <c r="A25" s="51"/>
      <c r="B25" s="46" t="e">
        <f t="shared" si="2"/>
        <v>#N/A</v>
      </c>
      <c r="C25" s="46"/>
      <c r="D25" s="1" t="str">
        <f>IF(ISERROR(E25),"",IF(E25="","",MAX($D$12:D24)+1))</f>
        <v/>
      </c>
      <c r="F25" s="22"/>
      <c r="G25" s="125" t="str">
        <f t="shared" si="3"/>
        <v>N/A</v>
      </c>
      <c r="H25" s="125" t="str">
        <f t="shared" si="4"/>
        <v>N/A</v>
      </c>
      <c r="I25" s="125"/>
      <c r="J25" s="125" t="str">
        <f t="shared" si="5"/>
        <v>N/A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17"/>
      <c r="V25" s="17"/>
      <c r="W25" s="17"/>
    </row>
    <row r="26" spans="1:23" hidden="1">
      <c r="A26" s="51"/>
      <c r="B26" s="46" t="e">
        <f t="shared" si="2"/>
        <v>#N/A</v>
      </c>
      <c r="C26" s="46"/>
      <c r="D26" s="1" t="str">
        <f>IF(ISERROR(E26),"",IF(E26="","",MAX($D$12:D25)+1))</f>
        <v/>
      </c>
      <c r="F26" s="22"/>
      <c r="G26" s="125" t="str">
        <f t="shared" si="3"/>
        <v>N/A</v>
      </c>
      <c r="H26" s="125" t="str">
        <f t="shared" si="4"/>
        <v>N/A</v>
      </c>
      <c r="I26" s="125"/>
      <c r="J26" s="125" t="str">
        <f t="shared" si="5"/>
        <v>N/A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17"/>
      <c r="V26" s="17"/>
      <c r="W26" s="17"/>
    </row>
    <row r="27" spans="1:23" hidden="1">
      <c r="A27" s="51"/>
      <c r="B27" s="46" t="e">
        <f t="shared" si="2"/>
        <v>#N/A</v>
      </c>
      <c r="C27" s="46"/>
      <c r="D27" s="1" t="str">
        <f>IF(ISERROR(E27),"",IF(E27="","",MAX($D$12:D26)+1))</f>
        <v/>
      </c>
      <c r="F27" s="22"/>
      <c r="G27" s="125" t="str">
        <f t="shared" si="3"/>
        <v>N/A</v>
      </c>
      <c r="H27" s="125" t="str">
        <f t="shared" si="4"/>
        <v>N/A</v>
      </c>
      <c r="I27" s="125"/>
      <c r="J27" s="125" t="str">
        <f t="shared" si="5"/>
        <v>N/A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17"/>
      <c r="V27" s="17"/>
      <c r="W27" s="17"/>
    </row>
    <row r="28" spans="1:23" hidden="1">
      <c r="A28" s="51"/>
      <c r="B28" s="46" t="e">
        <f t="shared" si="2"/>
        <v>#N/A</v>
      </c>
      <c r="C28" s="46"/>
      <c r="D28" s="1" t="str">
        <f>IF(ISERROR(E28),"",IF(E28="","",MAX($D$12:D27)+1))</f>
        <v/>
      </c>
      <c r="F28" s="22"/>
      <c r="G28" s="125" t="str">
        <f t="shared" si="3"/>
        <v>N/A</v>
      </c>
      <c r="H28" s="125" t="str">
        <f t="shared" si="4"/>
        <v>N/A</v>
      </c>
      <c r="I28" s="125"/>
      <c r="J28" s="125" t="str">
        <f t="shared" si="5"/>
        <v>N/A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17"/>
      <c r="V28" s="17"/>
      <c r="W28" s="17"/>
    </row>
    <row r="29" spans="1:23" hidden="1">
      <c r="A29" s="51"/>
      <c r="B29" s="46" t="e">
        <f t="shared" si="2"/>
        <v>#N/A</v>
      </c>
      <c r="C29" s="46"/>
      <c r="D29" s="1" t="str">
        <f>IF(ISERROR(E29),"",IF(E29="","",MAX($D$12:D28)+1))</f>
        <v/>
      </c>
      <c r="F29" s="22"/>
      <c r="G29" s="125" t="str">
        <f t="shared" si="3"/>
        <v>N/A</v>
      </c>
      <c r="H29" s="125" t="str">
        <f t="shared" si="4"/>
        <v>N/A</v>
      </c>
      <c r="I29" s="125"/>
      <c r="J29" s="125" t="str">
        <f t="shared" si="5"/>
        <v>N/A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17"/>
      <c r="V29" s="17"/>
      <c r="W29" s="17"/>
    </row>
    <row r="30" spans="1:23" hidden="1">
      <c r="A30" s="51"/>
      <c r="B30" s="46" t="e">
        <f t="shared" si="2"/>
        <v>#N/A</v>
      </c>
      <c r="C30" s="46"/>
      <c r="D30" s="1" t="str">
        <f>IF(ISERROR(E30),"",IF(E30="","",MAX($D$12:D29)+1))</f>
        <v/>
      </c>
      <c r="F30" s="22"/>
      <c r="G30" s="125" t="str">
        <f t="shared" si="3"/>
        <v>N/A</v>
      </c>
      <c r="H30" s="125" t="str">
        <f t="shared" si="4"/>
        <v>N/A</v>
      </c>
      <c r="I30" s="125"/>
      <c r="J30" s="125" t="str">
        <f t="shared" si="5"/>
        <v>N/A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17"/>
      <c r="V30" s="17"/>
      <c r="W30" s="17"/>
    </row>
    <row r="31" spans="1:23" hidden="1">
      <c r="A31" s="51"/>
      <c r="B31" s="46" t="e">
        <f t="shared" si="2"/>
        <v>#N/A</v>
      </c>
      <c r="C31" s="46"/>
      <c r="D31" s="1" t="str">
        <f>IF(ISERROR(E31),"",IF(E31="","",MAX($D$12:D30)+1))</f>
        <v/>
      </c>
      <c r="F31" s="22"/>
      <c r="G31" s="125" t="str">
        <f t="shared" si="3"/>
        <v>N/A</v>
      </c>
      <c r="H31" s="125" t="str">
        <f t="shared" si="4"/>
        <v>N/A</v>
      </c>
      <c r="I31" s="125"/>
      <c r="J31" s="125" t="str">
        <f t="shared" si="5"/>
        <v>N/A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17"/>
      <c r="V31" s="17"/>
      <c r="W31" s="17"/>
    </row>
    <row r="32" spans="1:23" hidden="1">
      <c r="A32" s="51"/>
      <c r="B32" s="46" t="e">
        <f t="shared" si="2"/>
        <v>#N/A</v>
      </c>
      <c r="C32" s="46"/>
      <c r="D32" s="1" t="str">
        <f>IF(ISERROR(E32),"",IF(E32="","",MAX($D$12:D31)+1))</f>
        <v/>
      </c>
      <c r="F32" s="22"/>
      <c r="G32" s="125" t="str">
        <f t="shared" si="3"/>
        <v>N/A</v>
      </c>
      <c r="H32" s="125" t="str">
        <f t="shared" si="4"/>
        <v>N/A</v>
      </c>
      <c r="I32" s="125"/>
      <c r="J32" s="125" t="str">
        <f t="shared" si="5"/>
        <v>N/A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7"/>
      <c r="V32" s="17"/>
      <c r="W32" s="17"/>
    </row>
    <row r="33" spans="1:23" hidden="1">
      <c r="A33" s="51"/>
      <c r="B33" s="46" t="e">
        <f t="shared" si="2"/>
        <v>#N/A</v>
      </c>
      <c r="C33" s="46"/>
      <c r="D33" s="1" t="str">
        <f>IF(ISERROR(E33),"",IF(E33="","",MAX($D$12:D32)+1))</f>
        <v/>
      </c>
      <c r="F33" s="22"/>
      <c r="G33" s="125" t="str">
        <f t="shared" si="3"/>
        <v>N/A</v>
      </c>
      <c r="H33" s="125" t="str">
        <f t="shared" si="4"/>
        <v>N/A</v>
      </c>
      <c r="I33" s="125"/>
      <c r="J33" s="125" t="str">
        <f t="shared" si="5"/>
        <v>N/A</v>
      </c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17"/>
      <c r="V33" s="17"/>
      <c r="W33" s="17"/>
    </row>
    <row r="34" spans="1:23" hidden="1">
      <c r="A34" s="51"/>
      <c r="B34" s="46" t="e">
        <f t="shared" si="2"/>
        <v>#N/A</v>
      </c>
      <c r="C34" s="46"/>
      <c r="D34" s="1" t="str">
        <f>IF(ISERROR(E34),"",IF(E34="","",MAX($D$12:D33)+1))</f>
        <v/>
      </c>
      <c r="F34" s="22"/>
      <c r="G34" s="125" t="str">
        <f t="shared" si="3"/>
        <v>N/A</v>
      </c>
      <c r="H34" s="125" t="str">
        <f t="shared" si="4"/>
        <v>N/A</v>
      </c>
      <c r="I34" s="125"/>
      <c r="J34" s="125" t="str">
        <f t="shared" si="5"/>
        <v>N/A</v>
      </c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17"/>
      <c r="V34" s="17"/>
      <c r="W34" s="17"/>
    </row>
    <row r="35" spans="1:23" hidden="1">
      <c r="A35" s="51"/>
      <c r="B35" s="46" t="e">
        <f t="shared" si="2"/>
        <v>#N/A</v>
      </c>
      <c r="C35" s="46"/>
      <c r="D35" s="1" t="str">
        <f>IF(ISERROR(E35),"",IF(E35="","",MAX($D$12:D34)+1))</f>
        <v/>
      </c>
      <c r="F35" s="22"/>
      <c r="G35" s="125" t="str">
        <f t="shared" si="3"/>
        <v>N/A</v>
      </c>
      <c r="H35" s="125" t="str">
        <f t="shared" si="4"/>
        <v>N/A</v>
      </c>
      <c r="I35" s="125"/>
      <c r="J35" s="125" t="str">
        <f t="shared" si="5"/>
        <v>N/A</v>
      </c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17"/>
      <c r="V35" s="17"/>
      <c r="W35" s="17"/>
    </row>
    <row r="36" spans="1:23" hidden="1">
      <c r="A36" s="51"/>
      <c r="B36" s="46" t="e">
        <f t="shared" si="2"/>
        <v>#N/A</v>
      </c>
      <c r="C36" s="46"/>
      <c r="D36" s="1" t="str">
        <f>IF(ISERROR(E36),"",IF(E36="","",MAX($D$12:D35)+1))</f>
        <v/>
      </c>
      <c r="F36" s="22"/>
      <c r="G36" s="125" t="str">
        <f t="shared" si="3"/>
        <v>N/A</v>
      </c>
      <c r="H36" s="125" t="str">
        <f t="shared" si="4"/>
        <v>N/A</v>
      </c>
      <c r="I36" s="125"/>
      <c r="J36" s="125" t="str">
        <f t="shared" si="5"/>
        <v>N/A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17"/>
      <c r="V36" s="17"/>
      <c r="W36" s="17"/>
    </row>
    <row r="37" spans="1:23" hidden="1">
      <c r="A37" s="51"/>
      <c r="B37" s="46" t="e">
        <f t="shared" si="2"/>
        <v>#N/A</v>
      </c>
      <c r="C37" s="46"/>
      <c r="D37" s="1" t="str">
        <f>IF(ISERROR(E37),"",IF(E37="","",MAX($D$12:D36)+1))</f>
        <v/>
      </c>
      <c r="F37" s="22"/>
      <c r="G37" s="125" t="str">
        <f t="shared" si="3"/>
        <v>N/A</v>
      </c>
      <c r="H37" s="125" t="str">
        <f t="shared" si="4"/>
        <v>N/A</v>
      </c>
      <c r="I37" s="125"/>
      <c r="J37" s="125" t="str">
        <f t="shared" si="5"/>
        <v>N/A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17"/>
      <c r="V37" s="17"/>
      <c r="W37" s="17"/>
    </row>
    <row r="38" spans="1:23" hidden="1">
      <c r="A38" s="51"/>
      <c r="B38" s="46" t="e">
        <f t="shared" si="2"/>
        <v>#N/A</v>
      </c>
      <c r="C38" s="46"/>
      <c r="D38" s="1" t="str">
        <f>IF(ISERROR(E38),"",IF(E38="","",MAX($D$12:D37)+1))</f>
        <v/>
      </c>
      <c r="F38" s="22"/>
      <c r="G38" s="125" t="str">
        <f t="shared" si="3"/>
        <v>N/A</v>
      </c>
      <c r="H38" s="125" t="str">
        <f t="shared" si="4"/>
        <v>N/A</v>
      </c>
      <c r="I38" s="125"/>
      <c r="J38" s="125" t="str">
        <f t="shared" si="5"/>
        <v>N/A</v>
      </c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17"/>
      <c r="V38" s="17"/>
      <c r="W38" s="17"/>
    </row>
    <row r="39" spans="1:23" hidden="1">
      <c r="A39" s="51"/>
      <c r="B39" s="46" t="e">
        <f t="shared" si="2"/>
        <v>#N/A</v>
      </c>
      <c r="C39" s="46"/>
      <c r="D39" s="1" t="str">
        <f>IF(ISERROR(E39),"",IF(E39="","",MAX($D$12:D38)+1))</f>
        <v/>
      </c>
      <c r="F39" s="22"/>
      <c r="G39" s="125" t="str">
        <f t="shared" si="3"/>
        <v>N/A</v>
      </c>
      <c r="H39" s="125" t="str">
        <f t="shared" si="4"/>
        <v>N/A</v>
      </c>
      <c r="I39" s="125"/>
      <c r="J39" s="125" t="str">
        <f t="shared" si="5"/>
        <v>N/A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17"/>
      <c r="V39" s="17"/>
      <c r="W39" s="17"/>
    </row>
    <row r="40" spans="1:23" hidden="1">
      <c r="A40" s="51"/>
      <c r="B40" s="46" t="e">
        <f t="shared" si="2"/>
        <v>#N/A</v>
      </c>
      <c r="C40" s="46"/>
      <c r="D40" s="1" t="str">
        <f>IF(ISERROR(E40),"",IF(E40="","",MAX($D$12:D39)+1))</f>
        <v/>
      </c>
      <c r="F40" s="22"/>
      <c r="G40" s="125" t="str">
        <f t="shared" si="3"/>
        <v>N/A</v>
      </c>
      <c r="H40" s="125" t="str">
        <f t="shared" si="4"/>
        <v>N/A</v>
      </c>
      <c r="I40" s="125"/>
      <c r="J40" s="125" t="str">
        <f t="shared" si="5"/>
        <v>N/A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17"/>
      <c r="V40" s="17"/>
      <c r="W40" s="17"/>
    </row>
    <row r="41" spans="1:23" hidden="1">
      <c r="A41" s="51"/>
      <c r="B41" s="46" t="e">
        <f t="shared" si="2"/>
        <v>#N/A</v>
      </c>
      <c r="C41" s="46"/>
      <c r="D41" s="1" t="str">
        <f>IF(ISERROR(E41),"",IF(E41="","",MAX($D$12:D40)+1))</f>
        <v/>
      </c>
      <c r="F41" s="22"/>
      <c r="G41" s="125" t="str">
        <f t="shared" si="3"/>
        <v>N/A</v>
      </c>
      <c r="H41" s="125" t="str">
        <f t="shared" si="4"/>
        <v>N/A</v>
      </c>
      <c r="I41" s="125"/>
      <c r="J41" s="125" t="str">
        <f t="shared" si="5"/>
        <v>N/A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17"/>
      <c r="V41" s="17"/>
      <c r="W41" s="17"/>
    </row>
    <row r="42" spans="1:23" hidden="1">
      <c r="A42" s="51"/>
      <c r="B42" s="46" t="e">
        <f t="shared" si="2"/>
        <v>#N/A</v>
      </c>
      <c r="C42" s="46"/>
      <c r="D42" s="1" t="str">
        <f>IF(ISERROR(E42),"",IF(E42="","",MAX($D$12:D41)+1))</f>
        <v/>
      </c>
      <c r="F42" s="22"/>
      <c r="G42" s="125" t="str">
        <f t="shared" si="3"/>
        <v>N/A</v>
      </c>
      <c r="H42" s="125" t="str">
        <f t="shared" si="4"/>
        <v>N/A</v>
      </c>
      <c r="I42" s="125"/>
      <c r="J42" s="125" t="str">
        <f t="shared" si="5"/>
        <v>N/A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17"/>
      <c r="V42" s="17"/>
      <c r="W42" s="17"/>
    </row>
    <row r="43" spans="1:23" hidden="1">
      <c r="A43" s="51"/>
      <c r="B43" s="46" t="e">
        <f t="shared" si="2"/>
        <v>#N/A</v>
      </c>
      <c r="C43" s="46"/>
      <c r="D43" s="1" t="str">
        <f>IF(ISERROR(E43),"",IF(E43="","",MAX($D$12:D42)+1))</f>
        <v/>
      </c>
      <c r="F43" s="22"/>
      <c r="G43" s="125" t="str">
        <f t="shared" si="3"/>
        <v>N/A</v>
      </c>
      <c r="H43" s="125" t="str">
        <f t="shared" si="4"/>
        <v>N/A</v>
      </c>
      <c r="I43" s="125"/>
      <c r="J43" s="125" t="str">
        <f t="shared" si="5"/>
        <v>N/A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17"/>
      <c r="V43" s="17"/>
      <c r="W43" s="17"/>
    </row>
    <row r="44" spans="1:23" hidden="1">
      <c r="A44" s="51"/>
      <c r="B44" s="46" t="e">
        <f t="shared" si="2"/>
        <v>#N/A</v>
      </c>
      <c r="C44" s="46"/>
      <c r="D44" s="1" t="str">
        <f>IF(ISERROR(E44),"",IF(E44="","",MAX($D$12:D43)+1))</f>
        <v/>
      </c>
      <c r="F44" s="22"/>
      <c r="G44" s="125" t="str">
        <f t="shared" si="3"/>
        <v>N/A</v>
      </c>
      <c r="H44" s="125" t="str">
        <f t="shared" si="4"/>
        <v>N/A</v>
      </c>
      <c r="I44" s="125"/>
      <c r="J44" s="125" t="str">
        <f t="shared" si="5"/>
        <v>N/A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17"/>
      <c r="V44" s="17"/>
      <c r="W44" s="17"/>
    </row>
    <row r="45" spans="1:23" hidden="1">
      <c r="A45" s="51"/>
      <c r="B45" s="46" t="e">
        <f t="shared" si="2"/>
        <v>#N/A</v>
      </c>
      <c r="C45" s="46"/>
      <c r="D45" s="1" t="str">
        <f>IF(ISERROR(E45),"",IF(E45="","",MAX($D$12:D44)+1))</f>
        <v/>
      </c>
      <c r="F45" s="22"/>
      <c r="G45" s="125" t="str">
        <f t="shared" si="3"/>
        <v>N/A</v>
      </c>
      <c r="H45" s="125" t="str">
        <f t="shared" si="4"/>
        <v>N/A</v>
      </c>
      <c r="I45" s="125"/>
      <c r="J45" s="125" t="str">
        <f t="shared" si="5"/>
        <v>N/A</v>
      </c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17"/>
      <c r="V45" s="17"/>
      <c r="W45" s="17"/>
    </row>
    <row r="46" spans="1:23" hidden="1">
      <c r="A46" s="51"/>
      <c r="B46" s="46" t="e">
        <f t="shared" si="2"/>
        <v>#N/A</v>
      </c>
      <c r="C46" s="46"/>
      <c r="D46" s="1" t="str">
        <f>IF(ISERROR(E46),"",IF(E46="","",MAX($D$12:D45)+1))</f>
        <v/>
      </c>
      <c r="F46" s="22"/>
      <c r="G46" s="125" t="str">
        <f t="shared" si="3"/>
        <v>N/A</v>
      </c>
      <c r="H46" s="125" t="str">
        <f t="shared" si="4"/>
        <v>N/A</v>
      </c>
      <c r="I46" s="125"/>
      <c r="J46" s="125" t="str">
        <f t="shared" si="5"/>
        <v>N/A</v>
      </c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17"/>
      <c r="V46" s="17"/>
      <c r="W46" s="17"/>
    </row>
    <row r="47" spans="1:23" hidden="1">
      <c r="A47" s="51"/>
      <c r="B47" s="46" t="e">
        <f t="shared" si="2"/>
        <v>#N/A</v>
      </c>
      <c r="C47" s="46"/>
      <c r="D47" s="1" t="str">
        <f>IF(ISERROR(E47),"",IF(E47="","",MAX($D$12:D46)+1))</f>
        <v/>
      </c>
      <c r="F47" s="22"/>
      <c r="G47" s="125" t="str">
        <f t="shared" si="3"/>
        <v>N/A</v>
      </c>
      <c r="H47" s="125" t="str">
        <f t="shared" si="4"/>
        <v>N/A</v>
      </c>
      <c r="I47" s="125"/>
      <c r="J47" s="125" t="str">
        <f t="shared" si="5"/>
        <v>N/A</v>
      </c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17"/>
      <c r="V47" s="17"/>
      <c r="W47" s="17"/>
    </row>
    <row r="48" spans="1:23" hidden="1">
      <c r="A48" s="51"/>
      <c r="B48" s="46" t="e">
        <f t="shared" si="2"/>
        <v>#N/A</v>
      </c>
      <c r="C48" s="46"/>
      <c r="D48" s="1" t="str">
        <f>IF(ISERROR(E48),"",IF(E48="","",MAX($D$12:D47)+1))</f>
        <v/>
      </c>
      <c r="F48" s="22"/>
      <c r="G48" s="125" t="str">
        <f t="shared" si="3"/>
        <v>N/A</v>
      </c>
      <c r="H48" s="125" t="str">
        <f t="shared" si="4"/>
        <v>N/A</v>
      </c>
      <c r="I48" s="125"/>
      <c r="J48" s="125" t="str">
        <f t="shared" si="5"/>
        <v>N/A</v>
      </c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17"/>
      <c r="V48" s="17"/>
      <c r="W48" s="17"/>
    </row>
    <row r="49" spans="1:23" hidden="1">
      <c r="A49" s="51"/>
      <c r="B49" s="46" t="e">
        <f t="shared" si="2"/>
        <v>#N/A</v>
      </c>
      <c r="C49" s="46"/>
      <c r="D49" s="1" t="str">
        <f>IF(ISERROR(E49),"",IF(E49="","",MAX($D$12:D48)+1))</f>
        <v/>
      </c>
      <c r="F49" s="22"/>
      <c r="G49" s="125" t="str">
        <f t="shared" si="3"/>
        <v>N/A</v>
      </c>
      <c r="H49" s="125" t="str">
        <f t="shared" si="4"/>
        <v>N/A</v>
      </c>
      <c r="I49" s="125"/>
      <c r="J49" s="125" t="str">
        <f t="shared" si="5"/>
        <v>N/A</v>
      </c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17"/>
      <c r="V49" s="17"/>
      <c r="W49" s="17"/>
    </row>
    <row r="50" spans="1:23" hidden="1">
      <c r="A50" s="51"/>
      <c r="B50" s="46" t="e">
        <f t="shared" si="2"/>
        <v>#N/A</v>
      </c>
      <c r="C50" s="46"/>
      <c r="D50" s="1" t="str">
        <f>IF(ISERROR(E50),"",IF(E50="","",MAX($D$12:D49)+1))</f>
        <v/>
      </c>
      <c r="F50" s="22"/>
      <c r="G50" s="125" t="str">
        <f t="shared" si="3"/>
        <v>N/A</v>
      </c>
      <c r="H50" s="125" t="str">
        <f t="shared" si="4"/>
        <v>N/A</v>
      </c>
      <c r="I50" s="125"/>
      <c r="J50" s="125" t="str">
        <f t="shared" si="5"/>
        <v>N/A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17"/>
      <c r="V50" s="17"/>
      <c r="W50" s="17"/>
    </row>
    <row r="51" spans="1:23" hidden="1">
      <c r="A51" s="51"/>
      <c r="B51" s="46" t="e">
        <f t="shared" si="2"/>
        <v>#N/A</v>
      </c>
      <c r="C51" s="46"/>
      <c r="D51" s="1" t="str">
        <f>IF(ISERROR(E51),"",IF(E51="","",MAX($D$12:D50)+1))</f>
        <v/>
      </c>
      <c r="F51" s="22"/>
      <c r="G51" s="125" t="str">
        <f t="shared" si="3"/>
        <v>N/A</v>
      </c>
      <c r="H51" s="125" t="str">
        <f t="shared" si="4"/>
        <v>N/A</v>
      </c>
      <c r="I51" s="125"/>
      <c r="J51" s="125" t="str">
        <f t="shared" si="5"/>
        <v>N/A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17"/>
      <c r="V51" s="17"/>
      <c r="W51" s="17"/>
    </row>
    <row r="52" spans="1:23" hidden="1">
      <c r="A52" s="51"/>
      <c r="B52" s="46" t="e">
        <f t="shared" si="2"/>
        <v>#N/A</v>
      </c>
      <c r="C52" s="46"/>
      <c r="D52" s="1" t="str">
        <f>IF(ISERROR(E52),"",IF(E52="","",MAX($D$12:D51)+1))</f>
        <v/>
      </c>
      <c r="F52" s="22"/>
      <c r="G52" s="125" t="str">
        <f t="shared" si="3"/>
        <v>N/A</v>
      </c>
      <c r="H52" s="125" t="str">
        <f t="shared" si="4"/>
        <v>N/A</v>
      </c>
      <c r="I52" s="125"/>
      <c r="J52" s="125" t="str">
        <f t="shared" si="5"/>
        <v>N/A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17"/>
      <c r="V52" s="17"/>
      <c r="W52" s="17"/>
    </row>
    <row r="53" spans="1:23" hidden="1">
      <c r="A53" s="51"/>
      <c r="B53" s="46" t="e">
        <f t="shared" si="2"/>
        <v>#N/A</v>
      </c>
      <c r="C53" s="46"/>
      <c r="D53" s="1" t="str">
        <f>IF(ISERROR(E53),"",IF(E53="","",MAX($D$12:D52)+1))</f>
        <v/>
      </c>
      <c r="F53" s="22"/>
      <c r="G53" s="125" t="str">
        <f t="shared" si="3"/>
        <v>N/A</v>
      </c>
      <c r="H53" s="125" t="str">
        <f t="shared" si="4"/>
        <v>N/A</v>
      </c>
      <c r="I53" s="125"/>
      <c r="J53" s="125" t="str">
        <f t="shared" si="5"/>
        <v>N/A</v>
      </c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17"/>
      <c r="V53" s="17"/>
      <c r="W53" s="17"/>
    </row>
    <row r="54" spans="1:23" hidden="1">
      <c r="A54" s="51"/>
      <c r="B54" s="46" t="e">
        <f t="shared" si="2"/>
        <v>#N/A</v>
      </c>
      <c r="C54" s="46"/>
      <c r="D54" s="1" t="str">
        <f>IF(ISERROR(E54),"",IF(E54="","",MAX($D$12:D53)+1))</f>
        <v/>
      </c>
      <c r="F54" s="22"/>
      <c r="G54" s="125" t="str">
        <f t="shared" si="3"/>
        <v>N/A</v>
      </c>
      <c r="H54" s="125" t="str">
        <f t="shared" si="4"/>
        <v>N/A</v>
      </c>
      <c r="I54" s="125"/>
      <c r="J54" s="125" t="str">
        <f t="shared" si="5"/>
        <v>N/A</v>
      </c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17"/>
      <c r="V54" s="17"/>
      <c r="W54" s="17"/>
    </row>
    <row r="55" spans="1:23" hidden="1">
      <c r="A55" s="51" t="e">
        <f>#REF!</f>
        <v>#REF!</v>
      </c>
      <c r="B55" s="46" t="e">
        <f t="shared" si="2"/>
        <v>#REF!</v>
      </c>
      <c r="C55" s="46"/>
      <c r="D55" s="1" t="str">
        <f>IF(ISERROR(E55),"",IF(E55="","",MAX($D$12:D54)+1))</f>
        <v/>
      </c>
      <c r="E55" t="e">
        <f>#REF!</f>
        <v>#REF!</v>
      </c>
      <c r="F55" s="22"/>
      <c r="G55" s="99" t="str">
        <f t="shared" si="3"/>
        <v>N/A</v>
      </c>
      <c r="H55" s="99" t="str">
        <f t="shared" si="4"/>
        <v>N/A</v>
      </c>
      <c r="I55" s="99"/>
      <c r="J55" s="99" t="str">
        <f t="shared" si="5"/>
        <v>N/A</v>
      </c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17"/>
      <c r="V55" s="17"/>
      <c r="W55" s="17"/>
    </row>
    <row r="56" spans="1:23" hidden="1">
      <c r="A56" s="51" t="e">
        <f>#REF!</f>
        <v>#REF!</v>
      </c>
      <c r="B56" s="46" t="e">
        <f t="shared" si="2"/>
        <v>#REF!</v>
      </c>
      <c r="C56" s="46"/>
      <c r="D56" s="1" t="str">
        <f>IF(ISERROR(E56),"",IF(E56="","",MAX($D$12:D55)+1))</f>
        <v/>
      </c>
      <c r="E56" t="e">
        <f>#REF!</f>
        <v>#REF!</v>
      </c>
      <c r="G56" s="99" t="str">
        <f t="shared" si="3"/>
        <v>N/A</v>
      </c>
      <c r="H56" s="99" t="str">
        <f t="shared" si="4"/>
        <v>N/A</v>
      </c>
      <c r="I56" s="99"/>
      <c r="J56" s="99" t="str">
        <f t="shared" si="5"/>
        <v>N/A</v>
      </c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17"/>
      <c r="V56" s="17"/>
      <c r="W56" s="17"/>
    </row>
    <row r="57" spans="1:23" hidden="1">
      <c r="A57" s="51" t="e">
        <f>#REF!</f>
        <v>#REF!</v>
      </c>
      <c r="B57" s="46" t="e">
        <f t="shared" si="2"/>
        <v>#REF!</v>
      </c>
      <c r="C57" s="46"/>
      <c r="D57" s="1" t="str">
        <f>IF(ISERROR(E57),"",IF(E57="","",MAX($D$12:D56)+1))</f>
        <v/>
      </c>
      <c r="E57" t="e">
        <f>#REF!</f>
        <v>#REF!</v>
      </c>
      <c r="G57" s="99" t="str">
        <f t="shared" si="3"/>
        <v>N/A</v>
      </c>
      <c r="H57" s="99" t="str">
        <f t="shared" si="4"/>
        <v>N/A</v>
      </c>
      <c r="I57" s="99"/>
      <c r="J57" s="99" t="str">
        <f t="shared" si="5"/>
        <v>N/A</v>
      </c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17"/>
      <c r="V57" s="17"/>
      <c r="W57" s="17"/>
    </row>
    <row r="58" spans="1:23" hidden="1">
      <c r="A58" s="51" t="e">
        <f>#REF!</f>
        <v>#REF!</v>
      </c>
      <c r="B58" s="46" t="e">
        <f t="shared" si="2"/>
        <v>#REF!</v>
      </c>
      <c r="C58" s="46"/>
      <c r="D58" s="1" t="str">
        <f>IF(ISERROR(E58),"",IF(E58="","",MAX($D$12:D57)+1))</f>
        <v/>
      </c>
      <c r="E58" t="e">
        <f>#REF!</f>
        <v>#REF!</v>
      </c>
      <c r="G58" s="99" t="str">
        <f t="shared" si="3"/>
        <v>N/A</v>
      </c>
      <c r="H58" s="99" t="str">
        <f t="shared" si="4"/>
        <v>N/A</v>
      </c>
      <c r="I58" s="99"/>
      <c r="J58" s="99" t="str">
        <f t="shared" si="5"/>
        <v>N/A</v>
      </c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17"/>
      <c r="V58" s="17"/>
      <c r="W58" s="17"/>
    </row>
    <row r="59" spans="1:23">
      <c r="A59" s="31"/>
      <c r="B59" s="31"/>
      <c r="C59" s="31"/>
      <c r="D59" s="1" t="str">
        <f>IF(ISERROR(E59),"",IF(E59="","",MAX($D$12:D58)+1))</f>
        <v/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17"/>
      <c r="V59" s="17"/>
    </row>
    <row r="60" spans="1:23">
      <c r="A60" s="31"/>
      <c r="B60" s="31"/>
      <c r="C60" s="31"/>
      <c r="D60" s="1">
        <f>IF(ISERROR(E60),"",IF(E60="","",MAX($D$12:D59)+1))</f>
        <v>12</v>
      </c>
      <c r="E60" t="s">
        <v>98</v>
      </c>
      <c r="G60" s="125">
        <f t="shared" ref="G60:J60" si="6">AVERAGE(G14:G59)</f>
        <v>0.81684616553137812</v>
      </c>
      <c r="H60" s="125">
        <f t="shared" si="6"/>
        <v>0.85040098068378256</v>
      </c>
      <c r="I60" s="125"/>
      <c r="J60" s="125">
        <f t="shared" si="6"/>
        <v>0.92473955791809448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17"/>
      <c r="V60" s="17"/>
      <c r="W60" s="17"/>
    </row>
    <row r="61" spans="1:23">
      <c r="A61" s="31"/>
      <c r="B61" s="31"/>
      <c r="C61" s="31"/>
      <c r="D61" s="1">
        <f>IF(ISERROR(E61),"",IF(E61="","",MAX($D$12:D60)+1))</f>
        <v>13</v>
      </c>
      <c r="E61" t="s">
        <v>257</v>
      </c>
      <c r="G61" s="125">
        <f>MEDIAN(G14:G59)</f>
        <v>0.84474885844748859</v>
      </c>
      <c r="H61" s="125">
        <f t="shared" ref="H61:J61" si="7">MEDIAN(H14:H59)</f>
        <v>0.79844961240310086</v>
      </c>
      <c r="I61" s="125"/>
      <c r="J61" s="125">
        <f t="shared" si="7"/>
        <v>0.96062992125984248</v>
      </c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17"/>
      <c r="V61" s="17"/>
      <c r="W61" s="17"/>
    </row>
    <row r="62" spans="1:23">
      <c r="A62" s="31"/>
      <c r="B62" s="31"/>
      <c r="C62" s="31"/>
      <c r="D62" s="1"/>
    </row>
    <row r="63" spans="1:23">
      <c r="A63" s="31"/>
      <c r="B63" s="31"/>
      <c r="C63" s="31"/>
      <c r="E63" s="18"/>
      <c r="F63" s="91"/>
    </row>
    <row r="64" spans="1:23">
      <c r="A64" s="31"/>
      <c r="B64" s="31"/>
      <c r="C64" s="31"/>
      <c r="E64" s="20" t="s">
        <v>107</v>
      </c>
    </row>
    <row r="65" spans="1:6" ht="16.5">
      <c r="A65" s="31"/>
      <c r="B65" s="31"/>
      <c r="C65" s="31"/>
      <c r="E65" s="79"/>
      <c r="F65" s="21" t="str">
        <f>"The Value Line Investment Survey Investment Analyzer Software,"</f>
        <v>The Value Line Investment Survey Investment Analyzer Software,</v>
      </c>
    </row>
    <row r="66" spans="1:6" ht="16.5">
      <c r="A66" s="31"/>
      <c r="B66" s="31"/>
      <c r="C66" s="31"/>
      <c r="E66" s="79"/>
      <c r="F66" s="21" t="str">
        <f>" downloaded on "&amp;TEXT(CapSpendCashFlow!$A$1,"mmmm d, yyyy.")</f>
        <v xml:space="preserve"> downloaded on September 21, 2017.</v>
      </c>
    </row>
    <row r="67" spans="1:6">
      <c r="A67" s="31"/>
      <c r="B67" s="31"/>
      <c r="C67" s="31"/>
      <c r="E67" s="20" t="s">
        <v>336</v>
      </c>
    </row>
    <row r="68" spans="1:6" ht="16.5">
      <c r="A68" s="31"/>
      <c r="B68" s="31"/>
      <c r="C68" s="31"/>
      <c r="E68" s="93"/>
      <c r="F68" s="21" t="s">
        <v>395</v>
      </c>
    </row>
    <row r="69" spans="1:6">
      <c r="A69" s="31"/>
      <c r="B69" s="31"/>
      <c r="C69" s="31"/>
      <c r="F69" s="23"/>
    </row>
    <row r="70" spans="1:6">
      <c r="A70" s="31"/>
      <c r="B70" s="31"/>
      <c r="C70" s="31"/>
      <c r="E70" s="21"/>
    </row>
    <row r="71" spans="1:6">
      <c r="E71" s="23"/>
    </row>
  </sheetData>
  <mergeCells count="5">
    <mergeCell ref="C1:K1"/>
    <mergeCell ref="D4:J4"/>
    <mergeCell ref="D5:J5"/>
    <mergeCell ref="G9:J9"/>
    <mergeCell ref="E11:F11"/>
  </mergeCells>
  <printOptions horizontalCentered="1"/>
  <pageMargins left="0.7" right="0.7" top="1" bottom="0.75" header="0.55000000000000004" footer="0.51"/>
  <pageSetup scale="64" orientation="portrait" useFirstPageNumber="1" r:id="rId1"/>
  <headerFooter>
    <oddHeader>&amp;R&amp;20 Exhibit MPG-2
Page 4 of 4</oddHeader>
  </headerFooter>
  <rowBreaks count="1" manualBreakCount="1">
    <brk id="7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85D4335-24D0-4373-B286-8012671DD74C}"/>
</file>

<file path=customXml/itemProps2.xml><?xml version="1.0" encoding="utf-8"?>
<ds:datastoreItem xmlns:ds="http://schemas.openxmlformats.org/officeDocument/2006/customXml" ds:itemID="{B0BFD72C-D43D-477C-9DC6-706385F6EEE3}"/>
</file>

<file path=customXml/itemProps3.xml><?xml version="1.0" encoding="utf-8"?>
<ds:datastoreItem xmlns:ds="http://schemas.openxmlformats.org/officeDocument/2006/customXml" ds:itemID="{1E46D81E-C39A-4057-8DC9-C724AA1CA76E}"/>
</file>

<file path=customXml/itemProps4.xml><?xml version="1.0" encoding="utf-8"?>
<ds:datastoreItem xmlns:ds="http://schemas.openxmlformats.org/officeDocument/2006/customXml" ds:itemID="{2892A413-1953-4279-97B8-82CB24915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64</vt:i4>
      </vt:variant>
    </vt:vector>
  </HeadingPairs>
  <TitlesOfParts>
    <vt:vector size="92" baseType="lpstr">
      <vt:lpstr>MPG-4 pgs 1-3</vt:lpstr>
      <vt:lpstr>MPG-4 pg 4</vt:lpstr>
      <vt:lpstr>MPG-4 pg 5</vt:lpstr>
      <vt:lpstr>Electric -4</vt:lpstr>
      <vt:lpstr>Electric -x</vt:lpstr>
      <vt:lpstr>Gas -1</vt:lpstr>
      <vt:lpstr>Gas -2</vt:lpstr>
      <vt:lpstr>Gas -3</vt:lpstr>
      <vt:lpstr>Gas -4</vt:lpstr>
      <vt:lpstr>Gas -x</vt:lpstr>
      <vt:lpstr>Water -2</vt:lpstr>
      <vt:lpstr>P-E Ratio (WP)</vt:lpstr>
      <vt:lpstr>MP-CF (WP)</vt:lpstr>
      <vt:lpstr>MP-BV (WP)</vt:lpstr>
      <vt:lpstr>DIV-MP (WP)</vt:lpstr>
      <vt:lpstr>DIV-BV (WP)</vt:lpstr>
      <vt:lpstr>DIV-Earnings (WP)</vt:lpstr>
      <vt:lpstr>CF-Cap Spend (WP)</vt:lpstr>
      <vt:lpstr>CapSpendCashFlow</vt:lpstr>
      <vt:lpstr>2017 Data (WP)</vt:lpstr>
      <vt:lpstr>2016</vt:lpstr>
      <vt:lpstr>MP</vt:lpstr>
      <vt:lpstr>CF</vt:lpstr>
      <vt:lpstr>EPS</vt:lpstr>
      <vt:lpstr>DIV</vt:lpstr>
      <vt:lpstr>CapS</vt:lpstr>
      <vt:lpstr>BV</vt:lpstr>
      <vt:lpstr>Annual Yields (WP)</vt:lpstr>
      <vt:lpstr>BookValue</vt:lpstr>
      <vt:lpstr>CapCash</vt:lpstr>
      <vt:lpstr>CapCashTic</vt:lpstr>
      <vt:lpstr>CapSpending</vt:lpstr>
      <vt:lpstr>CashFlow</vt:lpstr>
      <vt:lpstr>CF_CAP_WP</vt:lpstr>
      <vt:lpstr>DIV_BV_WP</vt:lpstr>
      <vt:lpstr>DIV_EARN_WP</vt:lpstr>
      <vt:lpstr>DIV_MP_WP</vt:lpstr>
      <vt:lpstr>Dividends</vt:lpstr>
      <vt:lpstr>Earnings</vt:lpstr>
      <vt:lpstr>ElectricU</vt:lpstr>
      <vt:lpstr>GasU</vt:lpstr>
      <vt:lpstr>LUCurYr</vt:lpstr>
      <vt:lpstr>MarketPrice</vt:lpstr>
      <vt:lpstr>MP_BV_WP</vt:lpstr>
      <vt:lpstr>MP_CF_WP</vt:lpstr>
      <vt:lpstr>PE_WP</vt:lpstr>
      <vt:lpstr>'2017 Data (WP)'!Print_Area</vt:lpstr>
      <vt:lpstr>'CF-Cap Spend (WP)'!Print_Area</vt:lpstr>
      <vt:lpstr>'DIV-BV (WP)'!Print_Area</vt:lpstr>
      <vt:lpstr>'DIV-Earnings (WP)'!Print_Area</vt:lpstr>
      <vt:lpstr>'DIV-MP (WP)'!Print_Area</vt:lpstr>
      <vt:lpstr>'Electric -4'!Print_Area</vt:lpstr>
      <vt:lpstr>'Electric -x'!Print_Area</vt:lpstr>
      <vt:lpstr>'Gas -1'!Print_Area</vt:lpstr>
      <vt:lpstr>'Gas -2'!Print_Area</vt:lpstr>
      <vt:lpstr>'Gas -3'!Print_Area</vt:lpstr>
      <vt:lpstr>'Gas -4'!Print_Area</vt:lpstr>
      <vt:lpstr>'Gas -x'!Print_Area</vt:lpstr>
      <vt:lpstr>'MP-BV (WP)'!Print_Area</vt:lpstr>
      <vt:lpstr>'MP-CF (WP)'!Print_Area</vt:lpstr>
      <vt:lpstr>'MPG-4 pg 4'!Print_Area</vt:lpstr>
      <vt:lpstr>'MPG-4 pg 5'!Print_Area</vt:lpstr>
      <vt:lpstr>'MPG-4 pgs 1-3'!Print_Area</vt:lpstr>
      <vt:lpstr>'P-E Ratio (WP)'!Print_Area</vt:lpstr>
      <vt:lpstr>'Water -2'!Print_Area</vt:lpstr>
      <vt:lpstr>'2016'!Print_Titles</vt:lpstr>
      <vt:lpstr>'2017 Data (WP)'!Print_Titles</vt:lpstr>
      <vt:lpstr>BV!Print_Titles</vt:lpstr>
      <vt:lpstr>CapS!Print_Titles</vt:lpstr>
      <vt:lpstr>CF!Print_Titles</vt:lpstr>
      <vt:lpstr>'CF-Cap Spend (WP)'!Print_Titles</vt:lpstr>
      <vt:lpstr>DIV!Print_Titles</vt:lpstr>
      <vt:lpstr>'DIV-BV (WP)'!Print_Titles</vt:lpstr>
      <vt:lpstr>'DIV-Earnings (WP)'!Print_Titles</vt:lpstr>
      <vt:lpstr>'DIV-MP (WP)'!Print_Titles</vt:lpstr>
      <vt:lpstr>'Electric -4'!Print_Titles</vt:lpstr>
      <vt:lpstr>'Electric -x'!Print_Titles</vt:lpstr>
      <vt:lpstr>EPS!Print_Titles</vt:lpstr>
      <vt:lpstr>'Gas -1'!Print_Titles</vt:lpstr>
      <vt:lpstr>'Gas -2'!Print_Titles</vt:lpstr>
      <vt:lpstr>'Gas -3'!Print_Titles</vt:lpstr>
      <vt:lpstr>'Gas -4'!Print_Titles</vt:lpstr>
      <vt:lpstr>'Gas -x'!Print_Titles</vt:lpstr>
      <vt:lpstr>MP!Print_Titles</vt:lpstr>
      <vt:lpstr>'MP-BV (WP)'!Print_Titles</vt:lpstr>
      <vt:lpstr>'MP-CF (WP)'!Print_Titles</vt:lpstr>
      <vt:lpstr>'MPG-4 pg 4'!Print_Titles</vt:lpstr>
      <vt:lpstr>'MPG-4 pg 5'!Print_Titles</vt:lpstr>
      <vt:lpstr>'MPG-4 pgs 1-3'!Print_Titles</vt:lpstr>
      <vt:lpstr>'P-E Ratio (WP)'!Print_Titles</vt:lpstr>
      <vt:lpstr>'Water -2'!Print_Titles</vt:lpstr>
      <vt:lpstr>WaterU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Walters, Chris</dc:creator>
  <cp:lastModifiedBy>Monet Covington</cp:lastModifiedBy>
  <cp:lastPrinted>2017-10-18T19:09:24Z</cp:lastPrinted>
  <dcterms:created xsi:type="dcterms:W3CDTF">2013-06-26T21:26:05Z</dcterms:created>
  <dcterms:modified xsi:type="dcterms:W3CDTF">2017-10-25T14:07:31Z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{01041421-2ECF-4B10-80FB-EE7FBFCFAA77}</vt:lpwstr>
  </property>
  <property fmtid="{D5CDD505-2E9C-101B-9397-08002B2CF9AE}" pid="3" name="ContentTypeId">
    <vt:lpwstr>0x0101006E56B4D1795A2E4DB2F0B01679ED314A004293D7BF2DB2434CBA4573E3DBB11230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