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ages 1-3" sheetId="1" r:id="rId1"/>
  </sheets>
  <definedNames>
    <definedName name="_xlnm.Print_Area" localSheetId="0">'Pages 1-3'!$A$3:$K$95</definedName>
  </definedNames>
  <calcPr fullCalcOnLoad="1"/>
</workbook>
</file>

<file path=xl/sharedStrings.xml><?xml version="1.0" encoding="utf-8"?>
<sst xmlns="http://schemas.openxmlformats.org/spreadsheetml/2006/main" count="73" uniqueCount="44">
  <si>
    <t>PEAK CREDIT METHOD FOR 2003 COST OF SERVICE STUDY</t>
  </si>
  <si>
    <t>Combined Cycle Plant (Nominal $)</t>
  </si>
  <si>
    <t xml:space="preserve">Capital Cost </t>
  </si>
  <si>
    <t>Fixed O&amp;M</t>
  </si>
  <si>
    <t>Ins / Prop Tax</t>
  </si>
  <si>
    <t>Variable O&amp;M</t>
  </si>
  <si>
    <t>Gas</t>
  </si>
  <si>
    <t>Total</t>
  </si>
  <si>
    <t>Annual</t>
  </si>
  <si>
    <t>Year</t>
  </si>
  <si>
    <t>$/MWH Yr</t>
  </si>
  <si>
    <t>$/MWH</t>
  </si>
  <si>
    <t>$/MMBTU</t>
  </si>
  <si>
    <t>Inflation</t>
  </si>
  <si>
    <t>Combustion Turbine</t>
  </si>
  <si>
    <t>Peak</t>
  </si>
  <si>
    <t>Fuel Oil</t>
  </si>
  <si>
    <t>Credit</t>
  </si>
  <si>
    <t>$/kW Yr</t>
  </si>
  <si>
    <t>Combustion</t>
  </si>
  <si>
    <t>CC</t>
  </si>
  <si>
    <t>Turbine</t>
  </si>
  <si>
    <t>CT</t>
  </si>
  <si>
    <t xml:space="preserve">Levelized Cost $/mWh </t>
  </si>
  <si>
    <t>Levelized Cost $/kW Yr</t>
  </si>
  <si>
    <t>Assumptions</t>
  </si>
  <si>
    <t>Fixed Charge Rate:</t>
  </si>
  <si>
    <t>Hours/Year  CT Peak Operation</t>
  </si>
  <si>
    <t>Oil (hours):</t>
  </si>
  <si>
    <t>CCCT Capacity Factor:</t>
  </si>
  <si>
    <t>Capital &amp; Fixed O&amp;M For CT Used For Peak Credit Cost %</t>
  </si>
  <si>
    <t>Fixed &amp; variable O&amp;M, gas, and fuel escalation rate beyond 2015:</t>
  </si>
  <si>
    <t>Natural Gas Fuel Cost Premium for CT</t>
  </si>
  <si>
    <t>Capital</t>
  </si>
  <si>
    <t>Var O&amp;M</t>
  </si>
  <si>
    <t>Heat Rate</t>
  </si>
  <si>
    <t>$/kW</t>
  </si>
  <si>
    <t>$/kW/yr</t>
  </si>
  <si>
    <t>$ / MWH</t>
  </si>
  <si>
    <t>BTU/kWh</t>
  </si>
  <si>
    <t>Combined Cycle Combustion Turbine Plant</t>
  </si>
  <si>
    <t>Simple Cycle Combustion Turbine Plant</t>
  </si>
  <si>
    <t>Reserve margin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</si>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</sst>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[Red]\(&quot;$&quot;#,##0.0\)"/>
    <numFmt numFmtId="166" formatCode="0.000000"/>
    <numFmt numFmtId="167" formatCode="d\.mmm\.yy"/>
    <numFmt numFmtId="168" formatCode="_ * #,##0_)_C_r_$_ ;_ * \(#,##0\)_C_r_$_ ;_ * &quot;-&quot;_)_C_r_$_ ;_ @_ "/>
    <numFmt numFmtId="169" formatCode="#,##0.0_);[Red]\(#,##0.0\)"/>
    <numFmt numFmtId="170" formatCode="d\.mmm"/>
    <numFmt numFmtId="171" formatCode="_-* #,##0\ _F_-;\-* #,##0\ _F_-;_-* &quot;-&quot;\ _F_-;_-@_-"/>
    <numFmt numFmtId="172" formatCode="#,##0.00&quot; $&quot;;[Red]\-#,##0.00&quot; $&quot;"/>
    <numFmt numFmtId="173" formatCode="mmm\.yy"/>
    <numFmt numFmtId="174" formatCode="d\.m\.yy\ h:mm"/>
    <numFmt numFmtId="175" formatCode="_ * #,##0.00_)_C_r_$_ ;_ * \(#,##0.00\)_C_r_$_ ;_ * &quot;-&quot;??_)_C_r_$_ ;_ @_ "/>
    <numFmt numFmtId="176" formatCode="#,##0.000_);[Red]\(#,##0.000\)"/>
    <numFmt numFmtId="177" formatCode=";;"/>
    <numFmt numFmtId="178" formatCode="_-* #,##0.00\ _F_-;\-* #,##0.00\ _F_-;_-* &quot;-&quot;??\ _F_-;_-@_-"/>
    <numFmt numFmtId="179" formatCode="0&quot;  &quot;"/>
    <numFmt numFmtId="180" formatCode="0.00&quot;  &quot;"/>
    <numFmt numFmtId="181" formatCode="0.0&quot;  &quot;"/>
    <numFmt numFmtId="182" formatCode="_(&quot;R$&quot;* #,##0_);_(&quot;R$&quot;* \(#,##0\);_(&quot;R$&quot;* &quot;-&quot;_);_(@_)"/>
    <numFmt numFmtId="183" formatCode="0.0000000"/>
    <numFmt numFmtId="184" formatCode="_-&quot;$&quot;\ * #,##0_-;\-&quot;$&quot;\ * #,##0_-;_-&quot;$&quot;\ * &quot;-&quot;_-;_-@_-"/>
    <numFmt numFmtId="185" formatCode="#,##0.00&quot;Pts&quot;_);\(#,##0.00&quot;Pts&quot;\)"/>
    <numFmt numFmtId="186" formatCode="_-* #,##0\ &quot;F&quot;_-;\-* #,##0\ &quot;F&quot;_-;_-* &quot;-&quot;\ &quot;F&quot;_-;_-@_-"/>
    <numFmt numFmtId="187" formatCode="_-&quot;£&quot;* #,##0_-;\-&quot;£&quot;* #,##0_-;_-&quot;£&quot;* &quot;-&quot;_-;_-@_-"/>
    <numFmt numFmtId="188" formatCode="0.000&quot;  &quot;"/>
    <numFmt numFmtId="189" formatCode="&quot;R$&quot;#,##0_);[Red]\(&quot;R$&quot;#,##0\)"/>
    <numFmt numFmtId="190" formatCode="_(* #,##0.0_);_(* \(#,##0.0\);_(* &quot;-&quot;??_);_(@_)"/>
    <numFmt numFmtId="191" formatCode="0.0000&quot;  &quot;"/>
    <numFmt numFmtId="192" formatCode="#,##0.00&quot; $&quot;;\-#,##0.00&quot; $&quot;"/>
    <numFmt numFmtId="193" formatCode="0.00000&quot;  &quot;"/>
    <numFmt numFmtId="194" formatCode="_(&quot;Cr$&quot;\ * #,##0_);_(&quot;Cr$&quot;\ * \(#,##0\);_(&quot;Cr$&quot;\ * &quot;-&quot;_);_(@_)"/>
    <numFmt numFmtId="195" formatCode="_(&quot;R$&quot;* #,##0.00_);_(&quot;R$&quot;* \(#,##0.00\);_(&quot;R$&quot;* &quot;-&quot;??_);_(@_)"/>
    <numFmt numFmtId="196" formatCode="0.0000"/>
    <numFmt numFmtId="197" formatCode="_-&quot;$&quot;\ * #,##0.00_-;\-&quot;$&quot;\ * #,##0.00_-;_-&quot;$&quot;\ * &quot;-&quot;??_-;_-@_-"/>
    <numFmt numFmtId="198" formatCode="#,##0.00&quot;Pts&quot;_);[Red]\(#,##0.00&quot;Pts&quot;\)"/>
    <numFmt numFmtId="199" formatCode="_-* #,##0.00\ &quot;F&quot;_-;\-* #,##0.00\ &quot;F&quot;_-;_-* &quot;-&quot;??\ &quot;F&quot;_-;_-@_-"/>
    <numFmt numFmtId="200" formatCode="_-&quot;£&quot;* #,##0.00_-;\-&quot;£&quot;* #,##0.00_-;_-&quot;£&quot;* &quot;-&quot;??_-;_-@_-"/>
    <numFmt numFmtId="201" formatCode="&quot;R$&quot;#,##0.00_);[Red]\(&quot;R$&quot;#,##0.00\)"/>
    <numFmt numFmtId="202" formatCode="d\.m\.yy"/>
    <numFmt numFmtId="203" formatCode="_(&quot;Cr$&quot;\ * #,##0.00_);_(&quot;Cr$&quot;\ * \(#,##0.00\);_(&quot;Cr$&quot;\ * &quot;-&quot;??_);_(@_)"/>
    <numFmt numFmtId="204" formatCode="0.000000000"/>
    <numFmt numFmtId="205" formatCode="&quot;Cr$&quot;\ #,##0_);\(&quot;Cr$&quot;\ #,##0\)"/>
    <numFmt numFmtId="206" formatCode="#.0%"/>
    <numFmt numFmtId="207" formatCode="&quot;$&quot;#,##0.00"/>
    <numFmt numFmtId="208" formatCode="0.000000%"/>
    <numFmt numFmtId="209" formatCode="#,##0.000"/>
    <numFmt numFmtId="210" formatCode="#,##0.0000"/>
    <numFmt numFmtId="211" formatCode="0.0%"/>
    <numFmt numFmtId="212" formatCode="0.000%"/>
    <numFmt numFmtId="213" formatCode="0.0000%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u val="single"/>
      <sz val="10"/>
      <color indexed="36"/>
      <name val="Helv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Helv"/>
      <family val="0"/>
    </font>
    <font>
      <sz val="7"/>
      <name val="Small Font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10"/>
      <name val="Helvetica"/>
      <family val="0"/>
    </font>
    <font>
      <b/>
      <sz val="8"/>
      <name val="Helvetica"/>
      <family val="0"/>
    </font>
    <font>
      <sz val="8.5"/>
      <name val="LinePrinter"/>
      <family val="0"/>
    </font>
    <font>
      <sz val="8.5"/>
      <name val="Helvetica"/>
      <family val="0"/>
    </font>
    <font>
      <sz val="8"/>
      <name val="Helvetica"/>
      <family val="0"/>
    </font>
    <font>
      <b/>
      <sz val="8.5"/>
      <name val="Helvetica"/>
      <family val="0"/>
    </font>
    <font>
      <b/>
      <sz val="8.5"/>
      <name val="Helv"/>
      <family val="0"/>
    </font>
    <font>
      <b/>
      <sz val="18"/>
      <name val="Helvetica"/>
      <family val="0"/>
    </font>
    <font>
      <b/>
      <sz val="1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0">
      <alignment horizontal="left" wrapText="1"/>
      <protection/>
    </xf>
    <xf numFmtId="166" fontId="4" fillId="0" borderId="0">
      <alignment horizontal="left" wrapText="1"/>
      <protection/>
    </xf>
    <xf numFmtId="167" fontId="5" fillId="0" borderId="0" applyFill="0" applyBorder="0" applyAlignment="0">
      <protection/>
    </xf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Alignment="0">
      <protection/>
    </xf>
    <xf numFmtId="0" fontId="7" fillId="0" borderId="0" applyNumberFormat="0" applyAlignment="0">
      <protection/>
    </xf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Alignment="0">
      <protection/>
    </xf>
    <xf numFmtId="0" fontId="9" fillId="0" borderId="0" applyNumberFormat="0" applyFill="0" applyBorder="0" applyAlignment="0" applyProtection="0"/>
    <xf numFmtId="38" fontId="10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/>
      <protection/>
    </xf>
    <xf numFmtId="0" fontId="12" fillId="0" borderId="0" applyNumberFormat="0" applyFill="0" applyBorder="0" applyAlignment="0" applyProtection="0"/>
    <xf numFmtId="10" fontId="10" fillId="3" borderId="3" applyNumberFormat="0" applyBorder="0" applyAlignment="0" applyProtection="0"/>
    <xf numFmtId="37" fontId="13" fillId="0" borderId="0">
      <alignment/>
      <protection/>
    </xf>
    <xf numFmtId="205" fontId="4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4" fontId="14" fillId="0" borderId="0" applyNumberFormat="0" applyFill="0" applyBorder="0" applyAlignment="0" applyProtection="0"/>
    <xf numFmtId="40" fontId="15" fillId="0" borderId="0" applyBorder="0">
      <alignment horizontal="right"/>
      <protection/>
    </xf>
  </cellStyleXfs>
  <cellXfs count="64">
    <xf numFmtId="0" fontId="0" fillId="0" borderId="0" xfId="0" applyAlignment="1">
      <alignment/>
    </xf>
    <xf numFmtId="0" fontId="16" fillId="0" borderId="0" xfId="0" applyFont="1" applyFill="1" applyAlignment="1">
      <alignment/>
    </xf>
    <xf numFmtId="14" fontId="14" fillId="0" borderId="0" xfId="0" applyNumberFormat="1" applyFont="1" applyFill="1" applyAlignment="1">
      <alignment horizontal="center"/>
    </xf>
    <xf numFmtId="0" fontId="17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8" fontId="19" fillId="0" borderId="0" xfId="22" applyFont="1" applyFill="1" applyAlignment="1">
      <alignment/>
    </xf>
    <xf numFmtId="8" fontId="20" fillId="0" borderId="0" xfId="22" applyFont="1" applyFill="1" applyAlignment="1">
      <alignment/>
    </xf>
    <xf numFmtId="8" fontId="4" fillId="0" borderId="0" xfId="22" applyFont="1" applyFill="1" applyAlignment="1">
      <alignment horizontal="center"/>
    </xf>
    <xf numFmtId="10" fontId="10" fillId="0" borderId="0" xfId="0" applyNumberFormat="1" applyFont="1" applyFill="1" applyAlignment="1">
      <alignment/>
    </xf>
    <xf numFmtId="7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4" xfId="0" applyFont="1" applyFill="1" applyBorder="1" applyAlignment="1" quotePrefix="1">
      <alignment horizontal="center"/>
    </xf>
    <xf numFmtId="4" fontId="19" fillId="0" borderId="0" xfId="0" applyNumberFormat="1" applyFont="1" applyFill="1" applyAlignment="1">
      <alignment/>
    </xf>
    <xf numFmtId="0" fontId="19" fillId="0" borderId="6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7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9" fontId="19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/>
    </xf>
    <xf numFmtId="4" fontId="19" fillId="0" borderId="4" xfId="0" applyNumberFormat="1" applyFont="1" applyFill="1" applyBorder="1" applyAlignment="1">
      <alignment/>
    </xf>
    <xf numFmtId="2" fontId="19" fillId="0" borderId="4" xfId="0" applyNumberFormat="1" applyFont="1" applyFill="1" applyBorder="1" applyAlignment="1">
      <alignment/>
    </xf>
    <xf numFmtId="9" fontId="21" fillId="0" borderId="15" xfId="33" applyFont="1" applyFill="1" applyBorder="1" applyAlignment="1">
      <alignment/>
    </xf>
    <xf numFmtId="0" fontId="19" fillId="0" borderId="0" xfId="0" applyFont="1" applyFill="1" applyAlignment="1" quotePrefix="1">
      <alignment horizontal="left"/>
    </xf>
    <xf numFmtId="10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9" fontId="19" fillId="0" borderId="0" xfId="33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10" fontId="20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6" fontId="19" fillId="0" borderId="0" xfId="22" applyNumberFormat="1" applyFont="1" applyFill="1" applyAlignment="1">
      <alignment/>
    </xf>
    <xf numFmtId="164" fontId="19" fillId="0" borderId="0" xfId="22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8" fontId="10" fillId="0" borderId="0" xfId="22" applyNumberFormat="1" applyFont="1" applyFill="1" applyAlignment="1">
      <alignment/>
    </xf>
    <xf numFmtId="0" fontId="10" fillId="0" borderId="0" xfId="2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22">
    <cellStyle name="Normal" xfId="0"/>
    <cellStyle name="_Fuel Prices 4-14" xfId="16"/>
    <cellStyle name="Calc Currency (0)" xfId="17"/>
    <cellStyle name="Comma" xfId="18"/>
    <cellStyle name="Comma [0]" xfId="19"/>
    <cellStyle name="Copied" xfId="20"/>
    <cellStyle name="COST1" xfId="21"/>
    <cellStyle name="Currency" xfId="22"/>
    <cellStyle name="Currency [0]" xfId="23"/>
    <cellStyle name="Entered" xfId="24"/>
    <cellStyle name="Followed Hyperlink" xfId="25"/>
    <cellStyle name="Grey" xfId="26"/>
    <cellStyle name="Header1" xfId="27"/>
    <cellStyle name="Header2" xfId="28"/>
    <cellStyle name="Hyperlink" xfId="29"/>
    <cellStyle name="Input [yellow]" xfId="30"/>
    <cellStyle name="no dec" xfId="31"/>
    <cellStyle name="Normal - Style1" xfId="32"/>
    <cellStyle name="Percent" xfId="33"/>
    <cellStyle name="Percent [2]" xfId="34"/>
    <cellStyle name="RevList" xfId="35"/>
    <cellStyle name="Sub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60" workbookViewId="0" topLeftCell="A1">
      <selection activeCell="C12" sqref="C12"/>
    </sheetView>
  </sheetViews>
  <sheetFormatPr defaultColWidth="9.140625" defaultRowHeight="12.75"/>
  <cols>
    <col min="1" max="1" width="7.28125" style="59" customWidth="1"/>
    <col min="2" max="2" width="10.7109375" style="59" customWidth="1"/>
    <col min="3" max="3" width="13.57421875" style="59" customWidth="1"/>
    <col min="4" max="4" width="10.421875" style="59" customWidth="1"/>
    <col min="5" max="5" width="10.7109375" style="59" customWidth="1"/>
    <col min="6" max="6" width="8.421875" style="59" customWidth="1"/>
    <col min="7" max="7" width="10.00390625" style="59" customWidth="1"/>
    <col min="8" max="8" width="12.421875" style="59" customWidth="1"/>
    <col min="9" max="10" width="10.421875" style="59" customWidth="1"/>
    <col min="11" max="12" width="9.140625" style="59" customWidth="1"/>
    <col min="13" max="13" width="12.8515625" style="59" customWidth="1"/>
    <col min="14" max="16384" width="9.140625" style="59" customWidth="1"/>
  </cols>
  <sheetData>
    <row r="1" spans="1:12" ht="38.2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8"/>
    </row>
    <row r="2" spans="1:12" ht="12.75">
      <c r="A2" s="1"/>
      <c r="B2" s="60"/>
      <c r="C2" s="60"/>
      <c r="D2" s="60"/>
      <c r="E2" s="60"/>
      <c r="F2" s="60"/>
      <c r="G2" s="60"/>
      <c r="H2" s="60"/>
      <c r="I2" s="58"/>
      <c r="J2" s="58"/>
      <c r="K2" s="2"/>
      <c r="L2" s="58"/>
    </row>
    <row r="3" spans="1:11" ht="12.75">
      <c r="A3" s="3" t="s">
        <v>1</v>
      </c>
      <c r="K3" s="4"/>
    </row>
    <row r="4" spans="2:11" ht="12.75">
      <c r="B4" s="5"/>
      <c r="C4" s="5"/>
      <c r="D4" s="5"/>
      <c r="E4" s="5"/>
      <c r="F4" s="5"/>
      <c r="G4" s="5"/>
      <c r="H4" s="5"/>
      <c r="I4" s="5"/>
      <c r="J4" s="5"/>
      <c r="K4" s="4"/>
    </row>
    <row r="5" spans="1:11" ht="12.75">
      <c r="A5" s="6"/>
      <c r="B5" s="7" t="s">
        <v>2</v>
      </c>
      <c r="C5" s="7" t="s">
        <v>3</v>
      </c>
      <c r="D5" s="59" t="s">
        <v>4</v>
      </c>
      <c r="E5" s="7" t="s">
        <v>5</v>
      </c>
      <c r="F5" s="8" t="s">
        <v>6</v>
      </c>
      <c r="G5" s="7" t="s">
        <v>6</v>
      </c>
      <c r="H5" s="7" t="s">
        <v>7</v>
      </c>
      <c r="K5" s="4" t="s">
        <v>8</v>
      </c>
    </row>
    <row r="6" spans="1:11" ht="13.5" thickBot="1">
      <c r="A6" s="9" t="s">
        <v>9</v>
      </c>
      <c r="B6" s="10" t="s">
        <v>10</v>
      </c>
      <c r="C6" s="10" t="s">
        <v>11</v>
      </c>
      <c r="D6" s="10" t="s">
        <v>11</v>
      </c>
      <c r="E6" s="10" t="s">
        <v>11</v>
      </c>
      <c r="F6" s="10" t="s">
        <v>12</v>
      </c>
      <c r="G6" s="10" t="s">
        <v>11</v>
      </c>
      <c r="H6" s="10" t="s">
        <v>11</v>
      </c>
      <c r="K6" s="11" t="s">
        <v>13</v>
      </c>
    </row>
    <row r="7" spans="1:11" ht="13.5" thickTop="1">
      <c r="A7" s="6">
        <v>2004</v>
      </c>
      <c r="B7" s="12">
        <f>ROUND(1000*$D$84*$F$93/(8760*$D$86),2)</f>
        <v>12.09</v>
      </c>
      <c r="C7" s="13">
        <f>ROUND(1000*$G$93*(1+$K7)/($D$86*8760),2)</f>
        <v>5.7</v>
      </c>
      <c r="D7" s="13">
        <f>ROUND(1000*$H$93*(1+$K7)/($D$86*8760),2)</f>
        <v>1.2</v>
      </c>
      <c r="E7" s="13">
        <f>ROUND($I$93*(1+$K7),2)</f>
        <v>2</v>
      </c>
      <c r="F7" s="14">
        <v>4.17</v>
      </c>
      <c r="G7" s="12">
        <f aca="true" t="shared" si="0" ref="G7:G36">F7*$J$93/1000</f>
        <v>28.773</v>
      </c>
      <c r="H7" s="12">
        <f aca="true" t="shared" si="1" ref="H7:H36">SUM(B7:E7,G7)</f>
        <v>49.763</v>
      </c>
      <c r="K7" s="15">
        <v>0</v>
      </c>
    </row>
    <row r="8" spans="1:11" ht="12.75">
      <c r="A8" s="6">
        <f aca="true" t="shared" si="2" ref="A8:A36">(A7+1)</f>
        <v>2005</v>
      </c>
      <c r="B8" s="12">
        <f aca="true" t="shared" si="3" ref="B8:B36">B$7</f>
        <v>12.09</v>
      </c>
      <c r="C8" s="13">
        <f aca="true" t="shared" si="4" ref="C8:C36">ROUND(C7*(1+$K8),2)</f>
        <v>5.84</v>
      </c>
      <c r="D8" s="13">
        <f aca="true" t="shared" si="5" ref="D8:D36">ROUND(D7*(1+$K8),2)</f>
        <v>1.23</v>
      </c>
      <c r="E8" s="13">
        <f aca="true" t="shared" si="6" ref="E8:E36">ROUND(E7*(1+$K8),2)</f>
        <v>2.05</v>
      </c>
      <c r="F8" s="14">
        <v>4.773966666666666</v>
      </c>
      <c r="G8" s="12">
        <f t="shared" si="0"/>
        <v>32.940369999999994</v>
      </c>
      <c r="H8" s="12">
        <f t="shared" si="1"/>
        <v>54.150369999999995</v>
      </c>
      <c r="K8" s="15">
        <v>0.025</v>
      </c>
    </row>
    <row r="9" spans="1:11" ht="12.75">
      <c r="A9" s="6">
        <f t="shared" si="2"/>
        <v>2006</v>
      </c>
      <c r="B9" s="12">
        <f t="shared" si="3"/>
        <v>12.09</v>
      </c>
      <c r="C9" s="13">
        <f t="shared" si="4"/>
        <v>5.99</v>
      </c>
      <c r="D9" s="13">
        <f t="shared" si="5"/>
        <v>1.26</v>
      </c>
      <c r="E9" s="13">
        <f t="shared" si="6"/>
        <v>2.1</v>
      </c>
      <c r="F9" s="14">
        <v>4.938333333333333</v>
      </c>
      <c r="G9" s="12">
        <f t="shared" si="0"/>
        <v>34.07449999999999</v>
      </c>
      <c r="H9" s="12">
        <f t="shared" si="1"/>
        <v>55.5145</v>
      </c>
      <c r="K9" s="15">
        <v>0.025</v>
      </c>
    </row>
    <row r="10" spans="1:11" ht="12.75">
      <c r="A10" s="6">
        <f t="shared" si="2"/>
        <v>2007</v>
      </c>
      <c r="B10" s="12">
        <f t="shared" si="3"/>
        <v>12.09</v>
      </c>
      <c r="C10" s="13">
        <f t="shared" si="4"/>
        <v>6.14</v>
      </c>
      <c r="D10" s="13">
        <f t="shared" si="5"/>
        <v>1.29</v>
      </c>
      <c r="E10" s="13">
        <f t="shared" si="6"/>
        <v>2.15</v>
      </c>
      <c r="F10" s="14">
        <v>4.8575</v>
      </c>
      <c r="G10" s="12">
        <f t="shared" si="0"/>
        <v>33.51675</v>
      </c>
      <c r="H10" s="12">
        <f t="shared" si="1"/>
        <v>55.18675</v>
      </c>
      <c r="K10" s="15">
        <v>0.025</v>
      </c>
    </row>
    <row r="11" spans="1:11" ht="12.75">
      <c r="A11" s="6">
        <f t="shared" si="2"/>
        <v>2008</v>
      </c>
      <c r="B11" s="12">
        <f t="shared" si="3"/>
        <v>12.09</v>
      </c>
      <c r="C11" s="13">
        <f t="shared" si="4"/>
        <v>6.29</v>
      </c>
      <c r="D11" s="13">
        <f t="shared" si="5"/>
        <v>1.32</v>
      </c>
      <c r="E11" s="13">
        <f t="shared" si="6"/>
        <v>2.2</v>
      </c>
      <c r="F11" s="14">
        <v>4.854166666666667</v>
      </c>
      <c r="G11" s="12">
        <f t="shared" si="0"/>
        <v>33.49375</v>
      </c>
      <c r="H11" s="12">
        <f t="shared" si="1"/>
        <v>55.39375</v>
      </c>
      <c r="K11" s="15">
        <v>0.025</v>
      </c>
    </row>
    <row r="12" spans="1:11" ht="12.75">
      <c r="A12" s="6">
        <f t="shared" si="2"/>
        <v>2009</v>
      </c>
      <c r="B12" s="12">
        <f t="shared" si="3"/>
        <v>12.09</v>
      </c>
      <c r="C12" s="13">
        <f t="shared" si="4"/>
        <v>6.45</v>
      </c>
      <c r="D12" s="13">
        <f t="shared" si="5"/>
        <v>1.35</v>
      </c>
      <c r="E12" s="13">
        <f t="shared" si="6"/>
        <v>2.26</v>
      </c>
      <c r="F12" s="14">
        <v>3.8875</v>
      </c>
      <c r="G12" s="12">
        <f t="shared" si="0"/>
        <v>26.82375</v>
      </c>
      <c r="H12" s="12">
        <f t="shared" si="1"/>
        <v>48.973749999999995</v>
      </c>
      <c r="K12" s="15">
        <v>0.025</v>
      </c>
    </row>
    <row r="13" spans="1:11" ht="12.75">
      <c r="A13" s="6">
        <f t="shared" si="2"/>
        <v>2010</v>
      </c>
      <c r="B13" s="12">
        <f t="shared" si="3"/>
        <v>12.09</v>
      </c>
      <c r="C13" s="13">
        <f t="shared" si="4"/>
        <v>6.61</v>
      </c>
      <c r="D13" s="13">
        <f t="shared" si="5"/>
        <v>1.38</v>
      </c>
      <c r="E13" s="13">
        <f t="shared" si="6"/>
        <v>2.32</v>
      </c>
      <c r="F13" s="14">
        <v>3.8166666666666664</v>
      </c>
      <c r="G13" s="12">
        <f t="shared" si="0"/>
        <v>26.335</v>
      </c>
      <c r="H13" s="12">
        <f t="shared" si="1"/>
        <v>48.735</v>
      </c>
      <c r="K13" s="15">
        <v>0.025</v>
      </c>
    </row>
    <row r="14" spans="1:11" ht="12.75">
      <c r="A14" s="6">
        <f t="shared" si="2"/>
        <v>2011</v>
      </c>
      <c r="B14" s="12">
        <f t="shared" si="3"/>
        <v>12.09</v>
      </c>
      <c r="C14" s="13">
        <f t="shared" si="4"/>
        <v>6.78</v>
      </c>
      <c r="D14" s="13">
        <f t="shared" si="5"/>
        <v>1.41</v>
      </c>
      <c r="E14" s="13">
        <f t="shared" si="6"/>
        <v>2.38</v>
      </c>
      <c r="F14" s="14">
        <v>4.8625</v>
      </c>
      <c r="G14" s="12">
        <f t="shared" si="0"/>
        <v>33.55125</v>
      </c>
      <c r="H14" s="12">
        <f t="shared" si="1"/>
        <v>56.21125000000001</v>
      </c>
      <c r="K14" s="15">
        <v>0.025</v>
      </c>
    </row>
    <row r="15" spans="1:11" ht="12.75">
      <c r="A15" s="6">
        <f t="shared" si="2"/>
        <v>2012</v>
      </c>
      <c r="B15" s="12">
        <f t="shared" si="3"/>
        <v>12.09</v>
      </c>
      <c r="C15" s="13">
        <f t="shared" si="4"/>
        <v>6.95</v>
      </c>
      <c r="D15" s="13">
        <f t="shared" si="5"/>
        <v>1.45</v>
      </c>
      <c r="E15" s="13">
        <f t="shared" si="6"/>
        <v>2.44</v>
      </c>
      <c r="F15" s="14">
        <v>5.4925</v>
      </c>
      <c r="G15" s="12">
        <f t="shared" si="0"/>
        <v>37.89825</v>
      </c>
      <c r="H15" s="12">
        <f t="shared" si="1"/>
        <v>60.82825</v>
      </c>
      <c r="K15" s="15">
        <v>0.025</v>
      </c>
    </row>
    <row r="16" spans="1:11" ht="12.75">
      <c r="A16" s="6">
        <f t="shared" si="2"/>
        <v>2013</v>
      </c>
      <c r="B16" s="12">
        <f t="shared" si="3"/>
        <v>12.09</v>
      </c>
      <c r="C16" s="13">
        <f t="shared" si="4"/>
        <v>7.12</v>
      </c>
      <c r="D16" s="13">
        <f t="shared" si="5"/>
        <v>1.49</v>
      </c>
      <c r="E16" s="13">
        <f t="shared" si="6"/>
        <v>2.5</v>
      </c>
      <c r="F16" s="14">
        <v>5.796666666666667</v>
      </c>
      <c r="G16" s="12">
        <f t="shared" si="0"/>
        <v>39.997</v>
      </c>
      <c r="H16" s="12">
        <f t="shared" si="1"/>
        <v>63.197</v>
      </c>
      <c r="K16" s="15">
        <v>0.025</v>
      </c>
    </row>
    <row r="17" spans="1:11" ht="12.75">
      <c r="A17" s="6">
        <f t="shared" si="2"/>
        <v>2014</v>
      </c>
      <c r="B17" s="12">
        <f t="shared" si="3"/>
        <v>12.09</v>
      </c>
      <c r="C17" s="13">
        <f t="shared" si="4"/>
        <v>7.3</v>
      </c>
      <c r="D17" s="13">
        <f t="shared" si="5"/>
        <v>1.53</v>
      </c>
      <c r="E17" s="13">
        <f t="shared" si="6"/>
        <v>2.56</v>
      </c>
      <c r="F17" s="14">
        <v>6.254166666666666</v>
      </c>
      <c r="G17" s="12">
        <f t="shared" si="0"/>
        <v>43.15375</v>
      </c>
      <c r="H17" s="12">
        <f t="shared" si="1"/>
        <v>66.63375</v>
      </c>
      <c r="K17" s="15">
        <v>0.025</v>
      </c>
    </row>
    <row r="18" spans="1:11" ht="12.75">
      <c r="A18" s="6">
        <f t="shared" si="2"/>
        <v>2015</v>
      </c>
      <c r="B18" s="12">
        <f t="shared" si="3"/>
        <v>12.09</v>
      </c>
      <c r="C18" s="13">
        <f t="shared" si="4"/>
        <v>7.48</v>
      </c>
      <c r="D18" s="13">
        <f t="shared" si="5"/>
        <v>1.57</v>
      </c>
      <c r="E18" s="13">
        <f t="shared" si="6"/>
        <v>2.62</v>
      </c>
      <c r="F18" s="14">
        <v>6.053333333333332</v>
      </c>
      <c r="G18" s="12">
        <f t="shared" si="0"/>
        <v>41.767999999999994</v>
      </c>
      <c r="H18" s="12">
        <f t="shared" si="1"/>
        <v>65.52799999999999</v>
      </c>
      <c r="K18" s="15">
        <v>0.025</v>
      </c>
    </row>
    <row r="19" spans="1:11" ht="12.75">
      <c r="A19" s="6">
        <f t="shared" si="2"/>
        <v>2016</v>
      </c>
      <c r="B19" s="12">
        <f t="shared" si="3"/>
        <v>12.09</v>
      </c>
      <c r="C19" s="13">
        <f t="shared" si="4"/>
        <v>7.67</v>
      </c>
      <c r="D19" s="13">
        <f t="shared" si="5"/>
        <v>1.61</v>
      </c>
      <c r="E19" s="13">
        <f t="shared" si="6"/>
        <v>2.69</v>
      </c>
      <c r="F19" s="14">
        <v>5.625</v>
      </c>
      <c r="G19" s="12">
        <f t="shared" si="0"/>
        <v>38.8125</v>
      </c>
      <c r="H19" s="12">
        <f t="shared" si="1"/>
        <v>62.8725</v>
      </c>
      <c r="K19" s="15">
        <f aca="true" t="shared" si="7" ref="K19:K37">+K18</f>
        <v>0.025</v>
      </c>
    </row>
    <row r="20" spans="1:11" ht="12.75">
      <c r="A20" s="6">
        <f t="shared" si="2"/>
        <v>2017</v>
      </c>
      <c r="B20" s="12">
        <f t="shared" si="3"/>
        <v>12.09</v>
      </c>
      <c r="C20" s="13">
        <f t="shared" si="4"/>
        <v>7.86</v>
      </c>
      <c r="D20" s="13">
        <f t="shared" si="5"/>
        <v>1.65</v>
      </c>
      <c r="E20" s="13">
        <f t="shared" si="6"/>
        <v>2.76</v>
      </c>
      <c r="F20" s="14">
        <v>6.2316666666666665</v>
      </c>
      <c r="G20" s="12">
        <f t="shared" si="0"/>
        <v>42.9985</v>
      </c>
      <c r="H20" s="12">
        <f t="shared" si="1"/>
        <v>67.35849999999999</v>
      </c>
      <c r="K20" s="15">
        <f t="shared" si="7"/>
        <v>0.025</v>
      </c>
    </row>
    <row r="21" spans="1:11" ht="12.75">
      <c r="A21" s="6">
        <f t="shared" si="2"/>
        <v>2018</v>
      </c>
      <c r="B21" s="12">
        <f t="shared" si="3"/>
        <v>12.09</v>
      </c>
      <c r="C21" s="13">
        <f t="shared" si="4"/>
        <v>8.06</v>
      </c>
      <c r="D21" s="13">
        <f t="shared" si="5"/>
        <v>1.69</v>
      </c>
      <c r="E21" s="13">
        <f t="shared" si="6"/>
        <v>2.83</v>
      </c>
      <c r="F21" s="14">
        <v>6.264166666666665</v>
      </c>
      <c r="G21" s="12">
        <f t="shared" si="0"/>
        <v>43.22274999999999</v>
      </c>
      <c r="H21" s="12">
        <f t="shared" si="1"/>
        <v>67.89274999999999</v>
      </c>
      <c r="K21" s="15">
        <f t="shared" si="7"/>
        <v>0.025</v>
      </c>
    </row>
    <row r="22" spans="1:11" ht="12.75">
      <c r="A22" s="6">
        <f t="shared" si="2"/>
        <v>2019</v>
      </c>
      <c r="B22" s="12">
        <f t="shared" si="3"/>
        <v>12.09</v>
      </c>
      <c r="C22" s="13">
        <f t="shared" si="4"/>
        <v>8.26</v>
      </c>
      <c r="D22" s="13">
        <f t="shared" si="5"/>
        <v>1.73</v>
      </c>
      <c r="E22" s="13">
        <f t="shared" si="6"/>
        <v>2.9</v>
      </c>
      <c r="F22" s="14">
        <v>6.523333333333333</v>
      </c>
      <c r="G22" s="12">
        <f t="shared" si="0"/>
        <v>45.011</v>
      </c>
      <c r="H22" s="12">
        <f t="shared" si="1"/>
        <v>69.991</v>
      </c>
      <c r="K22" s="15">
        <f t="shared" si="7"/>
        <v>0.025</v>
      </c>
    </row>
    <row r="23" spans="1:11" ht="12.75">
      <c r="A23" s="6">
        <f t="shared" si="2"/>
        <v>2020</v>
      </c>
      <c r="B23" s="12">
        <f t="shared" si="3"/>
        <v>12.09</v>
      </c>
      <c r="C23" s="13">
        <f t="shared" si="4"/>
        <v>8.47</v>
      </c>
      <c r="D23" s="13">
        <f t="shared" si="5"/>
        <v>1.77</v>
      </c>
      <c r="E23" s="13">
        <f t="shared" si="6"/>
        <v>2.97</v>
      </c>
      <c r="F23" s="14">
        <v>6.5675</v>
      </c>
      <c r="G23" s="12">
        <f t="shared" si="0"/>
        <v>45.31575</v>
      </c>
      <c r="H23" s="12">
        <f t="shared" si="1"/>
        <v>70.61575</v>
      </c>
      <c r="K23" s="15">
        <f t="shared" si="7"/>
        <v>0.025</v>
      </c>
    </row>
    <row r="24" spans="1:11" ht="12.75">
      <c r="A24" s="6">
        <f t="shared" si="2"/>
        <v>2021</v>
      </c>
      <c r="B24" s="12">
        <f t="shared" si="3"/>
        <v>12.09</v>
      </c>
      <c r="C24" s="13">
        <f t="shared" si="4"/>
        <v>8.68</v>
      </c>
      <c r="D24" s="13">
        <f t="shared" si="5"/>
        <v>1.81</v>
      </c>
      <c r="E24" s="13">
        <f t="shared" si="6"/>
        <v>3.04</v>
      </c>
      <c r="F24" s="14">
        <v>6.777320303136634</v>
      </c>
      <c r="G24" s="12">
        <f t="shared" si="0"/>
        <v>46.76351009164277</v>
      </c>
      <c r="H24" s="12">
        <f t="shared" si="1"/>
        <v>72.38351009164276</v>
      </c>
      <c r="K24" s="15">
        <f t="shared" si="7"/>
        <v>0.025</v>
      </c>
    </row>
    <row r="25" spans="1:11" ht="12.75">
      <c r="A25" s="6">
        <f t="shared" si="2"/>
        <v>2022</v>
      </c>
      <c r="B25" s="12">
        <f t="shared" si="3"/>
        <v>12.09</v>
      </c>
      <c r="C25" s="13">
        <f t="shared" si="4"/>
        <v>8.9</v>
      </c>
      <c r="D25" s="13">
        <f t="shared" si="5"/>
        <v>1.86</v>
      </c>
      <c r="E25" s="13">
        <f t="shared" si="6"/>
        <v>3.12</v>
      </c>
      <c r="F25" s="14">
        <v>6.93900331071505</v>
      </c>
      <c r="G25" s="12">
        <f t="shared" si="0"/>
        <v>47.87912284393384</v>
      </c>
      <c r="H25" s="12">
        <f t="shared" si="1"/>
        <v>73.84912284393384</v>
      </c>
      <c r="K25" s="15">
        <f t="shared" si="7"/>
        <v>0.025</v>
      </c>
    </row>
    <row r="26" spans="1:11" ht="12.75">
      <c r="A26" s="6">
        <f t="shared" si="2"/>
        <v>2023</v>
      </c>
      <c r="B26" s="12">
        <f t="shared" si="3"/>
        <v>12.09</v>
      </c>
      <c r="C26" s="13">
        <f t="shared" si="4"/>
        <v>9.12</v>
      </c>
      <c r="D26" s="13">
        <f t="shared" si="5"/>
        <v>1.91</v>
      </c>
      <c r="E26" s="13">
        <f t="shared" si="6"/>
        <v>3.2</v>
      </c>
      <c r="F26" s="14">
        <v>7.104728393482924</v>
      </c>
      <c r="G26" s="12">
        <f t="shared" si="0"/>
        <v>49.02262591503218</v>
      </c>
      <c r="H26" s="12">
        <f t="shared" si="1"/>
        <v>75.34262591503219</v>
      </c>
      <c r="K26" s="15">
        <f t="shared" si="7"/>
        <v>0.025</v>
      </c>
    </row>
    <row r="27" spans="1:11" ht="12.75">
      <c r="A27" s="6">
        <f t="shared" si="2"/>
        <v>2024</v>
      </c>
      <c r="B27" s="12">
        <f t="shared" si="3"/>
        <v>12.09</v>
      </c>
      <c r="C27" s="13">
        <f t="shared" si="4"/>
        <v>9.35</v>
      </c>
      <c r="D27" s="13">
        <f t="shared" si="5"/>
        <v>1.96</v>
      </c>
      <c r="E27" s="13">
        <f t="shared" si="6"/>
        <v>3.28</v>
      </c>
      <c r="F27" s="14">
        <v>7.274596603319999</v>
      </c>
      <c r="G27" s="12">
        <f t="shared" si="0"/>
        <v>50.194716562908</v>
      </c>
      <c r="H27" s="12">
        <f t="shared" si="1"/>
        <v>76.87471656290799</v>
      </c>
      <c r="K27" s="15">
        <f t="shared" si="7"/>
        <v>0.025</v>
      </c>
    </row>
    <row r="28" spans="1:11" ht="12.75">
      <c r="A28" s="6">
        <f t="shared" si="2"/>
        <v>2025</v>
      </c>
      <c r="B28" s="12">
        <f t="shared" si="3"/>
        <v>12.09</v>
      </c>
      <c r="C28" s="13">
        <f t="shared" si="4"/>
        <v>9.58</v>
      </c>
      <c r="D28" s="13">
        <f t="shared" si="5"/>
        <v>2.01</v>
      </c>
      <c r="E28" s="13">
        <f t="shared" si="6"/>
        <v>3.36</v>
      </c>
      <c r="F28" s="14">
        <v>7.448711518402996</v>
      </c>
      <c r="G28" s="12">
        <f t="shared" si="0"/>
        <v>51.396109476980676</v>
      </c>
      <c r="H28" s="12">
        <f t="shared" si="1"/>
        <v>78.43610947698068</v>
      </c>
      <c r="K28" s="15">
        <f t="shared" si="7"/>
        <v>0.025</v>
      </c>
    </row>
    <row r="29" spans="1:11" ht="12.75">
      <c r="A29" s="6">
        <f t="shared" si="2"/>
        <v>2026</v>
      </c>
      <c r="B29" s="12">
        <f t="shared" si="3"/>
        <v>12.09</v>
      </c>
      <c r="C29" s="13">
        <f t="shared" si="4"/>
        <v>9.82</v>
      </c>
      <c r="D29" s="13">
        <f t="shared" si="5"/>
        <v>2.06</v>
      </c>
      <c r="E29" s="13">
        <f t="shared" si="6"/>
        <v>3.44</v>
      </c>
      <c r="F29" s="14">
        <v>7.627179306363072</v>
      </c>
      <c r="G29" s="12">
        <f t="shared" si="0"/>
        <v>52.6275372139052</v>
      </c>
      <c r="H29" s="12">
        <f t="shared" si="1"/>
        <v>80.0375372139052</v>
      </c>
      <c r="K29" s="15">
        <f t="shared" si="7"/>
        <v>0.025</v>
      </c>
    </row>
    <row r="30" spans="1:11" ht="12.75">
      <c r="A30" s="6">
        <f t="shared" si="2"/>
        <v>2027</v>
      </c>
      <c r="B30" s="12">
        <f t="shared" si="3"/>
        <v>12.09</v>
      </c>
      <c r="C30" s="13">
        <f t="shared" si="4"/>
        <v>10.07</v>
      </c>
      <c r="D30" s="13">
        <f t="shared" si="5"/>
        <v>2.11</v>
      </c>
      <c r="E30" s="13">
        <f t="shared" si="6"/>
        <v>3.53</v>
      </c>
      <c r="F30" s="14">
        <v>7.810108789022149</v>
      </c>
      <c r="G30" s="12">
        <f t="shared" si="0"/>
        <v>53.88975064425283</v>
      </c>
      <c r="H30" s="12">
        <f t="shared" si="1"/>
        <v>81.68975064425283</v>
      </c>
      <c r="K30" s="15">
        <f t="shared" si="7"/>
        <v>0.025</v>
      </c>
    </row>
    <row r="31" spans="1:11" ht="12.75">
      <c r="A31" s="6">
        <f t="shared" si="2"/>
        <v>2028</v>
      </c>
      <c r="B31" s="12">
        <f t="shared" si="3"/>
        <v>12.09</v>
      </c>
      <c r="C31" s="13">
        <f t="shared" si="4"/>
        <v>10.32</v>
      </c>
      <c r="D31" s="13">
        <f t="shared" si="5"/>
        <v>2.16</v>
      </c>
      <c r="E31" s="13">
        <f t="shared" si="6"/>
        <v>3.62</v>
      </c>
      <c r="F31" s="14">
        <v>7.997611508747697</v>
      </c>
      <c r="G31" s="12">
        <f t="shared" si="0"/>
        <v>55.18351941035911</v>
      </c>
      <c r="H31" s="12">
        <f t="shared" si="1"/>
        <v>83.37351941035911</v>
      </c>
      <c r="K31" s="15">
        <f t="shared" si="7"/>
        <v>0.025</v>
      </c>
    </row>
    <row r="32" spans="1:11" ht="12.75">
      <c r="A32" s="6">
        <f t="shared" si="2"/>
        <v>2029</v>
      </c>
      <c r="B32" s="12">
        <f t="shared" si="3"/>
        <v>12.09</v>
      </c>
      <c r="C32" s="13">
        <f t="shared" si="4"/>
        <v>10.58</v>
      </c>
      <c r="D32" s="13">
        <f t="shared" si="5"/>
        <v>2.21</v>
      </c>
      <c r="E32" s="13">
        <f t="shared" si="6"/>
        <v>3.71</v>
      </c>
      <c r="F32" s="14">
        <v>8.151363738922651</v>
      </c>
      <c r="G32" s="12">
        <f t="shared" si="0"/>
        <v>56.24440979856629</v>
      </c>
      <c r="H32" s="12">
        <f t="shared" si="1"/>
        <v>84.8344097985663</v>
      </c>
      <c r="K32" s="15">
        <f t="shared" si="7"/>
        <v>0.025</v>
      </c>
    </row>
    <row r="33" spans="1:11" ht="12.75">
      <c r="A33" s="6">
        <f t="shared" si="2"/>
        <v>2030</v>
      </c>
      <c r="B33" s="12">
        <f t="shared" si="3"/>
        <v>12.09</v>
      </c>
      <c r="C33" s="13">
        <f t="shared" si="4"/>
        <v>10.84</v>
      </c>
      <c r="D33" s="13">
        <f t="shared" si="5"/>
        <v>2.27</v>
      </c>
      <c r="E33" s="13">
        <f t="shared" si="6"/>
        <v>3.8</v>
      </c>
      <c r="F33" s="14">
        <v>8.308191013701105</v>
      </c>
      <c r="G33" s="12">
        <f t="shared" si="0"/>
        <v>57.326517994537625</v>
      </c>
      <c r="H33" s="12">
        <f t="shared" si="1"/>
        <v>86.32651799453762</v>
      </c>
      <c r="K33" s="15">
        <f t="shared" si="7"/>
        <v>0.025</v>
      </c>
    </row>
    <row r="34" spans="1:11" ht="12.75">
      <c r="A34" s="6">
        <f t="shared" si="2"/>
        <v>2031</v>
      </c>
      <c r="B34" s="12">
        <f t="shared" si="3"/>
        <v>12.09</v>
      </c>
      <c r="C34" s="13">
        <f t="shared" si="4"/>
        <v>11.11</v>
      </c>
      <c r="D34" s="13">
        <f t="shared" si="5"/>
        <v>2.33</v>
      </c>
      <c r="E34" s="13">
        <f t="shared" si="6"/>
        <v>3.9</v>
      </c>
      <c r="F34" s="14">
        <v>8.468154833975127</v>
      </c>
      <c r="G34" s="12">
        <f t="shared" si="0"/>
        <v>58.43026835442838</v>
      </c>
      <c r="H34" s="12">
        <f t="shared" si="1"/>
        <v>87.86026835442837</v>
      </c>
      <c r="K34" s="15">
        <f t="shared" si="7"/>
        <v>0.025</v>
      </c>
    </row>
    <row r="35" spans="1:11" ht="12.75">
      <c r="A35" s="6">
        <f t="shared" si="2"/>
        <v>2032</v>
      </c>
      <c r="B35" s="12">
        <f t="shared" si="3"/>
        <v>12.09</v>
      </c>
      <c r="C35" s="13">
        <f t="shared" si="4"/>
        <v>11.39</v>
      </c>
      <c r="D35" s="13">
        <f t="shared" si="5"/>
        <v>2.39</v>
      </c>
      <c r="E35" s="13">
        <f t="shared" si="6"/>
        <v>4</v>
      </c>
      <c r="F35" s="14">
        <v>8.63131793065463</v>
      </c>
      <c r="G35" s="12">
        <f t="shared" si="0"/>
        <v>59.556093721516945</v>
      </c>
      <c r="H35" s="12">
        <f t="shared" si="1"/>
        <v>89.42609372151695</v>
      </c>
      <c r="K35" s="15">
        <f t="shared" si="7"/>
        <v>0.025</v>
      </c>
    </row>
    <row r="36" spans="1:11" ht="12.75">
      <c r="A36" s="6">
        <f t="shared" si="2"/>
        <v>2033</v>
      </c>
      <c r="B36" s="12">
        <f t="shared" si="3"/>
        <v>12.09</v>
      </c>
      <c r="C36" s="13">
        <f t="shared" si="4"/>
        <v>11.67</v>
      </c>
      <c r="D36" s="13">
        <f t="shared" si="5"/>
        <v>2.45</v>
      </c>
      <c r="E36" s="13">
        <f t="shared" si="6"/>
        <v>4.1</v>
      </c>
      <c r="F36" s="14">
        <v>8.797744289267722</v>
      </c>
      <c r="G36" s="12">
        <f t="shared" si="0"/>
        <v>60.70443559594728</v>
      </c>
      <c r="H36" s="12">
        <f t="shared" si="1"/>
        <v>91.01443559594728</v>
      </c>
      <c r="K36" s="15">
        <f t="shared" si="7"/>
        <v>0.025</v>
      </c>
    </row>
    <row r="37" spans="1:11" ht="12.75">
      <c r="A37" s="6"/>
      <c r="B37" s="16"/>
      <c r="C37" s="6"/>
      <c r="D37" s="6"/>
      <c r="E37" s="6"/>
      <c r="F37" s="17"/>
      <c r="G37" s="17"/>
      <c r="H37" s="17"/>
      <c r="I37" s="6"/>
      <c r="J37" s="6"/>
      <c r="K37" s="15">
        <f t="shared" si="7"/>
        <v>0.025</v>
      </c>
    </row>
    <row r="38" spans="1:11" ht="12.75">
      <c r="A38" s="6"/>
      <c r="B38" s="16"/>
      <c r="C38" s="6"/>
      <c r="D38" s="6"/>
      <c r="E38" s="6"/>
      <c r="F38" s="17"/>
      <c r="G38" s="17"/>
      <c r="H38" s="17"/>
      <c r="I38" s="6"/>
      <c r="J38" s="6"/>
      <c r="K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N39" s="18"/>
    </row>
    <row r="40" spans="1:15" ht="12.75">
      <c r="A40" s="19" t="s">
        <v>14</v>
      </c>
      <c r="B40" s="6"/>
      <c r="C40" s="6"/>
      <c r="D40" s="6"/>
      <c r="E40" s="6"/>
      <c r="F40" s="6"/>
      <c r="G40" s="6"/>
      <c r="H40" s="6"/>
      <c r="I40" s="6"/>
      <c r="J40" s="6"/>
      <c r="N40" s="20"/>
      <c r="O40" s="4"/>
    </row>
    <row r="41" spans="1:14" ht="12.75">
      <c r="A41" s="6"/>
      <c r="B41" s="7"/>
      <c r="C41" s="7"/>
      <c r="E41" s="7"/>
      <c r="F41" s="7"/>
      <c r="G41" s="7"/>
      <c r="H41" s="7"/>
      <c r="I41" s="7"/>
      <c r="J41" s="7" t="s">
        <v>15</v>
      </c>
      <c r="K41" s="4"/>
      <c r="L41" s="4"/>
      <c r="M41" s="4"/>
      <c r="N41" s="20"/>
    </row>
    <row r="42" spans="1:14" ht="12.75">
      <c r="A42" s="6"/>
      <c r="B42" s="7" t="s">
        <v>2</v>
      </c>
      <c r="C42" s="7" t="s">
        <v>3</v>
      </c>
      <c r="D42" s="59" t="s">
        <v>4</v>
      </c>
      <c r="E42" s="7" t="s">
        <v>5</v>
      </c>
      <c r="F42" s="7" t="s">
        <v>16</v>
      </c>
      <c r="G42" s="8" t="s">
        <v>16</v>
      </c>
      <c r="H42" s="7" t="s">
        <v>6</v>
      </c>
      <c r="I42" s="7" t="s">
        <v>7</v>
      </c>
      <c r="J42" s="7" t="s">
        <v>17</v>
      </c>
      <c r="K42" s="4"/>
      <c r="L42" s="21"/>
      <c r="M42" s="21"/>
      <c r="N42" s="20"/>
    </row>
    <row r="43" spans="1:14" ht="13.5" thickBot="1">
      <c r="A43" s="9" t="s">
        <v>9</v>
      </c>
      <c r="B43" s="10" t="s">
        <v>18</v>
      </c>
      <c r="C43" s="10" t="s">
        <v>18</v>
      </c>
      <c r="D43" s="10" t="s">
        <v>18</v>
      </c>
      <c r="E43" s="10" t="s">
        <v>18</v>
      </c>
      <c r="F43" s="22" t="s">
        <v>12</v>
      </c>
      <c r="G43" s="10" t="s">
        <v>18</v>
      </c>
      <c r="H43" s="10" t="s">
        <v>18</v>
      </c>
      <c r="I43" s="10" t="s">
        <v>18</v>
      </c>
      <c r="J43" s="10" t="s">
        <v>18</v>
      </c>
      <c r="K43" s="11" t="s">
        <v>13</v>
      </c>
      <c r="L43" s="15"/>
      <c r="M43" s="15"/>
      <c r="N43" s="20"/>
    </row>
    <row r="44" spans="1:14" ht="13.5" customHeight="1" thickTop="1">
      <c r="A44" s="6">
        <v>2004</v>
      </c>
      <c r="B44" s="12">
        <f>ROUND($F$94*$D$84,2)</f>
        <v>55.92</v>
      </c>
      <c r="C44" s="13">
        <f>ROUND($G$94*(1+$K44),2)</f>
        <v>19.21</v>
      </c>
      <c r="D44" s="13">
        <f>ROUND($H$94*(1+$K44),2)</f>
        <v>5.56</v>
      </c>
      <c r="E44" s="13">
        <f>ROUND(($I$94*(1+$K44)*$D85)/1000,2)</f>
        <v>0.4</v>
      </c>
      <c r="F44" s="13">
        <v>6.895392795323741</v>
      </c>
      <c r="G44" s="12">
        <f aca="true" t="shared" si="8" ref="G44:G73">(($F44*$J$94)/1000)*$G$85/1000</f>
        <v>4.033804785264389</v>
      </c>
      <c r="H44" s="12">
        <v>12.060360000000001</v>
      </c>
      <c r="I44" s="12">
        <f aca="true" t="shared" si="9" ref="I44:I73">SUM(B44:E44,G44,H44)</f>
        <v>97.1841647852644</v>
      </c>
      <c r="J44" s="12">
        <f aca="true" t="shared" si="10" ref="J44:J73">(1+$D$95)*(B44+C44)*$G$87+E44+G44+H44+D44</f>
        <v>86.8537897852644</v>
      </c>
      <c r="K44" s="15">
        <v>0</v>
      </c>
      <c r="L44" s="15"/>
      <c r="M44" s="15"/>
      <c r="N44" s="20"/>
    </row>
    <row r="45" spans="1:14" ht="13.5" customHeight="1">
      <c r="A45" s="6">
        <f aca="true" t="shared" si="11" ref="A45:A73">(A44+1)</f>
        <v>2005</v>
      </c>
      <c r="B45" s="12">
        <f aca="true" t="shared" si="12" ref="B45:B73">B$44</f>
        <v>55.92</v>
      </c>
      <c r="C45" s="12">
        <f aca="true" t="shared" si="13" ref="C45:C73">ROUND(C44*(1+$K9),2)</f>
        <v>19.69</v>
      </c>
      <c r="D45" s="13">
        <f aca="true" t="shared" si="14" ref="D45:D73">ROUND(D44*(1+$K45),2)</f>
        <v>5.7</v>
      </c>
      <c r="E45" s="12">
        <f aca="true" t="shared" si="15" ref="E45:E73">ROUND(E44*(1+$K9),2)</f>
        <v>0.41</v>
      </c>
      <c r="F45" s="13">
        <v>6.50414279532374</v>
      </c>
      <c r="G45" s="12">
        <f t="shared" si="8"/>
        <v>3.804923535264388</v>
      </c>
      <c r="H45" s="12">
        <v>13.862294549999996</v>
      </c>
      <c r="I45" s="12">
        <f t="shared" si="9"/>
        <v>99.3872180852644</v>
      </c>
      <c r="J45" s="12">
        <f t="shared" si="10"/>
        <v>88.99084308526439</v>
      </c>
      <c r="K45" s="15">
        <f aca="true" t="shared" si="16" ref="K45:K73">K9</f>
        <v>0.025</v>
      </c>
      <c r="L45" s="15"/>
      <c r="M45" s="15"/>
      <c r="N45" s="20"/>
    </row>
    <row r="46" spans="1:14" ht="13.5" customHeight="1">
      <c r="A46" s="6">
        <f t="shared" si="11"/>
        <v>2006</v>
      </c>
      <c r="B46" s="12">
        <f t="shared" si="12"/>
        <v>55.92</v>
      </c>
      <c r="C46" s="12">
        <f t="shared" si="13"/>
        <v>20.18</v>
      </c>
      <c r="D46" s="13">
        <f t="shared" si="14"/>
        <v>5.84</v>
      </c>
      <c r="E46" s="12">
        <f t="shared" si="15"/>
        <v>0.42</v>
      </c>
      <c r="F46" s="13">
        <v>4.854604406507359</v>
      </c>
      <c r="G46" s="12">
        <f t="shared" si="8"/>
        <v>2.8399435778068045</v>
      </c>
      <c r="H46" s="12">
        <v>14.352682499999998</v>
      </c>
      <c r="I46" s="12">
        <f t="shared" si="9"/>
        <v>99.5526260778068</v>
      </c>
      <c r="J46" s="12">
        <f t="shared" si="10"/>
        <v>89.0888760778068</v>
      </c>
      <c r="K46" s="15">
        <f t="shared" si="16"/>
        <v>0.025</v>
      </c>
      <c r="L46" s="15"/>
      <c r="M46" s="15"/>
      <c r="N46" s="20"/>
    </row>
    <row r="47" spans="1:14" ht="13.5" customHeight="1">
      <c r="A47" s="6">
        <f t="shared" si="11"/>
        <v>2007</v>
      </c>
      <c r="B47" s="12">
        <f t="shared" si="12"/>
        <v>55.92</v>
      </c>
      <c r="C47" s="12">
        <f t="shared" si="13"/>
        <v>20.68</v>
      </c>
      <c r="D47" s="13">
        <f t="shared" si="14"/>
        <v>5.99</v>
      </c>
      <c r="E47" s="12">
        <f t="shared" si="15"/>
        <v>0.43</v>
      </c>
      <c r="F47" s="13">
        <v>4.861940083469085</v>
      </c>
      <c r="G47" s="12">
        <f t="shared" si="8"/>
        <v>2.8442349488294143</v>
      </c>
      <c r="H47" s="12">
        <v>14.111516250000003</v>
      </c>
      <c r="I47" s="12">
        <f t="shared" si="9"/>
        <v>99.97575119882941</v>
      </c>
      <c r="J47" s="12">
        <f t="shared" si="10"/>
        <v>89.44325119882942</v>
      </c>
      <c r="K47" s="15">
        <f t="shared" si="16"/>
        <v>0.025</v>
      </c>
      <c r="L47" s="15"/>
      <c r="M47" s="15"/>
      <c r="N47" s="20"/>
    </row>
    <row r="48" spans="1:14" ht="13.5" customHeight="1">
      <c r="A48" s="6">
        <f t="shared" si="11"/>
        <v>2008</v>
      </c>
      <c r="B48" s="12">
        <f t="shared" si="12"/>
        <v>55.92</v>
      </c>
      <c r="C48" s="12">
        <f t="shared" si="13"/>
        <v>21.2</v>
      </c>
      <c r="D48" s="13">
        <f t="shared" si="14"/>
        <v>6.14</v>
      </c>
      <c r="E48" s="12">
        <f t="shared" si="15"/>
        <v>0.44</v>
      </c>
      <c r="F48" s="13">
        <v>4.867321849017738</v>
      </c>
      <c r="G48" s="12">
        <f t="shared" si="8"/>
        <v>2.847383281675377</v>
      </c>
      <c r="H48" s="12">
        <v>14.101571250000003</v>
      </c>
      <c r="I48" s="12">
        <f t="shared" si="9"/>
        <v>100.64895453167539</v>
      </c>
      <c r="J48" s="12">
        <f t="shared" si="10"/>
        <v>90.04495453167539</v>
      </c>
      <c r="K48" s="15">
        <f t="shared" si="16"/>
        <v>0.025</v>
      </c>
      <c r="L48" s="15"/>
      <c r="M48" s="15"/>
      <c r="N48" s="20"/>
    </row>
    <row r="49" spans="1:14" ht="13.5" customHeight="1">
      <c r="A49" s="6">
        <f t="shared" si="11"/>
        <v>2009</v>
      </c>
      <c r="B49" s="12">
        <f t="shared" si="12"/>
        <v>55.92</v>
      </c>
      <c r="C49" s="12">
        <f t="shared" si="13"/>
        <v>21.73</v>
      </c>
      <c r="D49" s="13">
        <f t="shared" si="14"/>
        <v>6.29</v>
      </c>
      <c r="E49" s="12">
        <f t="shared" si="15"/>
        <v>0.45</v>
      </c>
      <c r="F49" s="13">
        <v>4.869941645461583</v>
      </c>
      <c r="G49" s="12">
        <f t="shared" si="8"/>
        <v>2.848915862595026</v>
      </c>
      <c r="H49" s="12">
        <v>11.21752125</v>
      </c>
      <c r="I49" s="12">
        <f t="shared" si="9"/>
        <v>98.45643711259504</v>
      </c>
      <c r="J49" s="12">
        <f t="shared" si="10"/>
        <v>87.77956211259503</v>
      </c>
      <c r="K49" s="15">
        <f t="shared" si="16"/>
        <v>0.025</v>
      </c>
      <c r="L49" s="15"/>
      <c r="M49" s="15"/>
      <c r="N49" s="20"/>
    </row>
    <row r="50" spans="1:14" ht="13.5" customHeight="1">
      <c r="A50" s="6">
        <f t="shared" si="11"/>
        <v>2010</v>
      </c>
      <c r="B50" s="12">
        <f t="shared" si="12"/>
        <v>55.92</v>
      </c>
      <c r="C50" s="12">
        <f t="shared" si="13"/>
        <v>22.27</v>
      </c>
      <c r="D50" s="13">
        <f t="shared" si="14"/>
        <v>6.45</v>
      </c>
      <c r="E50" s="12">
        <f t="shared" si="15"/>
        <v>0.46</v>
      </c>
      <c r="F50" s="13">
        <v>4.866270019089775</v>
      </c>
      <c r="G50" s="12">
        <f t="shared" si="8"/>
        <v>2.8467679611675187</v>
      </c>
      <c r="H50" s="12">
        <v>11.006189999999995</v>
      </c>
      <c r="I50" s="12">
        <f t="shared" si="9"/>
        <v>98.9529579611675</v>
      </c>
      <c r="J50" s="12">
        <f t="shared" si="10"/>
        <v>88.2018329611675</v>
      </c>
      <c r="K50" s="15">
        <f t="shared" si="16"/>
        <v>0.025</v>
      </c>
      <c r="L50" s="15"/>
      <c r="M50" s="15"/>
      <c r="N50" s="20"/>
    </row>
    <row r="51" spans="1:14" ht="13.5" customHeight="1">
      <c r="A51" s="6">
        <f t="shared" si="11"/>
        <v>2011</v>
      </c>
      <c r="B51" s="12">
        <f t="shared" si="12"/>
        <v>55.92</v>
      </c>
      <c r="C51" s="12">
        <f t="shared" si="13"/>
        <v>22.83</v>
      </c>
      <c r="D51" s="13">
        <f t="shared" si="14"/>
        <v>6.61</v>
      </c>
      <c r="E51" s="12">
        <f t="shared" si="15"/>
        <v>0.47</v>
      </c>
      <c r="F51" s="13">
        <v>4.908677225627147</v>
      </c>
      <c r="G51" s="12">
        <f t="shared" si="8"/>
        <v>2.8715761769918813</v>
      </c>
      <c r="H51" s="12">
        <v>14.12643375</v>
      </c>
      <c r="I51" s="12">
        <f t="shared" si="9"/>
        <v>102.82800992699188</v>
      </c>
      <c r="J51" s="12">
        <f t="shared" si="10"/>
        <v>91.99988492699188</v>
      </c>
      <c r="K51" s="15">
        <f t="shared" si="16"/>
        <v>0.025</v>
      </c>
      <c r="L51" s="15"/>
      <c r="M51" s="15"/>
      <c r="N51" s="20"/>
    </row>
    <row r="52" spans="1:14" ht="13.5" customHeight="1">
      <c r="A52" s="6">
        <f t="shared" si="11"/>
        <v>2012</v>
      </c>
      <c r="B52" s="12">
        <f t="shared" si="12"/>
        <v>55.92</v>
      </c>
      <c r="C52" s="12">
        <f t="shared" si="13"/>
        <v>23.4</v>
      </c>
      <c r="D52" s="13">
        <f t="shared" si="14"/>
        <v>6.78</v>
      </c>
      <c r="E52" s="12">
        <f t="shared" si="15"/>
        <v>0.48</v>
      </c>
      <c r="F52" s="13">
        <v>4.946807399798222</v>
      </c>
      <c r="G52" s="12">
        <f t="shared" si="8"/>
        <v>2.8938823288819595</v>
      </c>
      <c r="H52" s="12">
        <v>16.00603875</v>
      </c>
      <c r="I52" s="12">
        <f t="shared" si="9"/>
        <v>105.47992107888196</v>
      </c>
      <c r="J52" s="12">
        <f t="shared" si="10"/>
        <v>94.57342107888196</v>
      </c>
      <c r="K52" s="15">
        <f t="shared" si="16"/>
        <v>0.025</v>
      </c>
      <c r="L52" s="15"/>
      <c r="M52" s="15"/>
      <c r="N52" s="20"/>
    </row>
    <row r="53" spans="1:14" ht="13.5" customHeight="1">
      <c r="A53" s="6">
        <f t="shared" si="11"/>
        <v>2013</v>
      </c>
      <c r="B53" s="12">
        <f t="shared" si="12"/>
        <v>55.92</v>
      </c>
      <c r="C53" s="12">
        <f t="shared" si="13"/>
        <v>23.99</v>
      </c>
      <c r="D53" s="13">
        <f t="shared" si="14"/>
        <v>6.95</v>
      </c>
      <c r="E53" s="12">
        <f t="shared" si="15"/>
        <v>0.49</v>
      </c>
      <c r="F53" s="13">
        <v>4.985939143222428</v>
      </c>
      <c r="G53" s="12">
        <f t="shared" si="8"/>
        <v>2.91677439878512</v>
      </c>
      <c r="H53" s="12">
        <v>16.913520000000002</v>
      </c>
      <c r="I53" s="12">
        <f t="shared" si="9"/>
        <v>107.18029439878512</v>
      </c>
      <c r="J53" s="12">
        <f t="shared" si="10"/>
        <v>96.19266939878511</v>
      </c>
      <c r="K53" s="15">
        <f t="shared" si="16"/>
        <v>0.025</v>
      </c>
      <c r="L53" s="15"/>
      <c r="M53" s="15"/>
      <c r="N53" s="20"/>
    </row>
    <row r="54" spans="1:14" ht="13.5" customHeight="1">
      <c r="A54" s="6">
        <f t="shared" si="11"/>
        <v>2014</v>
      </c>
      <c r="B54" s="12">
        <f t="shared" si="12"/>
        <v>55.92</v>
      </c>
      <c r="C54" s="12">
        <f t="shared" si="13"/>
        <v>24.59</v>
      </c>
      <c r="D54" s="13">
        <f t="shared" si="14"/>
        <v>7.12</v>
      </c>
      <c r="E54" s="12">
        <f t="shared" si="15"/>
        <v>0.5</v>
      </c>
      <c r="F54" s="13">
        <v>5.017934931504619</v>
      </c>
      <c r="G54" s="12">
        <f t="shared" si="8"/>
        <v>2.9354919349302016</v>
      </c>
      <c r="H54" s="12">
        <v>18.27847125</v>
      </c>
      <c r="I54" s="12">
        <f t="shared" si="9"/>
        <v>109.3439631849302</v>
      </c>
      <c r="J54" s="12">
        <f t="shared" si="10"/>
        <v>98.2738381849302</v>
      </c>
      <c r="K54" s="15">
        <f t="shared" si="16"/>
        <v>0.025</v>
      </c>
      <c r="L54" s="15"/>
      <c r="M54" s="15"/>
      <c r="N54" s="20"/>
    </row>
    <row r="55" spans="1:14" ht="13.5" customHeight="1">
      <c r="A55" s="6">
        <f t="shared" si="11"/>
        <v>2015</v>
      </c>
      <c r="B55" s="12">
        <f t="shared" si="12"/>
        <v>55.92</v>
      </c>
      <c r="C55" s="12">
        <f t="shared" si="13"/>
        <v>25.2</v>
      </c>
      <c r="D55" s="13">
        <f t="shared" si="14"/>
        <v>7.3</v>
      </c>
      <c r="E55" s="12">
        <f t="shared" si="15"/>
        <v>0.51</v>
      </c>
      <c r="F55" s="13">
        <v>5.044935934107801</v>
      </c>
      <c r="G55" s="12">
        <f t="shared" si="8"/>
        <v>2.9512875214530636</v>
      </c>
      <c r="H55" s="12">
        <v>17.679284999999997</v>
      </c>
      <c r="I55" s="12">
        <f t="shared" si="9"/>
        <v>109.56057252145307</v>
      </c>
      <c r="J55" s="12">
        <f t="shared" si="10"/>
        <v>98.40657252145306</v>
      </c>
      <c r="K55" s="15">
        <f t="shared" si="16"/>
        <v>0.025</v>
      </c>
      <c r="L55" s="15"/>
      <c r="M55" s="15"/>
      <c r="N55" s="20"/>
    </row>
    <row r="56" spans="1:14" ht="13.5" customHeight="1">
      <c r="A56" s="6">
        <f t="shared" si="11"/>
        <v>2016</v>
      </c>
      <c r="B56" s="12">
        <f t="shared" si="12"/>
        <v>55.92</v>
      </c>
      <c r="C56" s="12">
        <f t="shared" si="13"/>
        <v>25.83</v>
      </c>
      <c r="D56" s="13">
        <f t="shared" si="14"/>
        <v>7.48</v>
      </c>
      <c r="E56" s="12">
        <f t="shared" si="15"/>
        <v>0.52</v>
      </c>
      <c r="F56" s="13">
        <v>5.0920839880400415</v>
      </c>
      <c r="G56" s="12">
        <f t="shared" si="8"/>
        <v>2.9788691330034243</v>
      </c>
      <c r="H56" s="12">
        <v>16.401352500000005</v>
      </c>
      <c r="I56" s="12">
        <f t="shared" si="9"/>
        <v>109.13022163300343</v>
      </c>
      <c r="J56" s="12">
        <f t="shared" si="10"/>
        <v>97.88959663300342</v>
      </c>
      <c r="K56" s="15">
        <f t="shared" si="16"/>
        <v>0.025</v>
      </c>
      <c r="L56" s="15"/>
      <c r="M56" s="15"/>
      <c r="N56" s="20"/>
    </row>
    <row r="57" spans="1:14" ht="13.5" customHeight="1">
      <c r="A57" s="6">
        <f t="shared" si="11"/>
        <v>2017</v>
      </c>
      <c r="B57" s="12">
        <f t="shared" si="12"/>
        <v>55.92</v>
      </c>
      <c r="C57" s="12">
        <f t="shared" si="13"/>
        <v>26.48</v>
      </c>
      <c r="D57" s="13">
        <f t="shared" si="14"/>
        <v>7.67</v>
      </c>
      <c r="E57" s="12">
        <f t="shared" si="15"/>
        <v>0.53</v>
      </c>
      <c r="F57" s="13">
        <v>5.133615485991874</v>
      </c>
      <c r="G57" s="12">
        <f t="shared" si="8"/>
        <v>3.0031650593052466</v>
      </c>
      <c r="H57" s="12">
        <v>18.211342500000004</v>
      </c>
      <c r="I57" s="12">
        <f t="shared" si="9"/>
        <v>111.81450755930526</v>
      </c>
      <c r="J57" s="12">
        <f t="shared" si="10"/>
        <v>100.48450755930526</v>
      </c>
      <c r="K57" s="15">
        <f t="shared" si="16"/>
        <v>0.025</v>
      </c>
      <c r="L57" s="15"/>
      <c r="M57" s="15"/>
      <c r="N57" s="20"/>
    </row>
    <row r="58" spans="1:14" ht="13.5" customHeight="1">
      <c r="A58" s="6">
        <f t="shared" si="11"/>
        <v>2018</v>
      </c>
      <c r="B58" s="12">
        <f t="shared" si="12"/>
        <v>55.92</v>
      </c>
      <c r="C58" s="12">
        <f t="shared" si="13"/>
        <v>27.14</v>
      </c>
      <c r="D58" s="13">
        <f t="shared" si="14"/>
        <v>7.86</v>
      </c>
      <c r="E58" s="12">
        <f t="shared" si="15"/>
        <v>0.54</v>
      </c>
      <c r="F58" s="13">
        <v>5.169156173092539</v>
      </c>
      <c r="G58" s="12">
        <f t="shared" si="8"/>
        <v>3.023956361259135</v>
      </c>
      <c r="H58" s="12">
        <v>18.308306249999994</v>
      </c>
      <c r="I58" s="12">
        <f t="shared" si="9"/>
        <v>112.79226261125913</v>
      </c>
      <c r="J58" s="12">
        <f t="shared" si="10"/>
        <v>101.37151261125912</v>
      </c>
      <c r="K58" s="15">
        <f t="shared" si="16"/>
        <v>0.025</v>
      </c>
      <c r="L58" s="15"/>
      <c r="M58" s="15"/>
      <c r="N58" s="20"/>
    </row>
    <row r="59" spans="1:14" ht="13.5" customHeight="1">
      <c r="A59" s="6">
        <f t="shared" si="11"/>
        <v>2019</v>
      </c>
      <c r="B59" s="12">
        <f t="shared" si="12"/>
        <v>55.92</v>
      </c>
      <c r="C59" s="12">
        <f t="shared" si="13"/>
        <v>27.82</v>
      </c>
      <c r="D59" s="13">
        <f t="shared" si="14"/>
        <v>8.06</v>
      </c>
      <c r="E59" s="12">
        <f t="shared" si="15"/>
        <v>0.55</v>
      </c>
      <c r="F59" s="13">
        <v>5.200811415093411</v>
      </c>
      <c r="G59" s="12">
        <f t="shared" si="8"/>
        <v>3.0424746778296456</v>
      </c>
      <c r="H59" s="12">
        <v>19.08153</v>
      </c>
      <c r="I59" s="12">
        <f t="shared" si="9"/>
        <v>114.47400467782965</v>
      </c>
      <c r="J59" s="12">
        <f t="shared" si="10"/>
        <v>102.95975467782965</v>
      </c>
      <c r="K59" s="15">
        <f t="shared" si="16"/>
        <v>0.025</v>
      </c>
      <c r="L59" s="15"/>
      <c r="M59" s="15"/>
      <c r="N59" s="20"/>
    </row>
    <row r="60" spans="1:14" ht="13.5" customHeight="1">
      <c r="A60" s="6">
        <f t="shared" si="11"/>
        <v>2020</v>
      </c>
      <c r="B60" s="12">
        <f t="shared" si="12"/>
        <v>55.92</v>
      </c>
      <c r="C60" s="12">
        <f t="shared" si="13"/>
        <v>28.52</v>
      </c>
      <c r="D60" s="13">
        <f t="shared" si="14"/>
        <v>8.26</v>
      </c>
      <c r="E60" s="12">
        <f t="shared" si="15"/>
        <v>0.56</v>
      </c>
      <c r="F60" s="13">
        <v>5.227542452017786</v>
      </c>
      <c r="G60" s="12">
        <f t="shared" si="8"/>
        <v>3.058112334430404</v>
      </c>
      <c r="H60" s="12">
        <v>19.213301250000004</v>
      </c>
      <c r="I60" s="12">
        <f t="shared" si="9"/>
        <v>115.53141358443041</v>
      </c>
      <c r="J60" s="12">
        <f t="shared" si="10"/>
        <v>103.92091358443041</v>
      </c>
      <c r="K60" s="15">
        <f t="shared" si="16"/>
        <v>0.025</v>
      </c>
      <c r="L60" s="15"/>
      <c r="M60" s="15"/>
      <c r="N60" s="20"/>
    </row>
    <row r="61" spans="1:14" ht="13.5" customHeight="1">
      <c r="A61" s="6">
        <f t="shared" si="11"/>
        <v>2021</v>
      </c>
      <c r="B61" s="12">
        <f t="shared" si="12"/>
        <v>55.92</v>
      </c>
      <c r="C61" s="12">
        <f t="shared" si="13"/>
        <v>29.23</v>
      </c>
      <c r="D61" s="13">
        <f t="shared" si="14"/>
        <v>8.47</v>
      </c>
      <c r="E61" s="12">
        <f t="shared" si="15"/>
        <v>0.57</v>
      </c>
      <c r="F61" s="13">
        <v>5.3320933010581415</v>
      </c>
      <c r="G61" s="12">
        <f t="shared" si="8"/>
        <v>3.119274581119013</v>
      </c>
      <c r="H61" s="12">
        <v>19.83930012440815</v>
      </c>
      <c r="I61" s="12">
        <f t="shared" si="9"/>
        <v>117.14857470552717</v>
      </c>
      <c r="J61" s="12">
        <f t="shared" si="10"/>
        <v>105.44044970552716</v>
      </c>
      <c r="K61" s="15">
        <f t="shared" si="16"/>
        <v>0.025</v>
      </c>
      <c r="L61" s="15"/>
      <c r="M61" s="15"/>
      <c r="N61" s="20"/>
    </row>
    <row r="62" spans="1:14" ht="13.5" customHeight="1">
      <c r="A62" s="6">
        <f t="shared" si="11"/>
        <v>2022</v>
      </c>
      <c r="B62" s="12">
        <f t="shared" si="12"/>
        <v>55.92</v>
      </c>
      <c r="C62" s="12">
        <f t="shared" si="13"/>
        <v>29.96</v>
      </c>
      <c r="D62" s="13">
        <f t="shared" si="14"/>
        <v>8.68</v>
      </c>
      <c r="E62" s="12">
        <f t="shared" si="15"/>
        <v>0.58</v>
      </c>
      <c r="F62" s="13">
        <v>5.4387351670793045</v>
      </c>
      <c r="G62" s="12">
        <f t="shared" si="8"/>
        <v>3.181660072741393</v>
      </c>
      <c r="H62" s="12">
        <v>20.321681377518356</v>
      </c>
      <c r="I62" s="12">
        <f t="shared" si="9"/>
        <v>118.64334145025975</v>
      </c>
      <c r="J62" s="12">
        <f t="shared" si="10"/>
        <v>106.83484145025974</v>
      </c>
      <c r="K62" s="15">
        <f t="shared" si="16"/>
        <v>0.025</v>
      </c>
      <c r="L62" s="15"/>
      <c r="M62" s="15"/>
      <c r="N62" s="20"/>
    </row>
    <row r="63" spans="1:14" ht="13.5" customHeight="1">
      <c r="A63" s="6">
        <f t="shared" si="11"/>
        <v>2023</v>
      </c>
      <c r="B63" s="12">
        <f t="shared" si="12"/>
        <v>55.92</v>
      </c>
      <c r="C63" s="12">
        <f t="shared" si="13"/>
        <v>30.71</v>
      </c>
      <c r="D63" s="13">
        <f t="shared" si="14"/>
        <v>8.9</v>
      </c>
      <c r="E63" s="12">
        <f t="shared" si="15"/>
        <v>0.59</v>
      </c>
      <c r="F63" s="13">
        <v>5.547509870420891</v>
      </c>
      <c r="G63" s="12">
        <f t="shared" si="8"/>
        <v>3.245293274196221</v>
      </c>
      <c r="H63" s="12">
        <v>20.816122161956304</v>
      </c>
      <c r="I63" s="12">
        <f t="shared" si="9"/>
        <v>120.18141543615252</v>
      </c>
      <c r="J63" s="12">
        <f t="shared" si="10"/>
        <v>108.2697904361525</v>
      </c>
      <c r="K63" s="15">
        <f t="shared" si="16"/>
        <v>0.025</v>
      </c>
      <c r="L63" s="15"/>
      <c r="M63" s="15"/>
      <c r="N63" s="20"/>
    </row>
    <row r="64" spans="1:14" ht="13.5" customHeight="1">
      <c r="A64" s="6">
        <f t="shared" si="11"/>
        <v>2024</v>
      </c>
      <c r="B64" s="12">
        <f t="shared" si="12"/>
        <v>55.92</v>
      </c>
      <c r="C64" s="12">
        <f t="shared" si="13"/>
        <v>31.48</v>
      </c>
      <c r="D64" s="13">
        <f t="shared" si="14"/>
        <v>9.12</v>
      </c>
      <c r="E64" s="12">
        <f t="shared" si="15"/>
        <v>0.6</v>
      </c>
      <c r="F64" s="13">
        <v>5.658460067829308</v>
      </c>
      <c r="G64" s="12">
        <f t="shared" si="8"/>
        <v>3.310199139680145</v>
      </c>
      <c r="H64" s="12">
        <v>21.322923966005217</v>
      </c>
      <c r="I64" s="12">
        <f t="shared" si="9"/>
        <v>121.75312310568538</v>
      </c>
      <c r="J64" s="12">
        <f t="shared" si="10"/>
        <v>109.73562310568538</v>
      </c>
      <c r="K64" s="15">
        <f t="shared" si="16"/>
        <v>0.025</v>
      </c>
      <c r="L64" s="15"/>
      <c r="M64" s="15"/>
      <c r="N64" s="20"/>
    </row>
    <row r="65" spans="1:14" ht="13.5" customHeight="1">
      <c r="A65" s="6">
        <f t="shared" si="11"/>
        <v>2025</v>
      </c>
      <c r="B65" s="12">
        <f t="shared" si="12"/>
        <v>55.92</v>
      </c>
      <c r="C65" s="12">
        <f t="shared" si="13"/>
        <v>32.27</v>
      </c>
      <c r="D65" s="13">
        <f t="shared" si="14"/>
        <v>9.35</v>
      </c>
      <c r="E65" s="12">
        <f t="shared" si="15"/>
        <v>0.62</v>
      </c>
      <c r="F65" s="13">
        <v>5.771629269185895</v>
      </c>
      <c r="G65" s="12">
        <f t="shared" si="8"/>
        <v>3.376403122473748</v>
      </c>
      <c r="H65" s="12">
        <v>21.842395815155346</v>
      </c>
      <c r="I65" s="12">
        <f t="shared" si="9"/>
        <v>123.37879893762909</v>
      </c>
      <c r="J65" s="12">
        <f t="shared" si="10"/>
        <v>111.25267393762908</v>
      </c>
      <c r="K65" s="15">
        <f t="shared" si="16"/>
        <v>0.025</v>
      </c>
      <c r="L65" s="15"/>
      <c r="M65" s="15"/>
      <c r="N65" s="20"/>
    </row>
    <row r="66" spans="1:14" ht="13.5" customHeight="1">
      <c r="A66" s="6">
        <f t="shared" si="11"/>
        <v>2026</v>
      </c>
      <c r="B66" s="12">
        <f t="shared" si="12"/>
        <v>55.92</v>
      </c>
      <c r="C66" s="12">
        <f t="shared" si="13"/>
        <v>33.08</v>
      </c>
      <c r="D66" s="13">
        <f t="shared" si="14"/>
        <v>9.58</v>
      </c>
      <c r="E66" s="12">
        <f t="shared" si="15"/>
        <v>0.64</v>
      </c>
      <c r="F66" s="13">
        <v>5.8870618545696125</v>
      </c>
      <c r="G66" s="12">
        <f t="shared" si="8"/>
        <v>3.443931184923223</v>
      </c>
      <c r="H66" s="12">
        <v>22.374854460534223</v>
      </c>
      <c r="I66" s="12">
        <f t="shared" si="9"/>
        <v>125.03878564545745</v>
      </c>
      <c r="J66" s="12">
        <f t="shared" si="10"/>
        <v>112.80128564545744</v>
      </c>
      <c r="K66" s="15">
        <f t="shared" si="16"/>
        <v>0.025</v>
      </c>
      <c r="L66" s="15"/>
      <c r="M66" s="15"/>
      <c r="N66" s="20"/>
    </row>
    <row r="67" spans="1:14" ht="13.5" customHeight="1">
      <c r="A67" s="6">
        <f t="shared" si="11"/>
        <v>2027</v>
      </c>
      <c r="B67" s="12">
        <f t="shared" si="12"/>
        <v>55.92</v>
      </c>
      <c r="C67" s="12">
        <f t="shared" si="13"/>
        <v>33.91</v>
      </c>
      <c r="D67" s="13">
        <f t="shared" si="14"/>
        <v>9.82</v>
      </c>
      <c r="E67" s="12">
        <f t="shared" si="15"/>
        <v>0.66</v>
      </c>
      <c r="F67" s="13">
        <v>6.004803091661005</v>
      </c>
      <c r="G67" s="12">
        <f t="shared" si="8"/>
        <v>3.5128098086216877</v>
      </c>
      <c r="H67" s="12">
        <v>22.920624572047583</v>
      </c>
      <c r="I67" s="12">
        <f t="shared" si="9"/>
        <v>126.74343438066927</v>
      </c>
      <c r="J67" s="12">
        <f t="shared" si="10"/>
        <v>114.39180938066926</v>
      </c>
      <c r="K67" s="15">
        <f t="shared" si="16"/>
        <v>0.025</v>
      </c>
      <c r="L67" s="15"/>
      <c r="M67" s="15"/>
      <c r="N67" s="20"/>
    </row>
    <row r="68" spans="1:14" ht="13.5" customHeight="1">
      <c r="A68" s="6">
        <f t="shared" si="11"/>
        <v>2028</v>
      </c>
      <c r="B68" s="12">
        <f t="shared" si="12"/>
        <v>55.92</v>
      </c>
      <c r="C68" s="12">
        <f t="shared" si="13"/>
        <v>34.76</v>
      </c>
      <c r="D68" s="13">
        <f t="shared" si="14"/>
        <v>10.07</v>
      </c>
      <c r="E68" s="12">
        <f t="shared" si="15"/>
        <v>0.68</v>
      </c>
      <c r="F68" s="13">
        <v>6.124899153494225</v>
      </c>
      <c r="G68" s="12">
        <f t="shared" si="8"/>
        <v>3.5830660047941216</v>
      </c>
      <c r="H68" s="12">
        <v>23.480038936348755</v>
      </c>
      <c r="I68" s="12">
        <f t="shared" si="9"/>
        <v>128.4931049411429</v>
      </c>
      <c r="J68" s="12">
        <f t="shared" si="10"/>
        <v>116.02460494114288</v>
      </c>
      <c r="K68" s="15">
        <f t="shared" si="16"/>
        <v>0.025</v>
      </c>
      <c r="L68" s="15"/>
      <c r="M68" s="15"/>
      <c r="N68" s="20"/>
    </row>
    <row r="69" spans="1:14" ht="13.5" customHeight="1">
      <c r="A69" s="6">
        <f t="shared" si="11"/>
        <v>2029</v>
      </c>
      <c r="B69" s="12">
        <f t="shared" si="12"/>
        <v>55.92</v>
      </c>
      <c r="C69" s="12">
        <f t="shared" si="13"/>
        <v>35.63</v>
      </c>
      <c r="D69" s="13">
        <f t="shared" si="14"/>
        <v>10.32</v>
      </c>
      <c r="E69" s="12">
        <f t="shared" si="15"/>
        <v>0.7</v>
      </c>
      <c r="F69" s="13">
        <v>6.24739713656411</v>
      </c>
      <c r="G69" s="12">
        <f t="shared" si="8"/>
        <v>3.654727324890004</v>
      </c>
      <c r="H69" s="12">
        <v>23.93875871507573</v>
      </c>
      <c r="I69" s="12">
        <f t="shared" si="9"/>
        <v>130.16348603996573</v>
      </c>
      <c r="J69" s="12">
        <f t="shared" si="10"/>
        <v>117.57536103996571</v>
      </c>
      <c r="K69" s="15">
        <f t="shared" si="16"/>
        <v>0.025</v>
      </c>
      <c r="L69" s="15"/>
      <c r="M69" s="15"/>
      <c r="N69" s="20"/>
    </row>
    <row r="70" spans="1:14" ht="13.5" customHeight="1">
      <c r="A70" s="6">
        <f t="shared" si="11"/>
        <v>2030</v>
      </c>
      <c r="B70" s="12">
        <f t="shared" si="12"/>
        <v>55.92</v>
      </c>
      <c r="C70" s="12">
        <f t="shared" si="13"/>
        <v>36.52</v>
      </c>
      <c r="D70" s="13">
        <f t="shared" si="14"/>
        <v>10.58</v>
      </c>
      <c r="E70" s="12">
        <f t="shared" si="15"/>
        <v>0.72</v>
      </c>
      <c r="F70" s="13">
        <v>6.372345079295392</v>
      </c>
      <c r="G70" s="12">
        <f t="shared" si="8"/>
        <v>3.727821871387804</v>
      </c>
      <c r="H70" s="12">
        <v>24.40665288937725</v>
      </c>
      <c r="I70" s="12">
        <f t="shared" si="9"/>
        <v>131.87447476076505</v>
      </c>
      <c r="J70" s="12">
        <f t="shared" si="10"/>
        <v>119.16397476076504</v>
      </c>
      <c r="K70" s="15">
        <f t="shared" si="16"/>
        <v>0.025</v>
      </c>
      <c r="L70" s="15"/>
      <c r="M70" s="15"/>
      <c r="N70" s="20"/>
    </row>
    <row r="71" spans="1:14" ht="13.5" customHeight="1">
      <c r="A71" s="6">
        <f t="shared" si="11"/>
        <v>2031</v>
      </c>
      <c r="B71" s="12">
        <f t="shared" si="12"/>
        <v>55.92</v>
      </c>
      <c r="C71" s="12">
        <f t="shared" si="13"/>
        <v>37.43</v>
      </c>
      <c r="D71" s="13">
        <f t="shared" si="14"/>
        <v>10.84</v>
      </c>
      <c r="E71" s="12">
        <f t="shared" si="15"/>
        <v>0.74</v>
      </c>
      <c r="F71" s="13">
        <v>6.4997919808813</v>
      </c>
      <c r="G71" s="12">
        <f t="shared" si="8"/>
        <v>3.802378308815561</v>
      </c>
      <c r="H71" s="12">
        <v>24.883904947164794</v>
      </c>
      <c r="I71" s="12">
        <f t="shared" si="9"/>
        <v>133.61628325598036</v>
      </c>
      <c r="J71" s="12">
        <f t="shared" si="10"/>
        <v>120.78065825598036</v>
      </c>
      <c r="K71" s="15">
        <f t="shared" si="16"/>
        <v>0.025</v>
      </c>
      <c r="L71" s="15"/>
      <c r="M71" s="15"/>
      <c r="N71" s="20"/>
    </row>
    <row r="72" spans="1:14" ht="13.5" customHeight="1">
      <c r="A72" s="6">
        <f t="shared" si="11"/>
        <v>2032</v>
      </c>
      <c r="B72" s="12">
        <f t="shared" si="12"/>
        <v>55.92</v>
      </c>
      <c r="C72" s="12">
        <f t="shared" si="13"/>
        <v>38.37</v>
      </c>
      <c r="D72" s="13">
        <f t="shared" si="14"/>
        <v>11.11</v>
      </c>
      <c r="E72" s="12">
        <f t="shared" si="15"/>
        <v>0.76</v>
      </c>
      <c r="F72" s="13">
        <v>6.629787820498926</v>
      </c>
      <c r="G72" s="12">
        <f t="shared" si="8"/>
        <v>3.8784258749918714</v>
      </c>
      <c r="H72" s="12">
        <v>25.370702046108086</v>
      </c>
      <c r="I72" s="12">
        <f t="shared" si="9"/>
        <v>135.40912792109995</v>
      </c>
      <c r="J72" s="12">
        <f t="shared" si="10"/>
        <v>122.44425292109996</v>
      </c>
      <c r="K72" s="15">
        <f t="shared" si="16"/>
        <v>0.025</v>
      </c>
      <c r="L72" s="15"/>
      <c r="M72" s="15"/>
      <c r="N72" s="20"/>
    </row>
    <row r="73" spans="1:14" ht="13.5" customHeight="1">
      <c r="A73" s="6">
        <f t="shared" si="11"/>
        <v>2033</v>
      </c>
      <c r="B73" s="12">
        <f t="shared" si="12"/>
        <v>55.92</v>
      </c>
      <c r="C73" s="12">
        <f t="shared" si="13"/>
        <v>39.33</v>
      </c>
      <c r="D73" s="13">
        <f t="shared" si="14"/>
        <v>11.39</v>
      </c>
      <c r="E73" s="12">
        <f t="shared" si="15"/>
        <v>0.78</v>
      </c>
      <c r="F73" s="13">
        <v>6.7623835769089045</v>
      </c>
      <c r="G73" s="12">
        <f t="shared" si="8"/>
        <v>3.9559943924917094</v>
      </c>
      <c r="H73" s="12">
        <v>25.86723508703025</v>
      </c>
      <c r="I73" s="12">
        <f t="shared" si="9"/>
        <v>137.24322947952194</v>
      </c>
      <c r="J73" s="12">
        <f t="shared" si="10"/>
        <v>124.14635447952195</v>
      </c>
      <c r="K73" s="15">
        <f t="shared" si="16"/>
        <v>0.025</v>
      </c>
      <c r="L73" s="15"/>
      <c r="M73" s="15"/>
      <c r="N73" s="20"/>
    </row>
    <row r="74" spans="1:11" ht="12.75">
      <c r="A74" s="6"/>
      <c r="B74" s="16"/>
      <c r="C74" s="6"/>
      <c r="D74" s="6"/>
      <c r="E74" s="6"/>
      <c r="F74" s="17"/>
      <c r="G74" s="17"/>
      <c r="H74" s="17"/>
      <c r="I74" s="23"/>
      <c r="J74" s="23"/>
      <c r="K74" s="23"/>
    </row>
    <row r="75" spans="1:11" ht="12.75">
      <c r="A75" s="6"/>
      <c r="B75" s="16"/>
      <c r="C75" s="6"/>
      <c r="D75" s="6"/>
      <c r="E75" s="6"/>
      <c r="F75" s="17"/>
      <c r="G75" s="17"/>
      <c r="H75" s="17"/>
      <c r="I75" s="23"/>
      <c r="J75" s="23"/>
      <c r="K75" s="23"/>
    </row>
    <row r="76" spans="1:11" ht="13.5" thickBot="1">
      <c r="A76" s="6"/>
      <c r="B76" s="6"/>
      <c r="C76" s="6"/>
      <c r="D76" s="6"/>
      <c r="E76" s="6"/>
      <c r="F76" s="6"/>
      <c r="G76" s="6"/>
      <c r="H76" s="6"/>
      <c r="I76" s="23"/>
      <c r="J76" s="23"/>
      <c r="K76" s="23"/>
    </row>
    <row r="77" spans="1:11" ht="13.5" thickTop="1">
      <c r="A77" s="6"/>
      <c r="B77" s="24"/>
      <c r="C77" s="25"/>
      <c r="D77" s="26" t="s">
        <v>19</v>
      </c>
      <c r="E77" s="26" t="s">
        <v>15</v>
      </c>
      <c r="F77" s="26" t="s">
        <v>20</v>
      </c>
      <c r="G77" s="27" t="s">
        <v>15</v>
      </c>
      <c r="H77" s="28"/>
      <c r="K77" s="6"/>
    </row>
    <row r="78" spans="1:11" ht="13.5" thickBot="1">
      <c r="A78" s="6"/>
      <c r="B78" s="29"/>
      <c r="C78" s="30"/>
      <c r="D78" s="31" t="s">
        <v>21</v>
      </c>
      <c r="E78" s="31" t="s">
        <v>22</v>
      </c>
      <c r="F78" s="31" t="s">
        <v>22</v>
      </c>
      <c r="G78" s="32" t="s">
        <v>17</v>
      </c>
      <c r="H78" s="28"/>
      <c r="K78" s="6"/>
    </row>
    <row r="79" spans="1:11" ht="12.75">
      <c r="A79" s="6"/>
      <c r="B79" s="33" t="s">
        <v>23</v>
      </c>
      <c r="C79" s="28"/>
      <c r="D79" s="28"/>
      <c r="E79" s="28"/>
      <c r="F79" s="34">
        <f>PMT($D$84,30,SUM($H$7,NPV($D$84,H8:H36)))*-1</f>
        <v>66.44339422326009</v>
      </c>
      <c r="G79" s="35"/>
      <c r="H79" s="34"/>
      <c r="K79" s="36"/>
    </row>
    <row r="80" spans="1:11" ht="13.5" thickBot="1">
      <c r="A80" s="6"/>
      <c r="B80" s="37" t="s">
        <v>24</v>
      </c>
      <c r="C80" s="9"/>
      <c r="D80" s="38">
        <f>PMT($D$84,30,SUM(I44,NPV($D$84,I45:I73)))*-1</f>
        <v>117.8210096177693</v>
      </c>
      <c r="E80" s="38">
        <f>PMT($D$84,30,SUM(J44,NPV($D$84,J45:J73)))*-1</f>
        <v>105.58856839730106</v>
      </c>
      <c r="F80" s="39">
        <f>F79*8760*$D$86/1000</f>
        <v>494.7375133863946</v>
      </c>
      <c r="G80" s="40">
        <f>E80/F80</f>
        <v>0.21342341249719507</v>
      </c>
      <c r="H80" s="34"/>
      <c r="K80" s="36"/>
    </row>
    <row r="81" spans="1:11" ht="13.5" thickTop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 t="s">
        <v>25</v>
      </c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>
        <v>1</v>
      </c>
      <c r="B84" s="41" t="s">
        <v>26</v>
      </c>
      <c r="C84" s="6"/>
      <c r="D84" s="42">
        <v>0.1237</v>
      </c>
      <c r="E84" s="6"/>
      <c r="F84" s="6"/>
      <c r="G84" s="6"/>
      <c r="H84" s="6"/>
      <c r="I84" s="6"/>
      <c r="J84" s="6"/>
      <c r="K84" s="6"/>
    </row>
    <row r="85" spans="1:8" ht="12.75">
      <c r="A85" s="6">
        <v>2</v>
      </c>
      <c r="B85" s="6" t="s">
        <v>27</v>
      </c>
      <c r="C85" s="6"/>
      <c r="D85" s="6">
        <v>200</v>
      </c>
      <c r="E85" s="6"/>
      <c r="F85" s="6" t="s">
        <v>28</v>
      </c>
      <c r="G85" s="6">
        <v>50</v>
      </c>
      <c r="H85" s="6"/>
    </row>
    <row r="86" spans="1:11" ht="12.75">
      <c r="A86" s="6">
        <v>3</v>
      </c>
      <c r="B86" s="6" t="s">
        <v>29</v>
      </c>
      <c r="C86" s="6"/>
      <c r="D86" s="36">
        <v>0.85</v>
      </c>
      <c r="E86" s="6"/>
      <c r="F86" s="6"/>
      <c r="G86" s="6"/>
      <c r="H86" s="6"/>
      <c r="I86" s="6"/>
      <c r="J86" s="6"/>
      <c r="K86" s="6"/>
    </row>
    <row r="87" spans="1:11" ht="12.75">
      <c r="A87" s="6">
        <v>4</v>
      </c>
      <c r="B87" s="43" t="s">
        <v>30</v>
      </c>
      <c r="C87" s="6"/>
      <c r="D87" s="6"/>
      <c r="E87" s="6"/>
      <c r="F87" s="6"/>
      <c r="G87" s="44">
        <v>0.75</v>
      </c>
      <c r="H87" s="6"/>
      <c r="I87" s="6"/>
      <c r="J87" s="6"/>
      <c r="K87" s="6"/>
    </row>
    <row r="88" spans="1:7" ht="12.75">
      <c r="A88" s="45">
        <v>5</v>
      </c>
      <c r="B88" s="46" t="s">
        <v>31</v>
      </c>
      <c r="C88" s="45"/>
      <c r="D88" s="45"/>
      <c r="E88" s="45"/>
      <c r="F88" s="45"/>
      <c r="G88" s="47">
        <v>0.028</v>
      </c>
    </row>
    <row r="89" spans="1:7" ht="12.75">
      <c r="A89" s="45">
        <v>6</v>
      </c>
      <c r="B89" s="46" t="s">
        <v>32</v>
      </c>
      <c r="C89" s="45"/>
      <c r="D89" s="45"/>
      <c r="E89" s="45"/>
      <c r="F89" s="45"/>
      <c r="G89" s="48">
        <v>0.7</v>
      </c>
    </row>
    <row r="90" spans="1:7" ht="12.75">
      <c r="A90" s="45"/>
      <c r="B90" s="46"/>
      <c r="C90" s="45"/>
      <c r="D90" s="45"/>
      <c r="E90" s="45"/>
      <c r="F90" s="45"/>
      <c r="G90" s="47"/>
    </row>
    <row r="91" spans="1:11" ht="12.75">
      <c r="A91" s="45"/>
      <c r="B91" s="46"/>
      <c r="C91" s="45"/>
      <c r="D91" s="45"/>
      <c r="E91" s="45"/>
      <c r="F91" s="49" t="s">
        <v>33</v>
      </c>
      <c r="G91" s="49" t="s">
        <v>3</v>
      </c>
      <c r="H91" s="49" t="s">
        <v>4</v>
      </c>
      <c r="I91" s="49" t="s">
        <v>34</v>
      </c>
      <c r="J91" s="49" t="s">
        <v>35</v>
      </c>
      <c r="K91" s="47"/>
    </row>
    <row r="92" spans="1:11" ht="12.75">
      <c r="A92" s="45"/>
      <c r="B92" s="46"/>
      <c r="C92" s="45"/>
      <c r="D92" s="45"/>
      <c r="E92" s="45"/>
      <c r="F92" s="50" t="s">
        <v>36</v>
      </c>
      <c r="G92" s="50" t="s">
        <v>37</v>
      </c>
      <c r="H92" s="50" t="s">
        <v>37</v>
      </c>
      <c r="I92" s="50" t="s">
        <v>38</v>
      </c>
      <c r="J92" s="50" t="s">
        <v>39</v>
      </c>
      <c r="K92" s="47"/>
    </row>
    <row r="93" spans="1:11" ht="12.75">
      <c r="A93" s="6">
        <v>7</v>
      </c>
      <c r="B93" s="41" t="s">
        <v>40</v>
      </c>
      <c r="C93" s="6"/>
      <c r="D93" s="6"/>
      <c r="E93" s="6"/>
      <c r="F93" s="51">
        <f>710*1.025</f>
        <v>727.7499999999999</v>
      </c>
      <c r="G93" s="12">
        <f>41.43*1.025</f>
        <v>42.46574999999999</v>
      </c>
      <c r="H93" s="61">
        <f>(0.011+0.0013)*F93</f>
        <v>8.951324999999997</v>
      </c>
      <c r="I93" s="52">
        <v>2</v>
      </c>
      <c r="J93" s="53">
        <v>6900</v>
      </c>
      <c r="K93" s="6"/>
    </row>
    <row r="94" spans="1:10" ht="12.75" customHeight="1">
      <c r="A94" s="6">
        <v>8</v>
      </c>
      <c r="B94" s="41" t="s">
        <v>41</v>
      </c>
      <c r="F94" s="51">
        <f>441*1.025</f>
        <v>452.025</v>
      </c>
      <c r="G94" s="54">
        <f>18.74*1.025</f>
        <v>19.208499999999997</v>
      </c>
      <c r="H94" s="61">
        <f>(0.011+0.0013)*F94</f>
        <v>5.559907499999999</v>
      </c>
      <c r="I94" s="55">
        <v>2</v>
      </c>
      <c r="J94" s="56">
        <v>11700</v>
      </c>
    </row>
    <row r="95" spans="1:12" ht="12.75">
      <c r="A95" s="20">
        <v>9</v>
      </c>
      <c r="B95" s="20" t="s">
        <v>42</v>
      </c>
      <c r="C95" s="20"/>
      <c r="D95" s="57">
        <v>0.15</v>
      </c>
      <c r="L95" s="59" t="s">
        <v>43</v>
      </c>
    </row>
  </sheetData>
  <mergeCells count="1">
    <mergeCell ref="A1:K1"/>
  </mergeCells>
  <printOptions horizontalCentered="1"/>
  <pageMargins left="1" right="1" top="1.75" bottom="1" header="1" footer="0.5"/>
  <pageSetup fitToHeight="3" horizontalDpi="600" verticalDpi="600" orientation="portrait" scale="73" r:id="rId1"/>
  <headerFooter alignWithMargins="0">
    <oddHeader>&amp;LFirst Exhibit to the
Prefiled Rebuttal Testimony of
Colleen E. Paulson&amp;CPuget Sound Energy
Electric Cost of Service
Derivation of Peak Credit
&amp;RExhibit No. ___ (CEP-12)
Page &amp;P of &amp;N</oddHeader>
  </headerFooter>
  <rowBreaks count="2" manualBreakCount="2">
    <brk id="39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2004-11-02T22:09:58Z</cp:lastPrinted>
  <dcterms:created xsi:type="dcterms:W3CDTF">2004-10-29T23:56:32Z</dcterms:created>
  <dcterms:modified xsi:type="dcterms:W3CDTF">2004-11-05T00:45:13Z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