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workbookPr codeName="ThisWorkbook"/>
  <mc:AlternateContent xmlns:mc="http://schemas.openxmlformats.org/markup-compatibility/2006">
    <mc:Choice Requires="x15">
      <x15ac:absPath xmlns:x15ac="http://schemas.microsoft.com/office/spreadsheetml/2010/11/ac" url="G:\Dept\Rates\Deferrals-Gas Costs\Deferrals 2025\"/>
    </mc:Choice>
  </mc:AlternateContent>
  <xr:revisionPtr revIDLastSave="0" documentId="13_ncr:1_{1438C7BC-DA14-4A60-B20A-346A5779E2F2}" xr6:coauthVersionLast="47" xr6:coauthVersionMax="47" xr10:uidLastSave="{00000000-0000-0000-0000-000000000000}"/>
  <bookViews>
    <workbookView xWindow="-120" yWindow="-120" windowWidth="29040" windowHeight="15720" tabRatio="756" firstSheet="3" activeTab="3" xr2:uid="{00000000-000D-0000-FFFF-FFFF00000000}"/>
  </bookViews>
  <sheets>
    <sheet name="True-up JE 0225" sheetId="334" state="hidden" r:id="rId1"/>
    <sheet name="DG 1910.01253" sheetId="230" r:id="rId2"/>
    <sheet name="DG 1910.01254" sheetId="231" r:id="rId3"/>
    <sheet name="DG 1910.01286" sheetId="290" r:id="rId4"/>
    <sheet name="DG 1910.01289" sheetId="293" r:id="rId5"/>
    <sheet name="WA Deferrals" sheetId="335" r:id="rId6"/>
    <sheet name="FERC Interest Rates" sheetId="132" r:id="rId7"/>
    <sheet name="Therm Sales" sheetId="3" r:id="rId8"/>
    <sheet name="WA Rates" sheetId="336" r:id="rId9"/>
    <sheet name="Core Cost Incurred" sheetId="337" r:id="rId10"/>
  </sheets>
  <externalReferences>
    <externalReference r:id="rId11"/>
  </externalReferences>
  <definedNames>
    <definedName name="_Regression_Int" localSheetId="6" hidden="1">1</definedName>
    <definedName name="ACODINT22">#REF!</definedName>
    <definedName name="ACODINT23">#REF!</definedName>
    <definedName name="ACODINT24">#REF!</definedName>
    <definedName name="ACODINT25">#REF!</definedName>
    <definedName name="ARORINT22">#REF!</definedName>
    <definedName name="ARORINT23">#REF!</definedName>
    <definedName name="ARORINT24">#REF!</definedName>
    <definedName name="ARORINT25">#REF!</definedName>
    <definedName name="CODINT22">#REF!</definedName>
    <definedName name="CODINT23">#REF!</definedName>
    <definedName name="CODINT24">#REF!</definedName>
    <definedName name="CODINT25">#REF!</definedName>
    <definedName name="FERCINT13" localSheetId="3">'FERC Interest Rates'!$A$10:$C$21</definedName>
    <definedName name="FERCINT13">'FERC Interest Rates'!$A$10:$C$21</definedName>
    <definedName name="FERCINT14" localSheetId="3">'FERC Interest Rates'!$A$22:$C$33</definedName>
    <definedName name="FERCINT14">'FERC Interest Rates'!$A$22:$C$33</definedName>
    <definedName name="FERCINT15" localSheetId="3">'FERC Interest Rates'!$A$34:$C$45</definedName>
    <definedName name="FERCINT15">'FERC Interest Rates'!$A$34:$C$45</definedName>
    <definedName name="FERCINT16" localSheetId="3">'FERC Interest Rates'!$A$46:$C$57</definedName>
    <definedName name="FERCINT16">'FERC Interest Rates'!$A$46:$C$57</definedName>
    <definedName name="FERCINT17" localSheetId="3">'FERC Interest Rates'!$A$58:$C$69</definedName>
    <definedName name="FERCINT17">'FERC Interest Rates'!$A$58:$C$69</definedName>
    <definedName name="FERCINT18" localSheetId="3">'FERC Interest Rates'!$A$70:$C$81</definedName>
    <definedName name="FERCINT18">'FERC Interest Rates'!$A$70:$C$81</definedName>
    <definedName name="FERCINT19" localSheetId="3">'FERC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FERCINT25">'FERC Interest Rates'!$A$154:$C$165</definedName>
    <definedName name="_xlnm.Print_Area" localSheetId="9">'Core Cost Incurred'!$A$1:$AD$53</definedName>
    <definedName name="_xlnm.Print_Area" localSheetId="1">'DG 1910.01253'!$A$1:$M$160</definedName>
    <definedName name="_xlnm.Print_Area" localSheetId="2">'DG 1910.01254'!$A$1:$N$158</definedName>
    <definedName name="_xlnm.Print_Area" localSheetId="3">'DG 1910.01286'!$A$1:$N$103</definedName>
    <definedName name="_xlnm.Print_Area" localSheetId="4">'DG 1910.01289'!$A$1:$M$60</definedName>
    <definedName name="_xlnm.Print_Area" localSheetId="6">'FERC Interest Rates'!$A$1:$D$165</definedName>
    <definedName name="_xlnm.Print_Area" localSheetId="7">'Therm Sales'!$A$1:$V$140</definedName>
    <definedName name="_xlnm.Print_Area" localSheetId="5">'WA Deferrals'!$A$1:$G$20</definedName>
    <definedName name="_xlnm.Print_Area" localSheetId="8">'WA Rates'!$A$1:$M$38</definedName>
    <definedName name="_xlnm.Print_Titles" localSheetId="9">'Core Cost Incurred'!$B:$F</definedName>
    <definedName name="_xlnm.Print_Titles" localSheetId="8">'WA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36" l="1"/>
  <c r="M54" i="337"/>
  <c r="AC41" i="337"/>
  <c r="AB41" i="337"/>
  <c r="Z41" i="337"/>
  <c r="W41" i="337"/>
  <c r="T41" i="337"/>
  <c r="Q41" i="337"/>
  <c r="AC40" i="337"/>
  <c r="AC42" i="337" s="1"/>
  <c r="AB40" i="337"/>
  <c r="AB42" i="337" s="1"/>
  <c r="Z40" i="337"/>
  <c r="W40" i="337"/>
  <c r="Y38" i="337"/>
  <c r="V38" i="337"/>
  <c r="S38" i="337"/>
  <c r="P38" i="337"/>
  <c r="AC37" i="337"/>
  <c r="AB37" i="337"/>
  <c r="Z37" i="337"/>
  <c r="Z38" i="337" s="1"/>
  <c r="W37" i="337"/>
  <c r="W38" i="337" s="1"/>
  <c r="T37" i="337"/>
  <c r="T38" i="337" s="1"/>
  <c r="Q37" i="337"/>
  <c r="Q38" i="337" s="1"/>
  <c r="N36" i="337"/>
  <c r="H36" i="337" s="1"/>
  <c r="K36" i="337"/>
  <c r="N35" i="337"/>
  <c r="K35" i="337"/>
  <c r="N34" i="337"/>
  <c r="K34" i="337"/>
  <c r="H34" i="337"/>
  <c r="N33" i="337"/>
  <c r="H33" i="337" s="1"/>
  <c r="K33" i="337"/>
  <c r="N32" i="337"/>
  <c r="H32" i="337" s="1"/>
  <c r="K32" i="337"/>
  <c r="N31" i="337"/>
  <c r="K31" i="337"/>
  <c r="H31" i="337"/>
  <c r="N30" i="337"/>
  <c r="H30" i="337" s="1"/>
  <c r="K30" i="337"/>
  <c r="N29" i="337"/>
  <c r="K29" i="337"/>
  <c r="N28" i="337"/>
  <c r="K28" i="337"/>
  <c r="H28" i="337" s="1"/>
  <c r="N27" i="337"/>
  <c r="K27" i="337"/>
  <c r="H27" i="337" s="1"/>
  <c r="N26" i="337"/>
  <c r="K26" i="337"/>
  <c r="H26" i="337"/>
  <c r="N25" i="337"/>
  <c r="K25" i="337"/>
  <c r="H25" i="337" s="1"/>
  <c r="N24" i="337"/>
  <c r="K24" i="337"/>
  <c r="N23" i="337"/>
  <c r="H23" i="337" s="1"/>
  <c r="K23" i="337"/>
  <c r="N22" i="337"/>
  <c r="K22" i="337"/>
  <c r="AC21" i="337"/>
  <c r="AB21" i="337"/>
  <c r="N20" i="337"/>
  <c r="K20" i="337"/>
  <c r="H20" i="337" s="1"/>
  <c r="N19" i="337"/>
  <c r="K19" i="337"/>
  <c r="H19" i="337" s="1"/>
  <c r="N18" i="337"/>
  <c r="K18" i="337"/>
  <c r="H18" i="337"/>
  <c r="N17" i="337"/>
  <c r="K17" i="337"/>
  <c r="N16" i="337"/>
  <c r="K16" i="337"/>
  <c r="H16" i="337" s="1"/>
  <c r="AC15" i="337"/>
  <c r="AB15" i="337"/>
  <c r="N14" i="337"/>
  <c r="M14" i="337"/>
  <c r="K14" i="337"/>
  <c r="J14" i="337"/>
  <c r="N13" i="337"/>
  <c r="M13" i="337"/>
  <c r="K13" i="337"/>
  <c r="J13" i="337"/>
  <c r="H13" i="337"/>
  <c r="G13" i="337"/>
  <c r="N12" i="337"/>
  <c r="H12" i="337" s="1"/>
  <c r="M12" i="337"/>
  <c r="G12" i="337" s="1"/>
  <c r="K12" i="337"/>
  <c r="J12" i="337"/>
  <c r="N11" i="337"/>
  <c r="M11" i="337"/>
  <c r="K11" i="337"/>
  <c r="J11" i="337"/>
  <c r="N10" i="337"/>
  <c r="M10" i="337"/>
  <c r="K10" i="337"/>
  <c r="H10" i="337" s="1"/>
  <c r="J10" i="337"/>
  <c r="G10" i="337" s="1"/>
  <c r="N9" i="337"/>
  <c r="K9" i="337"/>
  <c r="H9" i="337" s="1"/>
  <c r="T8" i="337"/>
  <c r="N8" i="337" s="1"/>
  <c r="Q8" i="337"/>
  <c r="K8" i="337" s="1"/>
  <c r="H8" i="337" s="1"/>
  <c r="M8" i="337"/>
  <c r="J8" i="337"/>
  <c r="G8" i="337"/>
  <c r="N7" i="337"/>
  <c r="K7" i="337"/>
  <c r="H7" i="337"/>
  <c r="N6" i="337"/>
  <c r="K6" i="337"/>
  <c r="H6" i="337"/>
  <c r="Z2" i="337"/>
  <c r="V2" i="337"/>
  <c r="H34" i="336"/>
  <c r="G34" i="336"/>
  <c r="F34" i="336"/>
  <c r="H33" i="336"/>
  <c r="K33" i="336" s="1"/>
  <c r="G33" i="336"/>
  <c r="J33" i="336" s="1"/>
  <c r="I32" i="336"/>
  <c r="G32" i="336"/>
  <c r="F32" i="336"/>
  <c r="H30" i="336"/>
  <c r="G30" i="336"/>
  <c r="F30" i="336"/>
  <c r="K29" i="336"/>
  <c r="J29" i="336"/>
  <c r="I29" i="336"/>
  <c r="L29" i="336" s="1"/>
  <c r="H29" i="336"/>
  <c r="G29" i="336"/>
  <c r="H28" i="336"/>
  <c r="G28" i="336"/>
  <c r="F28" i="336"/>
  <c r="K28" i="336" s="1"/>
  <c r="H26" i="336"/>
  <c r="G26" i="336"/>
  <c r="H25" i="336"/>
  <c r="K25" i="336" s="1"/>
  <c r="G25" i="336"/>
  <c r="J25" i="336" s="1"/>
  <c r="H24" i="336"/>
  <c r="G24" i="336"/>
  <c r="F24" i="336"/>
  <c r="H22" i="336"/>
  <c r="G22" i="336"/>
  <c r="F22" i="336"/>
  <c r="H21" i="336"/>
  <c r="K21" i="336" s="1"/>
  <c r="G21" i="336"/>
  <c r="J21" i="336" s="1"/>
  <c r="H20" i="336"/>
  <c r="G20" i="336"/>
  <c r="F20" i="336"/>
  <c r="P18" i="336"/>
  <c r="I18" i="336"/>
  <c r="H18" i="336"/>
  <c r="G18" i="336"/>
  <c r="F18" i="336"/>
  <c r="G17" i="336"/>
  <c r="F17" i="336"/>
  <c r="H15" i="336"/>
  <c r="G15" i="336"/>
  <c r="F15" i="336"/>
  <c r="I14" i="336"/>
  <c r="L14" i="336" s="1"/>
  <c r="H14" i="336"/>
  <c r="K14" i="336" s="1"/>
  <c r="G14" i="336"/>
  <c r="J14" i="336" s="1"/>
  <c r="G13" i="336"/>
  <c r="F13" i="336"/>
  <c r="H11" i="336"/>
  <c r="G11" i="336"/>
  <c r="F11" i="336"/>
  <c r="I10" i="336"/>
  <c r="L10" i="336" s="1"/>
  <c r="H10" i="336"/>
  <c r="K10" i="336" s="1"/>
  <c r="G10" i="336"/>
  <c r="J10" i="336" s="1"/>
  <c r="I9" i="336"/>
  <c r="I34" i="336" s="1"/>
  <c r="F9" i="336"/>
  <c r="H8" i="336"/>
  <c r="I8" i="336" s="1"/>
  <c r="B2" i="336"/>
  <c r="G12" i="335"/>
  <c r="D11" i="335"/>
  <c r="G11" i="335" s="1"/>
  <c r="G5" i="335"/>
  <c r="C1" i="335"/>
  <c r="G160" i="230"/>
  <c r="D158" i="231"/>
  <c r="H24" i="337" l="1"/>
  <c r="H11" i="337"/>
  <c r="K37" i="337"/>
  <c r="H29" i="337"/>
  <c r="H35" i="337"/>
  <c r="J15" i="337"/>
  <c r="J38" i="337" s="1"/>
  <c r="N37" i="337"/>
  <c r="AB38" i="337"/>
  <c r="T40" i="337"/>
  <c r="T42" i="337" s="1"/>
  <c r="T46" i="337" s="1"/>
  <c r="K15" i="337"/>
  <c r="M15" i="337"/>
  <c r="M38" i="337" s="1"/>
  <c r="AC38" i="337"/>
  <c r="G11" i="337"/>
  <c r="N21" i="337"/>
  <c r="N15" i="337"/>
  <c r="N38" i="337" s="1"/>
  <c r="W42" i="337"/>
  <c r="Q49" i="337" s="1"/>
  <c r="J30" i="336"/>
  <c r="J15" i="336"/>
  <c r="J13" i="336"/>
  <c r="J28" i="336"/>
  <c r="M14" i="336"/>
  <c r="J18" i="336"/>
  <c r="J32" i="336"/>
  <c r="K26" i="336"/>
  <c r="I21" i="336"/>
  <c r="L21" i="336" s="1"/>
  <c r="M21" i="336" s="1"/>
  <c r="I24" i="336"/>
  <c r="J22" i="336"/>
  <c r="I15" i="336"/>
  <c r="L15" i="336" s="1"/>
  <c r="K30" i="336"/>
  <c r="I22" i="336"/>
  <c r="L22" i="336" s="1"/>
  <c r="L32" i="336"/>
  <c r="F35" i="336"/>
  <c r="F37" i="336" s="1"/>
  <c r="J26" i="336"/>
  <c r="J11" i="336"/>
  <c r="I28" i="336"/>
  <c r="L28" i="336" s="1"/>
  <c r="J24" i="336"/>
  <c r="I11" i="336"/>
  <c r="J17" i="336"/>
  <c r="L9" i="336"/>
  <c r="I17" i="336"/>
  <c r="L17" i="336" s="1"/>
  <c r="K32" i="336"/>
  <c r="I30" i="336"/>
  <c r="L30" i="336" s="1"/>
  <c r="M10" i="336"/>
  <c r="I13" i="336"/>
  <c r="I20" i="336"/>
  <c r="L20" i="336" s="1"/>
  <c r="I25" i="336"/>
  <c r="L25" i="336" s="1"/>
  <c r="M25" i="336" s="1"/>
  <c r="M24" i="336"/>
  <c r="M29" i="336"/>
  <c r="L24" i="336"/>
  <c r="K24" i="336"/>
  <c r="K9" i="336"/>
  <c r="J9" i="336"/>
  <c r="L11" i="336"/>
  <c r="K11" i="336"/>
  <c r="K15" i="336"/>
  <c r="J20" i="336"/>
  <c r="K22" i="336"/>
  <c r="J34" i="336"/>
  <c r="K40" i="337"/>
  <c r="K13" i="336"/>
  <c r="L13" i="336"/>
  <c r="M13" i="336" s="1"/>
  <c r="K17" i="336"/>
  <c r="H17" i="337"/>
  <c r="H21" i="337" s="1"/>
  <c r="K21" i="337"/>
  <c r="K20" i="336"/>
  <c r="L18" i="336"/>
  <c r="K18" i="336"/>
  <c r="K34" i="336"/>
  <c r="Z42" i="337"/>
  <c r="N41" i="337"/>
  <c r="L34" i="336"/>
  <c r="G14" i="337"/>
  <c r="N40" i="337"/>
  <c r="H14" i="337"/>
  <c r="H15" i="337" s="1"/>
  <c r="H22" i="337"/>
  <c r="Q40" i="337"/>
  <c r="Q42" i="337" s="1"/>
  <c r="Q46" i="337" s="1"/>
  <c r="I26" i="336"/>
  <c r="L26" i="336" s="1"/>
  <c r="K41" i="337"/>
  <c r="E8" i="335" s="1"/>
  <c r="I33" i="336"/>
  <c r="L33" i="336" s="1"/>
  <c r="M33" i="336" s="1"/>
  <c r="C6" i="290"/>
  <c r="C5" i="231"/>
  <c r="H37" i="337" l="1"/>
  <c r="G15" i="337"/>
  <c r="G38" i="337" s="1"/>
  <c r="K38" i="337"/>
  <c r="Q50" i="337"/>
  <c r="Q53" i="337" s="1"/>
  <c r="M28" i="336"/>
  <c r="M30" i="336"/>
  <c r="M18" i="336"/>
  <c r="M15" i="336"/>
  <c r="M11" i="336"/>
  <c r="M32" i="336"/>
  <c r="M26" i="336"/>
  <c r="M22" i="336"/>
  <c r="M17" i="336"/>
  <c r="K35" i="336"/>
  <c r="E6" i="335" s="1"/>
  <c r="E7" i="335" s="1"/>
  <c r="E9" i="335" s="1"/>
  <c r="L35" i="336"/>
  <c r="F6" i="335" s="1"/>
  <c r="F7" i="335" s="1"/>
  <c r="F13" i="335" s="1"/>
  <c r="F18" i="335" s="1"/>
  <c r="N42" i="337"/>
  <c r="K42" i="337"/>
  <c r="D8" i="335"/>
  <c r="G8" i="335" s="1"/>
  <c r="T49" i="337"/>
  <c r="T50" i="337" s="1"/>
  <c r="T53" i="337" s="1"/>
  <c r="H38" i="337"/>
  <c r="M20" i="336"/>
  <c r="M34" i="336"/>
  <c r="J35" i="336"/>
  <c r="D6" i="335" s="1"/>
  <c r="M9" i="336"/>
  <c r="B155" i="132"/>
  <c r="B156" i="132"/>
  <c r="D157" i="231"/>
  <c r="F9" i="335" l="1"/>
  <c r="M35" i="336"/>
  <c r="E18" i="335"/>
  <c r="E13" i="335"/>
  <c r="J42" i="337"/>
  <c r="M46" i="337"/>
  <c r="M55" i="337" s="1"/>
  <c r="D7" i="335"/>
  <c r="G6" i="335"/>
  <c r="G58" i="230"/>
  <c r="G58" i="3"/>
  <c r="G7" i="335" l="1"/>
  <c r="D9" i="335"/>
  <c r="G56" i="334"/>
  <c r="E58" i="334"/>
  <c r="C58" i="334"/>
  <c r="G57" i="334"/>
  <c r="G55" i="334"/>
  <c r="G54" i="334"/>
  <c r="G53" i="334"/>
  <c r="G52" i="334"/>
  <c r="G51" i="334"/>
  <c r="G50" i="334"/>
  <c r="G49" i="334"/>
  <c r="G48" i="334"/>
  <c r="G47" i="334"/>
  <c r="G46" i="334"/>
  <c r="G45" i="334"/>
  <c r="G44" i="334"/>
  <c r="G43" i="334"/>
  <c r="G42" i="334"/>
  <c r="G41" i="334"/>
  <c r="G40" i="334"/>
  <c r="G39" i="334"/>
  <c r="G38" i="334"/>
  <c r="G37" i="334"/>
  <c r="G36" i="334"/>
  <c r="G34" i="334"/>
  <c r="G33" i="334"/>
  <c r="G32" i="334"/>
  <c r="G31" i="334"/>
  <c r="G30" i="334"/>
  <c r="G29" i="334"/>
  <c r="G28" i="334"/>
  <c r="G27" i="334"/>
  <c r="G26" i="334"/>
  <c r="G25" i="334"/>
  <c r="G24" i="334"/>
  <c r="G23" i="334"/>
  <c r="G22" i="334"/>
  <c r="G21" i="334"/>
  <c r="G20" i="334"/>
  <c r="G19" i="334"/>
  <c r="G18" i="334"/>
  <c r="G17" i="334"/>
  <c r="G16" i="334"/>
  <c r="G15" i="334"/>
  <c r="G14" i="334"/>
  <c r="G13" i="334"/>
  <c r="G12" i="334"/>
  <c r="G11" i="334"/>
  <c r="G10" i="334"/>
  <c r="G9" i="334"/>
  <c r="G8" i="334"/>
  <c r="G7" i="334"/>
  <c r="G6" i="334"/>
  <c r="G5" i="334"/>
  <c r="G4" i="334"/>
  <c r="G9" i="335" l="1"/>
  <c r="G13" i="335" s="1"/>
  <c r="D13" i="335"/>
  <c r="G35" i="334"/>
  <c r="G58" i="334" s="1"/>
  <c r="D18" i="335" l="1"/>
  <c r="G18" i="335" s="1"/>
  <c r="D156" i="231"/>
  <c r="G158" i="230"/>
  <c r="M60" i="293" l="1"/>
  <c r="L60" i="293"/>
  <c r="M59" i="293"/>
  <c r="L59" i="293"/>
  <c r="M58" i="293"/>
  <c r="L58" i="293"/>
  <c r="M57" i="293"/>
  <c r="L57" i="293"/>
  <c r="M103" i="290"/>
  <c r="L103" i="290"/>
  <c r="M102" i="290"/>
  <c r="L102" i="290"/>
  <c r="M101" i="290"/>
  <c r="L101" i="290"/>
  <c r="M100" i="290"/>
  <c r="L100" i="290"/>
  <c r="M157" i="231"/>
  <c r="M156" i="231"/>
  <c r="L158" i="231"/>
  <c r="L157" i="231"/>
  <c r="L156" i="231"/>
  <c r="M155" i="231"/>
  <c r="L155" i="231"/>
  <c r="M158" i="231" l="1"/>
  <c r="D155" i="231" l="1"/>
  <c r="G157" i="230"/>
  <c r="S62" i="293" l="1"/>
  <c r="S61" i="293"/>
  <c r="V101" i="290"/>
  <c r="V100" i="290"/>
  <c r="X96" i="290" l="1"/>
  <c r="T94" i="290"/>
  <c r="T93" i="290"/>
  <c r="R93" i="290"/>
  <c r="T60" i="293" l="1"/>
  <c r="R60" i="293"/>
  <c r="P60" i="293"/>
  <c r="U59" i="293"/>
  <c r="U58" i="293"/>
  <c r="U57" i="293"/>
  <c r="U56" i="293"/>
  <c r="U55" i="293"/>
  <c r="S60" i="293"/>
  <c r="U54" i="293"/>
  <c r="U61" i="293" s="1"/>
  <c r="W99" i="290"/>
  <c r="V99" i="290"/>
  <c r="U99" i="290"/>
  <c r="S99" i="290"/>
  <c r="Q99" i="290"/>
  <c r="P99" i="290"/>
  <c r="X98" i="290"/>
  <c r="X97" i="290"/>
  <c r="X95" i="290"/>
  <c r="X94" i="290"/>
  <c r="T99" i="290"/>
  <c r="R99" i="290"/>
  <c r="X101" i="290" l="1"/>
  <c r="U62" i="293"/>
  <c r="U60" i="293"/>
  <c r="E57" i="293" s="1"/>
  <c r="Q60" i="293"/>
  <c r="X93" i="290"/>
  <c r="X100" i="290" s="1"/>
  <c r="E100" i="290" l="1"/>
  <c r="X102" i="290"/>
  <c r="U63" i="293"/>
  <c r="X99" i="290"/>
  <c r="T140" i="3" l="1"/>
  <c r="S140" i="3"/>
  <c r="O140" i="3"/>
  <c r="H140" i="3"/>
  <c r="E140" i="3"/>
  <c r="A140" i="3"/>
  <c r="T139" i="3"/>
  <c r="S139" i="3"/>
  <c r="O139" i="3"/>
  <c r="H139" i="3"/>
  <c r="E139" i="3"/>
  <c r="A139" i="3"/>
  <c r="T138" i="3"/>
  <c r="S138" i="3"/>
  <c r="O138" i="3"/>
  <c r="H138" i="3"/>
  <c r="E138" i="3"/>
  <c r="A138" i="3"/>
  <c r="T137" i="3"/>
  <c r="S137" i="3"/>
  <c r="O137" i="3"/>
  <c r="H137" i="3"/>
  <c r="E137" i="3"/>
  <c r="A137" i="3"/>
  <c r="I140" i="3" l="1"/>
  <c r="L140" i="3" s="1"/>
  <c r="P140" i="3" s="1"/>
  <c r="Q140" i="3" s="1"/>
  <c r="I138" i="3"/>
  <c r="C101" i="290" s="1"/>
  <c r="E101" i="290" s="1"/>
  <c r="I137" i="3"/>
  <c r="I139" i="3"/>
  <c r="J139" i="3" s="1"/>
  <c r="C59" i="293" s="1"/>
  <c r="E59" i="293" s="1"/>
  <c r="J138" i="3"/>
  <c r="C58" i="293" s="1"/>
  <c r="E58" i="293" s="1"/>
  <c r="L138" i="3"/>
  <c r="P138" i="3" s="1"/>
  <c r="Q138" i="3" s="1"/>
  <c r="D153" i="231"/>
  <c r="D155" i="230"/>
  <c r="J140" i="3" l="1"/>
  <c r="C60" i="293" s="1"/>
  <c r="E60" i="293" s="1"/>
  <c r="C103" i="290"/>
  <c r="E103" i="290" s="1"/>
  <c r="L139" i="3"/>
  <c r="P139" i="3" s="1"/>
  <c r="Q139" i="3" s="1"/>
  <c r="C102" i="290"/>
  <c r="E102" i="290" s="1"/>
  <c r="C100" i="290"/>
  <c r="J137" i="3"/>
  <c r="C57" i="293" s="1"/>
  <c r="L137" i="3"/>
  <c r="P137" i="3" s="1"/>
  <c r="Q137" i="3" s="1"/>
  <c r="D152" i="231" l="1"/>
  <c r="G154" i="230"/>
  <c r="S135" i="3" l="1"/>
  <c r="S134" i="3" l="1"/>
  <c r="C134" i="3" l="1"/>
  <c r="D151" i="231" l="1"/>
  <c r="G153" i="230"/>
  <c r="K134" i="3" l="1"/>
  <c r="N134" i="3" l="1"/>
  <c r="O134" i="3" s="1"/>
  <c r="V134" i="3"/>
  <c r="T135" i="3" s="1"/>
  <c r="N133" i="3"/>
  <c r="G134" i="3"/>
  <c r="H134" i="3" s="1"/>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97" i="290"/>
  <c r="A98" i="290"/>
  <c r="A87" i="290"/>
  <c r="U48" i="293"/>
  <c r="U47" i="293"/>
  <c r="C44" i="293" s="1"/>
  <c r="U45" i="293"/>
  <c r="A45" i="293"/>
  <c r="A46" i="293"/>
  <c r="A47" i="293"/>
  <c r="A48" i="293"/>
  <c r="A49" i="293"/>
  <c r="A50" i="293"/>
  <c r="A51" i="293"/>
  <c r="A52" i="293"/>
  <c r="A53" i="293"/>
  <c r="A54" i="293"/>
  <c r="A55" i="293"/>
  <c r="A57" i="293"/>
  <c r="A44" i="293"/>
  <c r="E87" i="290" l="1"/>
  <c r="X87" i="290"/>
  <c r="U44" i="293"/>
  <c r="E44" i="293" s="1"/>
  <c r="U50" i="293" l="1"/>
  <c r="A143" i="231" l="1"/>
  <c r="A144" i="231"/>
  <c r="A145" i="231"/>
  <c r="A146" i="231"/>
  <c r="A147" i="231"/>
  <c r="A148" i="231"/>
  <c r="A149" i="231"/>
  <c r="A150" i="231"/>
  <c r="A151" i="231"/>
  <c r="A152" i="231"/>
  <c r="A153" i="231"/>
  <c r="A142" i="231"/>
  <c r="A145" i="230"/>
  <c r="A146" i="230"/>
  <c r="A147" i="230"/>
  <c r="A148" i="230"/>
  <c r="A149" i="230"/>
  <c r="A150" i="230"/>
  <c r="A151" i="230"/>
  <c r="A152" i="230"/>
  <c r="A153" i="230"/>
  <c r="A154" i="230"/>
  <c r="A155" i="230"/>
  <c r="A144" i="230"/>
  <c r="T136" i="3" l="1"/>
  <c r="S136" i="3"/>
  <c r="O136" i="3"/>
  <c r="H136" i="3"/>
  <c r="E136" i="3"/>
  <c r="O135" i="3"/>
  <c r="H135" i="3"/>
  <c r="E135" i="3"/>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A135" i="3"/>
  <c r="A136" i="3"/>
  <c r="B143" i="132"/>
  <c r="B144" i="132" s="1"/>
  <c r="B145" i="132" s="1"/>
  <c r="B146" i="132" s="1"/>
  <c r="B147" i="132" s="1"/>
  <c r="B148" i="132" s="1"/>
  <c r="B149" i="132" s="1"/>
  <c r="B150" i="132" s="1"/>
  <c r="B151" i="132" s="1"/>
  <c r="D140" i="231"/>
  <c r="G142" i="230"/>
  <c r="I133" i="3" l="1"/>
  <c r="J133" i="3" s="1"/>
  <c r="C52" i="293" s="1"/>
  <c r="E52" i="293" s="1"/>
  <c r="I128" i="3"/>
  <c r="I127" i="3"/>
  <c r="L127" i="3" s="1"/>
  <c r="P127" i="3" s="1"/>
  <c r="Q127" i="3" s="1"/>
  <c r="C95" i="290"/>
  <c r="E95" i="290" s="1"/>
  <c r="C90" i="290"/>
  <c r="E90" i="290" s="1"/>
  <c r="I134" i="3"/>
  <c r="I135" i="3"/>
  <c r="L135" i="3" s="1"/>
  <c r="P135" i="3" s="1"/>
  <c r="I126" i="3"/>
  <c r="I132" i="3"/>
  <c r="I125" i="3"/>
  <c r="I136" i="3"/>
  <c r="I129" i="3"/>
  <c r="I130" i="3"/>
  <c r="I131" i="3"/>
  <c r="J128" i="3"/>
  <c r="C47" i="293" s="1"/>
  <c r="E47" i="293" s="1"/>
  <c r="L128" i="3"/>
  <c r="P128" i="3" s="1"/>
  <c r="Q128" i="3" s="1"/>
  <c r="L133" i="3"/>
  <c r="P133" i="3" s="1"/>
  <c r="Q133" i="3" s="1"/>
  <c r="T126" i="3"/>
  <c r="T134" i="3"/>
  <c r="T129" i="3"/>
  <c r="J136" i="3" l="1"/>
  <c r="C55" i="293" s="1"/>
  <c r="E55" i="293" s="1"/>
  <c r="C89" i="290"/>
  <c r="E89" i="290" s="1"/>
  <c r="J127" i="3"/>
  <c r="C46" i="293" s="1"/>
  <c r="E46" i="293" s="1"/>
  <c r="C88" i="290"/>
  <c r="E88" i="290" s="1"/>
  <c r="J134" i="3"/>
  <c r="L134" i="3"/>
  <c r="P134" i="3" s="1"/>
  <c r="Q134" i="3" s="1"/>
  <c r="Q135" i="3"/>
  <c r="J135" i="3"/>
  <c r="C54" i="293" s="1"/>
  <c r="E54" i="293" s="1"/>
  <c r="L136" i="3"/>
  <c r="P136" i="3" s="1"/>
  <c r="C97" i="290"/>
  <c r="E97" i="290" s="1"/>
  <c r="L129" i="3"/>
  <c r="P129" i="3" s="1"/>
  <c r="Q129" i="3" s="1"/>
  <c r="C91" i="290"/>
  <c r="E91" i="290" s="1"/>
  <c r="L126" i="3"/>
  <c r="P126" i="3" s="1"/>
  <c r="Q126" i="3" s="1"/>
  <c r="C98" i="290"/>
  <c r="E98" i="290" s="1"/>
  <c r="C93" i="290"/>
  <c r="E93" i="290" s="1"/>
  <c r="C96" i="290"/>
  <c r="E96" i="290" s="1"/>
  <c r="C92" i="290"/>
  <c r="E92" i="290" s="1"/>
  <c r="J132" i="3"/>
  <c r="C51" i="293" s="1"/>
  <c r="E51" i="293" s="1"/>
  <c r="C94" i="290"/>
  <c r="E94" i="290" s="1"/>
  <c r="L125" i="3"/>
  <c r="P125" i="3" s="1"/>
  <c r="L132" i="3"/>
  <c r="P132" i="3" s="1"/>
  <c r="Q132" i="3" s="1"/>
  <c r="J126" i="3"/>
  <c r="C45" i="293" s="1"/>
  <c r="E45" i="293" s="1"/>
  <c r="J129" i="3"/>
  <c r="C48" i="293" s="1"/>
  <c r="E48" i="293" s="1"/>
  <c r="L130" i="3"/>
  <c r="P130" i="3" s="1"/>
  <c r="Q130" i="3" s="1"/>
  <c r="J130" i="3"/>
  <c r="C49" i="293" s="1"/>
  <c r="E49" i="293" s="1"/>
  <c r="J131" i="3"/>
  <c r="C50" i="293" s="1"/>
  <c r="E50" i="293" s="1"/>
  <c r="L131" i="3"/>
  <c r="P131" i="3" s="1"/>
  <c r="Q131" i="3" s="1"/>
  <c r="N124" i="3"/>
  <c r="K124" i="3"/>
  <c r="G124" i="3"/>
  <c r="C124" i="3"/>
  <c r="V124" i="3"/>
  <c r="T125" i="3" s="1"/>
  <c r="J125" i="3" s="1"/>
  <c r="Q125" i="3" l="1"/>
  <c r="Q136" i="3"/>
  <c r="C53" i="293"/>
  <c r="E53"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L124" i="3" l="1"/>
  <c r="P124" i="3" s="1"/>
  <c r="Q124" i="3" s="1"/>
  <c r="J118" i="3"/>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L47" i="3" s="1"/>
  <c r="P47" i="3" s="1"/>
  <c r="I46" i="3"/>
  <c r="B63" i="132"/>
  <c r="B65" i="132" s="1"/>
  <c r="B66" i="132" s="1"/>
  <c r="B68" i="132" s="1"/>
  <c r="I43" i="3"/>
  <c r="I41" i="3"/>
  <c r="I48" i="3"/>
  <c r="C26" i="290" s="1"/>
  <c r="E26" i="290"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3" i="293"/>
  <c r="K37" i="293"/>
  <c r="N28" i="3"/>
  <c r="R28" i="3"/>
  <c r="K28" i="3"/>
  <c r="G28" i="3"/>
  <c r="F28" i="3"/>
  <c r="C28" i="3"/>
  <c r="D28" i="3"/>
  <c r="F44" i="293" l="1"/>
  <c r="K38" i="293"/>
  <c r="K39" i="293"/>
  <c r="D36" i="231"/>
  <c r="H44" i="293" l="1"/>
  <c r="K44" i="293" s="1"/>
  <c r="F45" i="293" l="1"/>
  <c r="N27" i="3"/>
  <c r="R27" i="3"/>
  <c r="K27" i="3"/>
  <c r="H45" i="293" l="1"/>
  <c r="K45" i="293" s="1"/>
  <c r="G27" i="3"/>
  <c r="C27" i="3"/>
  <c r="D27" i="3"/>
  <c r="F27" i="3"/>
  <c r="F46" i="293" l="1"/>
  <c r="H46" i="293" s="1"/>
  <c r="F47" i="293" s="1"/>
  <c r="H47" i="293" s="1"/>
  <c r="K47" i="293" s="1"/>
  <c r="F48" i="293" l="1"/>
  <c r="H48" i="293" s="1"/>
  <c r="F49" i="293" s="1"/>
  <c r="K46"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8" i="293" l="1"/>
  <c r="H49" i="293"/>
  <c r="F50" i="293" s="1"/>
  <c r="H50" i="293" s="1"/>
  <c r="I40" i="3"/>
  <c r="I39" i="3"/>
  <c r="I38" i="3"/>
  <c r="L38" i="3" s="1"/>
  <c r="P38" i="3" s="1"/>
  <c r="I36" i="3"/>
  <c r="I34" i="3"/>
  <c r="L34" i="3" s="1"/>
  <c r="P34" i="3" s="1"/>
  <c r="A33" i="3"/>
  <c r="A40" i="230"/>
  <c r="I35" i="3"/>
  <c r="I31" i="3"/>
  <c r="I33" i="3"/>
  <c r="I37" i="3"/>
  <c r="I32" i="3"/>
  <c r="I30" i="3"/>
  <c r="I29" i="3"/>
  <c r="D34" i="231"/>
  <c r="K49" i="293" l="1"/>
  <c r="F51" i="293"/>
  <c r="H51" i="293" s="1"/>
  <c r="K50"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2" i="293" l="1"/>
  <c r="K51" i="293"/>
  <c r="R26" i="3"/>
  <c r="N26" i="3"/>
  <c r="K26" i="3"/>
  <c r="G26" i="3"/>
  <c r="F26" i="3"/>
  <c r="H52" i="293" l="1"/>
  <c r="F53" i="293" s="1"/>
  <c r="H53" i="293" s="1"/>
  <c r="D33" i="231"/>
  <c r="K52" i="293" l="1"/>
  <c r="F54" i="293"/>
  <c r="H54" i="293" s="1"/>
  <c r="K53" i="293"/>
  <c r="N25" i="3"/>
  <c r="R25" i="3"/>
  <c r="K25" i="3"/>
  <c r="G25" i="3"/>
  <c r="F25" i="3"/>
  <c r="F55" i="293" l="1"/>
  <c r="K54" i="293"/>
  <c r="O25" i="3"/>
  <c r="H55" i="293" l="1"/>
  <c r="H56" i="293" s="1"/>
  <c r="D32" i="231"/>
  <c r="F57" i="293" l="1"/>
  <c r="H57" i="293" s="1"/>
  <c r="K55" i="293"/>
  <c r="R24" i="3"/>
  <c r="N24" i="3"/>
  <c r="K24" i="3"/>
  <c r="G24" i="3"/>
  <c r="F24" i="3"/>
  <c r="K57" i="293" l="1"/>
  <c r="F58" i="293"/>
  <c r="D31" i="231"/>
  <c r="H58" i="293" l="1"/>
  <c r="F59" i="293" s="1"/>
  <c r="R23" i="3"/>
  <c r="N23" i="3"/>
  <c r="K23" i="3"/>
  <c r="G23" i="3"/>
  <c r="F23" i="3"/>
  <c r="H59" i="293" l="1"/>
  <c r="F60" i="293" s="1"/>
  <c r="H60" i="293" s="1"/>
  <c r="K58" i="293"/>
  <c r="R22" i="3"/>
  <c r="N22" i="3"/>
  <c r="K22" i="3"/>
  <c r="G22" i="3"/>
  <c r="F22" i="3"/>
  <c r="K59" i="293" l="1"/>
  <c r="K60" i="293"/>
  <c r="D29" i="23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87" i="290" s="1"/>
  <c r="F39" i="231"/>
  <c r="H39" i="231" s="1"/>
  <c r="F40" i="231" s="1"/>
  <c r="H40" i="231" s="1"/>
  <c r="H87" i="290" l="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s="1"/>
  <c r="H96" i="290" s="1"/>
  <c r="K49" i="231"/>
  <c r="K50" i="231"/>
  <c r="F51" i="231"/>
  <c r="H51" i="231" s="1"/>
  <c r="K95" i="290" l="1"/>
  <c r="F97" i="290"/>
  <c r="H97" i="290" s="1"/>
  <c r="K96" i="290"/>
  <c r="K51" i="231"/>
  <c r="F52" i="231"/>
  <c r="H52" i="231" s="1"/>
  <c r="H27" i="230"/>
  <c r="F28" i="230" s="1"/>
  <c r="F98" i="290" l="1"/>
  <c r="H98" i="290" s="1"/>
  <c r="K97" i="290"/>
  <c r="K52" i="231"/>
  <c r="F53" i="231"/>
  <c r="H53" i="231" s="1"/>
  <c r="H28" i="230"/>
  <c r="F29" i="230" s="1"/>
  <c r="K27" i="230"/>
  <c r="H99" i="290" l="1"/>
  <c r="F100" i="290" s="1"/>
  <c r="K53" i="231"/>
  <c r="F54" i="231"/>
  <c r="H54" i="231" s="1"/>
  <c r="H29" i="230"/>
  <c r="F30" i="230" s="1"/>
  <c r="K28" i="230"/>
  <c r="H100" i="290" l="1"/>
  <c r="K100" i="290" s="1"/>
  <c r="K98" i="290"/>
  <c r="K54" i="231"/>
  <c r="F55" i="231"/>
  <c r="K29" i="230"/>
  <c r="H30" i="230"/>
  <c r="F31" i="230" s="1"/>
  <c r="F101" i="290" l="1"/>
  <c r="H101" i="290" s="1"/>
  <c r="F102" i="290" s="1"/>
  <c r="H55" i="231"/>
  <c r="F56" i="231" s="1"/>
  <c r="H56" i="231" s="1"/>
  <c r="H31" i="230"/>
  <c r="F32" i="230" s="1"/>
  <c r="K30" i="230"/>
  <c r="K101" i="290" l="1"/>
  <c r="H102" i="290"/>
  <c r="F103" i="290" s="1"/>
  <c r="K55" i="231"/>
  <c r="K56" i="231"/>
  <c r="F57" i="231"/>
  <c r="H57" i="231" s="1"/>
  <c r="H32" i="230"/>
  <c r="F33" i="230" s="1"/>
  <c r="K31" i="230"/>
  <c r="H103" i="290" l="1"/>
  <c r="K102" i="290"/>
  <c r="K57" i="231"/>
  <c r="F58" i="231"/>
  <c r="H33" i="230"/>
  <c r="F34" i="230" s="1"/>
  <c r="K32" i="230"/>
  <c r="K103" i="290" l="1"/>
  <c r="H58" i="23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F151" i="231" s="1"/>
  <c r="H151" i="231" s="1"/>
  <c r="K150" i="231"/>
  <c r="K122" i="230"/>
  <c r="F124" i="230"/>
  <c r="H124" i="230" s="1"/>
  <c r="F152" i="231" l="1"/>
  <c r="H152" i="231" s="1"/>
  <c r="K151" i="231"/>
  <c r="F125" i="230"/>
  <c r="H125" i="230" s="1"/>
  <c r="K125" i="230" s="1"/>
  <c r="K124" i="230"/>
  <c r="F153" i="231" l="1"/>
  <c r="K152" i="231"/>
  <c r="F126" i="230"/>
  <c r="H153" i="231" l="1"/>
  <c r="H126" i="230"/>
  <c r="H154" i="231" l="1"/>
  <c r="F155" i="231" s="1"/>
  <c r="K153" i="231"/>
  <c r="K126" i="230"/>
  <c r="F127" i="230"/>
  <c r="H155" i="231" l="1"/>
  <c r="F156" i="231" s="1"/>
  <c r="H127" i="230"/>
  <c r="K127" i="230" s="1"/>
  <c r="H156" i="231" l="1"/>
  <c r="F157" i="231" s="1"/>
  <c r="H157" i="231" s="1"/>
  <c r="F158" i="231" s="1"/>
  <c r="K155" i="231"/>
  <c r="K156" i="231"/>
  <c r="F128" i="230"/>
  <c r="H158" i="231" l="1"/>
  <c r="K157" i="231"/>
  <c r="H128" i="230"/>
  <c r="K128" i="230" s="1"/>
  <c r="K158" i="231" l="1"/>
  <c r="F129" i="230"/>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l="1"/>
  <c r="K146" i="230"/>
  <c r="F148" i="230"/>
  <c r="H148" i="230" s="1"/>
  <c r="K147" i="230"/>
  <c r="F149" i="230" l="1"/>
  <c r="K148" i="230"/>
  <c r="H149" i="230" l="1"/>
  <c r="F150" i="230" s="1"/>
  <c r="H150" i="230" s="1"/>
  <c r="K149" i="230" l="1"/>
  <c r="F151" i="230"/>
  <c r="H151" i="230" s="1"/>
  <c r="K150" i="230"/>
  <c r="F152" i="230" l="1"/>
  <c r="K151" i="230"/>
  <c r="H152" i="230" l="1"/>
  <c r="F153" i="230" s="1"/>
  <c r="H153" i="230" s="1"/>
  <c r="K152" i="230" l="1"/>
  <c r="F154" i="230"/>
  <c r="H154" i="230" s="1"/>
  <c r="K153" i="230"/>
  <c r="F155" i="230" l="1"/>
  <c r="K154" i="230"/>
  <c r="H155" i="230" l="1"/>
  <c r="K155" i="230" l="1"/>
  <c r="H156" i="230"/>
  <c r="F157" i="230" l="1"/>
  <c r="H157" i="230" s="1"/>
  <c r="F158" i="230" l="1"/>
  <c r="H158" i="230" s="1"/>
  <c r="F159" i="230" s="1"/>
  <c r="K157" i="230"/>
  <c r="H159" i="230" l="1"/>
  <c r="K158" i="230"/>
  <c r="F160" i="230" l="1"/>
  <c r="H160" i="230" s="1"/>
  <c r="K159" i="230"/>
  <c r="K160"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B11" authorId="0" shapeId="0" xr:uid="{1E7C2FEB-DD98-45D1-873F-528238968ED8}">
      <text>
        <r>
          <rPr>
            <b/>
            <sz val="8"/>
            <color indexed="81"/>
            <rFont val="Tahoma"/>
            <family val="2"/>
          </rPr>
          <t>If expense, debit to 47WA.4310.3111. If revenue, credit to 47WA.4190.1333</t>
        </r>
      </text>
    </comment>
    <comment ref="B57" authorId="0" shapeId="0" xr:uid="{32C92135-F0BF-43B0-BD8D-B341D2DBF566}">
      <text>
        <r>
          <rPr>
            <b/>
            <sz val="8"/>
            <color indexed="81"/>
            <rFont val="Tahoma"/>
            <family val="2"/>
          </rPr>
          <t>If expense, debit to 47WA.4310.3112. If revenue, credit to 47WA.4190.1334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<sst xmlns="http://schemas.openxmlformats.org/spreadsheetml/2006/main" count="1248" uniqueCount="325">
  <si>
    <t>WA Deferrals - Feb-25 JE True-up</t>
  </si>
  <si>
    <t>Original</t>
  </si>
  <si>
    <t>Corrected</t>
  </si>
  <si>
    <t>True-up</t>
  </si>
  <si>
    <t>47WA.6011.28051</t>
  </si>
  <si>
    <t>Deferral Corrections</t>
  </si>
  <si>
    <t>47WA.1910.01253</t>
  </si>
  <si>
    <t>47WA.1910.01254</t>
  </si>
  <si>
    <t>47WA.1910.01286</t>
  </si>
  <si>
    <t>47WA.1910.01289</t>
  </si>
  <si>
    <t>47WA.4190.1333</t>
  </si>
  <si>
    <t>47WA.4002.4800</t>
  </si>
  <si>
    <t>47WA.4002.4810</t>
  </si>
  <si>
    <t>47WA.4002.4809</t>
  </si>
  <si>
    <t>47WA.4002.4811</t>
  </si>
  <si>
    <t>47WA.4002.4813</t>
  </si>
  <si>
    <t>47WA.4890.4861</t>
  </si>
  <si>
    <t>47WA.4890.4863</t>
  </si>
  <si>
    <t>\47020478.5941.29080</t>
  </si>
  <si>
    <t>47WA.1860.20490</t>
  </si>
  <si>
    <t>47WA.1823.2073</t>
  </si>
  <si>
    <t>47WA.1823.2074</t>
  </si>
  <si>
    <t>47WA.1823.2075</t>
  </si>
  <si>
    <t>47WA.1823.2076</t>
  </si>
  <si>
    <t>47WA.1823.2059</t>
  </si>
  <si>
    <t>47WA.1823.2058</t>
  </si>
  <si>
    <t>47WA.1823.2065</t>
  </si>
  <si>
    <t>47WA.2540.20490</t>
  </si>
  <si>
    <t>47WA.1823.47020430</t>
  </si>
  <si>
    <t>47WA.1823.47020431</t>
  </si>
  <si>
    <t>47WA.1823.47020444</t>
  </si>
  <si>
    <t>47WA.1823.47020449</t>
  </si>
  <si>
    <t>47WA.1823.47020478</t>
  </si>
  <si>
    <t>47WA.1862.20477</t>
  </si>
  <si>
    <t>47WA.1862.20480</t>
  </si>
  <si>
    <t>47WA.1823.2078</t>
  </si>
  <si>
    <t>47WA.1860.20484</t>
  </si>
  <si>
    <t>47WA.1860.20485</t>
  </si>
  <si>
    <t>47WA.1860.20486</t>
  </si>
  <si>
    <t>47WA.2540.20483</t>
  </si>
  <si>
    <t>47WA.2540.20484</t>
  </si>
  <si>
    <t>47WA.4962</t>
  </si>
  <si>
    <t>47WA.4962.1</t>
  </si>
  <si>
    <t>47622WA.5941.28870</t>
  </si>
  <si>
    <t>47WA.6011.25090</t>
  </si>
  <si>
    <t>47WA.1823.2066</t>
  </si>
  <si>
    <t>47WA.4118.1000</t>
  </si>
  <si>
    <t>47WA.4118.2000</t>
  </si>
  <si>
    <t>47WA.4190.1335</t>
  </si>
  <si>
    <t>47WA.4310.3113</t>
  </si>
  <si>
    <t>47WA.4190.1334</t>
  </si>
  <si>
    <t>47WA.2429.02</t>
  </si>
  <si>
    <t>State:</t>
  </si>
  <si>
    <t>Washington</t>
  </si>
  <si>
    <t>Description:</t>
  </si>
  <si>
    <t>Core Market Commodity Changes</t>
  </si>
  <si>
    <t>Account number:</t>
  </si>
  <si>
    <t>47WA.1910.01253   (Previously 47WA.2530.01253)</t>
  </si>
  <si>
    <t>Class of customers:</t>
  </si>
  <si>
    <t>Core</t>
  </si>
  <si>
    <t>Deferral period:</t>
  </si>
  <si>
    <t>11/01/2024 through 10/31/2025</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</si>
  <si>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</si>
  <si>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</si>
  <si>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</si>
  <si>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</si>
  <si>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</si>
  <si>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</si>
  <si>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</si>
  <si>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Month/ Year</t>
  </si>
  <si>
    <t>Rate</t>
  </si>
  <si>
    <t>Therms</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</si>
  <si>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</si>
  <si>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</si>
  <si>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</si>
  <si>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</si>
  <si>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</si>
  <si>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</si>
  <si>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</si>
  <si>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</si>
  <si>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</si>
  <si>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</si>
  <si>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</si>
  <si>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</si>
  <si>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</si>
  <si>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T Durado</t>
  </si>
  <si>
    <t>Balance transferred to DG01286</t>
  </si>
  <si>
    <t>Balance transferred to 47WA.2530.01288</t>
  </si>
  <si>
    <t>Balance transferred to 47WA.2530.01289</t>
  </si>
  <si>
    <t>Balance transferred to 47WA.1910.01286</t>
  </si>
  <si>
    <t>Balance transferred from 47WA.1910.01288</t>
  </si>
  <si>
    <t>Feb-Apr True-up added $329.91 of add'l interest</t>
  </si>
  <si>
    <t>Balance transferred to 47WA.1910.01288</t>
  </si>
  <si>
    <t>Balance transferred to 47WA.1910.01289</t>
  </si>
  <si>
    <t>Brian</t>
  </si>
  <si>
    <t>Core Market Demand Cost Changes</t>
  </si>
  <si>
    <t xml:space="preserve">47WA.1910.01254 </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</si>
  <si>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</si>
  <si>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</si>
  <si>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</si>
  <si>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192.33 True up occurred in Dec…should have been Nov</t>
  </si>
  <si>
    <t>True up from OR of 225K-Caused 5K change in int</t>
  </si>
  <si>
    <t>($11,396.84) Int True-up  Jan Gas Cost Adj Reversed in Mar</t>
  </si>
  <si>
    <t>Feb-Apr True-up subtracted ($329.91) from interest</t>
  </si>
  <si>
    <t>Fix Int in June</t>
  </si>
  <si>
    <t>Interest true-up</t>
  </si>
  <si>
    <t>WA Consolidated Technical Adjustments - Gas Cost</t>
  </si>
  <si>
    <r>
      <rPr>
        <sz val="11"/>
        <rFont val="Arial"/>
        <family val="2"/>
      </rPr>
      <t>47WA.1910.01286</t>
    </r>
    <r>
      <rPr>
        <sz val="10"/>
        <rFont val="Arial"/>
        <family val="2"/>
      </rPr>
      <t xml:space="preserve">   (Previously 47WA.2530.01286)</t>
    </r>
  </si>
  <si>
    <t>Consolidation of Core gas cost residual deferral balances.  (Schedule 590)</t>
  </si>
  <si>
    <t>Balance transferred from DG01253</t>
  </si>
  <si>
    <t>Balance transferred from DG01254</t>
  </si>
  <si>
    <t>Balance transferred from DG01284</t>
  </si>
  <si>
    <t>Balance transferred from RA20470</t>
  </si>
  <si>
    <t>Balance transferred from RA20458N</t>
  </si>
  <si>
    <t>Prorated</t>
  </si>
  <si>
    <t>Total</t>
  </si>
  <si>
    <t>Old Therms</t>
  </si>
  <si>
    <t>Balance transferred from 01253 and 01254</t>
  </si>
  <si>
    <t>New Therms</t>
  </si>
  <si>
    <t>Net Old Therms</t>
  </si>
  <si>
    <t>Net New Therms</t>
  </si>
  <si>
    <t>Balance transferred to 01289</t>
  </si>
  <si>
    <t>Balance transferred from  01253, 01254, 01289</t>
  </si>
  <si>
    <t>Nov Prorated rate for old therms is the '20-'21 rate from the 2530.01289 Amort</t>
  </si>
  <si>
    <t>CA ALL Old Therms</t>
  </si>
  <si>
    <t>CA ALL New Therms</t>
  </si>
  <si>
    <t>PM 1501 00</t>
  </si>
  <si>
    <t>CM 1501 00</t>
  </si>
  <si>
    <t>PM Unbilled</t>
  </si>
  <si>
    <t>CM Unbilled</t>
  </si>
  <si>
    <t>Balance transferred from 47WA.1910.01254</t>
  </si>
  <si>
    <t>Interest True-up</t>
  </si>
  <si>
    <t>Gas Cost Amort 2 year</t>
  </si>
  <si>
    <t>Core (503, 504, 505, 511, 570)</t>
  </si>
  <si>
    <t>11/1/23 to 10/31/25</t>
  </si>
  <si>
    <t>Amortization of Normal Gas Cost (Commodity Only) PGA over a 2 year period due to price spike caused by January 23 market conditions.  (Schedule 590) (Advice No. WA23-09-01)</t>
  </si>
  <si>
    <t>Balance transferred from 47WA.2530.01253</t>
  </si>
  <si>
    <t>Balance transferred from 47WA.2530.01254</t>
  </si>
  <si>
    <t>Old 1501A</t>
  </si>
  <si>
    <t>Balance transferred from 47WA.2530.01286</t>
  </si>
  <si>
    <t>New 1501A</t>
  </si>
  <si>
    <t>Balance transferred from 47WA.2530.01253 &amp; 01254</t>
  </si>
  <si>
    <t xml:space="preserve">Total PM </t>
  </si>
  <si>
    <t xml:space="preserve">Total CM </t>
  </si>
  <si>
    <t>Month of</t>
  </si>
  <si>
    <t>Washington Deferrals</t>
  </si>
  <si>
    <t>Gas Cost Recognized</t>
  </si>
  <si>
    <t>Commodity</t>
  </si>
  <si>
    <t>Demand</t>
  </si>
  <si>
    <t>Under the Rates - Effective 11/1/2023</t>
  </si>
  <si>
    <t>Under the Rates - Effective 11/1/2024</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</si>
  <si>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</si>
  <si>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</si>
  <si>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</si>
  <si>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</si>
  <si>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</si>
  <si>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</si>
  <si>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</si>
  <si>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</si>
  <si>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CASCADE NATURAL GAS CORPORATION</t>
  </si>
  <si>
    <t>STATE OF WASHINGTON</t>
  </si>
  <si>
    <t>FERC Interest Rates</t>
  </si>
  <si>
    <t>Check for rate changes quarterly</t>
  </si>
  <si>
    <t>Rates can be found at:</t>
  </si>
  <si>
    <t>https://www.ferc.gov/enforcement-legal/enforcement/interest-rates</t>
  </si>
  <si>
    <t>Interest Rate</t>
  </si>
  <si>
    <t xml:space="preserve"> # of Days in Month</t>
  </si>
  <si>
    <t>FERCINT13</t>
  </si>
  <si>
    <t>FERCINT14</t>
  </si>
  <si>
    <t>FERCINT15</t>
  </si>
  <si>
    <t>FERCINT16</t>
  </si>
  <si>
    <t>FERCINT17</t>
  </si>
  <si>
    <t>FERCINT18</t>
  </si>
  <si>
    <t>FERCINT19</t>
  </si>
  <si>
    <t>FERCINT20</t>
  </si>
  <si>
    <t>FERCINT21</t>
  </si>
  <si>
    <t>FERCINT22</t>
  </si>
  <si>
    <t>FERCINT23</t>
  </si>
  <si>
    <t>FERCINT24</t>
  </si>
  <si>
    <t>FERCINT25</t>
  </si>
  <si>
    <t>WASHINGTON DELIVERED VOLUMES</t>
  </si>
  <si>
    <t>SOURCE(S):  CA1501 &amp; CA1501A</t>
  </si>
  <si>
    <t>Date</t>
  </si>
  <si>
    <t>FIRM</t>
  </si>
  <si>
    <t>INTERRUPTIBLE</t>
  </si>
  <si>
    <t>TOTAL CORE</t>
  </si>
  <si>
    <t>TOTAL CORE
including
Net Unbilled</t>
  </si>
  <si>
    <t>NONCORE [4861 &amp; 4863]</t>
  </si>
  <si>
    <t>TOTAL ALL CLASSES</t>
  </si>
  <si>
    <t>NONCORE EXCLUSIONS</t>
  </si>
  <si>
    <t>NET ALL CLASSES</t>
  </si>
  <si>
    <t>NET ALL CLASSES
including
Net Unbilled</t>
  </si>
  <si>
    <t>TRANSP VOLUMES R/S 685/902</t>
  </si>
  <si>
    <t>Unbilled Adj for Conservation
(Less Prior Month)</t>
  </si>
  <si>
    <t>Unbilled Adj for Conservation
(Current Month Only)</t>
  </si>
  <si>
    <t>Residential [4800]</t>
  </si>
  <si>
    <t>Commercial [4810]</t>
  </si>
  <si>
    <t>Industrial [4809]</t>
  </si>
  <si>
    <t>Total Firm</t>
  </si>
  <si>
    <t>Industrial/ Small Commercial [4811]</t>
  </si>
  <si>
    <t>Institutional [4813]</t>
  </si>
  <si>
    <t>Total Interruptible</t>
  </si>
  <si>
    <t>Sched</t>
  </si>
  <si>
    <t>NET NONCORE</t>
  </si>
  <si>
    <t>Residential</t>
  </si>
  <si>
    <t>Commercial</t>
  </si>
  <si>
    <t>9XX</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</si>
  <si>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</si>
  <si>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</si>
  <si>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</si>
  <si>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</si>
  <si>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</si>
  <si>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</si>
  <si>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</si>
  <si>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</si>
  <si>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</si>
  <si>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</si>
  <si>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</si>
  <si>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Billed</t>
  </si>
  <si>
    <t>Nov 1 2024</t>
  </si>
  <si>
    <t>Recognized</t>
  </si>
  <si>
    <t>1501 ALL</t>
  </si>
  <si>
    <t>Firm Residentials</t>
  </si>
  <si>
    <t>503</t>
  </si>
  <si>
    <t>CNGWA 503</t>
  </si>
  <si>
    <t>47WA.4009.4800</t>
  </si>
  <si>
    <t>PM Unbilled - Res</t>
  </si>
  <si>
    <t>CM Unbilled - Res</t>
  </si>
  <si>
    <t>04LV</t>
  </si>
  <si>
    <t>Firm Commercial</t>
  </si>
  <si>
    <t>504</t>
  </si>
  <si>
    <t>CNGWA 504</t>
  </si>
  <si>
    <t>11LV</t>
  </si>
  <si>
    <t>47WA.4009.4810</t>
  </si>
  <si>
    <t>PM Unbilled - Com'l</t>
  </si>
  <si>
    <t>CM Unbilled - Com'l</t>
  </si>
  <si>
    <t>05LV</t>
  </si>
  <si>
    <t>Firm Ind'l</t>
  </si>
  <si>
    <t>505</t>
  </si>
  <si>
    <t>CNGWA 505</t>
  </si>
  <si>
    <t>Firm Industrial</t>
  </si>
  <si>
    <t>511</t>
  </si>
  <si>
    <t>CNGWA 511</t>
  </si>
  <si>
    <t>Firm Com - Lg Vol</t>
  </si>
  <si>
    <t>Sch</t>
  </si>
  <si>
    <t>Unbilled</t>
  </si>
  <si>
    <t>CNGWA 04LV</t>
  </si>
  <si>
    <t>Res 503</t>
  </si>
  <si>
    <t xml:space="preserve">PM Unbilled </t>
  </si>
  <si>
    <t>Com 504</t>
  </si>
  <si>
    <t>Com 511</t>
  </si>
  <si>
    <t>511  04LV</t>
  </si>
  <si>
    <t>CNGWA 11LV</t>
  </si>
  <si>
    <t>4813  570</t>
  </si>
  <si>
    <t>47WA.4009.4813</t>
  </si>
  <si>
    <t>Interr Industrial</t>
  </si>
  <si>
    <t>570</t>
  </si>
  <si>
    <t>CNGWA 570</t>
  </si>
  <si>
    <t xml:space="preserve">CM Unbilled </t>
  </si>
  <si>
    <t xml:space="preserve">Current Rates </t>
  </si>
  <si>
    <t xml:space="preserve"> </t>
  </si>
  <si>
    <t xml:space="preserve">Old Rates </t>
  </si>
  <si>
    <t>Total WA</t>
  </si>
  <si>
    <t>A</t>
  </si>
  <si>
    <t>Summary of Gas Cost Accruals by Reg Jurisdiction</t>
  </si>
  <si>
    <t>Current Month &amp; True-ups</t>
  </si>
  <si>
    <t xml:space="preserve">Current Month Accruals </t>
  </si>
  <si>
    <t xml:space="preserve">  True-up booked in </t>
  </si>
  <si>
    <t xml:space="preserve">xxx-08 True-Ups Booked in </t>
  </si>
  <si>
    <t>Washington Amount</t>
  </si>
  <si>
    <t>Oregon Amount</t>
  </si>
  <si>
    <t>Oregon</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</si>
  <si>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</si>
  <si>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</si>
  <si>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</si>
  <si>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</si>
  <si>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</si>
  <si>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</si>
  <si>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</si>
  <si>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</si>
  <si>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</si>
  <si>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</si>
  <si>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</si>
  <si>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</si>
  <si>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</si>
  <si>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</si>
  <si>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</si>
  <si>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</si>
  <si>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</si>
  <si>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</si>
  <si>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</si>
  <si>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</si>
  <si>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</si>
  <si>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</si>
  <si>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</si>
  <si>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</si>
  <si>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</si>
  <si>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</si>
  <si>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</si>
  <si>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</si>
  <si>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</si>
  <si>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</si>
  <si>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</si>
  <si>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</si>
  <si>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</si>
  <si>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</si>
  <si>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</si>
  <si>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</si>
  <si>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</si>
  <si>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</si>
  <si>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</si>
  <si>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</si>
  <si>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</si>
  <si>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</si>
  <si>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</si>
  <si>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</si>
  <si>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</si>
  <si>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</si>
  <si>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</si>
  <si>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</si>
  <si>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</si>
  <si>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</si>
  <si>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</si>
  <si>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 xml:space="preserve">Total </t>
  </si>
  <si>
    <t>G/L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</si>
</sst>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 numFmtId="171" formatCode="_(&quot;$&quot;* #,##0.00000_);_(&quot;$&quot;* \(#,##0.00000\);_(&quot;$&quot;* &quot;-&quot;??_);_(@_)"/>
    <numFmt numFmtId="172" formatCode="mmmm\-yy"/>
    <numFmt numFmtId="173" formatCode="0.00000"/>
  </numFmts>
  <fonts count="84">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1"/>
      <color rgb="FFC00000"/>
      <name val="Arial"/>
      <family val="2"/>
    </font>
    <font>
      <b/>
      <sz val="11"/>
      <color rgb="FF0070C0"/>
      <name val="Arial"/>
      <family val="2"/>
    </font>
    <font>
      <b/>
      <sz val="16"/>
      <color rgb="FF0070C0"/>
      <name val="Arial"/>
      <family val="2"/>
    </font>
    <font>
      <b/>
      <sz val="11"/>
      <name val="Arial"/>
      <family val="2"/>
    </font>
    <font>
      <sz val="11"/>
      <name val="Arial"/>
      <family val="2"/>
    </font>
    <font>
      <b/>
      <sz val="10"/>
      <name val="Arial"/>
      <family val="2"/>
    </font>
    <font>
      <b/>
      <sz val="11"/>
      <color theme="0"/>
      <name val="Arial"/>
      <family val="2"/>
    </font>
    <font>
      <sz val="11"/>
      <color rgb="FFFF0000"/>
      <name val="Arial"/>
      <family val="2"/>
    </font>
    <font>
      <b/>
      <sz val="11"/>
      <color rgb="FFFF0000"/>
      <name val="Arial"/>
      <family val="2"/>
    </font>
    <font>
      <b/>
      <sz val="11"/>
      <color theme="7" tint="-0.249977111117893"/>
      <name val="Arial"/>
      <family val="2"/>
    </font>
    <font>
      <sz val="11"/>
      <color theme="6" tint="-0.249977111117893"/>
      <name val="Arial"/>
      <family val="2"/>
    </font>
    <font>
      <sz val="11"/>
      <color theme="7" tint="-0.249977111117893"/>
      <name val="Arial"/>
      <family val="2"/>
    </font>
    <font>
      <sz val="11"/>
      <color theme="8" tint="-0.249977111117893"/>
      <name val="Arial"/>
      <family val="2"/>
    </font>
    <font>
      <sz val="11"/>
      <color rgb="FF00B050"/>
      <name val="Arial"/>
      <family val="2"/>
    </font>
    <font>
      <b/>
      <sz val="11"/>
      <color theme="8" tint="-0.249977111117893"/>
      <name val="Arial"/>
      <family val="2"/>
    </font>
    <font>
      <sz val="11"/>
      <color rgb="FFC00000"/>
      <name val="Arial"/>
      <family val="2"/>
    </font>
    <font>
      <b/>
      <sz val="11"/>
      <color theme="6" tint="-0.249977111117893"/>
      <name val="Arial"/>
      <family val="2"/>
    </font>
    <font>
      <b/>
      <sz val="11"/>
      <color rgb="FF00B050"/>
      <name val="Arial"/>
      <family val="2"/>
    </font>
    <font>
      <b/>
      <sz val="8"/>
      <name val="Calibri"/>
      <family val="2"/>
      <scheme val="minor"/>
    </font>
    <font>
      <b/>
      <sz val="12"/>
      <name val="Arial"/>
      <family val="2"/>
    </font>
    <font>
      <b/>
      <sz val="12"/>
      <color rgb="FFFF0000"/>
      <name val="Arial"/>
      <family val="2"/>
    </font>
    <font>
      <b/>
      <sz val="14"/>
      <color theme="0"/>
      <name val="Arial"/>
      <family val="2"/>
    </font>
    <font>
      <b/>
      <sz val="14"/>
      <name val="Arial"/>
      <family val="2"/>
    </font>
    <font>
      <b/>
      <u/>
      <sz val="11"/>
      <color theme="0"/>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1"/>
      <color indexed="10"/>
      <name val="Arial"/>
      <family val="2"/>
    </font>
    <font>
      <u/>
      <sz val="10"/>
      <name val="Arial"/>
      <family val="2"/>
    </font>
    <font>
      <b/>
      <sz val="11"/>
      <color indexed="12"/>
      <name val="Arial"/>
      <family val="2"/>
    </font>
    <font>
      <b/>
      <sz val="12"/>
      <color rgb="FF00B050"/>
      <name val="Arial"/>
      <family val="2"/>
    </font>
    <font>
      <sz val="12"/>
      <color theme="0"/>
      <name val="Cambria"/>
      <family val="1"/>
      <scheme val="major"/>
    </font>
    <font>
      <sz val="12"/>
      <color rgb="FF00B050"/>
      <name val="Arial"/>
      <family val="2"/>
    </font>
    <font>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u/>
      <sz val="14"/>
      <color theme="0"/>
      <name val="Cambria"/>
      <family val="1"/>
      <scheme val="major"/>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00B0F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FF99"/>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rgb="FF1830A8"/>
      </bottom>
      <diagonal/>
    </border>
    <border>
      <left/>
      <right/>
      <top style="thin">
        <color rgb="FF1830A8"/>
      </top>
      <bottom style="thin">
        <color indexed="64"/>
      </bottom>
      <diagonal/>
    </border>
    <border>
      <left/>
      <right/>
      <top/>
      <bottom style="thin">
        <color rgb="FF1830A8"/>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34">
    <xf numFmtId="39"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 fillId="0" borderId="0"/>
    <xf numFmtId="39" fontId="12" fillId="0" borderId="0"/>
    <xf numFmtId="0" fontId="9" fillId="0" borderId="0"/>
    <xf numFmtId="10" fontId="14" fillId="0" borderId="0"/>
    <xf numFmtId="9" fontId="7" fillId="0" borderId="0" applyFont="0" applyFill="0" applyBorder="0" applyAlignment="0" applyProtection="0"/>
    <xf numFmtId="9" fontId="7"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4" fillId="0" borderId="0"/>
    <xf numFmtId="0" fontId="29" fillId="0" borderId="0"/>
    <xf numFmtId="0" fontId="3" fillId="0" borderId="0"/>
    <xf numFmtId="0" fontId="3" fillId="0" borderId="0"/>
    <xf numFmtId="0" fontId="2" fillId="0" borderId="0"/>
    <xf numFmtId="43" fontId="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0" fontId="1" fillId="0" borderId="0"/>
    <xf numFmtId="0" fontId="1" fillId="0" borderId="0"/>
  </cellStyleXfs>
  <cellXfs count="649">
    <xf numFmtId="39" fontId="0" fillId="0" borderId="0" xfId="0"/>
    <xf numFmtId="39" fontId="16" fillId="0" borderId="0" xfId="0" applyFont="1"/>
    <xf numFmtId="0" fontId="9" fillId="0" borderId="0" xfId="11"/>
    <xf numFmtId="39" fontId="17" fillId="0" borderId="1" xfId="0" applyFont="1" applyBorder="1" applyAlignment="1">
      <alignment horizontal="center"/>
    </xf>
    <xf numFmtId="39" fontId="16" fillId="0" borderId="0" xfId="0" applyFont="1" applyAlignment="1">
      <alignment horizontal="left" vertical="top"/>
    </xf>
    <xf numFmtId="39" fontId="16" fillId="0" borderId="0" xfId="0" applyFont="1" applyAlignment="1">
      <alignment horizontal="left" wrapText="1"/>
    </xf>
    <xf numFmtId="39" fontId="16" fillId="0" borderId="0" xfId="0" applyFont="1" applyAlignment="1">
      <alignment horizontal="left"/>
    </xf>
    <xf numFmtId="39" fontId="17" fillId="0" borderId="1" xfId="0" applyFont="1" applyBorder="1" applyAlignment="1">
      <alignment horizontal="center" wrapText="1"/>
    </xf>
    <xf numFmtId="17" fontId="16" fillId="0" borderId="0" xfId="0" applyNumberFormat="1" applyFont="1"/>
    <xf numFmtId="39" fontId="16" fillId="0" borderId="0" xfId="0" applyFont="1" applyAlignment="1">
      <alignment horizontal="center"/>
    </xf>
    <xf numFmtId="167" fontId="16" fillId="0" borderId="0" xfId="0" applyNumberFormat="1" applyFont="1" applyAlignment="1">
      <alignment horizontal="center"/>
    </xf>
    <xf numFmtId="39" fontId="16" fillId="0" borderId="0" xfId="0" applyFont="1" applyAlignment="1" applyProtection="1">
      <alignment horizontal="left"/>
      <protection locked="0"/>
    </xf>
    <xf numFmtId="37" fontId="16" fillId="0" borderId="0" xfId="0" applyNumberFormat="1" applyFont="1"/>
    <xf numFmtId="39" fontId="16" fillId="0" borderId="2" xfId="0" applyFont="1" applyBorder="1"/>
    <xf numFmtId="39" fontId="16" fillId="0" borderId="0" xfId="0" applyFont="1" applyAlignment="1">
      <alignment horizontal="right"/>
    </xf>
    <xf numFmtId="39" fontId="21" fillId="0" borderId="0" xfId="0" applyFont="1" applyProtection="1">
      <protection locked="0"/>
    </xf>
    <xf numFmtId="39" fontId="22" fillId="0" borderId="0" xfId="0" applyFont="1"/>
    <xf numFmtId="10" fontId="16" fillId="0" borderId="2" xfId="13" applyNumberFormat="1" applyFont="1" applyBorder="1" applyAlignment="1">
      <alignment horizontal="center"/>
    </xf>
    <xf numFmtId="10" fontId="16" fillId="0" borderId="0" xfId="13" applyNumberFormat="1" applyFont="1" applyAlignment="1">
      <alignment horizontal="center"/>
    </xf>
    <xf numFmtId="10" fontId="16" fillId="0" borderId="1" xfId="13" applyNumberFormat="1" applyFont="1" applyBorder="1" applyAlignment="1">
      <alignment horizontal="center"/>
    </xf>
    <xf numFmtId="39" fontId="23" fillId="0" borderId="0" xfId="0" applyFont="1" applyAlignment="1">
      <alignment horizontal="left"/>
    </xf>
    <xf numFmtId="39" fontId="24" fillId="0" borderId="0" xfId="7" applyNumberFormat="1" applyFont="1" applyAlignment="1" applyProtection="1">
      <alignment horizontal="left"/>
    </xf>
    <xf numFmtId="37" fontId="16" fillId="0" borderId="1" xfId="0" applyNumberFormat="1" applyFont="1" applyBorder="1" applyAlignment="1">
      <alignment horizontal="center"/>
    </xf>
    <xf numFmtId="37" fontId="16" fillId="0" borderId="0" xfId="0" applyNumberFormat="1" applyFont="1" applyAlignment="1">
      <alignment horizontal="center"/>
    </xf>
    <xf numFmtId="37" fontId="16" fillId="0" borderId="2" xfId="0" applyNumberFormat="1" applyFont="1" applyBorder="1" applyAlignment="1">
      <alignment horizontal="center"/>
    </xf>
    <xf numFmtId="39" fontId="16" fillId="0" borderId="11" xfId="0" applyFont="1" applyBorder="1"/>
    <xf numFmtId="39" fontId="17" fillId="0" borderId="0" xfId="0" applyFont="1" applyAlignment="1">
      <alignment wrapText="1"/>
    </xf>
    <xf numFmtId="17" fontId="17" fillId="0" borderId="14" xfId="1" applyNumberFormat="1" applyFont="1" applyBorder="1"/>
    <xf numFmtId="39" fontId="25" fillId="0" borderId="0" xfId="0" applyFont="1"/>
    <xf numFmtId="166" fontId="25" fillId="0" borderId="0" xfId="1" applyNumberFormat="1" applyFont="1" applyAlignment="1">
      <alignment horizontal="center"/>
    </xf>
    <xf numFmtId="166" fontId="25" fillId="0" borderId="1" xfId="1" applyNumberFormat="1" applyFont="1" applyBorder="1" applyAlignment="1">
      <alignment horizontal="center"/>
    </xf>
    <xf numFmtId="39" fontId="25" fillId="0" borderId="0" xfId="0" applyFont="1" applyAlignment="1">
      <alignment horizontal="center"/>
    </xf>
    <xf numFmtId="166" fontId="18" fillId="0" borderId="0" xfId="1" applyNumberFormat="1" applyFont="1"/>
    <xf numFmtId="37" fontId="18" fillId="0" borderId="0" xfId="0" applyNumberFormat="1" applyFont="1"/>
    <xf numFmtId="37" fontId="18" fillId="0" borderId="7" xfId="0" applyNumberFormat="1" applyFont="1" applyBorder="1"/>
    <xf numFmtId="39" fontId="18" fillId="0" borderId="0" xfId="0" applyFont="1"/>
    <xf numFmtId="37" fontId="18" fillId="0" borderId="1" xfId="0" applyNumberFormat="1" applyFont="1" applyBorder="1"/>
    <xf numFmtId="37" fontId="18" fillId="0" borderId="9" xfId="0" applyNumberFormat="1" applyFont="1" applyBorder="1"/>
    <xf numFmtId="168" fontId="17" fillId="0" borderId="7" xfId="0" applyNumberFormat="1" applyFont="1" applyBorder="1" applyAlignment="1">
      <alignment shrinkToFit="1"/>
    </xf>
    <xf numFmtId="17" fontId="16" fillId="0" borderId="0" xfId="0" applyNumberFormat="1" applyFont="1" applyAlignment="1">
      <alignment horizontal="right"/>
    </xf>
    <xf numFmtId="43" fontId="16" fillId="0" borderId="0" xfId="1" applyFont="1"/>
    <xf numFmtId="17" fontId="16" fillId="0" borderId="0" xfId="9" applyNumberFormat="1" applyFont="1"/>
    <xf numFmtId="39" fontId="16" fillId="0" borderId="0" xfId="9" applyNumberFormat="1" applyFont="1"/>
    <xf numFmtId="43" fontId="20" fillId="0" borderId="0" xfId="1" applyFont="1"/>
    <xf numFmtId="166" fontId="16" fillId="0" borderId="0" xfId="1" applyNumberFormat="1" applyFont="1"/>
    <xf numFmtId="0" fontId="20" fillId="0" borderId="0" xfId="9" applyFont="1"/>
    <xf numFmtId="169" fontId="16" fillId="0" borderId="0" xfId="0" applyNumberFormat="1" applyFont="1"/>
    <xf numFmtId="39" fontId="16" fillId="0" borderId="0" xfId="9" applyNumberFormat="1" applyFont="1" applyAlignment="1">
      <alignment horizontal="fill"/>
    </xf>
    <xf numFmtId="39" fontId="20" fillId="0" borderId="0" xfId="9" applyNumberFormat="1" applyFont="1"/>
    <xf numFmtId="164" fontId="16" fillId="0" borderId="0" xfId="0" applyNumberFormat="1" applyFont="1"/>
    <xf numFmtId="39" fontId="16" fillId="2" borderId="0" xfId="0" applyFont="1" applyFill="1"/>
    <xf numFmtId="0" fontId="20" fillId="2" borderId="0" xfId="9" applyFont="1" applyFill="1"/>
    <xf numFmtId="39" fontId="16" fillId="2" borderId="0" xfId="9" applyNumberFormat="1" applyFont="1" applyFill="1"/>
    <xf numFmtId="37" fontId="25" fillId="0" borderId="0" xfId="0" applyNumberFormat="1" applyFont="1"/>
    <xf numFmtId="37" fontId="25" fillId="0" borderId="1" xfId="0" applyNumberFormat="1" applyFont="1" applyBorder="1"/>
    <xf numFmtId="37" fontId="25" fillId="0" borderId="13" xfId="0" applyNumberFormat="1" applyFont="1" applyBorder="1"/>
    <xf numFmtId="37" fontId="25" fillId="0" borderId="14" xfId="0" applyNumberFormat="1" applyFont="1" applyBorder="1"/>
    <xf numFmtId="39" fontId="13" fillId="0" borderId="0" xfId="7" applyNumberFormat="1" applyAlignment="1" applyProtection="1">
      <alignment horizontal="left"/>
    </xf>
    <xf numFmtId="168" fontId="16" fillId="0" borderId="5" xfId="11" applyNumberFormat="1" applyFont="1" applyBorder="1" applyAlignment="1">
      <alignment horizontal="center" vertical="top"/>
    </xf>
    <xf numFmtId="168" fontId="16" fillId="0" borderId="7" xfId="11" applyNumberFormat="1" applyFont="1" applyBorder="1" applyAlignment="1">
      <alignment horizontal="center" vertical="top"/>
    </xf>
    <xf numFmtId="168" fontId="16" fillId="0" borderId="9" xfId="11" applyNumberFormat="1" applyFont="1" applyBorder="1" applyAlignment="1">
      <alignment horizontal="center" vertical="top"/>
    </xf>
    <xf numFmtId="37" fontId="18" fillId="0" borderId="14" xfId="0" applyNumberFormat="1" applyFont="1" applyBorder="1"/>
    <xf numFmtId="0" fontId="9" fillId="0" borderId="1" xfId="11" applyBorder="1"/>
    <xf numFmtId="43" fontId="28" fillId="0" borderId="0" xfId="1" applyFont="1"/>
    <xf numFmtId="37" fontId="16" fillId="0" borderId="15" xfId="0" applyNumberFormat="1" applyFont="1" applyBorder="1"/>
    <xf numFmtId="39" fontId="17" fillId="0" borderId="8" xfId="0" applyFont="1" applyBorder="1" applyAlignment="1">
      <alignment horizontal="center" wrapText="1"/>
    </xf>
    <xf numFmtId="39" fontId="16" fillId="0" borderId="8" xfId="0" applyFont="1" applyBorder="1"/>
    <xf numFmtId="39" fontId="16" fillId="0" borderId="10" xfId="0" applyFont="1" applyBorder="1"/>
    <xf numFmtId="39" fontId="16" fillId="0" borderId="6" xfId="0" applyFont="1" applyBorder="1"/>
    <xf numFmtId="37" fontId="16" fillId="0" borderId="8" xfId="0" applyNumberFormat="1" applyFont="1" applyBorder="1"/>
    <xf numFmtId="37" fontId="16" fillId="0" borderId="10" xfId="0" applyNumberFormat="1" applyFont="1" applyBorder="1"/>
    <xf numFmtId="168" fontId="17" fillId="0" borderId="0" xfId="0" applyNumberFormat="1" applyFont="1" applyAlignment="1">
      <alignment shrinkToFit="1"/>
    </xf>
    <xf numFmtId="17" fontId="17" fillId="0" borderId="0" xfId="1" applyNumberFormat="1" applyFont="1"/>
    <xf numFmtId="39" fontId="25" fillId="0" borderId="7" xfId="0" applyFont="1" applyBorder="1" applyAlignment="1">
      <alignment horizontal="center"/>
    </xf>
    <xf numFmtId="37" fontId="18" fillId="0" borderId="13" xfId="0" applyNumberFormat="1" applyFont="1" applyBorder="1"/>
    <xf numFmtId="39" fontId="17" fillId="0" borderId="0" xfId="0" applyFont="1" applyAlignment="1">
      <alignment horizontal="center"/>
    </xf>
    <xf numFmtId="39" fontId="17" fillId="0" borderId="0" xfId="12" applyNumberFormat="1" applyFont="1" applyAlignment="1">
      <alignment horizontal="center"/>
    </xf>
    <xf numFmtId="39" fontId="20" fillId="0" borderId="0" xfId="17" applyNumberFormat="1" applyFont="1"/>
    <xf numFmtId="39" fontId="16" fillId="0" borderId="0" xfId="17" applyNumberFormat="1" applyFont="1"/>
    <xf numFmtId="164" fontId="16" fillId="0" borderId="0" xfId="17" applyNumberFormat="1" applyFont="1" applyAlignment="1">
      <alignment horizontal="center"/>
    </xf>
    <xf numFmtId="17" fontId="16" fillId="0" borderId="0" xfId="17" applyNumberFormat="1" applyFont="1"/>
    <xf numFmtId="0" fontId="20" fillId="0" borderId="0" xfId="17" applyFont="1"/>
    <xf numFmtId="0" fontId="20" fillId="2" borderId="0" xfId="17" applyFont="1" applyFill="1"/>
    <xf numFmtId="39" fontId="16" fillId="2" borderId="0" xfId="17" applyNumberFormat="1" applyFont="1" applyFill="1"/>
    <xf numFmtId="39" fontId="16" fillId="0" borderId="1" xfId="17" applyNumberFormat="1" applyFont="1" applyBorder="1"/>
    <xf numFmtId="39" fontId="16" fillId="0" borderId="0" xfId="17" applyNumberFormat="1" applyFont="1" applyAlignment="1">
      <alignment horizontal="fill"/>
    </xf>
    <xf numFmtId="0" fontId="16" fillId="0" borderId="0" xfId="17" applyFont="1"/>
    <xf numFmtId="37" fontId="16" fillId="0" borderId="0" xfId="9" applyNumberFormat="1" applyFont="1"/>
    <xf numFmtId="164" fontId="16" fillId="0" borderId="0" xfId="9" applyNumberFormat="1" applyFont="1" applyAlignment="1">
      <alignment horizontal="center"/>
    </xf>
    <xf numFmtId="168" fontId="17" fillId="0" borderId="5" xfId="0" applyNumberFormat="1" applyFont="1" applyBorder="1" applyAlignment="1">
      <alignment shrinkToFit="1"/>
    </xf>
    <xf numFmtId="37" fontId="18" fillId="0" borderId="2" xfId="0" applyNumberFormat="1" applyFont="1" applyBorder="1"/>
    <xf numFmtId="37" fontId="25" fillId="0" borderId="2" xfId="0" applyNumberFormat="1" applyFont="1" applyBorder="1"/>
    <xf numFmtId="37" fontId="18" fillId="0" borderId="5" xfId="0" applyNumberFormat="1" applyFont="1" applyBorder="1"/>
    <xf numFmtId="37" fontId="18" fillId="0" borderId="12" xfId="0" applyNumberFormat="1" applyFont="1" applyBorder="1"/>
    <xf numFmtId="17" fontId="17" fillId="0" borderId="7" xfId="1" applyNumberFormat="1" applyFont="1" applyBorder="1"/>
    <xf numFmtId="168" fontId="17" fillId="0" borderId="9" xfId="0" applyNumberFormat="1" applyFont="1" applyBorder="1" applyAlignment="1">
      <alignment shrinkToFit="1"/>
    </xf>
    <xf numFmtId="39" fontId="25" fillId="0" borderId="9" xfId="0" applyFont="1" applyBorder="1" applyAlignment="1">
      <alignment horizontal="center"/>
    </xf>
    <xf numFmtId="37" fontId="16" fillId="0" borderId="1" xfId="0" applyNumberFormat="1" applyFont="1" applyBorder="1"/>
    <xf numFmtId="39" fontId="17" fillId="0" borderId="0" xfId="0" applyFont="1" applyAlignment="1">
      <alignment horizontal="center" wrapText="1"/>
    </xf>
    <xf numFmtId="39" fontId="26" fillId="0" borderId="1" xfId="0" applyFont="1" applyBorder="1" applyAlignment="1">
      <alignment horizontal="center" wrapText="1"/>
    </xf>
    <xf numFmtId="39" fontId="17" fillId="0" borderId="0" xfId="0" applyFont="1"/>
    <xf numFmtId="37" fontId="25" fillId="0" borderId="7" xfId="0" applyNumberFormat="1" applyFont="1" applyBorder="1"/>
    <xf numFmtId="37" fontId="25" fillId="0" borderId="9" xfId="0" applyNumberFormat="1" applyFont="1" applyBorder="1"/>
    <xf numFmtId="37" fontId="25" fillId="0" borderId="5" xfId="0" applyNumberFormat="1" applyFont="1" applyBorder="1"/>
    <xf numFmtId="37" fontId="25" fillId="0" borderId="8" xfId="0" applyNumberFormat="1" applyFont="1" applyBorder="1"/>
    <xf numFmtId="37" fontId="25" fillId="0" borderId="10" xfId="0" applyNumberFormat="1" applyFont="1" applyBorder="1"/>
    <xf numFmtId="39" fontId="16" fillId="0" borderId="1" xfId="0" applyFont="1" applyBorder="1"/>
    <xf numFmtId="17" fontId="17" fillId="0" borderId="9" xfId="1" applyNumberFormat="1" applyFont="1" applyBorder="1"/>
    <xf numFmtId="166" fontId="25" fillId="0" borderId="0" xfId="1" applyNumberFormat="1" applyFont="1" applyBorder="1" applyAlignment="1">
      <alignment horizontal="center"/>
    </xf>
    <xf numFmtId="166" fontId="18" fillId="0" borderId="0" xfId="1" applyNumberFormat="1" applyFont="1" applyBorder="1"/>
    <xf numFmtId="37" fontId="25" fillId="0" borderId="6" xfId="0" applyNumberFormat="1" applyFont="1" applyBorder="1"/>
    <xf numFmtId="166" fontId="25" fillId="0" borderId="2" xfId="1" applyNumberFormat="1" applyFont="1" applyBorder="1" applyAlignment="1">
      <alignment horizontal="center"/>
    </xf>
    <xf numFmtId="166" fontId="18" fillId="0" borderId="12" xfId="1" applyNumberFormat="1" applyFont="1" applyBorder="1"/>
    <xf numFmtId="166" fontId="18" fillId="0" borderId="13" xfId="1" applyNumberFormat="1" applyFont="1" applyBorder="1"/>
    <xf numFmtId="37" fontId="16" fillId="0" borderId="6" xfId="0" applyNumberFormat="1" applyFont="1" applyBorder="1" applyAlignment="1">
      <alignment horizontal="center"/>
    </xf>
    <xf numFmtId="10" fontId="16" fillId="0" borderId="0" xfId="13" applyNumberFormat="1" applyFont="1" applyBorder="1" applyAlignment="1">
      <alignment horizontal="center"/>
    </xf>
    <xf numFmtId="37" fontId="16" fillId="0" borderId="8" xfId="0" applyNumberFormat="1" applyFont="1" applyBorder="1" applyAlignment="1">
      <alignment horizontal="center"/>
    </xf>
    <xf numFmtId="37" fontId="16" fillId="0" borderId="10" xfId="0" applyNumberFormat="1" applyFont="1" applyBorder="1" applyAlignment="1">
      <alignment horizontal="center"/>
    </xf>
    <xf numFmtId="17" fontId="17" fillId="0" borderId="1" xfId="1" applyNumberFormat="1" applyFont="1" applyBorder="1"/>
    <xf numFmtId="37" fontId="16" fillId="3" borderId="8" xfId="0" applyNumberFormat="1" applyFont="1" applyFill="1" applyBorder="1" applyAlignment="1">
      <alignment horizontal="center"/>
    </xf>
    <xf numFmtId="168" fontId="16" fillId="0" borderId="0" xfId="11" applyNumberFormat="1" applyFont="1" applyAlignment="1">
      <alignment horizontal="center" vertical="top"/>
    </xf>
    <xf numFmtId="39" fontId="16" fillId="6" borderId="0" xfId="0" applyFont="1" applyFill="1"/>
    <xf numFmtId="39" fontId="28" fillId="0" borderId="0" xfId="9" applyNumberFormat="1" applyFont="1"/>
    <xf numFmtId="0" fontId="20" fillId="0" borderId="0" xfId="9" applyFont="1" applyAlignment="1">
      <alignment horizontal="center"/>
    </xf>
    <xf numFmtId="169" fontId="16" fillId="0" borderId="0" xfId="0" applyNumberFormat="1" applyFont="1" applyAlignment="1">
      <alignment horizontal="center"/>
    </xf>
    <xf numFmtId="39" fontId="16" fillId="0" borderId="0" xfId="0" applyFont="1" applyAlignment="1">
      <alignment horizontal="left" vertical="top" wrapText="1"/>
    </xf>
    <xf numFmtId="39" fontId="17" fillId="6" borderId="1" xfId="0" applyFont="1" applyFill="1" applyBorder="1" applyAlignment="1">
      <alignment horizontal="center" wrapText="1"/>
    </xf>
    <xf numFmtId="43" fontId="16" fillId="6" borderId="0" xfId="1" applyFont="1" applyFill="1"/>
    <xf numFmtId="0" fontId="16" fillId="0" borderId="0" xfId="9" applyFont="1"/>
    <xf numFmtId="43" fontId="28" fillId="0" borderId="0" xfId="1" applyFont="1" applyFill="1"/>
    <xf numFmtId="39" fontId="26" fillId="0" borderId="23" xfId="0" applyFont="1" applyBorder="1" applyAlignment="1">
      <alignment horizontal="center" wrapText="1"/>
    </xf>
    <xf numFmtId="39" fontId="17" fillId="0" borderId="5" xfId="0" applyFont="1" applyBorder="1" applyAlignment="1">
      <alignment horizontal="center" wrapText="1"/>
    </xf>
    <xf numFmtId="10" fontId="16" fillId="0" borderId="0" xfId="12" applyFont="1"/>
    <xf numFmtId="166" fontId="16" fillId="0" borderId="15" xfId="1" applyNumberFormat="1" applyFont="1" applyBorder="1"/>
    <xf numFmtId="37" fontId="16" fillId="0" borderId="7" xfId="0" applyNumberFormat="1" applyFont="1" applyBorder="1"/>
    <xf numFmtId="37" fontId="18" fillId="0" borderId="8" xfId="0" applyNumberFormat="1" applyFont="1" applyBorder="1"/>
    <xf numFmtId="10" fontId="16" fillId="0" borderId="0" xfId="13" applyNumberFormat="1" applyFont="1" applyFill="1" applyAlignment="1">
      <alignment horizontal="center"/>
    </xf>
    <xf numFmtId="37" fontId="18" fillId="0" borderId="10" xfId="0" applyNumberFormat="1" applyFont="1" applyBorder="1"/>
    <xf numFmtId="43" fontId="16" fillId="0" borderId="0" xfId="1" applyFont="1" applyFill="1"/>
    <xf numFmtId="166" fontId="16" fillId="0" borderId="0" xfId="1" applyNumberFormat="1" applyFont="1" applyFill="1"/>
    <xf numFmtId="39" fontId="16" fillId="3" borderId="0" xfId="0" applyFont="1" applyFill="1"/>
    <xf numFmtId="39" fontId="16" fillId="0" borderId="0" xfId="9" applyNumberFormat="1" applyFont="1" applyAlignment="1">
      <alignment horizontal="right"/>
    </xf>
    <xf numFmtId="14" fontId="16" fillId="0" borderId="0" xfId="0" applyNumberFormat="1" applyFont="1" applyAlignment="1">
      <alignment horizontal="center"/>
    </xf>
    <xf numFmtId="0" fontId="34" fillId="0" borderId="0" xfId="11" applyFont="1"/>
    <xf numFmtId="0" fontId="34" fillId="0" borderId="1" xfId="11" applyFont="1" applyBorder="1"/>
    <xf numFmtId="39" fontId="34" fillId="0" borderId="0" xfId="0" applyFont="1"/>
    <xf numFmtId="43" fontId="45" fillId="0" borderId="0" xfId="1" applyFont="1"/>
    <xf numFmtId="43" fontId="46" fillId="0" borderId="0" xfId="1" applyFont="1"/>
    <xf numFmtId="43" fontId="40" fillId="0" borderId="0" xfId="1" applyFont="1"/>
    <xf numFmtId="0" fontId="34" fillId="4" borderId="2" xfId="11" applyFont="1" applyFill="1" applyBorder="1" applyAlignment="1">
      <alignment vertical="center"/>
    </xf>
    <xf numFmtId="43" fontId="41" fillId="4" borderId="2" xfId="1" applyFont="1" applyFill="1" applyBorder="1" applyAlignment="1">
      <alignment vertical="center"/>
    </xf>
    <xf numFmtId="0" fontId="34" fillId="4" borderId="0" xfId="11" applyFont="1" applyFill="1" applyAlignment="1">
      <alignment vertical="center"/>
    </xf>
    <xf numFmtId="43" fontId="41" fillId="4" borderId="0" xfId="1" applyFont="1" applyFill="1" applyAlignment="1">
      <alignment vertical="center"/>
    </xf>
    <xf numFmtId="0" fontId="34" fillId="4" borderId="1" xfId="11" applyFont="1" applyFill="1" applyBorder="1" applyAlignment="1">
      <alignment vertical="center"/>
    </xf>
    <xf numFmtId="43" fontId="41" fillId="4" borderId="1" xfId="1" applyFont="1" applyFill="1" applyBorder="1" applyAlignment="1">
      <alignment vertical="center"/>
    </xf>
    <xf numFmtId="0" fontId="34" fillId="0" borderId="1" xfId="11" applyFont="1" applyBorder="1" applyAlignment="1">
      <alignment vertical="center"/>
    </xf>
    <xf numFmtId="43" fontId="39" fillId="3" borderId="1" xfId="1" applyFont="1" applyFill="1" applyBorder="1" applyAlignment="1">
      <alignment vertical="center"/>
    </xf>
    <xf numFmtId="43" fontId="44" fillId="0" borderId="0" xfId="1" applyFont="1"/>
    <xf numFmtId="43" fontId="44" fillId="0" borderId="0" xfId="1" applyFont="1" applyBorder="1"/>
    <xf numFmtId="43" fontId="47" fillId="0" borderId="0" xfId="1" applyFont="1"/>
    <xf numFmtId="43" fontId="42" fillId="0" borderId="0" xfId="1" applyFont="1"/>
    <xf numFmtId="39" fontId="33" fillId="0" borderId="0" xfId="0" applyFont="1"/>
    <xf numFmtId="43" fontId="34" fillId="0" borderId="0" xfId="11" applyNumberFormat="1" applyFont="1"/>
    <xf numFmtId="39" fontId="0" fillId="0" borderId="1" xfId="0" applyBorder="1"/>
    <xf numFmtId="166" fontId="16" fillId="0" borderId="1" xfId="1" applyNumberFormat="1" applyFont="1" applyFill="1" applyBorder="1"/>
    <xf numFmtId="37" fontId="18" fillId="4" borderId="13" xfId="0" applyNumberFormat="1" applyFont="1" applyFill="1" applyBorder="1"/>
    <xf numFmtId="37" fontId="18" fillId="4" borderId="14" xfId="0" applyNumberFormat="1" applyFont="1" applyFill="1" applyBorder="1"/>
    <xf numFmtId="37" fontId="18" fillId="4" borderId="7" xfId="0" applyNumberFormat="1" applyFont="1" applyFill="1" applyBorder="1"/>
    <xf numFmtId="37" fontId="18" fillId="4" borderId="9" xfId="0" applyNumberFormat="1" applyFont="1" applyFill="1" applyBorder="1"/>
    <xf numFmtId="43" fontId="30" fillId="0" borderId="0" xfId="1" applyFont="1"/>
    <xf numFmtId="43" fontId="33" fillId="0" borderId="0" xfId="1" applyFont="1" applyFill="1"/>
    <xf numFmtId="43" fontId="34" fillId="5" borderId="0" xfId="1" applyFont="1" applyFill="1"/>
    <xf numFmtId="43" fontId="43" fillId="0" borderId="0" xfId="1" applyFont="1"/>
    <xf numFmtId="43" fontId="42" fillId="0" borderId="0" xfId="1" applyFont="1" applyBorder="1"/>
    <xf numFmtId="43" fontId="34" fillId="7" borderId="1" xfId="1" applyFont="1" applyFill="1" applyBorder="1"/>
    <xf numFmtId="39" fontId="16" fillId="0" borderId="2" xfId="0" applyFont="1" applyBorder="1" applyAlignment="1">
      <alignment horizontal="right"/>
    </xf>
    <xf numFmtId="39" fontId="16" fillId="0" borderId="15" xfId="0" applyFont="1" applyBorder="1"/>
    <xf numFmtId="39" fontId="16" fillId="0" borderId="15" xfId="0" applyFont="1" applyBorder="1" applyAlignment="1">
      <alignment horizontal="right"/>
    </xf>
    <xf numFmtId="166" fontId="16" fillId="3" borderId="0" xfId="1" applyNumberFormat="1" applyFont="1" applyFill="1"/>
    <xf numFmtId="37" fontId="16" fillId="3" borderId="0" xfId="0" applyNumberFormat="1" applyFont="1" applyFill="1"/>
    <xf numFmtId="166" fontId="17" fillId="3" borderId="0" xfId="1" applyNumberFormat="1" applyFont="1" applyFill="1"/>
    <xf numFmtId="37" fontId="17" fillId="3" borderId="0" xfId="0" applyNumberFormat="1" applyFont="1" applyFill="1"/>
    <xf numFmtId="0" fontId="34" fillId="8" borderId="1" xfId="11" applyFont="1" applyFill="1" applyBorder="1"/>
    <xf numFmtId="43" fontId="30" fillId="8" borderId="1" xfId="1" applyFont="1" applyFill="1" applyBorder="1"/>
    <xf numFmtId="43" fontId="44" fillId="3" borderId="1" xfId="1" applyFont="1" applyFill="1" applyBorder="1" applyAlignment="1">
      <alignment vertical="center"/>
    </xf>
    <xf numFmtId="37" fontId="16" fillId="0" borderId="2" xfId="0" applyNumberFormat="1" applyFont="1" applyBorder="1"/>
    <xf numFmtId="37" fontId="17" fillId="0" borderId="2" xfId="0" applyNumberFormat="1" applyFont="1" applyBorder="1"/>
    <xf numFmtId="165" fontId="16" fillId="0" borderId="0" xfId="1" applyNumberFormat="1" applyFont="1" applyFill="1"/>
    <xf numFmtId="0" fontId="32" fillId="0" borderId="0" xfId="0" applyNumberFormat="1" applyFont="1" applyAlignment="1">
      <alignment horizontal="center"/>
    </xf>
    <xf numFmtId="43" fontId="45" fillId="7" borderId="15" xfId="1" applyFont="1" applyFill="1" applyBorder="1"/>
    <xf numFmtId="39" fontId="34" fillId="5" borderId="1" xfId="0" applyFont="1" applyFill="1" applyBorder="1"/>
    <xf numFmtId="39" fontId="0" fillId="5" borderId="1" xfId="0" applyFill="1" applyBorder="1" applyAlignment="1">
      <alignment horizontal="center"/>
    </xf>
    <xf numFmtId="39" fontId="34" fillId="8" borderId="15" xfId="0" applyFont="1" applyFill="1" applyBorder="1"/>
    <xf numFmtId="39" fontId="0" fillId="0" borderId="24" xfId="0" applyBorder="1"/>
    <xf numFmtId="0" fontId="34" fillId="8" borderId="25" xfId="11" applyFont="1" applyFill="1" applyBorder="1"/>
    <xf numFmtId="39" fontId="0" fillId="0" borderId="26" xfId="0" applyBorder="1"/>
    <xf numFmtId="0" fontId="34" fillId="0" borderId="7" xfId="11" applyFont="1" applyBorder="1"/>
    <xf numFmtId="37" fontId="16" fillId="10" borderId="0" xfId="0" applyNumberFormat="1" applyFont="1" applyFill="1"/>
    <xf numFmtId="37" fontId="17" fillId="0" borderId="1" xfId="0" applyNumberFormat="1" applyFont="1" applyBorder="1" applyAlignment="1">
      <alignment horizontal="center" wrapText="1"/>
    </xf>
    <xf numFmtId="37" fontId="17" fillId="0" borderId="13" xfId="0" applyNumberFormat="1" applyFont="1" applyBorder="1" applyAlignment="1">
      <alignment horizontal="center" wrapText="1"/>
    </xf>
    <xf numFmtId="37" fontId="16" fillId="10" borderId="7" xfId="0" applyNumberFormat="1" applyFont="1" applyFill="1" applyBorder="1"/>
    <xf numFmtId="37" fontId="16" fillId="10" borderId="8" xfId="0" applyNumberFormat="1" applyFont="1" applyFill="1" applyBorder="1"/>
    <xf numFmtId="39" fontId="9" fillId="0" borderId="0" xfId="0" applyFont="1" applyProtection="1">
      <protection locked="0"/>
    </xf>
    <xf numFmtId="39" fontId="9" fillId="0" borderId="3" xfId="0" applyFont="1" applyBorder="1" applyProtection="1">
      <protection locked="0"/>
    </xf>
    <xf numFmtId="0" fontId="34" fillId="0" borderId="2" xfId="11" applyFont="1" applyBorder="1"/>
    <xf numFmtId="37" fontId="16" fillId="0" borderId="0" xfId="17" applyNumberFormat="1" applyFont="1"/>
    <xf numFmtId="0" fontId="16" fillId="0" borderId="0" xfId="17" applyFont="1" applyAlignment="1">
      <alignment vertical="center"/>
    </xf>
    <xf numFmtId="0" fontId="8" fillId="0" borderId="0" xfId="11" applyFont="1" applyAlignment="1">
      <alignment horizontal="left"/>
    </xf>
    <xf numFmtId="170" fontId="8" fillId="0" borderId="0" xfId="11" applyNumberFormat="1" applyFont="1" applyAlignment="1">
      <alignment horizontal="left"/>
    </xf>
    <xf numFmtId="0" fontId="8" fillId="0" borderId="0" xfId="11" applyFont="1"/>
    <xf numFmtId="0" fontId="8" fillId="0" borderId="0" xfId="11" applyFont="1" applyAlignment="1">
      <alignment horizontal="right"/>
    </xf>
    <xf numFmtId="0" fontId="35" fillId="0" borderId="0" xfId="11" applyFont="1" applyAlignment="1">
      <alignment horizontal="center" vertical="center"/>
    </xf>
    <xf numFmtId="170" fontId="8" fillId="0" borderId="0" xfId="11" applyNumberFormat="1" applyFont="1"/>
    <xf numFmtId="49" fontId="8" fillId="0" borderId="0" xfId="11" applyNumberFormat="1" applyFont="1" applyAlignment="1">
      <alignment horizontal="left"/>
    </xf>
    <xf numFmtId="0" fontId="9" fillId="0" borderId="8" xfId="11" applyBorder="1"/>
    <xf numFmtId="0" fontId="36" fillId="9" borderId="1" xfId="11" applyFont="1" applyFill="1" applyBorder="1"/>
    <xf numFmtId="0" fontId="36" fillId="9" borderId="0" xfId="11" applyFont="1" applyFill="1"/>
    <xf numFmtId="0" fontId="53" fillId="9" borderId="0" xfId="11" applyFont="1" applyFill="1" applyAlignment="1">
      <alignment horizontal="center"/>
    </xf>
    <xf numFmtId="0" fontId="53" fillId="9" borderId="27" xfId="11" applyFont="1" applyFill="1" applyBorder="1" applyAlignment="1">
      <alignment horizontal="center"/>
    </xf>
    <xf numFmtId="0" fontId="53" fillId="9" borderId="28" xfId="11" applyFont="1" applyFill="1" applyBorder="1" applyAlignment="1">
      <alignment horizontal="center"/>
    </xf>
    <xf numFmtId="44" fontId="34" fillId="0" borderId="0" xfId="11" applyNumberFormat="1" applyFont="1" applyAlignment="1">
      <alignment horizontal="center"/>
    </xf>
    <xf numFmtId="44" fontId="34" fillId="0" borderId="29" xfId="11" applyNumberFormat="1" applyFont="1" applyBorder="1" applyAlignment="1">
      <alignment horizontal="center"/>
    </xf>
    <xf numFmtId="44" fontId="34" fillId="0" borderId="30" xfId="11" applyNumberFormat="1" applyFont="1" applyBorder="1"/>
    <xf numFmtId="44" fontId="34" fillId="0" borderId="31" xfId="11" applyNumberFormat="1" applyFont="1" applyBorder="1" applyAlignment="1">
      <alignment horizontal="center"/>
    </xf>
    <xf numFmtId="44" fontId="34" fillId="0" borderId="32" xfId="11" applyNumberFormat="1" applyFont="1" applyBorder="1"/>
    <xf numFmtId="44" fontId="9" fillId="0" borderId="0" xfId="11" applyNumberFormat="1"/>
    <xf numFmtId="44" fontId="34" fillId="0" borderId="31" xfId="6" applyFont="1" applyBorder="1"/>
    <xf numFmtId="43" fontId="0" fillId="0" borderId="0" xfId="4" applyFont="1"/>
    <xf numFmtId="0" fontId="33" fillId="0" borderId="15" xfId="11" applyFont="1" applyBorder="1"/>
    <xf numFmtId="44" fontId="34" fillId="0" borderId="33" xfId="6" applyFont="1" applyBorder="1"/>
    <xf numFmtId="44" fontId="34" fillId="0" borderId="34" xfId="11" applyNumberFormat="1" applyFont="1" applyBorder="1"/>
    <xf numFmtId="44" fontId="34" fillId="0" borderId="3" xfId="6" applyFont="1" applyBorder="1"/>
    <xf numFmtId="43" fontId="9" fillId="0" borderId="0" xfId="11" applyNumberFormat="1"/>
    <xf numFmtId="0" fontId="34" fillId="0" borderId="3" xfId="6" applyNumberFormat="1" applyFont="1" applyBorder="1" applyAlignment="1">
      <alignment horizontal="left"/>
    </xf>
    <xf numFmtId="44" fontId="34" fillId="0" borderId="0" xfId="6" applyFont="1"/>
    <xf numFmtId="44" fontId="34" fillId="0" borderId="29" xfId="6" applyFont="1" applyBorder="1"/>
    <xf numFmtId="0" fontId="34" fillId="0" borderId="15" xfId="11" applyFont="1" applyBorder="1"/>
    <xf numFmtId="0" fontId="9" fillId="0" borderId="15" xfId="11" applyBorder="1"/>
    <xf numFmtId="44" fontId="34" fillId="0" borderId="15" xfId="11" applyNumberFormat="1" applyFont="1" applyBorder="1" applyAlignment="1">
      <alignment vertical="center"/>
    </xf>
    <xf numFmtId="44" fontId="34" fillId="0" borderId="36" xfId="11" applyNumberFormat="1" applyFont="1" applyBorder="1" applyAlignment="1">
      <alignment vertical="center"/>
    </xf>
    <xf numFmtId="44" fontId="34" fillId="0" borderId="34" xfId="11" applyNumberFormat="1" applyFont="1" applyBorder="1" applyAlignment="1">
      <alignment vertical="center"/>
    </xf>
    <xf numFmtId="0" fontId="34" fillId="0" borderId="4" xfId="11" applyFont="1" applyBorder="1"/>
    <xf numFmtId="166" fontId="9" fillId="0" borderId="0" xfId="4" applyNumberFormat="1" applyFont="1"/>
    <xf numFmtId="0" fontId="54" fillId="0" borderId="0" xfId="11" applyFont="1" applyAlignment="1">
      <alignment horizontal="center"/>
    </xf>
    <xf numFmtId="49" fontId="55" fillId="0" borderId="0" xfId="11" applyNumberFormat="1" applyFont="1" applyAlignment="1">
      <alignment horizontal="center"/>
    </xf>
    <xf numFmtId="44" fontId="34" fillId="0" borderId="0" xfId="11" applyNumberFormat="1" applyFont="1"/>
    <xf numFmtId="44" fontId="34" fillId="0" borderId="0" xfId="11" applyNumberFormat="1" applyFont="1" applyAlignment="1">
      <alignment horizontal="right"/>
    </xf>
    <xf numFmtId="0" fontId="34" fillId="0" borderId="0" xfId="11" applyFont="1" applyAlignment="1">
      <alignment horizontal="right"/>
    </xf>
    <xf numFmtId="0" fontId="56" fillId="9" borderId="0" xfId="11" applyFont="1" applyFill="1"/>
    <xf numFmtId="44" fontId="34" fillId="0" borderId="1" xfId="6" applyFont="1" applyBorder="1"/>
    <xf numFmtId="0" fontId="9" fillId="0" borderId="2" xfId="11" applyBorder="1"/>
    <xf numFmtId="0" fontId="35" fillId="0" borderId="0" xfId="11" applyFont="1"/>
    <xf numFmtId="49" fontId="9" fillId="0" borderId="0" xfId="4" applyNumberFormat="1" applyFont="1"/>
    <xf numFmtId="49" fontId="9" fillId="0" borderId="0" xfId="11" applyNumberFormat="1"/>
    <xf numFmtId="166" fontId="58" fillId="0" borderId="0" xfId="4" applyNumberFormat="1" applyFont="1"/>
    <xf numFmtId="171" fontId="9" fillId="0" borderId="0" xfId="6" applyNumberFormat="1"/>
    <xf numFmtId="0" fontId="9" fillId="0" borderId="0" xfId="11" applyAlignment="1">
      <alignment horizontal="left"/>
    </xf>
    <xf numFmtId="49" fontId="52" fillId="0" borderId="0" xfId="11" applyNumberFormat="1" applyFont="1" applyAlignment="1">
      <alignment vertical="center" wrapText="1"/>
    </xf>
    <xf numFmtId="49" fontId="34" fillId="0" borderId="0" xfId="11" applyNumberFormat="1" applyFont="1"/>
    <xf numFmtId="49" fontId="52" fillId="0" borderId="0" xfId="11" applyNumberFormat="1" applyFont="1" applyAlignment="1">
      <alignment vertical="top" wrapText="1"/>
    </xf>
    <xf numFmtId="49" fontId="31" fillId="0" borderId="0" xfId="11" applyNumberFormat="1" applyFont="1" applyAlignment="1">
      <alignment horizontal="left"/>
    </xf>
    <xf numFmtId="49" fontId="8" fillId="0" borderId="0" xfId="11" applyNumberFormat="1" applyFont="1" applyAlignment="1">
      <alignment vertical="center"/>
    </xf>
    <xf numFmtId="49" fontId="52" fillId="0" borderId="0" xfId="11" applyNumberFormat="1" applyFont="1" applyAlignment="1">
      <alignment horizontal="left" vertical="center"/>
    </xf>
    <xf numFmtId="49" fontId="49" fillId="0" borderId="0" xfId="11" applyNumberFormat="1" applyFont="1" applyAlignment="1">
      <alignment vertical="center"/>
    </xf>
    <xf numFmtId="49" fontId="56" fillId="9" borderId="0" xfId="4" applyNumberFormat="1" applyFont="1" applyFill="1" applyBorder="1"/>
    <xf numFmtId="49" fontId="56" fillId="9" borderId="0" xfId="11" applyNumberFormat="1" applyFont="1" applyFill="1"/>
    <xf numFmtId="166" fontId="56" fillId="9" borderId="0" xfId="4" applyNumberFormat="1" applyFont="1" applyFill="1" applyBorder="1" applyAlignment="1">
      <alignment horizontal="center"/>
    </xf>
    <xf numFmtId="171" fontId="56" fillId="9" borderId="0" xfId="6" applyNumberFormat="1" applyFont="1" applyFill="1" applyBorder="1" applyAlignment="1">
      <alignment horizontal="center"/>
    </xf>
    <xf numFmtId="49" fontId="56" fillId="9" borderId="0" xfId="11" applyNumberFormat="1" applyFont="1" applyFill="1" applyAlignment="1">
      <alignment horizontal="center"/>
    </xf>
    <xf numFmtId="0" fontId="61" fillId="0" borderId="0" xfId="11" applyFont="1" applyAlignment="1">
      <alignment horizontal="center"/>
    </xf>
    <xf numFmtId="0" fontId="56" fillId="9" borderId="1" xfId="11" applyFont="1" applyFill="1" applyBorder="1" applyAlignment="1">
      <alignment horizontal="left"/>
    </xf>
    <xf numFmtId="49" fontId="56" fillId="9" borderId="1" xfId="4" applyNumberFormat="1" applyFont="1" applyFill="1" applyBorder="1" applyAlignment="1">
      <alignment horizontal="center"/>
    </xf>
    <xf numFmtId="166" fontId="56" fillId="9" borderId="1" xfId="4" applyNumberFormat="1" applyFont="1" applyFill="1" applyBorder="1" applyAlignment="1">
      <alignment horizontal="center"/>
    </xf>
    <xf numFmtId="172" fontId="56" fillId="9" borderId="1" xfId="6" applyNumberFormat="1" applyFont="1" applyFill="1" applyBorder="1" applyAlignment="1">
      <alignment horizontal="center"/>
    </xf>
    <xf numFmtId="14" fontId="56" fillId="9" borderId="1" xfId="6" applyNumberFormat="1" applyFont="1" applyFill="1" applyBorder="1" applyAlignment="1">
      <alignment horizontal="center"/>
    </xf>
    <xf numFmtId="171" fontId="56" fillId="9" borderId="1" xfId="6" applyNumberFormat="1" applyFont="1" applyFill="1" applyBorder="1" applyAlignment="1">
      <alignment horizontal="center"/>
    </xf>
    <xf numFmtId="0" fontId="56" fillId="9" borderId="1" xfId="6" applyNumberFormat="1" applyFont="1" applyFill="1" applyBorder="1" applyAlignment="1">
      <alignment horizontal="center"/>
    </xf>
    <xf numFmtId="49" fontId="34" fillId="0" borderId="0" xfId="4" applyNumberFormat="1" applyFont="1"/>
    <xf numFmtId="44" fontId="34" fillId="0" borderId="0" xfId="6" applyFont="1" applyBorder="1"/>
    <xf numFmtId="44" fontId="34" fillId="0" borderId="0" xfId="6" applyFont="1" applyFill="1"/>
    <xf numFmtId="0" fontId="34" fillId="0" borderId="5" xfId="6" applyNumberFormat="1" applyFont="1" applyBorder="1"/>
    <xf numFmtId="37" fontId="34" fillId="0" borderId="0" xfId="6" applyNumberFormat="1" applyFont="1" applyAlignment="1">
      <alignment horizontal="left"/>
    </xf>
    <xf numFmtId="166" fontId="50" fillId="0" borderId="6" xfId="4" applyNumberFormat="1" applyFont="1" applyBorder="1" applyAlignment="1">
      <alignment vertical="center"/>
    </xf>
    <xf numFmtId="0" fontId="34" fillId="0" borderId="7" xfId="6" applyNumberFormat="1" applyFont="1" applyBorder="1"/>
    <xf numFmtId="166" fontId="50" fillId="0" borderId="8" xfId="4" applyNumberFormat="1" applyFont="1" applyBorder="1" applyAlignment="1">
      <alignment vertical="center"/>
    </xf>
    <xf numFmtId="0" fontId="34" fillId="0" borderId="9" xfId="6" applyNumberFormat="1" applyFont="1" applyBorder="1"/>
    <xf numFmtId="37" fontId="34" fillId="0" borderId="1" xfId="6" applyNumberFormat="1" applyFont="1" applyBorder="1" applyAlignment="1">
      <alignment horizontal="left"/>
    </xf>
    <xf numFmtId="166" fontId="50" fillId="0" borderId="10" xfId="4" applyNumberFormat="1" applyFont="1" applyBorder="1" applyAlignment="1">
      <alignment vertical="center"/>
    </xf>
    <xf numFmtId="0" fontId="34" fillId="0" borderId="0" xfId="6" applyNumberFormat="1" applyFont="1"/>
    <xf numFmtId="166" fontId="34" fillId="0" borderId="0" xfId="6" applyNumberFormat="1" applyFont="1" applyAlignment="1">
      <alignment vertical="center"/>
    </xf>
    <xf numFmtId="171" fontId="64" fillId="9" borderId="0" xfId="6" applyNumberFormat="1" applyFont="1" applyFill="1" applyBorder="1" applyAlignment="1">
      <alignment horizontal="center"/>
    </xf>
    <xf numFmtId="166" fontId="65" fillId="13" borderId="6" xfId="4" applyNumberFormat="1" applyFont="1" applyFill="1" applyBorder="1" applyAlignment="1">
      <alignment horizontal="left" vertical="center"/>
    </xf>
    <xf numFmtId="166" fontId="65" fillId="13" borderId="8" xfId="4" applyNumberFormat="1" applyFont="1" applyFill="1" applyBorder="1" applyAlignment="1">
      <alignment vertical="center"/>
    </xf>
    <xf numFmtId="166" fontId="66" fillId="13" borderId="8" xfId="4" applyNumberFormat="1" applyFont="1" applyFill="1" applyBorder="1" applyAlignment="1">
      <alignment vertical="center"/>
    </xf>
    <xf numFmtId="49" fontId="34" fillId="0" borderId="0" xfId="4" applyNumberFormat="1" applyFont="1" applyFill="1"/>
    <xf numFmtId="44" fontId="9" fillId="0" borderId="9" xfId="11" applyNumberFormat="1" applyBorder="1"/>
    <xf numFmtId="0" fontId="34" fillId="0" borderId="1" xfId="11" applyFont="1" applyBorder="1" applyAlignment="1">
      <alignment horizontal="right"/>
    </xf>
    <xf numFmtId="166" fontId="66" fillId="13" borderId="10" xfId="4" applyNumberFormat="1" applyFont="1" applyFill="1" applyBorder="1" applyAlignment="1">
      <alignment vertical="center"/>
    </xf>
    <xf numFmtId="171" fontId="34" fillId="0" borderId="0" xfId="6" applyNumberFormat="1" applyFont="1"/>
    <xf numFmtId="166" fontId="9" fillId="0" borderId="0" xfId="11" applyNumberFormat="1"/>
    <xf numFmtId="49" fontId="34" fillId="0" borderId="1" xfId="4" applyNumberFormat="1" applyFont="1" applyBorder="1"/>
    <xf numFmtId="49" fontId="34" fillId="0" borderId="1" xfId="11" applyNumberFormat="1" applyFont="1" applyBorder="1"/>
    <xf numFmtId="0" fontId="33" fillId="0" borderId="2" xfId="11" applyFont="1" applyBorder="1" applyAlignment="1">
      <alignment horizontal="left" indent="1"/>
    </xf>
    <xf numFmtId="166" fontId="34" fillId="0" borderId="0" xfId="4" applyNumberFormat="1" applyFont="1" applyBorder="1" applyAlignment="1"/>
    <xf numFmtId="0" fontId="34" fillId="0" borderId="2" xfId="4" applyNumberFormat="1" applyFont="1" applyBorder="1" applyAlignment="1"/>
    <xf numFmtId="44" fontId="35" fillId="0" borderId="0" xfId="6" applyFont="1"/>
    <xf numFmtId="0" fontId="34" fillId="0" borderId="0" xfId="4" applyNumberFormat="1" applyFont="1" applyBorder="1" applyAlignment="1"/>
    <xf numFmtId="166" fontId="34" fillId="0" borderId="0" xfId="4" applyNumberFormat="1" applyFont="1"/>
    <xf numFmtId="44" fontId="35" fillId="0" borderId="0" xfId="6" applyFont="1" applyAlignment="1">
      <alignment horizontal="left"/>
    </xf>
    <xf numFmtId="44" fontId="49" fillId="0" borderId="0" xfId="6" applyFont="1"/>
    <xf numFmtId="44" fontId="58" fillId="0" borderId="0" xfId="6" applyFont="1"/>
    <xf numFmtId="44" fontId="58" fillId="0" borderId="0" xfId="6" applyFont="1" applyAlignment="1">
      <alignment horizontal="left"/>
    </xf>
    <xf numFmtId="44" fontId="67" fillId="0" borderId="0" xfId="6" applyFont="1"/>
    <xf numFmtId="44" fontId="9" fillId="0" borderId="0" xfId="6" applyFont="1"/>
    <xf numFmtId="44" fontId="34" fillId="0" borderId="1" xfId="6" applyFont="1" applyFill="1" applyBorder="1"/>
    <xf numFmtId="166" fontId="34" fillId="0" borderId="2" xfId="4" applyNumberFormat="1" applyFont="1" applyBorder="1" applyAlignment="1">
      <alignment horizontal="center"/>
    </xf>
    <xf numFmtId="166" fontId="34" fillId="0" borderId="2" xfId="4" applyNumberFormat="1" applyFont="1" applyBorder="1"/>
    <xf numFmtId="171" fontId="9" fillId="0" borderId="0" xfId="6" applyNumberFormat="1" applyFont="1" applyAlignment="1">
      <alignment horizontal="left"/>
    </xf>
    <xf numFmtId="171" fontId="8" fillId="0" borderId="0" xfId="6" applyNumberFormat="1" applyFont="1" applyAlignment="1">
      <alignment horizontal="left"/>
    </xf>
    <xf numFmtId="49" fontId="68" fillId="0" borderId="0" xfId="4" applyNumberFormat="1" applyFont="1"/>
    <xf numFmtId="49" fontId="33" fillId="0" borderId="0" xfId="4" applyNumberFormat="1" applyFont="1"/>
    <xf numFmtId="49" fontId="49" fillId="0" borderId="0" xfId="4" applyNumberFormat="1" applyFont="1" applyAlignment="1">
      <alignment horizontal="left"/>
    </xf>
    <xf numFmtId="166" fontId="68" fillId="0" borderId="0" xfId="4" applyNumberFormat="1" applyFont="1"/>
    <xf numFmtId="43" fontId="68" fillId="0" borderId="0" xfId="4" applyFont="1"/>
    <xf numFmtId="43" fontId="69" fillId="0" borderId="0" xfId="4" applyFont="1"/>
    <xf numFmtId="166" fontId="68" fillId="0" borderId="0" xfId="4" applyNumberFormat="1" applyFont="1" applyAlignment="1">
      <alignment horizontal="center"/>
    </xf>
    <xf numFmtId="166" fontId="70" fillId="0" borderId="0" xfId="4" applyNumberFormat="1" applyFont="1" applyFill="1"/>
    <xf numFmtId="43" fontId="70" fillId="0" borderId="0" xfId="4" applyFont="1" applyFill="1"/>
    <xf numFmtId="166" fontId="71" fillId="0" borderId="0" xfId="4" applyNumberFormat="1" applyFont="1" applyAlignment="1">
      <alignment vertical="center"/>
    </xf>
    <xf numFmtId="49" fontId="72" fillId="0" borderId="0" xfId="4" applyNumberFormat="1" applyFont="1" applyAlignment="1"/>
    <xf numFmtId="49" fontId="72" fillId="0" borderId="0" xfId="4" applyNumberFormat="1" applyFont="1"/>
    <xf numFmtId="49" fontId="73" fillId="0" borderId="0" xfId="4" applyNumberFormat="1" applyFont="1" applyAlignment="1">
      <alignment horizontal="left"/>
    </xf>
    <xf numFmtId="166" fontId="72" fillId="0" borderId="0" xfId="4" applyNumberFormat="1" applyFont="1"/>
    <xf numFmtId="43" fontId="72" fillId="0" borderId="0" xfId="4" applyFont="1"/>
    <xf numFmtId="166" fontId="72" fillId="0" borderId="0" xfId="4" applyNumberFormat="1" applyFont="1" applyAlignment="1">
      <alignment horizontal="center"/>
    </xf>
    <xf numFmtId="166" fontId="73" fillId="0" borderId="0" xfId="4" applyNumberFormat="1" applyFont="1" applyAlignment="1">
      <alignment horizontal="center"/>
    </xf>
    <xf numFmtId="168" fontId="75" fillId="0" borderId="0" xfId="4" applyNumberFormat="1" applyFont="1" applyBorder="1" applyAlignment="1">
      <alignment horizontal="right"/>
    </xf>
    <xf numFmtId="168" fontId="75" fillId="0" borderId="0" xfId="4" applyNumberFormat="1" applyFont="1" applyBorder="1" applyAlignment="1">
      <alignment horizontal="left"/>
    </xf>
    <xf numFmtId="168" fontId="76" fillId="0" borderId="0" xfId="4" applyNumberFormat="1" applyFont="1" applyBorder="1" applyAlignment="1">
      <alignment horizontal="left"/>
    </xf>
    <xf numFmtId="166" fontId="70" fillId="0" borderId="0" xfId="4" applyNumberFormat="1" applyFont="1"/>
    <xf numFmtId="170" fontId="77" fillId="0" borderId="0" xfId="4" applyNumberFormat="1" applyFont="1" applyBorder="1" applyAlignment="1"/>
    <xf numFmtId="166" fontId="78" fillId="0" borderId="0" xfId="4" applyNumberFormat="1" applyFont="1" applyAlignment="1">
      <alignment horizontal="center"/>
    </xf>
    <xf numFmtId="49" fontId="68" fillId="0" borderId="37" xfId="4" applyNumberFormat="1" applyFont="1" applyBorder="1"/>
    <xf numFmtId="49" fontId="49" fillId="0" borderId="37" xfId="4" applyNumberFormat="1" applyFont="1" applyBorder="1"/>
    <xf numFmtId="166" fontId="8" fillId="0" borderId="37" xfId="4" applyNumberFormat="1" applyFont="1" applyBorder="1" applyAlignment="1">
      <alignment horizontal="center"/>
    </xf>
    <xf numFmtId="166" fontId="8" fillId="0" borderId="37" xfId="4" applyNumberFormat="1" applyFont="1" applyBorder="1" applyAlignment="1">
      <alignment horizontal="center" vertical="center"/>
    </xf>
    <xf numFmtId="166" fontId="8" fillId="0" borderId="0" xfId="4" applyNumberFormat="1" applyFont="1" applyAlignment="1">
      <alignment horizontal="center"/>
    </xf>
    <xf numFmtId="166" fontId="49" fillId="0" borderId="37" xfId="4" applyNumberFormat="1" applyFont="1" applyBorder="1" applyAlignment="1">
      <alignment vertical="center"/>
    </xf>
    <xf numFmtId="166" fontId="8" fillId="0" borderId="37" xfId="4" applyNumberFormat="1" applyFont="1" applyBorder="1" applyAlignment="1">
      <alignment vertical="center"/>
    </xf>
    <xf numFmtId="166" fontId="70" fillId="0" borderId="0" xfId="4" applyNumberFormat="1" applyFont="1" applyAlignment="1">
      <alignment horizontal="center"/>
    </xf>
    <xf numFmtId="166" fontId="68" fillId="0" borderId="37" xfId="4" applyNumberFormat="1" applyFont="1" applyBorder="1"/>
    <xf numFmtId="166" fontId="68" fillId="0" borderId="0" xfId="4" applyNumberFormat="1" applyFont="1" applyBorder="1"/>
    <xf numFmtId="166" fontId="56" fillId="9" borderId="38" xfId="4" applyNumberFormat="1" applyFont="1" applyFill="1" applyBorder="1" applyAlignment="1">
      <alignment horizontal="left"/>
    </xf>
    <xf numFmtId="166" fontId="79" fillId="9" borderId="39" xfId="4" applyNumberFormat="1" applyFont="1" applyFill="1" applyBorder="1" applyAlignment="1">
      <alignment horizontal="left"/>
    </xf>
    <xf numFmtId="166" fontId="51" fillId="9" borderId="39" xfId="4" applyNumberFormat="1" applyFont="1" applyFill="1" applyBorder="1"/>
    <xf numFmtId="166" fontId="79" fillId="9" borderId="40" xfId="4" applyNumberFormat="1" applyFont="1" applyFill="1" applyBorder="1" applyAlignment="1">
      <alignment horizontal="center"/>
    </xf>
    <xf numFmtId="43" fontId="79" fillId="9" borderId="0" xfId="4" applyFont="1" applyFill="1" applyBorder="1" applyAlignment="1">
      <alignment horizontal="center"/>
    </xf>
    <xf numFmtId="166" fontId="79" fillId="9" borderId="0" xfId="4" applyNumberFormat="1" applyFont="1" applyFill="1" applyBorder="1" applyAlignment="1">
      <alignment horizontal="center"/>
    </xf>
    <xf numFmtId="43" fontId="79" fillId="9" borderId="37" xfId="4" applyFont="1" applyFill="1" applyBorder="1" applyAlignment="1">
      <alignment horizontal="center"/>
    </xf>
    <xf numFmtId="43" fontId="79" fillId="9" borderId="39" xfId="4" applyFont="1" applyFill="1" applyBorder="1" applyAlignment="1">
      <alignment horizontal="center"/>
    </xf>
    <xf numFmtId="166" fontId="79" fillId="9" borderId="39" xfId="4" applyNumberFormat="1" applyFont="1" applyFill="1" applyBorder="1" applyAlignment="1">
      <alignment horizontal="center"/>
    </xf>
    <xf numFmtId="43" fontId="61" fillId="0" borderId="0" xfId="4" applyFont="1" applyAlignment="1">
      <alignment horizontal="center"/>
    </xf>
    <xf numFmtId="43" fontId="61" fillId="0" borderId="0" xfId="4" applyFont="1" applyBorder="1" applyAlignment="1">
      <alignment horizontal="center"/>
    </xf>
    <xf numFmtId="43" fontId="80" fillId="9" borderId="39" xfId="4" applyFont="1" applyFill="1" applyBorder="1" applyAlignment="1">
      <alignment horizontal="center"/>
    </xf>
    <xf numFmtId="49" fontId="9" fillId="14" borderId="0" xfId="4" applyNumberFormat="1" applyFont="1" applyFill="1" applyAlignment="1">
      <alignment horizontal="right"/>
    </xf>
    <xf numFmtId="0" fontId="9" fillId="14" borderId="0" xfId="4" applyNumberFormat="1" applyFont="1" applyFill="1" applyAlignment="1">
      <alignment horizontal="center"/>
    </xf>
    <xf numFmtId="0" fontId="33" fillId="0" borderId="0" xfId="4" applyNumberFormat="1" applyFont="1" applyAlignment="1">
      <alignment horizontal="center"/>
    </xf>
    <xf numFmtId="166" fontId="34" fillId="0" borderId="0" xfId="4" applyNumberFormat="1" applyFont="1" applyBorder="1" applyAlignment="1">
      <alignment horizontal="center"/>
    </xf>
    <xf numFmtId="44" fontId="34" fillId="0" borderId="41" xfId="6" applyFont="1" applyBorder="1"/>
    <xf numFmtId="166" fontId="34" fillId="15" borderId="41" xfId="4" applyNumberFormat="1" applyFont="1" applyFill="1" applyBorder="1"/>
    <xf numFmtId="166" fontId="34" fillId="0" borderId="41" xfId="4" applyNumberFormat="1" applyFont="1" applyBorder="1" applyAlignment="1">
      <alignment horizontal="left" indent="3"/>
    </xf>
    <xf numFmtId="44" fontId="34" fillId="16" borderId="41" xfId="6" applyFont="1" applyFill="1" applyBorder="1"/>
    <xf numFmtId="166" fontId="34" fillId="0" borderId="0" xfId="4" applyNumberFormat="1" applyFont="1" applyFill="1" applyAlignment="1">
      <alignment horizontal="center"/>
    </xf>
    <xf numFmtId="166" fontId="34" fillId="0" borderId="0" xfId="4" applyNumberFormat="1" applyFont="1" applyAlignment="1">
      <alignment horizontal="left" indent="3"/>
    </xf>
    <xf numFmtId="166" fontId="34" fillId="15" borderId="0" xfId="4" applyNumberFormat="1" applyFont="1" applyFill="1" applyAlignment="1">
      <alignment horizontal="center"/>
    </xf>
    <xf numFmtId="166" fontId="9" fillId="0" borderId="0" xfId="23" applyNumberFormat="1" applyFont="1" applyAlignment="1">
      <alignment horizontal="left" indent="3"/>
    </xf>
    <xf numFmtId="44" fontId="33" fillId="16" borderId="0" xfId="6" applyFont="1" applyFill="1"/>
    <xf numFmtId="44" fontId="33" fillId="16" borderId="6" xfId="6" applyFont="1" applyFill="1" applyBorder="1"/>
    <xf numFmtId="166" fontId="34" fillId="15" borderId="0" xfId="4" applyNumberFormat="1" applyFont="1" applyFill="1"/>
    <xf numFmtId="44" fontId="33" fillId="16" borderId="8" xfId="6" applyFont="1" applyFill="1" applyBorder="1"/>
    <xf numFmtId="0" fontId="33" fillId="16" borderId="41" xfId="6" applyNumberFormat="1" applyFont="1" applyFill="1" applyBorder="1" applyAlignment="1">
      <alignment horizontal="center"/>
    </xf>
    <xf numFmtId="166" fontId="34" fillId="0" borderId="0" xfId="4" applyNumberFormat="1" applyFont="1" applyAlignment="1">
      <alignment horizontal="center"/>
    </xf>
    <xf numFmtId="44" fontId="34" fillId="16" borderId="0" xfId="6" applyFont="1" applyFill="1"/>
    <xf numFmtId="0" fontId="33" fillId="16" borderId="0" xfId="6" applyNumberFormat="1" applyFont="1" applyFill="1" applyAlignment="1">
      <alignment horizontal="center"/>
    </xf>
    <xf numFmtId="166" fontId="34" fillId="0" borderId="0" xfId="4" applyNumberFormat="1" applyFont="1" applyFill="1"/>
    <xf numFmtId="44" fontId="34" fillId="4" borderId="0" xfId="6" applyFont="1" applyFill="1"/>
    <xf numFmtId="166" fontId="35" fillId="0" borderId="0" xfId="23" applyNumberFormat="1" applyFont="1"/>
    <xf numFmtId="44" fontId="37" fillId="4" borderId="0" xfId="6" applyFont="1" applyFill="1"/>
    <xf numFmtId="44" fontId="38" fillId="4" borderId="0" xfId="6" applyFont="1" applyFill="1"/>
    <xf numFmtId="44" fontId="33" fillId="4" borderId="8" xfId="6" applyFont="1" applyFill="1" applyBorder="1"/>
    <xf numFmtId="44" fontId="57" fillId="17" borderId="0" xfId="6" applyFont="1" applyFill="1"/>
    <xf numFmtId="0" fontId="33" fillId="4" borderId="0" xfId="4" applyNumberFormat="1" applyFont="1" applyFill="1" applyAlignment="1">
      <alignment horizontal="center"/>
    </xf>
    <xf numFmtId="166" fontId="34" fillId="0" borderId="0" xfId="4" applyNumberFormat="1" applyFont="1" applyFill="1" applyAlignment="1">
      <alignment horizontal="left" indent="3"/>
    </xf>
    <xf numFmtId="166" fontId="34" fillId="0" borderId="0" xfId="4" applyNumberFormat="1" applyFont="1" applyAlignment="1">
      <alignment horizontal="left" indent="4"/>
    </xf>
    <xf numFmtId="43" fontId="34" fillId="15" borderId="0" xfId="4" applyFont="1" applyFill="1" applyAlignment="1">
      <alignment horizontal="center"/>
    </xf>
    <xf numFmtId="44" fontId="33" fillId="4" borderId="0" xfId="6" applyFont="1" applyFill="1"/>
    <xf numFmtId="166" fontId="34" fillId="15" borderId="0" xfId="4" applyNumberFormat="1" applyFont="1" applyFill="1" applyAlignment="1">
      <alignment horizontal="left" vertical="top"/>
    </xf>
    <xf numFmtId="0" fontId="33" fillId="18" borderId="0" xfId="4" applyNumberFormat="1" applyFont="1" applyFill="1" applyAlignment="1">
      <alignment horizontal="center"/>
    </xf>
    <xf numFmtId="166" fontId="8" fillId="0" borderId="0" xfId="4" applyNumberFormat="1" applyFont="1" applyAlignment="1"/>
    <xf numFmtId="166" fontId="54" fillId="0" borderId="0" xfId="4" applyNumberFormat="1" applyFont="1"/>
    <xf numFmtId="43" fontId="9" fillId="0" borderId="0" xfId="23" applyFont="1"/>
    <xf numFmtId="44" fontId="34" fillId="4" borderId="8" xfId="6" applyFont="1" applyFill="1" applyBorder="1"/>
    <xf numFmtId="49" fontId="9" fillId="14" borderId="1" xfId="4" applyNumberFormat="1" applyFont="1" applyFill="1" applyBorder="1" applyAlignment="1">
      <alignment horizontal="right"/>
    </xf>
    <xf numFmtId="0" fontId="9" fillId="14" borderId="1" xfId="4" applyNumberFormat="1" applyFont="1" applyFill="1" applyBorder="1" applyAlignment="1">
      <alignment horizontal="center"/>
    </xf>
    <xf numFmtId="0" fontId="33" fillId="0" borderId="1" xfId="4" applyNumberFormat="1" applyFont="1" applyBorder="1" applyAlignment="1">
      <alignment horizontal="center"/>
    </xf>
    <xf numFmtId="166" fontId="34" fillId="0" borderId="1" xfId="4" applyNumberFormat="1" applyFont="1" applyBorder="1"/>
    <xf numFmtId="166" fontId="34" fillId="0" borderId="1" xfId="4" applyNumberFormat="1" applyFont="1" applyFill="1" applyBorder="1" applyAlignment="1">
      <alignment horizontal="center"/>
    </xf>
    <xf numFmtId="44" fontId="34" fillId="4" borderId="1" xfId="6" applyFont="1" applyFill="1" applyBorder="1"/>
    <xf numFmtId="166" fontId="58" fillId="0" borderId="1" xfId="23" applyNumberFormat="1" applyFont="1" applyBorder="1"/>
    <xf numFmtId="44" fontId="58" fillId="4" borderId="0" xfId="6" applyFont="1" applyFill="1"/>
    <xf numFmtId="44" fontId="54" fillId="4" borderId="8" xfId="6" applyFont="1" applyFill="1" applyBorder="1"/>
    <xf numFmtId="0" fontId="33" fillId="4" borderId="1" xfId="4" applyNumberFormat="1" applyFont="1" applyFill="1" applyBorder="1" applyAlignment="1">
      <alignment horizontal="center"/>
    </xf>
    <xf numFmtId="49" fontId="9" fillId="0" borderId="15" xfId="4" applyNumberFormat="1" applyFont="1" applyFill="1" applyBorder="1" applyAlignment="1">
      <alignment horizontal="right" vertical="top"/>
    </xf>
    <xf numFmtId="49" fontId="9"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4" fillId="0" borderId="1" xfId="4" applyFont="1" applyBorder="1" applyAlignment="1">
      <alignment horizontal="left" vertical="top" indent="1"/>
    </xf>
    <xf numFmtId="166" fontId="34" fillId="0" borderId="15" xfId="4" applyNumberFormat="1" applyFont="1" applyBorder="1" applyAlignment="1">
      <alignment vertical="top"/>
    </xf>
    <xf numFmtId="44" fontId="34" fillId="0" borderId="15" xfId="6" applyFont="1" applyBorder="1" applyAlignment="1">
      <alignment vertical="top"/>
    </xf>
    <xf numFmtId="166" fontId="34" fillId="15" borderId="0" xfId="4" applyNumberFormat="1" applyFont="1" applyFill="1" applyAlignment="1">
      <alignment vertical="top"/>
    </xf>
    <xf numFmtId="166" fontId="34" fillId="0" borderId="0" xfId="4" applyNumberFormat="1" applyFont="1" applyFill="1" applyAlignment="1">
      <alignment horizontal="center" vertical="top"/>
    </xf>
    <xf numFmtId="166" fontId="34" fillId="15" borderId="0" xfId="4" applyNumberFormat="1" applyFont="1" applyFill="1" applyAlignment="1">
      <alignment horizontal="center" vertical="top"/>
    </xf>
    <xf numFmtId="166" fontId="34" fillId="0" borderId="0" xfId="23" applyNumberFormat="1" applyFont="1" applyAlignment="1">
      <alignment vertical="top"/>
    </xf>
    <xf numFmtId="0" fontId="34" fillId="0" borderId="15" xfId="11" applyFont="1" applyBorder="1" applyAlignment="1">
      <alignment vertical="top"/>
    </xf>
    <xf numFmtId="44" fontId="34" fillId="0" borderId="23" xfId="6" applyFont="1" applyBorder="1" applyAlignment="1">
      <alignment vertical="top"/>
    </xf>
    <xf numFmtId="166" fontId="34" fillId="0" borderId="15" xfId="23" applyNumberFormat="1" applyFont="1" applyBorder="1" applyAlignment="1">
      <alignment vertical="top"/>
    </xf>
    <xf numFmtId="44" fontId="33" fillId="0" borderId="15" xfId="6" applyFont="1" applyBorder="1" applyAlignment="1">
      <alignment vertical="top"/>
    </xf>
    <xf numFmtId="166" fontId="68" fillId="0" borderId="0" xfId="4" applyNumberFormat="1" applyFont="1" applyAlignment="1">
      <alignment vertical="top"/>
    </xf>
    <xf numFmtId="166" fontId="34" fillId="0" borderId="2" xfId="4" applyNumberFormat="1" applyFont="1" applyFill="1" applyBorder="1" applyAlignment="1">
      <alignment horizontal="center"/>
    </xf>
    <xf numFmtId="166" fontId="9" fillId="0" borderId="2" xfId="23" applyNumberFormat="1" applyFont="1" applyBorder="1" applyAlignment="1">
      <alignment horizontal="left" indent="3"/>
    </xf>
    <xf numFmtId="166" fontId="68" fillId="0" borderId="2" xfId="23" applyNumberFormat="1" applyFont="1" applyBorder="1"/>
    <xf numFmtId="166" fontId="68" fillId="0" borderId="0" xfId="23" applyNumberFormat="1" applyFont="1"/>
    <xf numFmtId="166" fontId="34" fillId="0" borderId="0" xfId="4" applyNumberFormat="1" applyFont="1" applyBorder="1"/>
    <xf numFmtId="44" fontId="68" fillId="0" borderId="0" xfId="6" applyFont="1"/>
    <xf numFmtId="44" fontId="54" fillId="16" borderId="0" xfId="6" applyFont="1" applyFill="1"/>
    <xf numFmtId="44" fontId="54" fillId="16" borderId="8" xfId="6" applyFont="1" applyFill="1" applyBorder="1"/>
    <xf numFmtId="166" fontId="34" fillId="0" borderId="1" xfId="4" applyNumberFormat="1" applyFont="1" applyBorder="1" applyAlignment="1">
      <alignment horizontal="left" indent="3"/>
    </xf>
    <xf numFmtId="44" fontId="34" fillId="16" borderId="1" xfId="6" applyFont="1" applyFill="1" applyBorder="1"/>
    <xf numFmtId="166" fontId="9" fillId="0" borderId="1" xfId="23" applyNumberFormat="1" applyFont="1" applyBorder="1" applyAlignment="1">
      <alignment horizontal="left" indent="3"/>
    </xf>
    <xf numFmtId="44" fontId="54" fillId="16" borderId="10" xfId="6" applyFont="1" applyFill="1" applyBorder="1"/>
    <xf numFmtId="0" fontId="33" fillId="16" borderId="1" xfId="6" applyNumberFormat="1" applyFont="1" applyFill="1" applyBorder="1" applyAlignment="1">
      <alignment horizontal="center"/>
    </xf>
    <xf numFmtId="166" fontId="34" fillId="0" borderId="15" xfId="4" applyNumberFormat="1" applyFont="1" applyBorder="1" applyAlignment="1">
      <alignment horizontal="left" vertical="top" indent="1"/>
    </xf>
    <xf numFmtId="166" fontId="34" fillId="0" borderId="15" xfId="4" applyNumberFormat="1" applyFont="1" applyBorder="1" applyAlignment="1">
      <alignment horizontal="left" vertical="top"/>
    </xf>
    <xf numFmtId="166" fontId="34" fillId="0" borderId="2" xfId="4" applyNumberFormat="1" applyFont="1" applyBorder="1" applyAlignment="1">
      <alignment horizontal="left" vertical="top"/>
    </xf>
    <xf numFmtId="0" fontId="34" fillId="0" borderId="1" xfId="11" applyFont="1" applyBorder="1" applyAlignment="1">
      <alignment vertical="top"/>
    </xf>
    <xf numFmtId="166" fontId="34" fillId="0" borderId="2" xfId="4" applyNumberFormat="1" applyFont="1" applyBorder="1" applyAlignment="1">
      <alignment horizontal="left" indent="3"/>
    </xf>
    <xf numFmtId="166" fontId="34" fillId="0" borderId="0" xfId="4" applyNumberFormat="1" applyFont="1" applyAlignment="1"/>
    <xf numFmtId="166" fontId="34" fillId="0" borderId="0" xfId="4" applyNumberFormat="1" applyFont="1" applyAlignment="1">
      <alignment horizontal="left"/>
    </xf>
    <xf numFmtId="44" fontId="34" fillId="16" borderId="8" xfId="6" applyFont="1" applyFill="1" applyBorder="1"/>
    <xf numFmtId="166" fontId="33" fillId="0" borderId="0" xfId="4" applyNumberFormat="1" applyFont="1"/>
    <xf numFmtId="44" fontId="54" fillId="4" borderId="0" xfId="6" applyFont="1" applyFill="1"/>
    <xf numFmtId="44" fontId="60" fillId="4" borderId="0" xfId="6" applyFont="1" applyFill="1"/>
    <xf numFmtId="166" fontId="33" fillId="0" borderId="0" xfId="4" applyNumberFormat="1" applyFont="1" applyAlignment="1">
      <alignment horizontal="left" indent="3"/>
    </xf>
    <xf numFmtId="44" fontId="60" fillId="16" borderId="0" xfId="6" applyFont="1" applyFill="1"/>
    <xf numFmtId="166" fontId="34" fillId="0" borderId="0" xfId="4" applyNumberFormat="1" applyFont="1" applyBorder="1" applyAlignment="1">
      <alignment horizontal="left" indent="3"/>
    </xf>
    <xf numFmtId="166" fontId="33" fillId="0" borderId="0" xfId="4" applyNumberFormat="1" applyFont="1" applyBorder="1" applyAlignment="1">
      <alignment horizontal="left" indent="3"/>
    </xf>
    <xf numFmtId="44" fontId="60" fillId="4" borderId="0" xfId="6" applyFont="1" applyFill="1" applyBorder="1"/>
    <xf numFmtId="166" fontId="34" fillId="0" borderId="1" xfId="4" applyNumberFormat="1" applyFont="1" applyBorder="1" applyAlignment="1">
      <alignment horizontal="center"/>
    </xf>
    <xf numFmtId="166" fontId="34" fillId="15" borderId="0" xfId="4" applyNumberFormat="1" applyFont="1" applyFill="1" applyBorder="1"/>
    <xf numFmtId="44" fontId="60" fillId="4" borderId="1" xfId="6" applyFont="1" applyFill="1" applyBorder="1"/>
    <xf numFmtId="166" fontId="33" fillId="0" borderId="0" xfId="4" applyNumberFormat="1" applyFont="1" applyBorder="1"/>
    <xf numFmtId="166" fontId="33" fillId="0" borderId="1" xfId="4" applyNumberFormat="1" applyFont="1" applyBorder="1" applyAlignment="1">
      <alignment horizontal="left" indent="3"/>
    </xf>
    <xf numFmtId="166" fontId="34" fillId="0" borderId="1" xfId="4" applyNumberFormat="1" applyFont="1" applyBorder="1" applyAlignment="1"/>
    <xf numFmtId="49" fontId="68" fillId="0" borderId="15" xfId="4" applyNumberFormat="1" applyFont="1" applyBorder="1" applyAlignment="1">
      <alignment vertical="top"/>
    </xf>
    <xf numFmtId="49" fontId="33" fillId="0" borderId="15" xfId="4" applyNumberFormat="1" applyFont="1" applyBorder="1" applyAlignment="1">
      <alignment vertical="top"/>
    </xf>
    <xf numFmtId="166" fontId="34" fillId="0" borderId="1" xfId="4" applyNumberFormat="1" applyFont="1" applyBorder="1" applyAlignment="1">
      <alignment vertical="top"/>
    </xf>
    <xf numFmtId="166" fontId="34" fillId="15" borderId="0" xfId="4" applyNumberFormat="1" applyFont="1" applyFill="1" applyBorder="1" applyAlignment="1">
      <alignment vertical="top"/>
    </xf>
    <xf numFmtId="166" fontId="34" fillId="0" borderId="2" xfId="4" applyNumberFormat="1" applyFont="1" applyFill="1" applyBorder="1" applyAlignment="1">
      <alignment horizontal="center" vertical="top"/>
    </xf>
    <xf numFmtId="166" fontId="34" fillId="0" borderId="0" xfId="4" applyNumberFormat="1" applyFont="1" applyAlignment="1">
      <alignment vertical="top"/>
    </xf>
    <xf numFmtId="44" fontId="34" fillId="0" borderId="1" xfId="6" applyFont="1" applyBorder="1" applyAlignment="1">
      <alignment vertical="top"/>
    </xf>
    <xf numFmtId="166" fontId="34" fillId="0" borderId="2" xfId="4" applyNumberFormat="1" applyFont="1" applyFill="1" applyBorder="1" applyAlignment="1">
      <alignment horizontal="left" vertical="top"/>
    </xf>
    <xf numFmtId="44" fontId="33" fillId="0" borderId="0" xfId="6" applyFont="1" applyAlignment="1">
      <alignment vertical="top"/>
    </xf>
    <xf numFmtId="49" fontId="68" fillId="0" borderId="15" xfId="4" applyNumberFormat="1" applyFont="1" applyBorder="1"/>
    <xf numFmtId="49" fontId="33" fillId="0" borderId="15" xfId="4" applyNumberFormat="1" applyFont="1" applyBorder="1"/>
    <xf numFmtId="166" fontId="34" fillId="0" borderId="15" xfId="4" applyNumberFormat="1" applyFont="1" applyBorder="1" applyAlignment="1">
      <alignment horizontal="left" indent="1"/>
    </xf>
    <xf numFmtId="166" fontId="34" fillId="0" borderId="15" xfId="4" applyNumberFormat="1" applyFont="1" applyBorder="1"/>
    <xf numFmtId="44" fontId="34" fillId="0" borderId="15" xfId="6" applyFont="1" applyBorder="1"/>
    <xf numFmtId="166" fontId="34" fillId="0" borderId="15" xfId="4" applyNumberFormat="1" applyFont="1" applyFill="1" applyBorder="1" applyAlignment="1">
      <alignment horizontal="center"/>
    </xf>
    <xf numFmtId="44" fontId="33" fillId="0" borderId="1" xfId="6" applyFont="1" applyBorder="1"/>
    <xf numFmtId="43" fontId="34" fillId="0" borderId="2" xfId="4" applyFont="1" applyBorder="1"/>
    <xf numFmtId="43" fontId="34" fillId="0" borderId="0" xfId="4" applyFont="1"/>
    <xf numFmtId="44" fontId="33" fillId="0" borderId="0" xfId="6" applyFont="1"/>
    <xf numFmtId="0" fontId="34" fillId="4" borderId="0" xfId="4" applyNumberFormat="1" applyFont="1" applyFill="1"/>
    <xf numFmtId="0" fontId="68" fillId="4" borderId="0" xfId="4" applyNumberFormat="1" applyFont="1" applyFill="1"/>
    <xf numFmtId="0" fontId="33" fillId="4" borderId="0" xfId="4" applyNumberFormat="1" applyFont="1" applyFill="1"/>
    <xf numFmtId="44" fontId="34" fillId="11" borderId="0" xfId="6" applyFont="1" applyFill="1"/>
    <xf numFmtId="44" fontId="34" fillId="17" borderId="0" xfId="6" applyFont="1" applyFill="1"/>
    <xf numFmtId="0" fontId="34" fillId="16" borderId="0" xfId="6" applyNumberFormat="1" applyFont="1" applyFill="1"/>
    <xf numFmtId="0" fontId="34" fillId="0" borderId="0" xfId="4" applyNumberFormat="1" applyFont="1" applyAlignment="1"/>
    <xf numFmtId="44" fontId="33" fillId="0" borderId="15" xfId="6" applyFont="1" applyBorder="1"/>
    <xf numFmtId="44" fontId="33" fillId="0" borderId="0" xfId="6" applyFont="1" applyBorder="1"/>
    <xf numFmtId="43" fontId="59" fillId="0" borderId="0" xfId="4" applyFont="1"/>
    <xf numFmtId="166" fontId="59" fillId="0" borderId="0" xfId="4" applyNumberFormat="1" applyFont="1" applyAlignment="1">
      <alignment horizontal="center"/>
    </xf>
    <xf numFmtId="166" fontId="52" fillId="0" borderId="0" xfId="4" applyNumberFormat="1" applyFont="1" applyFill="1"/>
    <xf numFmtId="166" fontId="82" fillId="0" borderId="0" xfId="4" applyNumberFormat="1" applyFont="1" applyAlignment="1">
      <alignment horizontal="left" wrapText="1"/>
    </xf>
    <xf numFmtId="0" fontId="34" fillId="0" borderId="2" xfId="4" applyNumberFormat="1" applyFont="1" applyBorder="1" applyAlignment="1">
      <alignment horizontal="left" indent="2"/>
    </xf>
    <xf numFmtId="43" fontId="33" fillId="0" borderId="2" xfId="4" applyFont="1" applyFill="1" applyBorder="1"/>
    <xf numFmtId="0" fontId="34" fillId="0" borderId="2" xfId="4" applyNumberFormat="1" applyFont="1" applyBorder="1" applyAlignment="1">
      <alignment horizontal="left"/>
    </xf>
    <xf numFmtId="43" fontId="34" fillId="0" borderId="0" xfId="4" applyFont="1" applyFill="1" applyAlignment="1">
      <alignment horizontal="left"/>
    </xf>
    <xf numFmtId="166" fontId="33" fillId="0" borderId="0" xfId="4" applyNumberFormat="1" applyFont="1" applyFill="1"/>
    <xf numFmtId="43" fontId="34" fillId="0" borderId="2" xfId="4" applyFont="1" applyFill="1" applyBorder="1" applyAlignment="1">
      <alignment horizontal="left"/>
    </xf>
    <xf numFmtId="43" fontId="83" fillId="0" borderId="0" xfId="4" applyFont="1" applyBorder="1" applyAlignment="1">
      <alignment vertical="center"/>
    </xf>
    <xf numFmtId="0" fontId="34" fillId="12" borderId="0" xfId="4" applyNumberFormat="1" applyFont="1" applyFill="1" applyBorder="1" applyAlignment="1">
      <alignment horizontal="left" indent="2"/>
    </xf>
    <xf numFmtId="43" fontId="34" fillId="12" borderId="0" xfId="4" applyFont="1" applyFill="1" applyAlignment="1">
      <alignment horizontal="center"/>
    </xf>
    <xf numFmtId="43" fontId="33" fillId="12" borderId="0" xfId="4" applyFont="1" applyFill="1"/>
    <xf numFmtId="0" fontId="34" fillId="0" borderId="0" xfId="4" applyNumberFormat="1" applyFont="1" applyBorder="1" applyAlignment="1">
      <alignment horizontal="left"/>
    </xf>
    <xf numFmtId="43" fontId="34" fillId="12" borderId="0" xfId="4" applyFont="1" applyFill="1"/>
    <xf numFmtId="43" fontId="34" fillId="0" borderId="0" xfId="4" applyFont="1" applyBorder="1" applyAlignment="1">
      <alignment horizontal="left"/>
    </xf>
    <xf numFmtId="43" fontId="33" fillId="12" borderId="0" xfId="23" applyFont="1" applyFill="1"/>
    <xf numFmtId="0" fontId="34" fillId="0" borderId="0" xfId="4" applyNumberFormat="1" applyFont="1" applyAlignment="1">
      <alignment horizontal="left"/>
    </xf>
    <xf numFmtId="43" fontId="34" fillId="0" borderId="0" xfId="4" applyFont="1" applyAlignment="1">
      <alignment horizontal="left"/>
    </xf>
    <xf numFmtId="43" fontId="33" fillId="0" borderId="2" xfId="4" applyFont="1" applyBorder="1"/>
    <xf numFmtId="43" fontId="34" fillId="0" borderId="0" xfId="4" applyFont="1" applyBorder="1"/>
    <xf numFmtId="166" fontId="33" fillId="0" borderId="0" xfId="4" applyNumberFormat="1" applyFont="1" applyFill="1" applyBorder="1"/>
    <xf numFmtId="173" fontId="34" fillId="0" borderId="15" xfId="4" applyNumberFormat="1" applyFont="1" applyBorder="1" applyAlignment="1">
      <alignment horizontal="left"/>
    </xf>
    <xf numFmtId="43" fontId="68" fillId="0" borderId="0" xfId="4" applyFont="1" applyBorder="1"/>
    <xf numFmtId="0" fontId="34" fillId="0" borderId="15" xfId="4" applyNumberFormat="1" applyFont="1" applyBorder="1" applyAlignment="1">
      <alignment horizontal="left" indent="2"/>
    </xf>
    <xf numFmtId="166" fontId="34" fillId="0" borderId="15" xfId="4" applyNumberFormat="1" applyFont="1" applyBorder="1" applyAlignment="1">
      <alignment horizontal="center"/>
    </xf>
    <xf numFmtId="43" fontId="34" fillId="0" borderId="15" xfId="4" applyFont="1" applyFill="1" applyBorder="1"/>
    <xf numFmtId="43" fontId="33" fillId="0" borderId="0" xfId="4" applyFont="1" applyBorder="1"/>
    <xf numFmtId="43" fontId="33" fillId="0" borderId="0" xfId="4" applyFont="1"/>
    <xf numFmtId="0" fontId="34" fillId="0" borderId="0" xfId="4" applyNumberFormat="1" applyFont="1" applyBorder="1" applyAlignment="1">
      <alignment horizontal="left" indent="2"/>
    </xf>
    <xf numFmtId="166" fontId="68" fillId="0" borderId="0" xfId="4" applyNumberFormat="1" applyFont="1" applyBorder="1" applyAlignment="1">
      <alignment horizontal="center"/>
    </xf>
    <xf numFmtId="43" fontId="35" fillId="0" borderId="0" xfId="4" applyFont="1"/>
    <xf numFmtId="0" fontId="68" fillId="0" borderId="0" xfId="4" applyNumberFormat="1" applyFont="1"/>
    <xf numFmtId="15" fontId="68" fillId="0" borderId="0" xfId="4" applyNumberFormat="1" applyFont="1"/>
    <xf numFmtId="44" fontId="34" fillId="0" borderId="0" xfId="11" applyNumberFormat="1" applyFont="1" applyAlignment="1">
      <alignment horizontal="left"/>
    </xf>
    <xf numFmtId="44" fontId="54" fillId="0" borderId="0" xfId="11" applyNumberFormat="1" applyFont="1" applyAlignment="1">
      <alignment horizontal="center"/>
    </xf>
    <xf numFmtId="44" fontId="34" fillId="0" borderId="1" xfId="11" applyNumberFormat="1" applyFont="1" applyBorder="1" applyAlignment="1">
      <alignment horizontal="center"/>
    </xf>
    <xf numFmtId="44" fontId="33" fillId="0" borderId="15" xfId="6" applyFont="1" applyFill="1" applyBorder="1"/>
    <xf numFmtId="43" fontId="33" fillId="0" borderId="15" xfId="4" applyFont="1" applyFill="1" applyBorder="1"/>
    <xf numFmtId="0" fontId="34" fillId="0" borderId="35" xfId="11" applyFont="1" applyBorder="1"/>
    <xf numFmtId="44" fontId="34" fillId="0" borderId="3" xfId="6" applyFont="1" applyFill="1" applyBorder="1"/>
    <xf numFmtId="166" fontId="60" fillId="0" borderId="0" xfId="4" applyNumberFormat="1" applyFont="1" applyFill="1" applyAlignment="1">
      <alignment vertical="center"/>
    </xf>
    <xf numFmtId="171" fontId="57" fillId="0" borderId="0" xfId="6" applyNumberFormat="1" applyFont="1" applyFill="1"/>
    <xf numFmtId="166" fontId="60" fillId="0" borderId="0" xfId="4" applyNumberFormat="1" applyFont="1" applyFill="1"/>
    <xf numFmtId="44" fontId="34" fillId="0" borderId="0" xfId="6" applyFont="1" applyFill="1" applyBorder="1"/>
    <xf numFmtId="171" fontId="34" fillId="0" borderId="0" xfId="6" applyNumberFormat="1" applyFont="1" applyFill="1"/>
    <xf numFmtId="166" fontId="58" fillId="0" borderId="0" xfId="4" applyNumberFormat="1" applyFont="1" applyFill="1"/>
    <xf numFmtId="171" fontId="62" fillId="0" borderId="0" xfId="6" applyNumberFormat="1" applyFont="1" applyFill="1"/>
    <xf numFmtId="166" fontId="63" fillId="0" borderId="0" xfId="4" applyNumberFormat="1" applyFont="1" applyFill="1" applyAlignment="1">
      <alignment vertical="center"/>
    </xf>
    <xf numFmtId="166" fontId="47" fillId="0" borderId="0" xfId="4" applyNumberFormat="1" applyFont="1" applyFill="1" applyAlignment="1">
      <alignment vertical="center"/>
    </xf>
    <xf numFmtId="49" fontId="33" fillId="0" borderId="0" xfId="11" applyNumberFormat="1" applyFont="1"/>
    <xf numFmtId="166" fontId="31" fillId="0" borderId="0" xfId="4" applyNumberFormat="1" applyFont="1" applyFill="1" applyAlignment="1">
      <alignment vertical="center"/>
    </xf>
    <xf numFmtId="166" fontId="34" fillId="0" borderId="2" xfId="4" applyNumberFormat="1" applyFont="1" applyFill="1" applyBorder="1" applyAlignment="1">
      <alignment vertical="center"/>
    </xf>
    <xf numFmtId="49" fontId="34" fillId="0" borderId="2" xfId="11" applyNumberFormat="1" applyFont="1" applyBorder="1"/>
    <xf numFmtId="171" fontId="34" fillId="0" borderId="2" xfId="6" applyNumberFormat="1" applyFont="1" applyFill="1" applyBorder="1"/>
    <xf numFmtId="44" fontId="33" fillId="0" borderId="2" xfId="11" applyNumberFormat="1" applyFont="1" applyBorder="1" applyAlignment="1">
      <alignment horizontal="center"/>
    </xf>
    <xf numFmtId="44" fontId="33" fillId="0" borderId="2" xfId="6" applyFont="1" applyFill="1" applyBorder="1"/>
    <xf numFmtId="44" fontId="35" fillId="0" borderId="0" xfId="6" applyFont="1" applyFill="1"/>
    <xf numFmtId="171" fontId="9" fillId="0" borderId="0" xfId="6" applyNumberFormat="1" applyFill="1"/>
    <xf numFmtId="166" fontId="33" fillId="0" borderId="0" xfId="4" applyNumberFormat="1" applyFont="1" applyFill="1" applyAlignment="1">
      <alignment vertical="center"/>
    </xf>
    <xf numFmtId="166" fontId="49" fillId="0" borderId="0" xfId="4" applyNumberFormat="1" applyFont="1" applyFill="1" applyAlignment="1">
      <alignment horizontal="left" vertical="center"/>
    </xf>
    <xf numFmtId="166" fontId="9" fillId="0" borderId="0" xfId="4" applyNumberFormat="1" applyFill="1"/>
    <xf numFmtId="166" fontId="33" fillId="0" borderId="0" xfId="4" applyNumberFormat="1" applyFont="1" applyFill="1" applyAlignment="1">
      <alignment horizontal="center" vertical="center"/>
    </xf>
    <xf numFmtId="166" fontId="49" fillId="0" borderId="0" xfId="4" applyNumberFormat="1" applyFont="1" applyFill="1" applyAlignment="1">
      <alignment horizontal="center" vertical="center"/>
    </xf>
    <xf numFmtId="166" fontId="9" fillId="0" borderId="0" xfId="23" applyNumberFormat="1" applyFont="1" applyFill="1" applyAlignment="1">
      <alignment horizontal="left" indent="3"/>
    </xf>
    <xf numFmtId="166" fontId="35" fillId="0" borderId="0" xfId="23" applyNumberFormat="1" applyFont="1" applyFill="1"/>
    <xf numFmtId="166" fontId="34" fillId="0" borderId="0" xfId="4" applyNumberFormat="1" applyFont="1" applyFill="1" applyBorder="1"/>
    <xf numFmtId="166" fontId="68" fillId="0" borderId="0" xfId="4" applyNumberFormat="1" applyFont="1" applyFill="1" applyBorder="1"/>
    <xf numFmtId="43" fontId="34" fillId="0" borderId="0" xfId="4" applyFont="1" applyFill="1" applyBorder="1"/>
    <xf numFmtId="39" fontId="16" fillId="0" borderId="0" xfId="0" applyFont="1" applyAlignment="1">
      <alignment horizontal="right"/>
    </xf>
    <xf numFmtId="39" fontId="9" fillId="0" borderId="0" xfId="0" applyFont="1" applyAlignment="1" applyProtection="1">
      <alignment horizontal="left"/>
      <protection locked="0"/>
    </xf>
    <xf numFmtId="39" fontId="9" fillId="0" borderId="3" xfId="0" applyFont="1" applyBorder="1" applyAlignment="1" applyProtection="1">
      <alignment horizontal="left"/>
      <protection locked="0"/>
    </xf>
    <xf numFmtId="39" fontId="34" fillId="0" borderId="0" xfId="0" applyFont="1" applyAlignment="1" applyProtection="1">
      <alignment horizontal="left"/>
      <protection locked="0"/>
    </xf>
    <xf numFmtId="39" fontId="34" fillId="0" borderId="3" xfId="0" applyFont="1" applyBorder="1" applyAlignment="1" applyProtection="1">
      <alignment horizontal="left"/>
      <protection locked="0"/>
    </xf>
    <xf numFmtId="39" fontId="9" fillId="0" borderId="19" xfId="0" applyFont="1" applyBorder="1" applyAlignment="1">
      <alignment horizontal="left"/>
    </xf>
    <xf numFmtId="39" fontId="9" fillId="0" borderId="0" xfId="0" applyFont="1" applyAlignment="1">
      <alignment horizontal="left"/>
    </xf>
    <xf numFmtId="39" fontId="9" fillId="0" borderId="17" xfId="0" applyFont="1" applyBorder="1" applyAlignment="1">
      <alignment horizontal="left"/>
    </xf>
    <xf numFmtId="39" fontId="9" fillId="0" borderId="4" xfId="0" applyFont="1" applyBorder="1" applyAlignment="1">
      <alignment horizontal="left"/>
    </xf>
    <xf numFmtId="39" fontId="9" fillId="0" borderId="21" xfId="0" applyFont="1" applyBorder="1" applyAlignment="1">
      <alignment horizontal="left" vertical="top" wrapText="1"/>
    </xf>
    <xf numFmtId="39" fontId="9" fillId="0" borderId="22" xfId="0" applyFont="1" applyBorder="1" applyAlignment="1">
      <alignment horizontal="left" vertical="top" wrapText="1"/>
    </xf>
    <xf numFmtId="39" fontId="27" fillId="0" borderId="0" xfId="0" applyFont="1" applyAlignment="1">
      <alignment horizontal="center"/>
    </xf>
    <xf numFmtId="39" fontId="9" fillId="0" borderId="20" xfId="0" applyFont="1" applyBorder="1" applyAlignment="1">
      <alignment horizontal="left" vertical="top"/>
    </xf>
    <xf numFmtId="39" fontId="9" fillId="0" borderId="21" xfId="0" applyFont="1" applyBorder="1" applyAlignment="1">
      <alignment horizontal="left" vertical="top"/>
    </xf>
    <xf numFmtId="17" fontId="16" fillId="0" borderId="0" xfId="0" applyNumberFormat="1" applyFont="1" applyAlignment="1">
      <alignment horizontal="right"/>
    </xf>
    <xf numFmtId="39" fontId="48" fillId="0" borderId="0" xfId="0" applyFont="1" applyAlignment="1">
      <alignment horizontal="center"/>
    </xf>
    <xf numFmtId="0" fontId="9" fillId="0" borderId="0" xfId="0" applyNumberFormat="1" applyFont="1" applyAlignment="1" applyProtection="1">
      <alignment horizontal="left"/>
      <protection locked="0"/>
    </xf>
    <xf numFmtId="0" fontId="9" fillId="0" borderId="3" xfId="0" applyNumberFormat="1" applyFont="1" applyBorder="1" applyAlignment="1" applyProtection="1">
      <alignment horizontal="left"/>
      <protection locked="0"/>
    </xf>
    <xf numFmtId="164" fontId="16" fillId="0" borderId="0" xfId="0" applyNumberFormat="1" applyFont="1" applyAlignment="1">
      <alignment horizontal="center" vertical="center" wrapText="1"/>
    </xf>
    <xf numFmtId="39" fontId="9" fillId="0" borderId="4" xfId="17" applyNumberFormat="1" applyFont="1" applyBorder="1" applyAlignment="1" applyProtection="1">
      <alignment horizontal="left"/>
      <protection locked="0"/>
    </xf>
    <xf numFmtId="39" fontId="9" fillId="0" borderId="18" xfId="17" applyNumberFormat="1" applyFont="1" applyBorder="1" applyAlignment="1" applyProtection="1">
      <alignment horizontal="left"/>
      <protection locked="0"/>
    </xf>
    <xf numFmtId="39" fontId="9" fillId="0" borderId="0" xfId="17" applyNumberFormat="1" applyFont="1" applyAlignment="1" applyProtection="1">
      <alignment horizontal="left"/>
      <protection locked="0"/>
    </xf>
    <xf numFmtId="39" fontId="9" fillId="0" borderId="3" xfId="17" applyNumberFormat="1" applyFont="1" applyBorder="1" applyAlignment="1" applyProtection="1">
      <alignment horizontal="left"/>
      <protection locked="0"/>
    </xf>
    <xf numFmtId="39" fontId="16" fillId="0" borderId="0" xfId="17" applyNumberFormat="1" applyFont="1" applyAlignment="1">
      <alignment horizontal="right"/>
    </xf>
    <xf numFmtId="39" fontId="9" fillId="0" borderId="21" xfId="17" applyNumberFormat="1" applyFont="1" applyBorder="1" applyAlignment="1">
      <alignment horizontal="left" vertical="top" wrapText="1"/>
    </xf>
    <xf numFmtId="39" fontId="9" fillId="0" borderId="22" xfId="17" applyNumberFormat="1" applyFont="1" applyBorder="1" applyAlignment="1">
      <alignment horizontal="left" vertical="top" wrapText="1"/>
    </xf>
    <xf numFmtId="39" fontId="34" fillId="0" borderId="0" xfId="17" applyNumberFormat="1" applyFont="1" applyAlignment="1" applyProtection="1">
      <alignment horizontal="left"/>
      <protection locked="0"/>
    </xf>
    <xf numFmtId="39" fontId="34" fillId="0" borderId="3" xfId="17" applyNumberFormat="1" applyFont="1" applyBorder="1" applyAlignment="1" applyProtection="1">
      <alignment horizontal="left"/>
      <protection locked="0"/>
    </xf>
    <xf numFmtId="39" fontId="16" fillId="0" borderId="0" xfId="9" applyNumberFormat="1" applyFont="1" applyAlignment="1">
      <alignment horizontal="right"/>
    </xf>
    <xf numFmtId="0" fontId="34" fillId="0" borderId="1" xfId="11" applyFont="1" applyBorder="1" applyAlignment="1">
      <alignment horizontal="left"/>
    </xf>
    <xf numFmtId="39" fontId="16" fillId="0" borderId="12" xfId="0" applyFont="1" applyBorder="1" applyAlignment="1">
      <alignment horizontal="center" vertical="center" textRotation="90"/>
    </xf>
    <xf numFmtId="39" fontId="16" fillId="0" borderId="13" xfId="0" applyFont="1" applyBorder="1" applyAlignment="1">
      <alignment horizontal="center" vertical="center" textRotation="90"/>
    </xf>
    <xf numFmtId="39" fontId="16" fillId="0" borderId="14" xfId="0" applyFont="1" applyBorder="1" applyAlignment="1">
      <alignment horizontal="center" vertical="center" textRotation="90"/>
    </xf>
    <xf numFmtId="39" fontId="17" fillId="0" borderId="16" xfId="0" applyFont="1" applyBorder="1" applyAlignment="1">
      <alignment horizontal="center" wrapText="1"/>
    </xf>
    <xf numFmtId="39" fontId="17" fillId="0" borderId="23" xfId="0" applyFont="1" applyBorder="1" applyAlignment="1">
      <alignment horizontal="center" wrapText="1"/>
    </xf>
    <xf numFmtId="39" fontId="23" fillId="0" borderId="9" xfId="0" applyFont="1" applyBorder="1" applyAlignment="1">
      <alignment horizontal="center"/>
    </xf>
    <xf numFmtId="39" fontId="23" fillId="0" borderId="1" xfId="0" applyFont="1" applyBorder="1" applyAlignment="1">
      <alignment horizontal="center"/>
    </xf>
    <xf numFmtId="39" fontId="23"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6" fillId="0" borderId="2" xfId="0" applyFont="1" applyBorder="1" applyAlignment="1">
      <alignment horizontal="center" wrapText="1"/>
    </xf>
    <xf numFmtId="39" fontId="26" fillId="0" borderId="1" xfId="0" applyFont="1" applyBorder="1" applyAlignment="1">
      <alignment horizontal="center" wrapText="1"/>
    </xf>
    <xf numFmtId="39" fontId="26" fillId="0" borderId="5" xfId="0" applyFont="1" applyBorder="1" applyAlignment="1">
      <alignment horizontal="center" wrapText="1"/>
    </xf>
    <xf numFmtId="39" fontId="26" fillId="0" borderId="9" xfId="0" applyFont="1" applyBorder="1" applyAlignment="1">
      <alignment horizontal="center" wrapText="1"/>
    </xf>
    <xf numFmtId="39" fontId="17" fillId="0" borderId="15" xfId="0" applyFont="1" applyBorder="1" applyAlignment="1">
      <alignment horizontal="center" wrapText="1"/>
    </xf>
    <xf numFmtId="39" fontId="19" fillId="0" borderId="6" xfId="0" applyFont="1" applyBorder="1" applyAlignment="1">
      <alignment horizontal="center" wrapText="1"/>
    </xf>
    <xf numFmtId="39" fontId="19" fillId="0" borderId="10" xfId="0" applyFont="1" applyBorder="1" applyAlignment="1">
      <alignment horizontal="center" wrapText="1"/>
    </xf>
    <xf numFmtId="39" fontId="17" fillId="0" borderId="12" xfId="0" applyFont="1" applyBorder="1" applyAlignment="1">
      <alignment horizontal="center" wrapText="1"/>
    </xf>
    <xf numFmtId="39" fontId="17" fillId="0" borderId="14" xfId="0" applyFont="1" applyBorder="1" applyAlignment="1">
      <alignment horizontal="center" wrapText="1"/>
    </xf>
    <xf numFmtId="37" fontId="17" fillId="0" borderId="16" xfId="0" applyNumberFormat="1" applyFont="1" applyBorder="1" applyAlignment="1">
      <alignment horizontal="center"/>
    </xf>
    <xf numFmtId="37" fontId="17" fillId="0" borderId="15" xfId="0" applyNumberFormat="1" applyFont="1" applyBorder="1" applyAlignment="1">
      <alignment horizontal="center"/>
    </xf>
    <xf numFmtId="37" fontId="17" fillId="0" borderId="23" xfId="0" applyNumberFormat="1" applyFont="1" applyBorder="1" applyAlignment="1">
      <alignment horizontal="center"/>
    </xf>
    <xf numFmtId="39" fontId="26" fillId="0" borderId="12" xfId="0" applyFont="1" applyBorder="1" applyAlignment="1">
      <alignment horizontal="center" wrapText="1"/>
    </xf>
    <xf numFmtId="39" fontId="26" fillId="0" borderId="14" xfId="0" applyFont="1" applyBorder="1" applyAlignment="1">
      <alignment horizontal="center" wrapText="1"/>
    </xf>
    <xf numFmtId="39" fontId="17" fillId="0" borderId="2" xfId="0" applyFont="1" applyBorder="1" applyAlignment="1">
      <alignment horizontal="center" wrapText="1"/>
    </xf>
    <xf numFmtId="39" fontId="17" fillId="0" borderId="1" xfId="0" applyFont="1" applyBorder="1" applyAlignment="1">
      <alignment horizontal="center" wrapText="1"/>
    </xf>
    <xf numFmtId="39" fontId="26" fillId="0" borderId="6" xfId="0" applyFont="1" applyBorder="1" applyAlignment="1">
      <alignment horizontal="center" wrapText="1"/>
    </xf>
    <xf numFmtId="39" fontId="26" fillId="0" borderId="10" xfId="0" applyFont="1" applyBorder="1" applyAlignment="1">
      <alignment horizontal="center" wrapText="1"/>
    </xf>
    <xf numFmtId="39" fontId="17" fillId="0" borderId="16" xfId="0" applyFont="1" applyBorder="1" applyAlignment="1">
      <alignment horizontal="center"/>
    </xf>
    <xf numFmtId="39" fontId="17" fillId="0" borderId="15" xfId="0" applyFont="1" applyBorder="1" applyAlignment="1">
      <alignment horizontal="center"/>
    </xf>
    <xf numFmtId="39" fontId="17" fillId="0" borderId="23" xfId="0" applyFont="1" applyBorder="1" applyAlignment="1">
      <alignment horizontal="center"/>
    </xf>
    <xf numFmtId="171" fontId="56" fillId="9" borderId="0" xfId="6" applyNumberFormat="1" applyFont="1" applyFill="1" applyBorder="1" applyAlignment="1">
      <alignment horizontal="center" vertical="center" wrapText="1"/>
    </xf>
    <xf numFmtId="0" fontId="34" fillId="0" borderId="7" xfId="6" applyNumberFormat="1" applyFont="1" applyBorder="1" applyAlignment="1">
      <alignment horizontal="center"/>
    </xf>
    <xf numFmtId="0" fontId="34" fillId="0" borderId="0" xfId="6" applyNumberFormat="1" applyFont="1" applyBorder="1" applyAlignment="1">
      <alignment horizontal="center"/>
    </xf>
    <xf numFmtId="49" fontId="56" fillId="9" borderId="0" xfId="11" applyNumberFormat="1" applyFont="1" applyFill="1" applyAlignment="1">
      <alignment horizontal="center" wrapText="1"/>
    </xf>
    <xf numFmtId="49" fontId="56" fillId="9" borderId="1" xfId="11" applyNumberFormat="1" applyFont="1" applyFill="1" applyBorder="1" applyAlignment="1">
      <alignment horizontal="center" wrapText="1"/>
    </xf>
    <xf numFmtId="49" fontId="56" fillId="9" borderId="1" xfId="11" applyNumberFormat="1" applyFont="1" applyFill="1" applyBorder="1" applyAlignment="1">
      <alignment horizontal="left"/>
    </xf>
    <xf numFmtId="170" fontId="59" fillId="0" borderId="0" xfId="11" applyNumberFormat="1" applyFont="1" applyAlignment="1">
      <alignment horizontal="left" vertical="center" wrapText="1"/>
    </xf>
    <xf numFmtId="166" fontId="60" fillId="0" borderId="0" xfId="4" applyNumberFormat="1" applyFont="1" applyAlignment="1">
      <alignment horizontal="right"/>
    </xf>
    <xf numFmtId="166" fontId="47" fillId="0" borderId="0" xfId="4" applyNumberFormat="1" applyFont="1" applyAlignment="1">
      <alignment horizontal="right" vertical="center"/>
    </xf>
    <xf numFmtId="49" fontId="52" fillId="0" borderId="0" xfId="11" applyNumberFormat="1" applyFont="1" applyAlignment="1">
      <alignment horizontal="center" vertical="center" wrapText="1"/>
    </xf>
    <xf numFmtId="166" fontId="70" fillId="0" borderId="0" xfId="4" applyNumberFormat="1" applyFont="1" applyFill="1" applyAlignment="1">
      <alignment horizontal="center"/>
    </xf>
    <xf numFmtId="166" fontId="72" fillId="0" borderId="0" xfId="4" applyNumberFormat="1" applyFont="1" applyAlignment="1">
      <alignment horizontal="center"/>
    </xf>
    <xf numFmtId="166" fontId="74" fillId="0" borderId="0" xfId="4" applyNumberFormat="1" applyFont="1" applyBorder="1" applyAlignment="1">
      <alignment horizontal="center"/>
    </xf>
    <xf numFmtId="168" fontId="75" fillId="0" borderId="0" xfId="4" applyNumberFormat="1" applyFont="1" applyBorder="1" applyAlignment="1">
      <alignment horizontal="right"/>
    </xf>
    <xf numFmtId="168" fontId="76" fillId="0" borderId="0" xfId="4" applyNumberFormat="1" applyFont="1" applyBorder="1" applyAlignment="1">
      <alignment horizontal="left"/>
    </xf>
    <xf numFmtId="166" fontId="8" fillId="0" borderId="37" xfId="4" applyNumberFormat="1" applyFont="1" applyBorder="1" applyAlignment="1">
      <alignment horizontal="center" vertical="center"/>
    </xf>
    <xf numFmtId="166" fontId="81" fillId="9" borderId="1" xfId="4" applyNumberFormat="1" applyFont="1" applyFill="1" applyBorder="1" applyAlignment="1">
      <alignment horizontal="center"/>
    </xf>
    <xf numFmtId="166" fontId="79" fillId="9" borderId="0" xfId="4" applyNumberFormat="1" applyFont="1" applyFill="1" applyBorder="1" applyAlignment="1">
      <alignment horizontal="center"/>
    </xf>
    <xf numFmtId="166" fontId="79" fillId="9" borderId="1" xfId="4" applyNumberFormat="1" applyFont="1" applyFill="1" applyBorder="1" applyAlignment="1">
      <alignment horizontal="center"/>
    </xf>
    <xf numFmtId="166" fontId="78" fillId="0" borderId="0" xfId="4" applyNumberFormat="1" applyFont="1" applyAlignment="1">
      <alignment horizontal="center"/>
    </xf>
    <xf numFmtId="166" fontId="8" fillId="0" borderId="37" xfId="4" applyNumberFormat="1" applyFont="1" applyBorder="1" applyAlignment="1">
      <alignment horizontal="center"/>
    </xf>
    <xf numFmtId="39" fontId="9" fillId="0" borderId="4" xfId="0" applyFont="1" applyBorder="1" applyAlignment="1" applyProtection="1">
      <protection locked="0"/>
    </xf>
    <xf numFmtId="39" fontId="9" fillId="0" borderId="18" xfId="0" applyFont="1" applyBorder="1" applyAlignment="1" applyProtection="1">
      <protection locked="0"/>
    </xf>
    <xf numFmtId="39" fontId="9" fillId="0" borderId="0" xfId="0" applyFont="1" applyAlignment="1" applyProtection="1">
      <protection locked="0"/>
    </xf>
    <xf numFmtId="39" fontId="9" fillId="0" borderId="3" xfId="0" applyFont="1" applyBorder="1" applyAlignment="1" applyProtection="1">
      <protection locked="0"/>
    </xf>
    <xf numFmtId="0" fontId="34" fillId="0" borderId="2" xfId="11" applyFont="1" applyBorder="1" applyAlignment="1"/>
    <xf numFmtId="49" fontId="34" fillId="0" borderId="0" xfId="11" applyNumberFormat="1" applyFont="1" applyAlignment="1"/>
  </cellXfs>
  <cellStyles count="34">
    <cellStyle name="Comma" xfId="1" builtinId="3"/>
    <cellStyle name="Comma 2" xfId="2" xr:uid="{00000000-0005-0000-0000-000001000000}"/>
    <cellStyle name="Comma 2 2" xfId="3" xr:uid="{00000000-0005-0000-0000-000002000000}"/>
    <cellStyle name="Comma 2 3" xfId="15" xr:uid="{00000000-0005-0000-0000-000003000000}"/>
    <cellStyle name="Comma 2 3 2" xfId="26" xr:uid="{B1FFC0C7-0D62-4506-94D7-67080FC48014}"/>
    <cellStyle name="Comma 2 4" xfId="23" xr:uid="{0389C422-69DD-4707-94F1-0553D62DD7E6}"/>
    <cellStyle name="Comma 2 5" xfId="24" xr:uid="{68B66ED1-698C-4A1B-A914-282E808A35C5}"/>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3 2" xfId="27" xr:uid="{E13EC2AE-C29D-42FF-87C4-A9990C84E43E}"/>
    <cellStyle name="Normal 2 4" xfId="17" xr:uid="{00000000-0005-0000-0000-00000E000000}"/>
    <cellStyle name="Normal 2 4 2" xfId="21" xr:uid="{00000000-0005-0000-0000-00000F000000}"/>
    <cellStyle name="Normal 2 4 2 2" xfId="32" xr:uid="{0445D64E-99F2-4F24-8208-64E2A6B4EC49}"/>
    <cellStyle name="Normal 2 4 3" xfId="28" xr:uid="{C557274E-8C0D-4B3C-B420-3DB999FE350B}"/>
    <cellStyle name="Normal 2 5" xfId="18" xr:uid="{00000000-0005-0000-0000-000010000000}"/>
    <cellStyle name="Normal 2 5 2" xfId="29" xr:uid="{B37C9B3D-76DC-47F5-A4C9-EB1F3F959579}"/>
    <cellStyle name="Normal 2 6" xfId="20" xr:uid="{00000000-0005-0000-0000-000011000000}"/>
    <cellStyle name="Normal 2 6 2" xfId="31" xr:uid="{F2109FC4-8870-4933-BE1E-A6A113B3EB22}"/>
    <cellStyle name="Normal 2 7" xfId="22" xr:uid="{00000000-0005-0000-0000-000012000000}"/>
    <cellStyle name="Normal 2 7 2" xfId="33" xr:uid="{FC227608-081B-4030-85D1-062C43CD373E}"/>
    <cellStyle name="Normal 2 8" xfId="25" xr:uid="{50BC3C21-E81F-4B1D-BE1E-DECB422D9845}"/>
    <cellStyle name="Normal 3" xfId="11" xr:uid="{00000000-0005-0000-0000-000013000000}"/>
    <cellStyle name="Normal 4" xfId="19" xr:uid="{00000000-0005-0000-0000-000014000000}"/>
    <cellStyle name="Normal 4 2" xfId="30" xr:uid="{0A331009-01D8-42E3-8598-2A924A86024B}"/>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43672A06-0063-43FB-B05B-E90A240B053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657225</xdr:colOff>
      <xdr:row>6</xdr:row>
      <xdr:rowOff>123825</xdr:rowOff>
    </xdr:from>
    <xdr:to>
      <xdr:col>10</xdr:col>
      <xdr:colOff>427969</xdr:colOff>
      <xdr:row>145</xdr:row>
      <xdr:rowOff>51174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524500" y="1285875"/>
          <a:ext cx="5247619" cy="1422774"/>
        </a:xfrm>
        <a:prstGeom prst="rect">
          <a:avLst/>
        </a:prstGeom>
      </xdr:spPr>
    </xdr:pic>
    <xdr:clientData/>
  </xdr:twoCellAnchor>
  <xdr:twoCellAnchor editAs="oneCell">
    <xdr:from>
      <xdr:col>5</xdr:col>
      <xdr:colOff>542925</xdr:colOff>
      <xdr:row>75</xdr:row>
      <xdr:rowOff>57150</xdr:rowOff>
    </xdr:from>
    <xdr:to>
      <xdr:col>10</xdr:col>
      <xdr:colOff>161288</xdr:colOff>
      <xdr:row>146</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146</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5</xdr:col>
      <xdr:colOff>884582</xdr:colOff>
      <xdr:row>6</xdr:row>
      <xdr:rowOff>152400</xdr:rowOff>
    </xdr:from>
    <xdr:to>
      <xdr:col>10</xdr:col>
      <xdr:colOff>634861</xdr:colOff>
      <xdr:row>145</xdr:row>
      <xdr:rowOff>14561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5751857" y="1314450"/>
          <a:ext cx="5227154" cy="1357586"/>
        </a:xfrm>
        <a:prstGeom prst="rect">
          <a:avLst/>
        </a:prstGeom>
      </xdr:spPr>
    </xdr:pic>
    <xdr:clientData/>
  </xdr:twoCellAnchor>
  <xdr:twoCellAnchor editAs="oneCell">
    <xdr:from>
      <xdr:col>5</xdr:col>
      <xdr:colOff>599661</xdr:colOff>
      <xdr:row>6</xdr:row>
      <xdr:rowOff>0</xdr:rowOff>
    </xdr:from>
    <xdr:to>
      <xdr:col>10</xdr:col>
      <xdr:colOff>704436</xdr:colOff>
      <xdr:row>145</xdr:row>
      <xdr:rowOff>108501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466936" y="1162050"/>
          <a:ext cx="5581650" cy="1603926"/>
        </a:xfrm>
        <a:prstGeom prst="rect">
          <a:avLst/>
        </a:prstGeom>
      </xdr:spPr>
    </xdr:pic>
    <xdr:clientData/>
  </xdr:twoCellAnchor>
  <xdr:twoCellAnchor editAs="oneCell">
    <xdr:from>
      <xdr:col>5</xdr:col>
      <xdr:colOff>628236</xdr:colOff>
      <xdr:row>4</xdr:row>
      <xdr:rowOff>95250</xdr:rowOff>
    </xdr:from>
    <xdr:to>
      <xdr:col>10</xdr:col>
      <xdr:colOff>446523</xdr:colOff>
      <xdr:row>143</xdr:row>
      <xdr:rowOff>89452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495511" y="857250"/>
          <a:ext cx="5295162" cy="1565827"/>
        </a:xfrm>
        <a:prstGeom prst="rect">
          <a:avLst/>
        </a:prstGeom>
      </xdr:spPr>
    </xdr:pic>
    <xdr:clientData/>
  </xdr:twoCellAnchor>
  <xdr:twoCellAnchor editAs="oneCell">
    <xdr:from>
      <xdr:col>6</xdr:col>
      <xdr:colOff>132936</xdr:colOff>
      <xdr:row>6</xdr:row>
      <xdr:rowOff>190500</xdr:rowOff>
    </xdr:from>
    <xdr:to>
      <xdr:col>11</xdr:col>
      <xdr:colOff>237711</xdr:colOff>
      <xdr:row>146</xdr:row>
      <xdr:rowOff>129559</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6095586" y="1352550"/>
          <a:ext cx="5581650" cy="1596409"/>
        </a:xfrm>
        <a:prstGeom prst="rect">
          <a:avLst/>
        </a:prstGeom>
      </xdr:spPr>
    </xdr:pic>
    <xdr:clientData/>
  </xdr:twoCellAnchor>
  <xdr:twoCellAnchor editAs="oneCell">
    <xdr:from>
      <xdr:col>6</xdr:col>
      <xdr:colOff>268356</xdr:colOff>
      <xdr:row>6</xdr:row>
      <xdr:rowOff>114300</xdr:rowOff>
    </xdr:from>
    <xdr:to>
      <xdr:col>11</xdr:col>
      <xdr:colOff>525531</xdr:colOff>
      <xdr:row>146</xdr:row>
      <xdr:rowOff>28574</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6231006" y="1276350"/>
          <a:ext cx="5734050" cy="1571624"/>
        </a:xfrm>
        <a:prstGeom prst="rect">
          <a:avLst/>
        </a:prstGeom>
      </xdr:spPr>
    </xdr:pic>
    <xdr:clientData/>
  </xdr:twoCellAnchor>
  <xdr:twoCellAnchor editAs="oneCell">
    <xdr:from>
      <xdr:col>5</xdr:col>
      <xdr:colOff>624510</xdr:colOff>
      <xdr:row>4</xdr:row>
      <xdr:rowOff>19050</xdr:rowOff>
    </xdr:from>
    <xdr:to>
      <xdr:col>10</xdr:col>
      <xdr:colOff>710235</xdr:colOff>
      <xdr:row>142</xdr:row>
      <xdr:rowOff>41827</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491785" y="781050"/>
          <a:ext cx="5562600" cy="1432477"/>
        </a:xfrm>
        <a:prstGeom prst="rect">
          <a:avLst/>
        </a:prstGeom>
      </xdr:spPr>
    </xdr:pic>
    <xdr:clientData/>
  </xdr:twoCellAnchor>
  <xdr:twoCellAnchor editAs="oneCell">
    <xdr:from>
      <xdr:col>6</xdr:col>
      <xdr:colOff>45969</xdr:colOff>
      <xdr:row>6</xdr:row>
      <xdr:rowOff>190500</xdr:rowOff>
    </xdr:from>
    <xdr:to>
      <xdr:col>11</xdr:col>
      <xdr:colOff>503169</xdr:colOff>
      <xdr:row>145</xdr:row>
      <xdr:rowOff>38100</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6008619" y="1352550"/>
          <a:ext cx="5934075" cy="1343025"/>
        </a:xfrm>
        <a:prstGeom prst="rect">
          <a:avLst/>
        </a:prstGeom>
      </xdr:spPr>
    </xdr:pic>
    <xdr:clientData/>
  </xdr:twoCellAnchor>
  <xdr:twoCellAnchor editAs="oneCell">
    <xdr:from>
      <xdr:col>5</xdr:col>
      <xdr:colOff>633621</xdr:colOff>
      <xdr:row>3</xdr:row>
      <xdr:rowOff>104775</xdr:rowOff>
    </xdr:from>
    <xdr:to>
      <xdr:col>10</xdr:col>
      <xdr:colOff>833646</xdr:colOff>
      <xdr:row>141</xdr:row>
      <xdr:rowOff>32302</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500896" y="704850"/>
          <a:ext cx="5676900" cy="1337227"/>
        </a:xfrm>
        <a:prstGeom prst="rect">
          <a:avLst/>
        </a:prstGeom>
      </xdr:spPr>
    </xdr:pic>
    <xdr:clientData/>
  </xdr:twoCellAnchor>
  <xdr:twoCellAnchor editAs="oneCell">
    <xdr:from>
      <xdr:col>5</xdr:col>
      <xdr:colOff>439393</xdr:colOff>
      <xdr:row>5</xdr:row>
      <xdr:rowOff>114300</xdr:rowOff>
    </xdr:from>
    <xdr:to>
      <xdr:col>10</xdr:col>
      <xdr:colOff>1087093</xdr:colOff>
      <xdr:row>143</xdr:row>
      <xdr:rowOff>9525</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5306668" y="1076325"/>
          <a:ext cx="6124575" cy="1266825"/>
        </a:xfrm>
        <a:prstGeom prst="rect">
          <a:avLst/>
        </a:prstGeom>
      </xdr:spPr>
    </xdr:pic>
    <xdr:clientData/>
  </xdr:twoCellAnchor>
  <xdr:twoCellAnchor editAs="oneCell">
    <xdr:from>
      <xdr:col>5</xdr:col>
      <xdr:colOff>557005</xdr:colOff>
      <xdr:row>2</xdr:row>
      <xdr:rowOff>0</xdr:rowOff>
    </xdr:from>
    <xdr:to>
      <xdr:col>10</xdr:col>
      <xdr:colOff>309356</xdr:colOff>
      <xdr:row>8</xdr:row>
      <xdr:rowOff>71230</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435462" y="397565"/>
          <a:ext cx="5218872" cy="1197665"/>
        </a:xfrm>
        <a:prstGeom prst="rect">
          <a:avLst/>
        </a:prstGeom>
      </xdr:spPr>
    </xdr:pic>
    <xdr:clientData/>
  </xdr:twoCellAnchor>
  <xdr:twoCellAnchor editAs="oneCell">
    <xdr:from>
      <xdr:col>5</xdr:col>
      <xdr:colOff>462584</xdr:colOff>
      <xdr:row>2</xdr:row>
      <xdr:rowOff>95250</xdr:rowOff>
    </xdr:from>
    <xdr:to>
      <xdr:col>11</xdr:col>
      <xdr:colOff>131279</xdr:colOff>
      <xdr:row>8</xdr:row>
      <xdr:rowOff>38100</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5329859" y="495300"/>
          <a:ext cx="6240945" cy="1066800"/>
        </a:xfrm>
        <a:prstGeom prst="rect">
          <a:avLst/>
        </a:prstGeom>
      </xdr:spPr>
    </xdr:pic>
    <xdr:clientData/>
  </xdr:twoCellAnchor>
  <xdr:twoCellAnchor editAs="oneCell">
    <xdr:from>
      <xdr:col>6</xdr:col>
      <xdr:colOff>220318</xdr:colOff>
      <xdr:row>7</xdr:row>
      <xdr:rowOff>57150</xdr:rowOff>
    </xdr:from>
    <xdr:to>
      <xdr:col>10</xdr:col>
      <xdr:colOff>791818</xdr:colOff>
      <xdr:row>142</xdr:row>
      <xdr:rowOff>152399</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6182968" y="1419225"/>
          <a:ext cx="4953000" cy="904874"/>
        </a:xfrm>
        <a:prstGeom prst="rect">
          <a:avLst/>
        </a:prstGeom>
      </xdr:spPr>
    </xdr:pic>
    <xdr:clientData/>
  </xdr:twoCellAnchor>
  <xdr:twoCellAnchor editAs="oneCell">
    <xdr:from>
      <xdr:col>6</xdr:col>
      <xdr:colOff>450160</xdr:colOff>
      <xdr:row>7</xdr:row>
      <xdr:rowOff>85725</xdr:rowOff>
    </xdr:from>
    <xdr:to>
      <xdr:col>11</xdr:col>
      <xdr:colOff>59635</xdr:colOff>
      <xdr:row>144</xdr:row>
      <xdr:rowOff>9524</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6412810" y="1447800"/>
          <a:ext cx="5086350" cy="1057274"/>
        </a:xfrm>
        <a:prstGeom prst="rect">
          <a:avLst/>
        </a:prstGeom>
      </xdr:spPr>
    </xdr:pic>
    <xdr:clientData/>
  </xdr:twoCellAnchor>
  <xdr:twoCellAnchor editAs="oneCell">
    <xdr:from>
      <xdr:col>5</xdr:col>
      <xdr:colOff>443535</xdr:colOff>
      <xdr:row>3</xdr:row>
      <xdr:rowOff>7455</xdr:rowOff>
    </xdr:from>
    <xdr:to>
      <xdr:col>11</xdr:col>
      <xdr:colOff>64605</xdr:colOff>
      <xdr:row>140</xdr:row>
      <xdr:rowOff>136249</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5310810" y="607530"/>
          <a:ext cx="6193320" cy="1376569"/>
        </a:xfrm>
        <a:prstGeom prst="rect">
          <a:avLst/>
        </a:prstGeom>
      </xdr:spPr>
    </xdr:pic>
    <xdr:clientData/>
  </xdr:twoCellAnchor>
  <xdr:twoCellAnchor editAs="oneCell">
    <xdr:from>
      <xdr:col>5</xdr:col>
      <xdr:colOff>412060</xdr:colOff>
      <xdr:row>7</xdr:row>
      <xdr:rowOff>57150</xdr:rowOff>
    </xdr:from>
    <xdr:to>
      <xdr:col>11</xdr:col>
      <xdr:colOff>183460</xdr:colOff>
      <xdr:row>144</xdr:row>
      <xdr:rowOff>78409</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5279335" y="1419225"/>
          <a:ext cx="6343650" cy="1154734"/>
        </a:xfrm>
        <a:prstGeom prst="rect">
          <a:avLst/>
        </a:prstGeom>
      </xdr:spPr>
    </xdr:pic>
    <xdr:clientData/>
  </xdr:twoCellAnchor>
  <xdr:twoCellAnchor editAs="oneCell">
    <xdr:from>
      <xdr:col>5</xdr:col>
      <xdr:colOff>373132</xdr:colOff>
      <xdr:row>141</xdr:row>
      <xdr:rowOff>84481</xdr:rowOff>
    </xdr:from>
    <xdr:to>
      <xdr:col>10</xdr:col>
      <xdr:colOff>1051477</xdr:colOff>
      <xdr:row>149</xdr:row>
      <xdr:rowOff>60048</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5240407" y="2094256"/>
          <a:ext cx="6155220" cy="1270967"/>
        </a:xfrm>
        <a:prstGeom prst="rect">
          <a:avLst/>
        </a:prstGeom>
      </xdr:spPr>
    </xdr:pic>
    <xdr:clientData/>
  </xdr:twoCellAnchor>
  <xdr:twoCellAnchor editAs="oneCell">
    <xdr:from>
      <xdr:col>5</xdr:col>
      <xdr:colOff>376859</xdr:colOff>
      <xdr:row>146</xdr:row>
      <xdr:rowOff>12838</xdr:rowOff>
    </xdr:from>
    <xdr:to>
      <xdr:col>10</xdr:col>
      <xdr:colOff>857251</xdr:colOff>
      <xdr:row>155</xdr:row>
      <xdr:rowOff>70817</xdr:rowOff>
    </xdr:to>
    <xdr:pic>
      <xdr:nvPicPr>
        <xdr:cNvPr id="21" name="Picture 20">
          <a:extLst>
            <a:ext uri="{FF2B5EF4-FFF2-40B4-BE49-F238E27FC236}">
              <a16:creationId xmlns:a16="http://schemas.microsoft.com/office/drawing/2014/main" id="{1192663B-749E-C907-BBEE-9296C95B1BC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244134" y="2832238"/>
          <a:ext cx="5957267" cy="1553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48039</xdr:colOff>
      <xdr:row>151</xdr:row>
      <xdr:rowOff>72887</xdr:rowOff>
    </xdr:from>
    <xdr:to>
      <xdr:col>13</xdr:col>
      <xdr:colOff>878371</xdr:colOff>
      <xdr:row>164</xdr:row>
      <xdr:rowOff>53522</xdr:rowOff>
    </xdr:to>
    <xdr:pic>
      <xdr:nvPicPr>
        <xdr:cNvPr id="22" name="Picture 21">
          <a:extLst>
            <a:ext uri="{FF2B5EF4-FFF2-40B4-BE49-F238E27FC236}">
              <a16:creationId xmlns:a16="http://schemas.microsoft.com/office/drawing/2014/main" id="{1FCE35BA-1FA3-D487-2F55-F23C156B1AD9}"/>
            </a:ext>
          </a:extLst>
        </xdr:cNvPr>
        <xdr:cNvPicPr>
          <a:picLocks noChangeAspect="1"/>
        </xdr:cNvPicPr>
      </xdr:nvPicPr>
      <xdr:blipFill>
        <a:blip xmlns:r="http://schemas.openxmlformats.org/officeDocument/2006/relationships" r:embed="rId21"/>
        <a:stretch>
          <a:fillRect/>
        </a:stretch>
      </xdr:blipFill>
      <xdr:spPr>
        <a:xfrm>
          <a:off x="9296814" y="3701912"/>
          <a:ext cx="5211832" cy="2123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AB4D-8987-451B-B0EA-4E484FE7DDC5}">
  <sheetPr>
    <pageSetUpPr fitToPage="1"/>
  </sheetPr>
  <dimension ref="B2:H58"/>
  <sheetViews>
    <sheetView topLeftCell="A28" zoomScale="145" zoomScaleNormal="145" workbookViewId="0">
      <selection activeCell="E52" sqref="E52"/>
    </sheetView>
  </sheetViews>
  <sheetFormatPr defaultRowHeight="15.75"/>
  <cols>
    <col min="1" max="1" width="2.6640625" customWidth="1"/>
    <col min="2" max="2" width="18.109375" style="145" customWidth="1"/>
    <col min="3" max="3" width="12.88671875" customWidth="1"/>
    <col min="4" max="4" width="3" customWidth="1"/>
    <col min="5" max="5" width="13" bestFit="1" customWidth="1"/>
    <col min="6" max="6" width="2.6640625" customWidth="1"/>
    <col min="7" max="7" width="13.5546875" bestFit="1" customWidth="1"/>
    <col min="8" max="8" width="17.109375" bestFit="1" customWidth="1"/>
    <col min="9" max="9" width="10" bestFit="1" customWidth="1"/>
  </cols>
  <sheetData>
    <row r="2" spans="2:8">
      <c r="B2" s="145" t="s">
        <v>0</v>
      </c>
    </row>
    <row r="3" spans="2:8">
      <c r="B3" s="190"/>
      <c r="C3" s="191" t="s">
        <v>1</v>
      </c>
      <c r="D3" s="191"/>
      <c r="E3" s="191" t="s">
        <v>2</v>
      </c>
      <c r="F3" s="191"/>
      <c r="G3" s="191" t="s">
        <v>3</v>
      </c>
      <c r="H3" s="191"/>
    </row>
    <row r="4" spans="2:8">
      <c r="B4" s="143" t="s">
        <v>4</v>
      </c>
      <c r="C4" s="146">
        <v>16428284.820000002</v>
      </c>
      <c r="E4" s="146">
        <v>16428284.820000002</v>
      </c>
      <c r="G4">
        <f>E4-C4</f>
        <v>0</v>
      </c>
      <c r="H4" t="s">
        <v>5</v>
      </c>
    </row>
    <row r="5" spans="2:8">
      <c r="B5" s="143" t="s">
        <v>6</v>
      </c>
      <c r="C5" s="147">
        <v>7669.72</v>
      </c>
      <c r="E5" s="147">
        <v>7669.72</v>
      </c>
      <c r="G5">
        <f t="shared" ref="G5:G57" si="0">E5-C5</f>
        <v>0</v>
      </c>
      <c r="H5" t="s">
        <v>5</v>
      </c>
    </row>
    <row r="6" spans="2:8">
      <c r="B6" s="143" t="s">
        <v>7</v>
      </c>
      <c r="C6" s="147">
        <v>15605.83</v>
      </c>
      <c r="E6" s="147">
        <v>15605.83</v>
      </c>
      <c r="G6">
        <f t="shared" si="0"/>
        <v>0</v>
      </c>
      <c r="H6" t="s">
        <v>5</v>
      </c>
    </row>
    <row r="7" spans="2:8">
      <c r="B7" s="143" t="s">
        <v>8</v>
      </c>
      <c r="C7" s="147">
        <v>111140.99</v>
      </c>
      <c r="E7" s="147">
        <v>111140.99</v>
      </c>
      <c r="G7">
        <f t="shared" si="0"/>
        <v>0</v>
      </c>
      <c r="H7" t="s">
        <v>5</v>
      </c>
    </row>
    <row r="8" spans="2:8">
      <c r="B8" s="145" t="s">
        <v>9</v>
      </c>
      <c r="C8" s="147">
        <v>460555.15</v>
      </c>
      <c r="E8" s="147">
        <v>460555.15</v>
      </c>
      <c r="G8">
        <f t="shared" si="0"/>
        <v>0</v>
      </c>
      <c r="H8" t="s">
        <v>5</v>
      </c>
    </row>
    <row r="9" spans="2:8">
      <c r="B9" s="145" t="s">
        <v>9</v>
      </c>
      <c r="C9" s="146">
        <v>-13136197.02</v>
      </c>
      <c r="E9" s="146">
        <v>-13136197.02</v>
      </c>
      <c r="G9">
        <f t="shared" si="0"/>
        <v>0</v>
      </c>
      <c r="H9" t="s">
        <v>5</v>
      </c>
    </row>
    <row r="10" spans="2:8">
      <c r="B10" s="143" t="s">
        <v>8</v>
      </c>
      <c r="C10" s="146">
        <v>-3292087.8</v>
      </c>
      <c r="E10" s="146">
        <v>-3292087.8</v>
      </c>
      <c r="G10">
        <f t="shared" si="0"/>
        <v>0</v>
      </c>
      <c r="H10" t="s">
        <v>5</v>
      </c>
    </row>
    <row r="11" spans="2:8">
      <c r="B11" s="143" t="s">
        <v>10</v>
      </c>
      <c r="C11" s="148">
        <v>-594971.69000000006</v>
      </c>
      <c r="E11" s="148">
        <v>-594971.69000000006</v>
      </c>
      <c r="G11">
        <f t="shared" si="0"/>
        <v>0</v>
      </c>
      <c r="H11" t="s">
        <v>5</v>
      </c>
    </row>
    <row r="12" spans="2:8">
      <c r="B12" s="149" t="s">
        <v>11</v>
      </c>
      <c r="C12" s="150">
        <v>359588.66</v>
      </c>
      <c r="E12" s="150">
        <v>359588.66</v>
      </c>
      <c r="G12">
        <f t="shared" si="0"/>
        <v>0</v>
      </c>
      <c r="H12" t="s">
        <v>5</v>
      </c>
    </row>
    <row r="13" spans="2:8">
      <c r="B13" s="151" t="s">
        <v>12</v>
      </c>
      <c r="C13" s="152">
        <v>-95982.130000000034</v>
      </c>
      <c r="E13" s="152">
        <v>-95982.130000000034</v>
      </c>
      <c r="G13">
        <f t="shared" si="0"/>
        <v>0</v>
      </c>
      <c r="H13" t="s">
        <v>5</v>
      </c>
    </row>
    <row r="14" spans="2:8">
      <c r="B14" s="151" t="s">
        <v>13</v>
      </c>
      <c r="C14" s="152">
        <v>9518.4000000000015</v>
      </c>
      <c r="E14" s="152">
        <v>9518.4000000000015</v>
      </c>
      <c r="G14">
        <f t="shared" si="0"/>
        <v>0</v>
      </c>
      <c r="H14" t="s">
        <v>5</v>
      </c>
    </row>
    <row r="15" spans="2:8">
      <c r="B15" s="151" t="s">
        <v>14</v>
      </c>
      <c r="C15" s="152">
        <v>0</v>
      </c>
      <c r="E15" s="152">
        <v>0</v>
      </c>
      <c r="G15">
        <f t="shared" si="0"/>
        <v>0</v>
      </c>
      <c r="H15" t="s">
        <v>5</v>
      </c>
    </row>
    <row r="16" spans="2:8">
      <c r="B16" s="151" t="s">
        <v>15</v>
      </c>
      <c r="C16" s="152">
        <v>-279.04000000000002</v>
      </c>
      <c r="E16" s="152">
        <v>-279.04000000000002</v>
      </c>
      <c r="G16">
        <f t="shared" si="0"/>
        <v>0</v>
      </c>
      <c r="H16" t="s">
        <v>5</v>
      </c>
    </row>
    <row r="17" spans="2:8">
      <c r="B17" s="151" t="s">
        <v>16</v>
      </c>
      <c r="C17" s="152">
        <v>0</v>
      </c>
      <c r="E17" s="152">
        <v>0</v>
      </c>
      <c r="G17">
        <f t="shared" si="0"/>
        <v>0</v>
      </c>
      <c r="H17" t="s">
        <v>5</v>
      </c>
    </row>
    <row r="18" spans="2:8">
      <c r="B18" s="153" t="s">
        <v>17</v>
      </c>
      <c r="C18" s="154">
        <v>0</v>
      </c>
      <c r="E18" s="154">
        <v>0</v>
      </c>
      <c r="G18">
        <f t="shared" si="0"/>
        <v>0</v>
      </c>
      <c r="H18" t="s">
        <v>5</v>
      </c>
    </row>
    <row r="19" spans="2:8">
      <c r="B19" s="155" t="s">
        <v>18</v>
      </c>
      <c r="C19" s="156">
        <v>2481638.9200000004</v>
      </c>
      <c r="E19" s="156">
        <v>2481638.9200000004</v>
      </c>
      <c r="G19">
        <f t="shared" si="0"/>
        <v>0</v>
      </c>
      <c r="H19" t="s">
        <v>5</v>
      </c>
    </row>
    <row r="20" spans="2:8">
      <c r="B20" s="145" t="s">
        <v>19</v>
      </c>
      <c r="C20" s="157">
        <v>6787.56</v>
      </c>
      <c r="E20" s="157">
        <v>6787.56</v>
      </c>
      <c r="G20">
        <f t="shared" si="0"/>
        <v>0</v>
      </c>
      <c r="H20" t="s">
        <v>5</v>
      </c>
    </row>
    <row r="21" spans="2:8">
      <c r="B21" s="145" t="s">
        <v>20</v>
      </c>
      <c r="C21" s="157">
        <v>6566.38</v>
      </c>
      <c r="E21" s="157">
        <v>6566.38</v>
      </c>
      <c r="G21">
        <f t="shared" si="0"/>
        <v>0</v>
      </c>
      <c r="H21" t="s">
        <v>5</v>
      </c>
    </row>
    <row r="22" spans="2:8">
      <c r="B22" s="145" t="s">
        <v>21</v>
      </c>
      <c r="C22" s="157">
        <v>0</v>
      </c>
      <c r="E22" s="157">
        <v>0</v>
      </c>
      <c r="G22">
        <f t="shared" si="0"/>
        <v>0</v>
      </c>
      <c r="H22" t="s">
        <v>5</v>
      </c>
    </row>
    <row r="23" spans="2:8">
      <c r="B23" s="145" t="s">
        <v>22</v>
      </c>
      <c r="C23" s="157">
        <v>5617.07</v>
      </c>
      <c r="E23" s="157">
        <v>5617.07</v>
      </c>
      <c r="G23">
        <f t="shared" si="0"/>
        <v>0</v>
      </c>
      <c r="H23" t="s">
        <v>5</v>
      </c>
    </row>
    <row r="24" spans="2:8">
      <c r="B24" s="145" t="s">
        <v>23</v>
      </c>
      <c r="C24" s="158">
        <v>2649.66</v>
      </c>
      <c r="E24" s="158">
        <v>2649.66</v>
      </c>
      <c r="G24">
        <f t="shared" si="0"/>
        <v>0</v>
      </c>
      <c r="H24" t="s">
        <v>5</v>
      </c>
    </row>
    <row r="25" spans="2:8">
      <c r="B25" s="145" t="s">
        <v>24</v>
      </c>
      <c r="C25" s="157">
        <v>-19840.03</v>
      </c>
      <c r="E25" s="157">
        <v>-19840.03</v>
      </c>
      <c r="G25">
        <f t="shared" si="0"/>
        <v>0</v>
      </c>
      <c r="H25" t="s">
        <v>5</v>
      </c>
    </row>
    <row r="26" spans="2:8">
      <c r="B26" s="145" t="s">
        <v>25</v>
      </c>
      <c r="C26" s="159">
        <v>501.97</v>
      </c>
      <c r="E26" s="159">
        <v>501.97</v>
      </c>
      <c r="G26">
        <f t="shared" si="0"/>
        <v>0</v>
      </c>
      <c r="H26" t="s">
        <v>5</v>
      </c>
    </row>
    <row r="27" spans="2:8">
      <c r="B27" s="145" t="s">
        <v>26</v>
      </c>
      <c r="C27" s="159">
        <v>8845.14</v>
      </c>
      <c r="E27" s="159">
        <v>8845.14</v>
      </c>
      <c r="G27">
        <f t="shared" si="0"/>
        <v>0</v>
      </c>
      <c r="H27" t="s">
        <v>5</v>
      </c>
    </row>
    <row r="28" spans="2:8">
      <c r="B28" s="145" t="s">
        <v>27</v>
      </c>
      <c r="C28" s="159">
        <v>-65520.19</v>
      </c>
      <c r="E28" s="159">
        <v>-65520.19</v>
      </c>
      <c r="G28">
        <f t="shared" si="0"/>
        <v>0</v>
      </c>
      <c r="H28" t="s">
        <v>5</v>
      </c>
    </row>
    <row r="29" spans="2:8">
      <c r="B29" s="143" t="s">
        <v>28</v>
      </c>
      <c r="C29" s="157">
        <v>-274130.90000000416</v>
      </c>
      <c r="E29" s="157">
        <v>-274130.90000000416</v>
      </c>
      <c r="G29">
        <f t="shared" si="0"/>
        <v>0</v>
      </c>
      <c r="H29" t="s">
        <v>5</v>
      </c>
    </row>
    <row r="30" spans="2:8">
      <c r="B30" s="143" t="s">
        <v>29</v>
      </c>
      <c r="C30" s="157">
        <v>3562.45</v>
      </c>
      <c r="E30" s="157">
        <v>3562.45</v>
      </c>
      <c r="G30">
        <f t="shared" si="0"/>
        <v>0</v>
      </c>
      <c r="H30" t="s">
        <v>5</v>
      </c>
    </row>
    <row r="31" spans="2:8">
      <c r="B31" s="143" t="s">
        <v>30</v>
      </c>
      <c r="C31" s="157">
        <v>4541.1000000000004</v>
      </c>
      <c r="E31" s="157">
        <v>4541.1000000000004</v>
      </c>
      <c r="G31">
        <f t="shared" si="0"/>
        <v>0</v>
      </c>
      <c r="H31" t="s">
        <v>5</v>
      </c>
    </row>
    <row r="32" spans="2:8">
      <c r="B32" s="143" t="s">
        <v>31</v>
      </c>
      <c r="C32" s="157">
        <v>7696.8</v>
      </c>
      <c r="E32" s="157">
        <v>7696.8</v>
      </c>
      <c r="G32">
        <f t="shared" si="0"/>
        <v>0</v>
      </c>
      <c r="H32" t="s">
        <v>5</v>
      </c>
    </row>
    <row r="33" spans="2:8">
      <c r="B33" s="143" t="s">
        <v>32</v>
      </c>
      <c r="C33" s="160">
        <v>28071.07</v>
      </c>
      <c r="E33" s="160">
        <v>28071.07</v>
      </c>
      <c r="G33">
        <f t="shared" si="0"/>
        <v>0</v>
      </c>
      <c r="H33" t="s">
        <v>5</v>
      </c>
    </row>
    <row r="34" spans="2:8">
      <c r="B34" s="143" t="s">
        <v>33</v>
      </c>
      <c r="C34" s="157">
        <v>85914.55</v>
      </c>
      <c r="E34" s="157">
        <v>85914.55</v>
      </c>
      <c r="G34">
        <f t="shared" si="0"/>
        <v>0</v>
      </c>
      <c r="H34" t="s">
        <v>5</v>
      </c>
    </row>
    <row r="35" spans="2:8">
      <c r="B35" s="143" t="s">
        <v>34</v>
      </c>
      <c r="C35" s="158">
        <v>25586.02</v>
      </c>
      <c r="E35" s="158">
        <v>25586.02</v>
      </c>
      <c r="G35">
        <f t="shared" si="0"/>
        <v>0</v>
      </c>
      <c r="H35" t="s">
        <v>5</v>
      </c>
    </row>
    <row r="36" spans="2:8">
      <c r="B36" s="182" t="s">
        <v>34</v>
      </c>
      <c r="C36" s="183">
        <v>11453.039999999999</v>
      </c>
      <c r="D36" s="183"/>
      <c r="E36" s="183">
        <v>11486.72</v>
      </c>
      <c r="G36">
        <f t="shared" si="0"/>
        <v>33.680000000000291</v>
      </c>
      <c r="H36" t="s">
        <v>5</v>
      </c>
    </row>
    <row r="37" spans="2:8">
      <c r="B37" s="143" t="s">
        <v>32</v>
      </c>
      <c r="C37" s="184">
        <v>-272845.89</v>
      </c>
      <c r="D37" s="193"/>
      <c r="E37" s="184">
        <v>-272845.89</v>
      </c>
      <c r="G37">
        <f t="shared" si="0"/>
        <v>0</v>
      </c>
      <c r="H37" t="s">
        <v>5</v>
      </c>
    </row>
    <row r="38" spans="2:8">
      <c r="B38" s="192" t="s">
        <v>35</v>
      </c>
      <c r="C38" s="189">
        <v>-2481638.9200000004</v>
      </c>
      <c r="D38" s="194"/>
      <c r="E38" s="189">
        <v>-2481638.9200000004</v>
      </c>
      <c r="G38">
        <f t="shared" si="0"/>
        <v>0</v>
      </c>
      <c r="H38" t="s">
        <v>5</v>
      </c>
    </row>
    <row r="39" spans="2:8">
      <c r="B39" s="143" t="s">
        <v>36</v>
      </c>
      <c r="C39" s="161">
        <v>-45191.81</v>
      </c>
      <c r="E39" s="161">
        <v>-45191.81</v>
      </c>
      <c r="G39">
        <f t="shared" si="0"/>
        <v>0</v>
      </c>
      <c r="H39" t="s">
        <v>5</v>
      </c>
    </row>
    <row r="40" spans="2:8">
      <c r="B40" s="145" t="s">
        <v>37</v>
      </c>
      <c r="C40" s="161">
        <v>-45267.33</v>
      </c>
      <c r="E40" s="161">
        <v>-45267.33</v>
      </c>
      <c r="G40">
        <f t="shared" si="0"/>
        <v>0</v>
      </c>
      <c r="H40" t="s">
        <v>5</v>
      </c>
    </row>
    <row r="41" spans="2:8">
      <c r="B41" s="145" t="s">
        <v>38</v>
      </c>
      <c r="C41" s="161">
        <v>-21433.040000000001</v>
      </c>
      <c r="E41" s="161">
        <v>-21433.040000000001</v>
      </c>
      <c r="G41">
        <f t="shared" si="0"/>
        <v>0</v>
      </c>
      <c r="H41" t="s">
        <v>5</v>
      </c>
    </row>
    <row r="42" spans="2:8">
      <c r="B42" s="145" t="s">
        <v>39</v>
      </c>
      <c r="C42" s="169">
        <v>109781.90000000001</v>
      </c>
      <c r="E42" s="169">
        <v>109781.90000000001</v>
      </c>
      <c r="G42">
        <f t="shared" si="0"/>
        <v>0</v>
      </c>
      <c r="H42" t="s">
        <v>5</v>
      </c>
    </row>
    <row r="43" spans="2:8">
      <c r="B43" s="145" t="s">
        <v>40</v>
      </c>
      <c r="C43" s="169">
        <v>5004.5200000000004</v>
      </c>
      <c r="E43" s="169">
        <v>5004.5200000000004</v>
      </c>
      <c r="G43">
        <f t="shared" si="0"/>
        <v>0</v>
      </c>
      <c r="H43" t="s">
        <v>5</v>
      </c>
    </row>
    <row r="44" spans="2:8">
      <c r="B44" s="145" t="s">
        <v>41</v>
      </c>
      <c r="C44" s="170">
        <v>-96455.450000000012</v>
      </c>
      <c r="E44" s="170">
        <v>-96455.450000000012</v>
      </c>
      <c r="G44">
        <f t="shared" si="0"/>
        <v>0</v>
      </c>
      <c r="H44" t="s">
        <v>5</v>
      </c>
    </row>
    <row r="45" spans="2:8">
      <c r="B45" s="143" t="s">
        <v>42</v>
      </c>
      <c r="C45" s="170">
        <v>-18330.97</v>
      </c>
      <c r="E45" s="170">
        <v>-18330.97</v>
      </c>
      <c r="G45">
        <f t="shared" si="0"/>
        <v>0</v>
      </c>
      <c r="H45" t="s">
        <v>5</v>
      </c>
    </row>
    <row r="46" spans="2:8">
      <c r="B46" s="145" t="s">
        <v>43</v>
      </c>
      <c r="C46" s="169">
        <v>111892.18</v>
      </c>
      <c r="E46" s="169">
        <v>111892.18</v>
      </c>
      <c r="G46">
        <f t="shared" si="0"/>
        <v>0</v>
      </c>
      <c r="H46" t="s">
        <v>5</v>
      </c>
    </row>
    <row r="47" spans="2:8">
      <c r="B47" s="143" t="s">
        <v>44</v>
      </c>
      <c r="C47" s="170">
        <v>14107869.040000001</v>
      </c>
      <c r="E47" s="170">
        <v>14107869.040000001</v>
      </c>
      <c r="G47">
        <f t="shared" si="0"/>
        <v>0</v>
      </c>
      <c r="H47" t="s">
        <v>5</v>
      </c>
    </row>
    <row r="48" spans="2:8">
      <c r="B48" s="143" t="s">
        <v>25</v>
      </c>
      <c r="C48" s="170">
        <v>-256784.43</v>
      </c>
      <c r="E48" s="170">
        <v>-256784.43</v>
      </c>
      <c r="G48">
        <f t="shared" si="0"/>
        <v>0</v>
      </c>
      <c r="H48" t="s">
        <v>5</v>
      </c>
    </row>
    <row r="49" spans="2:8">
      <c r="B49" s="143" t="s">
        <v>26</v>
      </c>
      <c r="C49" s="170">
        <v>-596605.89</v>
      </c>
      <c r="E49" s="170">
        <v>-596605.89</v>
      </c>
      <c r="G49">
        <f t="shared" si="0"/>
        <v>0</v>
      </c>
      <c r="H49" t="s">
        <v>5</v>
      </c>
    </row>
    <row r="50" spans="2:8">
      <c r="B50" s="143" t="s">
        <v>45</v>
      </c>
      <c r="C50" s="171">
        <v>-13254478.720000001</v>
      </c>
      <c r="E50" s="171">
        <v>-13254478.720000001</v>
      </c>
      <c r="G50">
        <f t="shared" si="0"/>
        <v>0</v>
      </c>
      <c r="H50" t="s">
        <v>5</v>
      </c>
    </row>
    <row r="51" spans="2:8">
      <c r="B51" s="143" t="s">
        <v>27</v>
      </c>
      <c r="C51" s="171">
        <v>8059024.6499999976</v>
      </c>
      <c r="E51" s="171">
        <v>8059024.6499999976</v>
      </c>
      <c r="G51">
        <f t="shared" si="0"/>
        <v>0</v>
      </c>
      <c r="H51" t="s">
        <v>5</v>
      </c>
    </row>
    <row r="52" spans="2:8">
      <c r="B52" s="143" t="s">
        <v>46</v>
      </c>
      <c r="C52" s="171">
        <v>-6216057.1899999985</v>
      </c>
      <c r="E52" s="171">
        <v>-6216057.1899999985</v>
      </c>
      <c r="G52">
        <f t="shared" si="0"/>
        <v>0</v>
      </c>
      <c r="H52" t="s">
        <v>5</v>
      </c>
    </row>
    <row r="53" spans="2:8">
      <c r="B53" s="143" t="s">
        <v>47</v>
      </c>
      <c r="C53" s="171">
        <v>-1842967.46</v>
      </c>
      <c r="E53" s="171">
        <v>-1842967.46</v>
      </c>
      <c r="G53">
        <f t="shared" si="0"/>
        <v>0</v>
      </c>
      <c r="H53" t="s">
        <v>5</v>
      </c>
    </row>
    <row r="54" spans="2:8">
      <c r="B54" s="145" t="s">
        <v>48</v>
      </c>
      <c r="C54" s="172">
        <v>-8845.14</v>
      </c>
      <c r="E54" s="172">
        <v>-8845.14</v>
      </c>
      <c r="G54">
        <f t="shared" si="0"/>
        <v>0</v>
      </c>
      <c r="H54" t="s">
        <v>5</v>
      </c>
    </row>
    <row r="55" spans="2:8">
      <c r="B55" s="145" t="s">
        <v>49</v>
      </c>
      <c r="C55" s="172">
        <v>339651.09000000416</v>
      </c>
      <c r="E55" s="172">
        <v>339651.09000000416</v>
      </c>
      <c r="G55">
        <f t="shared" si="0"/>
        <v>0</v>
      </c>
      <c r="H55" t="s">
        <v>5</v>
      </c>
    </row>
    <row r="56" spans="2:8">
      <c r="B56" s="145" t="s">
        <v>50</v>
      </c>
      <c r="C56" s="173">
        <v>-169107.64000000004</v>
      </c>
      <c r="E56" s="173">
        <v>-169141.32000000004</v>
      </c>
      <c r="G56">
        <f t="shared" si="0"/>
        <v>-33.679999999993015</v>
      </c>
      <c r="H56" t="s">
        <v>5</v>
      </c>
    </row>
    <row r="57" spans="2:8">
      <c r="B57" s="144" t="s">
        <v>51</v>
      </c>
      <c r="C57" s="174">
        <v>0</v>
      </c>
      <c r="D57" s="163"/>
      <c r="E57" s="174">
        <v>0</v>
      </c>
      <c r="F57" s="163"/>
      <c r="G57" s="195">
        <f t="shared" si="0"/>
        <v>0</v>
      </c>
      <c r="H57" s="195" t="s">
        <v>5</v>
      </c>
    </row>
    <row r="58" spans="2:8">
      <c r="C58" s="162">
        <f>SUM(C4:C57)</f>
        <v>7.8580342233181E-10</v>
      </c>
      <c r="E58" s="162">
        <f>SUM(E4:E57)</f>
        <v>2.35741026699543E-9</v>
      </c>
      <c r="G58" s="162">
        <f>SUM(G4:G57)</f>
        <v>7.2759576141834259E-12</v>
      </c>
    </row>
  </sheetData>
  <pageMargins left="0.7" right="0.7" top="0.75" bottom="0.75" header="0.3" footer="0.3"/>
  <pageSetup scale="80"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B22D-C01E-4B98-AA3A-395E528F4065}">
  <dimension ref="B1:AP65"/>
  <sheetViews>
    <sheetView showGridLines="0" zoomScaleNormal="100" zoomScaleSheetLayoutView="100" workbookViewId="0">
      <selection activeCell="F66" sqref="A66:XFD259"/>
    </sheetView>
  </sheetViews>
  <sheetFormatPr defaultColWidth="7.109375" defaultRowHeight="14.1" customHeight="1"/>
  <cols>
    <col min="1" max="1" width="1.6640625" style="322" customWidth="1"/>
    <col min="2" max="2" width="2.6640625" style="319" customWidth="1"/>
    <col min="3" max="3" width="4.33203125" style="319" customWidth="1"/>
    <col min="4" max="4" width="5" style="319" customWidth="1"/>
    <col min="5" max="5" width="6.88671875" style="320" customWidth="1"/>
    <col min="6" max="6" width="20.44140625" style="322" customWidth="1"/>
    <col min="7" max="7" width="10.5546875" style="322" bestFit="1" customWidth="1"/>
    <col min="8" max="8" width="14.33203125" style="323" bestFit="1" customWidth="1"/>
    <col min="9" max="9" width="2.109375" style="322" customWidth="1"/>
    <col min="10" max="10" width="10.44140625" style="322" bestFit="1" customWidth="1"/>
    <col min="11" max="11" width="14.77734375" style="323" customWidth="1"/>
    <col min="12" max="12" width="2.109375" style="325" customWidth="1"/>
    <col min="13" max="13" width="12.88671875" style="322" bestFit="1" customWidth="1"/>
    <col min="14" max="14" width="12.88671875" style="323" bestFit="1" customWidth="1"/>
    <col min="15" max="15" width="2.109375" style="325" customWidth="1"/>
    <col min="16" max="16" width="10.44140625" style="339" bestFit="1" customWidth="1"/>
    <col min="17" max="17" width="14.33203125" style="339" bestFit="1" customWidth="1"/>
    <col min="18" max="18" width="2.88671875" style="339" customWidth="1"/>
    <col min="19" max="19" width="10.44140625" style="339" bestFit="1" customWidth="1"/>
    <col min="20" max="20" width="16.77734375" style="339" customWidth="1"/>
    <col min="21" max="21" width="2.109375" style="322" customWidth="1"/>
    <col min="22" max="22" width="9" style="322" bestFit="1" customWidth="1"/>
    <col min="23" max="23" width="12.44140625" style="322" customWidth="1"/>
    <col min="24" max="24" width="0.109375" style="322" hidden="1" customWidth="1"/>
    <col min="25" max="25" width="11" style="322" bestFit="1" customWidth="1"/>
    <col min="26" max="26" width="12.5546875" style="322" customWidth="1"/>
    <col min="27" max="27" width="1.33203125" style="322" hidden="1" customWidth="1"/>
    <col min="28" max="29" width="12.21875" style="322" hidden="1" customWidth="1"/>
    <col min="30" max="30" width="1.33203125" style="322" customWidth="1"/>
    <col min="31" max="31" width="12.21875" style="322" bestFit="1" customWidth="1"/>
    <col min="32" max="32" width="8.33203125" style="322" bestFit="1" customWidth="1"/>
    <col min="33" max="33" width="12.5546875" style="322" bestFit="1" customWidth="1"/>
    <col min="34" max="34" width="12.109375" style="322" bestFit="1" customWidth="1"/>
    <col min="35" max="35" width="7.109375" style="322"/>
    <col min="36" max="36" width="8.21875" style="322" bestFit="1" customWidth="1"/>
    <col min="37" max="37" width="10.5546875" style="322" bestFit="1" customWidth="1"/>
    <col min="38" max="16384" width="7.109375" style="322"/>
  </cols>
  <sheetData>
    <row r="1" spans="2:42" ht="15.75">
      <c r="F1" s="321"/>
      <c r="K1" s="324"/>
      <c r="P1" s="326"/>
      <c r="Q1" s="327"/>
      <c r="R1" s="326"/>
      <c r="S1" s="326"/>
      <c r="T1" s="326"/>
      <c r="V1" s="328"/>
    </row>
    <row r="2" spans="2:42" s="332" customFormat="1" ht="18" customHeight="1">
      <c r="B2" s="329" t="s">
        <v>264</v>
      </c>
      <c r="C2" s="330"/>
      <c r="D2" s="331"/>
      <c r="E2" s="331"/>
      <c r="H2" s="333"/>
      <c r="J2" s="633" t="s">
        <v>265</v>
      </c>
      <c r="K2" s="633"/>
      <c r="L2" s="633"/>
      <c r="M2" s="633"/>
      <c r="N2" s="633"/>
      <c r="O2" s="334"/>
      <c r="P2" s="634" t="s">
        <v>266</v>
      </c>
      <c r="Q2" s="634"/>
      <c r="R2" s="634"/>
      <c r="S2" s="634"/>
      <c r="T2" s="634"/>
      <c r="U2" s="335"/>
      <c r="V2" s="336">
        <f>B3-31</f>
        <v>45685</v>
      </c>
      <c r="W2" s="635" t="s">
        <v>267</v>
      </c>
      <c r="X2" s="635"/>
      <c r="Y2" s="635"/>
      <c r="Z2" s="337">
        <f>B3</f>
        <v>45716</v>
      </c>
    </row>
    <row r="3" spans="2:42" ht="13.5" customHeight="1">
      <c r="B3" s="636">
        <v>45716</v>
      </c>
      <c r="C3" s="636"/>
      <c r="D3" s="636"/>
      <c r="E3" s="338"/>
      <c r="F3" s="322" t="s">
        <v>260</v>
      </c>
      <c r="K3" s="324"/>
      <c r="W3" s="340"/>
      <c r="X3" s="340"/>
      <c r="Y3" s="340"/>
      <c r="Z3" s="340"/>
      <c r="AB3" s="641" t="s">
        <v>268</v>
      </c>
      <c r="AC3" s="641"/>
      <c r="AD3" s="341"/>
    </row>
    <row r="4" spans="2:42" ht="16.5" customHeight="1">
      <c r="B4" s="342"/>
      <c r="C4" s="342"/>
      <c r="D4" s="342"/>
      <c r="E4" s="343"/>
      <c r="F4" s="344"/>
      <c r="G4" s="642" t="s">
        <v>115</v>
      </c>
      <c r="H4" s="642"/>
      <c r="J4" s="637" t="s">
        <v>269</v>
      </c>
      <c r="K4" s="637"/>
      <c r="L4" s="345"/>
      <c r="M4" s="637" t="s">
        <v>270</v>
      </c>
      <c r="N4" s="637"/>
      <c r="O4" s="346"/>
      <c r="P4" s="637" t="s">
        <v>269</v>
      </c>
      <c r="Q4" s="637"/>
      <c r="R4" s="347"/>
      <c r="S4" s="637" t="s">
        <v>270</v>
      </c>
      <c r="T4" s="637"/>
      <c r="U4" s="346"/>
      <c r="V4" s="637" t="s">
        <v>269</v>
      </c>
      <c r="W4" s="637"/>
      <c r="X4" s="348"/>
      <c r="Y4" s="637" t="s">
        <v>270</v>
      </c>
      <c r="Z4" s="637"/>
      <c r="AB4" s="349" t="s">
        <v>53</v>
      </c>
      <c r="AC4" s="349" t="s">
        <v>271</v>
      </c>
      <c r="AD4" s="349"/>
      <c r="AE4" s="350"/>
      <c r="AF4" s="351"/>
    </row>
    <row r="5" spans="2:42" s="242" customFormat="1" ht="17.25" customHeight="1">
      <c r="B5" s="352" t="s">
        <v>272</v>
      </c>
      <c r="C5" s="353"/>
      <c r="D5" s="353"/>
      <c r="E5" s="353"/>
      <c r="F5" s="354"/>
      <c r="G5" s="355" t="s">
        <v>71</v>
      </c>
      <c r="H5" s="356" t="s">
        <v>273</v>
      </c>
      <c r="I5" s="356"/>
      <c r="J5" s="357" t="s">
        <v>71</v>
      </c>
      <c r="K5" s="356" t="s">
        <v>273</v>
      </c>
      <c r="L5" s="357"/>
      <c r="M5" s="357" t="s">
        <v>71</v>
      </c>
      <c r="N5" s="356" t="s">
        <v>273</v>
      </c>
      <c r="O5" s="358"/>
      <c r="P5" s="357" t="s">
        <v>71</v>
      </c>
      <c r="Q5" s="356" t="s">
        <v>273</v>
      </c>
      <c r="R5" s="357"/>
      <c r="S5" s="357" t="s">
        <v>71</v>
      </c>
      <c r="T5" s="359" t="s">
        <v>273</v>
      </c>
      <c r="U5" s="358"/>
      <c r="V5" s="360" t="s">
        <v>274</v>
      </c>
      <c r="W5" s="356" t="s">
        <v>273</v>
      </c>
      <c r="X5" s="360"/>
      <c r="Y5" s="360" t="s">
        <v>274</v>
      </c>
      <c r="Z5" s="356" t="s">
        <v>273</v>
      </c>
      <c r="AB5" s="361" t="s">
        <v>275</v>
      </c>
      <c r="AC5" s="361" t="s">
        <v>275</v>
      </c>
      <c r="AD5" s="362"/>
      <c r="AE5" s="363"/>
      <c r="AG5" s="322"/>
      <c r="AH5" s="322"/>
    </row>
    <row r="6" spans="2:42" ht="15.75" customHeight="1">
      <c r="B6" s="364" t="s">
        <v>276</v>
      </c>
      <c r="C6" s="365">
        <v>6011</v>
      </c>
      <c r="D6" s="365">
        <v>28040</v>
      </c>
      <c r="E6" s="366">
        <v>671010</v>
      </c>
      <c r="F6" s="307" t="s">
        <v>277</v>
      </c>
      <c r="G6" s="367"/>
      <c r="H6" s="368">
        <f>K6+N6</f>
        <v>342141.9</v>
      </c>
      <c r="I6" s="369"/>
      <c r="J6" s="370"/>
      <c r="K6" s="371">
        <f>+Q6+W6</f>
        <v>37977.75</v>
      </c>
      <c r="L6" s="372" t="s">
        <v>278</v>
      </c>
      <c r="M6" s="373"/>
      <c r="N6" s="371">
        <f t="shared" ref="N6:N14" si="0">+T6+Z6</f>
        <v>304164.15000000002</v>
      </c>
      <c r="O6" s="374" t="s">
        <v>278</v>
      </c>
      <c r="P6" s="375"/>
      <c r="Q6" s="376">
        <v>37977.75</v>
      </c>
      <c r="R6" s="2"/>
      <c r="S6" s="375"/>
      <c r="T6" s="377">
        <v>304164.15000000002</v>
      </c>
      <c r="U6" s="378"/>
      <c r="V6" s="375"/>
      <c r="W6" s="376">
        <v>0</v>
      </c>
      <c r="X6" s="2"/>
      <c r="Y6" s="375"/>
      <c r="Z6" s="379">
        <v>0</v>
      </c>
      <c r="AA6" s="307"/>
      <c r="AB6" s="307"/>
      <c r="AC6" s="307"/>
      <c r="AD6" s="307"/>
      <c r="AE6" s="380">
        <v>671010</v>
      </c>
    </row>
    <row r="7" spans="2:42" ht="14.25" customHeight="1">
      <c r="B7" s="364" t="s">
        <v>276</v>
      </c>
      <c r="C7" s="365">
        <v>6011</v>
      </c>
      <c r="D7" s="365">
        <v>28040</v>
      </c>
      <c r="E7" s="366">
        <v>671030</v>
      </c>
      <c r="F7" s="307" t="s">
        <v>279</v>
      </c>
      <c r="G7" s="381"/>
      <c r="H7" s="234">
        <f>+K7+N7</f>
        <v>451569.61</v>
      </c>
      <c r="I7" s="378"/>
      <c r="J7" s="373"/>
      <c r="K7" s="382">
        <f>+Q7+W7</f>
        <v>240575.43000000002</v>
      </c>
      <c r="L7" s="372" t="s">
        <v>278</v>
      </c>
      <c r="M7" s="373"/>
      <c r="N7" s="382">
        <f>+T7+Z7</f>
        <v>210994.18</v>
      </c>
      <c r="O7" s="374" t="s">
        <v>278</v>
      </c>
      <c r="P7" s="375"/>
      <c r="Q7" s="376">
        <v>211374.98</v>
      </c>
      <c r="R7" s="2"/>
      <c r="S7" s="375"/>
      <c r="T7" s="379">
        <v>239837.53</v>
      </c>
      <c r="U7" s="378"/>
      <c r="V7" s="375"/>
      <c r="W7" s="376">
        <v>29200.45</v>
      </c>
      <c r="X7" s="2"/>
      <c r="Y7" s="375"/>
      <c r="Z7" s="379">
        <v>-28843.35</v>
      </c>
      <c r="AA7" s="307"/>
      <c r="AB7" s="307"/>
      <c r="AC7" s="307"/>
      <c r="AD7" s="307"/>
      <c r="AE7" s="383">
        <v>671030</v>
      </c>
    </row>
    <row r="8" spans="2:42" ht="14.25" customHeight="1">
      <c r="B8" s="364" t="s">
        <v>276</v>
      </c>
      <c r="C8" s="365">
        <v>6011</v>
      </c>
      <c r="D8" s="365">
        <v>28040</v>
      </c>
      <c r="E8" s="366">
        <v>671050</v>
      </c>
      <c r="F8" s="307" t="s">
        <v>280</v>
      </c>
      <c r="G8" s="307">
        <f>+J8+M8</f>
        <v>44875620</v>
      </c>
      <c r="H8" s="234">
        <f t="shared" ref="H8:H13" si="1">+K8+N8</f>
        <v>21858285.670000002</v>
      </c>
      <c r="I8" s="378"/>
      <c r="J8" s="384">
        <f>+P8+V8</f>
        <v>32815035</v>
      </c>
      <c r="K8" s="385">
        <f>+Q8+W8</f>
        <v>17309277.038210001</v>
      </c>
      <c r="L8" s="372" t="s">
        <v>281</v>
      </c>
      <c r="M8" s="307">
        <f>+S8+Y8</f>
        <v>12060585</v>
      </c>
      <c r="N8" s="385">
        <f>+T8+Z8</f>
        <v>4549008.63179</v>
      </c>
      <c r="O8" s="374" t="s">
        <v>281</v>
      </c>
      <c r="P8" s="386">
        <v>32742312</v>
      </c>
      <c r="Q8" s="387">
        <f>17267545.760492+681669.36-681669.36</f>
        <v>17267545.760492001</v>
      </c>
      <c r="R8" s="2"/>
      <c r="S8" s="386">
        <v>12033308</v>
      </c>
      <c r="T8" s="387">
        <f>4533439.909508+224564.83-224564.83</f>
        <v>4533439.9095080001</v>
      </c>
      <c r="U8" s="378"/>
      <c r="V8" s="386">
        <v>72723</v>
      </c>
      <c r="W8" s="388">
        <v>41731.277717999968</v>
      </c>
      <c r="X8" s="389"/>
      <c r="Y8" s="386">
        <v>27277</v>
      </c>
      <c r="Z8" s="388">
        <v>15568.722282000001</v>
      </c>
      <c r="AA8" s="389"/>
      <c r="AB8" s="390">
        <v>0</v>
      </c>
      <c r="AC8" s="390">
        <v>0</v>
      </c>
      <c r="AD8" s="307"/>
      <c r="AE8" s="391">
        <v>671050</v>
      </c>
    </row>
    <row r="9" spans="2:42" ht="14.25" customHeight="1">
      <c r="B9" s="364" t="s">
        <v>276</v>
      </c>
      <c r="C9" s="365">
        <v>6011</v>
      </c>
      <c r="D9" s="365">
        <v>28040</v>
      </c>
      <c r="E9" s="366">
        <v>671051</v>
      </c>
      <c r="F9" s="307" t="s">
        <v>282</v>
      </c>
      <c r="G9" s="381"/>
      <c r="H9" s="234">
        <f t="shared" si="1"/>
        <v>0</v>
      </c>
      <c r="I9" s="378"/>
      <c r="J9" s="392"/>
      <c r="K9" s="385">
        <f t="shared" ref="J9:K14" si="2">+Q9+W9</f>
        <v>0</v>
      </c>
      <c r="L9" s="372" t="s">
        <v>281</v>
      </c>
      <c r="M9" s="393"/>
      <c r="N9" s="385">
        <f t="shared" si="0"/>
        <v>0</v>
      </c>
      <c r="O9" s="374" t="s">
        <v>281</v>
      </c>
      <c r="P9" s="555"/>
      <c r="Q9" s="395"/>
      <c r="R9" s="555"/>
      <c r="S9" s="555"/>
      <c r="T9" s="389"/>
      <c r="U9" s="378"/>
      <c r="V9" s="375"/>
      <c r="W9" s="395"/>
      <c r="X9" s="2"/>
      <c r="Y9" s="375"/>
      <c r="Z9" s="389"/>
      <c r="AA9" s="307"/>
      <c r="AB9" s="307"/>
      <c r="AC9" s="307"/>
      <c r="AD9" s="307"/>
      <c r="AE9" s="391">
        <v>671051</v>
      </c>
    </row>
    <row r="10" spans="2:42" ht="14.25" customHeight="1">
      <c r="B10" s="364" t="s">
        <v>276</v>
      </c>
      <c r="C10" s="365">
        <v>6011</v>
      </c>
      <c r="D10" s="365">
        <v>28040</v>
      </c>
      <c r="E10" s="366">
        <v>671070</v>
      </c>
      <c r="F10" s="307" t="s">
        <v>283</v>
      </c>
      <c r="G10" s="307">
        <f t="shared" ref="G10:G14" si="3">+J10+M10</f>
        <v>697520</v>
      </c>
      <c r="H10" s="234">
        <f>+K10+N10</f>
        <v>398677.64999999997</v>
      </c>
      <c r="I10" s="378"/>
      <c r="J10" s="384">
        <f t="shared" si="2"/>
        <v>493753</v>
      </c>
      <c r="K10" s="385">
        <f t="shared" si="2"/>
        <v>282447.99</v>
      </c>
      <c r="L10" s="372" t="s">
        <v>281</v>
      </c>
      <c r="M10" s="307">
        <f>+S10+Y10</f>
        <v>203767</v>
      </c>
      <c r="N10" s="385">
        <f t="shared" si="0"/>
        <v>116229.65999999999</v>
      </c>
      <c r="O10" s="394" t="s">
        <v>281</v>
      </c>
      <c r="P10" s="556">
        <v>493753</v>
      </c>
      <c r="Q10" s="395">
        <v>282447.99</v>
      </c>
      <c r="R10" s="555"/>
      <c r="S10" s="556">
        <v>203767</v>
      </c>
      <c r="T10" s="389">
        <v>116229.65999999999</v>
      </c>
      <c r="U10" s="378"/>
      <c r="V10" s="386"/>
      <c r="W10" s="395"/>
      <c r="X10" s="2"/>
      <c r="Y10" s="375"/>
      <c r="Z10" s="389"/>
      <c r="AA10" s="307"/>
      <c r="AB10" s="307"/>
      <c r="AC10" s="307"/>
      <c r="AD10" s="307"/>
      <c r="AE10" s="391">
        <v>671070</v>
      </c>
    </row>
    <row r="11" spans="2:42" ht="14.25" customHeight="1">
      <c r="B11" s="364" t="s">
        <v>276</v>
      </c>
      <c r="C11" s="365">
        <v>6011</v>
      </c>
      <c r="D11" s="365">
        <v>28081</v>
      </c>
      <c r="E11" s="366">
        <v>671050</v>
      </c>
      <c r="F11" s="307" t="s">
        <v>284</v>
      </c>
      <c r="G11" s="307">
        <f t="shared" si="3"/>
        <v>8690000</v>
      </c>
      <c r="H11" s="234">
        <f t="shared" si="1"/>
        <v>2657497.1100000003</v>
      </c>
      <c r="I11" s="378"/>
      <c r="J11" s="384">
        <f t="shared" si="2"/>
        <v>7725410</v>
      </c>
      <c r="K11" s="385">
        <f t="shared" si="2"/>
        <v>2362514.9300000002</v>
      </c>
      <c r="L11" s="372" t="s">
        <v>281</v>
      </c>
      <c r="M11" s="307">
        <f>+S11+Y11</f>
        <v>964590</v>
      </c>
      <c r="N11" s="385">
        <f t="shared" si="0"/>
        <v>294982.18</v>
      </c>
      <c r="O11" s="374" t="s">
        <v>281</v>
      </c>
      <c r="P11" s="386">
        <v>7725410</v>
      </c>
      <c r="Q11" s="395">
        <v>2362514.9300000002</v>
      </c>
      <c r="R11" s="2"/>
      <c r="S11" s="386">
        <v>964590</v>
      </c>
      <c r="T11" s="389">
        <v>294982.18</v>
      </c>
      <c r="U11" s="396"/>
      <c r="V11" s="386"/>
      <c r="W11" s="395"/>
      <c r="X11" s="2"/>
      <c r="Y11" s="386"/>
      <c r="Z11" s="389"/>
      <c r="AA11" s="307"/>
      <c r="AB11" s="307"/>
      <c r="AC11" s="307"/>
      <c r="AD11" s="307"/>
      <c r="AE11" s="397">
        <v>671050</v>
      </c>
      <c r="AF11" s="339"/>
      <c r="AN11" s="398"/>
      <c r="AO11" s="398"/>
      <c r="AP11" s="398"/>
    </row>
    <row r="12" spans="2:42" ht="14.25" customHeight="1">
      <c r="B12" s="364" t="s">
        <v>276</v>
      </c>
      <c r="C12" s="365">
        <v>6011</v>
      </c>
      <c r="D12" s="365">
        <v>28082</v>
      </c>
      <c r="E12" s="366">
        <v>671050</v>
      </c>
      <c r="F12" s="307" t="s">
        <v>285</v>
      </c>
      <c r="G12" s="307">
        <f t="shared" si="3"/>
        <v>0</v>
      </c>
      <c r="H12" s="234">
        <f t="shared" si="1"/>
        <v>-1502736.4</v>
      </c>
      <c r="I12" s="378"/>
      <c r="J12" s="384">
        <f t="shared" si="2"/>
        <v>0</v>
      </c>
      <c r="K12" s="385">
        <f t="shared" si="2"/>
        <v>-1502736.4</v>
      </c>
      <c r="L12" s="372" t="s">
        <v>281</v>
      </c>
      <c r="M12" s="399">
        <f>+S12+Y12</f>
        <v>0</v>
      </c>
      <c r="N12" s="385">
        <f t="shared" si="0"/>
        <v>0</v>
      </c>
      <c r="O12" s="374" t="s">
        <v>281</v>
      </c>
      <c r="P12" s="386">
        <v>0</v>
      </c>
      <c r="Q12" s="395">
        <v>-1502736.4</v>
      </c>
      <c r="R12" s="2"/>
      <c r="S12" s="400"/>
      <c r="T12" s="401"/>
      <c r="U12" s="396"/>
      <c r="V12" s="386"/>
      <c r="W12" s="388"/>
      <c r="X12" s="2"/>
      <c r="Y12" s="400"/>
      <c r="Z12" s="401"/>
      <c r="AA12" s="307"/>
      <c r="AB12" s="307"/>
      <c r="AC12" s="307"/>
      <c r="AD12" s="307"/>
      <c r="AE12" s="397">
        <v>671050</v>
      </c>
      <c r="AF12" s="339"/>
    </row>
    <row r="13" spans="2:42" ht="14.25" customHeight="1">
      <c r="B13" s="364" t="s">
        <v>276</v>
      </c>
      <c r="C13" s="365">
        <v>6011</v>
      </c>
      <c r="D13" s="365">
        <v>28120</v>
      </c>
      <c r="E13" s="366">
        <v>671070</v>
      </c>
      <c r="F13" s="307" t="s">
        <v>286</v>
      </c>
      <c r="G13" s="307">
        <f t="shared" si="3"/>
        <v>-60023</v>
      </c>
      <c r="H13" s="234">
        <f t="shared" si="1"/>
        <v>-27439.53</v>
      </c>
      <c r="I13" s="378"/>
      <c r="J13" s="384">
        <f>+P13+V13</f>
        <v>-54285</v>
      </c>
      <c r="K13" s="385">
        <f>+Q13+W13</f>
        <v>-25596.48</v>
      </c>
      <c r="L13" s="372" t="s">
        <v>281</v>
      </c>
      <c r="M13" s="307">
        <f>+S13+Y13</f>
        <v>-5738</v>
      </c>
      <c r="N13" s="385">
        <f>+T13+Z13</f>
        <v>-1843.05</v>
      </c>
      <c r="O13" s="374" t="s">
        <v>281</v>
      </c>
      <c r="P13" s="386">
        <v>-54285</v>
      </c>
      <c r="Q13" s="395">
        <v>-25596.48</v>
      </c>
      <c r="R13" s="2"/>
      <c r="S13" s="386">
        <v>-5738</v>
      </c>
      <c r="T13" s="389">
        <v>-1843.05</v>
      </c>
      <c r="U13" s="396"/>
      <c r="V13" s="386"/>
      <c r="W13" s="395"/>
      <c r="X13" s="2"/>
      <c r="Y13" s="386"/>
      <c r="Z13" s="389"/>
      <c r="AA13" s="307"/>
      <c r="AB13" s="307"/>
      <c r="AC13" s="307"/>
      <c r="AD13" s="307"/>
      <c r="AE13" s="397">
        <v>671070</v>
      </c>
    </row>
    <row r="14" spans="2:42" ht="14.25" customHeight="1">
      <c r="B14" s="402" t="s">
        <v>276</v>
      </c>
      <c r="C14" s="403">
        <v>6011</v>
      </c>
      <c r="D14" s="403">
        <v>28040</v>
      </c>
      <c r="E14" s="404">
        <v>671100</v>
      </c>
      <c r="F14" s="405" t="s">
        <v>287</v>
      </c>
      <c r="G14" s="307">
        <f t="shared" si="3"/>
        <v>0</v>
      </c>
      <c r="H14" s="234">
        <f>+K14+N14</f>
        <v>0</v>
      </c>
      <c r="I14" s="378"/>
      <c r="J14" s="384">
        <f>+P14+V14</f>
        <v>0</v>
      </c>
      <c r="K14" s="385">
        <f t="shared" si="2"/>
        <v>0</v>
      </c>
      <c r="L14" s="406" t="s">
        <v>281</v>
      </c>
      <c r="M14" s="405">
        <f>+S14+Y14</f>
        <v>0</v>
      </c>
      <c r="N14" s="407">
        <f t="shared" si="0"/>
        <v>0</v>
      </c>
      <c r="O14" s="374" t="s">
        <v>281</v>
      </c>
      <c r="P14" s="408"/>
      <c r="Q14" s="409"/>
      <c r="R14" s="2"/>
      <c r="S14" s="408"/>
      <c r="T14" s="410"/>
      <c r="U14" s="378"/>
      <c r="V14" s="408"/>
      <c r="W14" s="409"/>
      <c r="X14" s="2"/>
      <c r="Y14" s="408"/>
      <c r="Z14" s="410"/>
      <c r="AA14" s="405"/>
      <c r="AB14" s="405"/>
      <c r="AC14" s="405"/>
      <c r="AD14" s="405"/>
      <c r="AE14" s="411">
        <v>671100</v>
      </c>
    </row>
    <row r="15" spans="2:42" s="426" customFormat="1" ht="16.5" customHeight="1">
      <c r="B15" s="412"/>
      <c r="C15" s="413"/>
      <c r="D15" s="413"/>
      <c r="E15" s="414"/>
      <c r="F15" s="415" t="s">
        <v>288</v>
      </c>
      <c r="G15" s="416">
        <f>SUM(G6:G14)</f>
        <v>54203117</v>
      </c>
      <c r="H15" s="417">
        <f>SUM(H6:H14)</f>
        <v>24177996.010000002</v>
      </c>
      <c r="I15" s="418"/>
      <c r="J15" s="416">
        <f>SUM(J6:J14)</f>
        <v>40979913</v>
      </c>
      <c r="K15" s="417">
        <f>SUM(K6:K14)</f>
        <v>18704460.25821</v>
      </c>
      <c r="L15" s="419"/>
      <c r="M15" s="416">
        <f>SUM(M6:M14)</f>
        <v>13223204</v>
      </c>
      <c r="N15" s="417">
        <f>SUM(N6:N14)</f>
        <v>5473535.7517900001</v>
      </c>
      <c r="O15" s="420"/>
      <c r="P15" s="421">
        <v>40907190</v>
      </c>
      <c r="Q15" s="417">
        <v>18633528.530492</v>
      </c>
      <c r="R15" s="422"/>
      <c r="S15" s="421">
        <v>13195927</v>
      </c>
      <c r="T15" s="423">
        <v>5486810.3795079989</v>
      </c>
      <c r="U15" s="418"/>
      <c r="V15" s="421">
        <v>72723</v>
      </c>
      <c r="W15" s="417">
        <v>70931.727717999966</v>
      </c>
      <c r="X15" s="422"/>
      <c r="Y15" s="424">
        <v>27277</v>
      </c>
      <c r="Z15" s="423">
        <v>-13274.627717999998</v>
      </c>
      <c r="AA15" s="416"/>
      <c r="AB15" s="425">
        <f>SUM(AB6:AB14)</f>
        <v>0</v>
      </c>
      <c r="AC15" s="425">
        <f>SUM(AC6:AC14)</f>
        <v>0</v>
      </c>
      <c r="AD15" s="425"/>
      <c r="AE15" s="414"/>
    </row>
    <row r="16" spans="2:42" ht="15.75" customHeight="1">
      <c r="B16" s="364" t="s">
        <v>276</v>
      </c>
      <c r="C16" s="365">
        <v>6011</v>
      </c>
      <c r="D16" s="365">
        <v>28040</v>
      </c>
      <c r="E16" s="366">
        <v>672010</v>
      </c>
      <c r="F16" s="307" t="s">
        <v>289</v>
      </c>
      <c r="G16" s="381"/>
      <c r="H16" s="234">
        <f>K16+N16</f>
        <v>3817696.27</v>
      </c>
      <c r="I16" s="378"/>
      <c r="J16" s="307"/>
      <c r="K16" s="382">
        <f>+Q16+W16</f>
        <v>2890950.67</v>
      </c>
      <c r="L16" s="427" t="s">
        <v>278</v>
      </c>
      <c r="M16" s="373"/>
      <c r="N16" s="382">
        <f>+T16+Z16</f>
        <v>926745.60000000009</v>
      </c>
      <c r="O16" s="374" t="s">
        <v>278</v>
      </c>
      <c r="P16" s="428"/>
      <c r="Q16" s="382">
        <v>2890914.15</v>
      </c>
      <c r="R16" s="250"/>
      <c r="S16" s="429"/>
      <c r="T16" s="382">
        <v>926649.3600000001</v>
      </c>
      <c r="U16" s="378"/>
      <c r="V16" s="428"/>
      <c r="W16" s="376">
        <v>36.520000000000003</v>
      </c>
      <c r="X16" s="2"/>
      <c r="Y16" s="430"/>
      <c r="Z16" s="376">
        <v>96.24</v>
      </c>
      <c r="AA16" s="307"/>
      <c r="AB16" s="307"/>
      <c r="AC16" s="307"/>
      <c r="AD16" s="431"/>
      <c r="AE16" s="383">
        <v>672010</v>
      </c>
    </row>
    <row r="17" spans="2:34" ht="14.25" customHeight="1">
      <c r="B17" s="364" t="s">
        <v>276</v>
      </c>
      <c r="C17" s="365">
        <v>6011</v>
      </c>
      <c r="D17" s="365">
        <v>28040</v>
      </c>
      <c r="E17" s="366">
        <v>672020</v>
      </c>
      <c r="F17" s="307" t="s">
        <v>290</v>
      </c>
      <c r="G17" s="381"/>
      <c r="H17" s="234">
        <f>K17+N17</f>
        <v>357783.35000000003</v>
      </c>
      <c r="I17" s="378"/>
      <c r="J17" s="373"/>
      <c r="K17" s="385">
        <f>+Q17+W17</f>
        <v>265892.14</v>
      </c>
      <c r="L17" s="372" t="s">
        <v>281</v>
      </c>
      <c r="M17" s="373"/>
      <c r="N17" s="385">
        <f>+T17+Z17</f>
        <v>91891.21</v>
      </c>
      <c r="O17" s="374" t="s">
        <v>281</v>
      </c>
      <c r="P17" s="375"/>
      <c r="Q17" s="395">
        <v>268361.39</v>
      </c>
      <c r="R17" s="2"/>
      <c r="S17" s="313"/>
      <c r="T17" s="389">
        <v>78282.100000000006</v>
      </c>
      <c r="U17" s="378"/>
      <c r="V17" s="375"/>
      <c r="W17" s="395">
        <v>-2469.25</v>
      </c>
      <c r="X17" s="2"/>
      <c r="Y17" s="430"/>
      <c r="Z17" s="389">
        <v>13609.11</v>
      </c>
      <c r="AA17" s="307"/>
      <c r="AB17" s="307"/>
      <c r="AC17" s="307"/>
      <c r="AD17" s="307"/>
      <c r="AE17" s="391">
        <v>672020</v>
      </c>
      <c r="AF17" s="432"/>
    </row>
    <row r="18" spans="2:34" ht="14.25" customHeight="1">
      <c r="B18" s="364" t="s">
        <v>276</v>
      </c>
      <c r="C18" s="365">
        <v>6011</v>
      </c>
      <c r="D18" s="365">
        <v>28040</v>
      </c>
      <c r="E18" s="366">
        <v>672030</v>
      </c>
      <c r="F18" s="307" t="s">
        <v>291</v>
      </c>
      <c r="G18" s="381"/>
      <c r="H18" s="234">
        <f>K18+N18</f>
        <v>0</v>
      </c>
      <c r="I18" s="378"/>
      <c r="J18" s="373"/>
      <c r="K18" s="382">
        <f>+Q18+W18</f>
        <v>0</v>
      </c>
      <c r="L18" s="372" t="s">
        <v>278</v>
      </c>
      <c r="M18" s="307"/>
      <c r="N18" s="382">
        <f>+T18+Z18</f>
        <v>0</v>
      </c>
      <c r="O18" s="374" t="s">
        <v>278</v>
      </c>
      <c r="P18" s="375"/>
      <c r="Q18" s="433"/>
      <c r="R18" s="2"/>
      <c r="S18" s="313"/>
      <c r="T18" s="434"/>
      <c r="U18" s="378"/>
      <c r="V18" s="375"/>
      <c r="W18" s="433"/>
      <c r="X18" s="2"/>
      <c r="Y18" s="375"/>
      <c r="Z18" s="434"/>
      <c r="AA18" s="307"/>
      <c r="AB18" s="307"/>
      <c r="AC18" s="307"/>
      <c r="AD18" s="307"/>
      <c r="AE18" s="383">
        <v>672030</v>
      </c>
      <c r="AF18" s="432"/>
    </row>
    <row r="19" spans="2:34" ht="14.25" customHeight="1">
      <c r="B19" s="364" t="s">
        <v>276</v>
      </c>
      <c r="C19" s="365">
        <v>6011</v>
      </c>
      <c r="D19" s="365">
        <v>28040</v>
      </c>
      <c r="E19" s="366">
        <v>672040</v>
      </c>
      <c r="F19" s="307" t="s">
        <v>292</v>
      </c>
      <c r="G19" s="381"/>
      <c r="H19" s="234">
        <f>K19+N19</f>
        <v>0</v>
      </c>
      <c r="I19" s="378"/>
      <c r="J19" s="373"/>
      <c r="K19" s="382">
        <f>+Q19+W19</f>
        <v>0</v>
      </c>
      <c r="L19" s="372" t="s">
        <v>278</v>
      </c>
      <c r="M19" s="373"/>
      <c r="N19" s="382">
        <f>+T19+Z19</f>
        <v>0</v>
      </c>
      <c r="O19" s="374" t="s">
        <v>278</v>
      </c>
      <c r="P19" s="375"/>
      <c r="Q19" s="433"/>
      <c r="R19" s="2"/>
      <c r="S19" s="375"/>
      <c r="T19" s="434"/>
      <c r="U19" s="378"/>
      <c r="V19" s="375"/>
      <c r="W19" s="433"/>
      <c r="X19" s="2"/>
      <c r="Y19" s="375"/>
      <c r="Z19" s="434"/>
      <c r="AA19" s="307"/>
      <c r="AB19" s="307"/>
      <c r="AC19" s="307"/>
      <c r="AD19" s="307"/>
      <c r="AE19" s="383">
        <v>672040</v>
      </c>
      <c r="AF19" s="432"/>
      <c r="AG19" s="432"/>
    </row>
    <row r="20" spans="2:34" ht="14.25" customHeight="1">
      <c r="B20" s="402" t="s">
        <v>276</v>
      </c>
      <c r="C20" s="403">
        <v>6011</v>
      </c>
      <c r="D20" s="403">
        <v>28040</v>
      </c>
      <c r="E20" s="404">
        <v>672050</v>
      </c>
      <c r="F20" s="307" t="s">
        <v>293</v>
      </c>
      <c r="G20" s="381"/>
      <c r="H20" s="234">
        <f>K20+N20</f>
        <v>0</v>
      </c>
      <c r="I20" s="378"/>
      <c r="J20" s="435"/>
      <c r="K20" s="382">
        <f>+Q20+W20</f>
        <v>0</v>
      </c>
      <c r="L20" s="406" t="s">
        <v>278</v>
      </c>
      <c r="M20" s="373"/>
      <c r="N20" s="436">
        <f>+T20+Z20</f>
        <v>0</v>
      </c>
      <c r="O20" s="374" t="s">
        <v>278</v>
      </c>
      <c r="P20" s="437"/>
      <c r="Q20" s="433"/>
      <c r="R20" s="62"/>
      <c r="S20" s="437"/>
      <c r="T20" s="438"/>
      <c r="U20" s="378"/>
      <c r="V20" s="375"/>
      <c r="W20" s="433"/>
      <c r="X20" s="2"/>
      <c r="Y20" s="437"/>
      <c r="Z20" s="438"/>
      <c r="AA20" s="405"/>
      <c r="AB20" s="405"/>
      <c r="AC20" s="405"/>
      <c r="AD20" s="405"/>
      <c r="AE20" s="439">
        <v>672050</v>
      </c>
      <c r="AF20" s="432"/>
      <c r="AG20" s="432"/>
    </row>
    <row r="21" spans="2:34" s="426" customFormat="1" ht="16.5" customHeight="1">
      <c r="B21" s="412"/>
      <c r="C21" s="413"/>
      <c r="D21" s="413"/>
      <c r="E21" s="414"/>
      <c r="F21" s="440" t="s">
        <v>294</v>
      </c>
      <c r="G21" s="416"/>
      <c r="H21" s="417">
        <f>SUM(H16:H20)</f>
        <v>4175479.62</v>
      </c>
      <c r="I21" s="418"/>
      <c r="J21" s="441"/>
      <c r="K21" s="417">
        <f>SUM(K16:K20)</f>
        <v>3156842.81</v>
      </c>
      <c r="L21" s="419"/>
      <c r="M21" s="442"/>
      <c r="N21" s="417">
        <f>SUM(N16:N20)</f>
        <v>1018636.81</v>
      </c>
      <c r="O21" s="420"/>
      <c r="P21" s="421"/>
      <c r="Q21" s="417">
        <v>3159275.54</v>
      </c>
      <c r="R21" s="443"/>
      <c r="S21" s="424"/>
      <c r="T21" s="423">
        <v>1004931.4600000001</v>
      </c>
      <c r="U21" s="418"/>
      <c r="V21" s="424"/>
      <c r="W21" s="417">
        <v>-2432.73</v>
      </c>
      <c r="X21" s="422"/>
      <c r="Y21" s="424"/>
      <c r="Z21" s="423">
        <v>13705.35</v>
      </c>
      <c r="AA21" s="416"/>
      <c r="AB21" s="425">
        <f>SUM(AB16:AB20)</f>
        <v>0</v>
      </c>
      <c r="AC21" s="425">
        <f>SUM(AC16:AC20)</f>
        <v>0</v>
      </c>
      <c r="AD21" s="425"/>
      <c r="AE21" s="414"/>
    </row>
    <row r="22" spans="2:34" ht="15.75" customHeight="1">
      <c r="B22" s="364" t="s">
        <v>276</v>
      </c>
      <c r="C22" s="365">
        <v>6011</v>
      </c>
      <c r="D22" s="365">
        <v>28040</v>
      </c>
      <c r="E22" s="366">
        <v>673020</v>
      </c>
      <c r="F22" s="307" t="s">
        <v>295</v>
      </c>
      <c r="G22" s="381"/>
      <c r="H22" s="234">
        <f>K22+N22</f>
        <v>266171.84000000003</v>
      </c>
      <c r="I22" s="378"/>
      <c r="J22" s="384"/>
      <c r="K22" s="382">
        <f t="shared" ref="K22:K36" si="4">+Q22+W22</f>
        <v>237887.88</v>
      </c>
      <c r="L22" s="427" t="s">
        <v>278</v>
      </c>
      <c r="M22" s="444"/>
      <c r="N22" s="382">
        <f t="shared" ref="N22:N31" si="5">+T22+Z22</f>
        <v>28283.96</v>
      </c>
      <c r="O22" s="374" t="s">
        <v>278</v>
      </c>
      <c r="P22" s="428"/>
      <c r="Q22" s="376">
        <v>237887.88</v>
      </c>
      <c r="R22" s="2"/>
      <c r="S22" s="375"/>
      <c r="T22" s="379">
        <v>28283.96</v>
      </c>
      <c r="U22" s="378"/>
      <c r="V22" s="428"/>
      <c r="W22" s="376">
        <v>0</v>
      </c>
      <c r="X22" s="2"/>
      <c r="Y22" s="375"/>
      <c r="Z22" s="379">
        <v>0</v>
      </c>
      <c r="AA22" s="307"/>
      <c r="AB22" s="307"/>
      <c r="AC22" s="307"/>
      <c r="AD22" s="307"/>
      <c r="AE22" s="383">
        <v>673020</v>
      </c>
      <c r="AH22" s="323"/>
    </row>
    <row r="23" spans="2:34" ht="14.25" customHeight="1">
      <c r="B23" s="364" t="s">
        <v>276</v>
      </c>
      <c r="C23" s="365">
        <v>6011</v>
      </c>
      <c r="D23" s="365">
        <v>28040</v>
      </c>
      <c r="E23" s="366">
        <v>673030</v>
      </c>
      <c r="F23" s="307" t="s">
        <v>296</v>
      </c>
      <c r="G23" s="381"/>
      <c r="H23" s="234">
        <f t="shared" ref="H23:H36" si="6">K23+N23</f>
        <v>299000</v>
      </c>
      <c r="I23" s="378"/>
      <c r="J23" s="373"/>
      <c r="K23" s="382">
        <f t="shared" si="4"/>
        <v>265811</v>
      </c>
      <c r="L23" s="372" t="s">
        <v>278</v>
      </c>
      <c r="M23" s="373"/>
      <c r="N23" s="382">
        <f t="shared" si="5"/>
        <v>33189</v>
      </c>
      <c r="O23" s="374" t="s">
        <v>278</v>
      </c>
      <c r="P23" s="375"/>
      <c r="Q23" s="376">
        <v>265811</v>
      </c>
      <c r="R23" s="2"/>
      <c r="S23" s="375"/>
      <c r="T23" s="379">
        <v>33189</v>
      </c>
      <c r="U23" s="378"/>
      <c r="V23" s="445"/>
      <c r="W23" s="382">
        <v>0</v>
      </c>
      <c r="X23" s="446"/>
      <c r="Y23" s="307"/>
      <c r="Z23" s="382">
        <v>0</v>
      </c>
      <c r="AA23" s="307"/>
      <c r="AB23" s="307"/>
      <c r="AC23" s="307"/>
      <c r="AD23" s="307"/>
      <c r="AE23" s="383">
        <v>673030</v>
      </c>
      <c r="AH23" s="323"/>
    </row>
    <row r="24" spans="2:34" ht="14.25" customHeight="1">
      <c r="B24" s="364" t="s">
        <v>276</v>
      </c>
      <c r="C24" s="365">
        <v>6011</v>
      </c>
      <c r="D24" s="365">
        <v>28040</v>
      </c>
      <c r="E24" s="366">
        <v>673040</v>
      </c>
      <c r="F24" s="307" t="s">
        <v>297</v>
      </c>
      <c r="G24" s="381"/>
      <c r="H24" s="234">
        <f t="shared" si="6"/>
        <v>0</v>
      </c>
      <c r="I24" s="378"/>
      <c r="J24" s="373"/>
      <c r="K24" s="385">
        <f t="shared" si="4"/>
        <v>0</v>
      </c>
      <c r="L24" s="372" t="s">
        <v>281</v>
      </c>
      <c r="M24" s="373"/>
      <c r="N24" s="385">
        <f>+T24+Z24</f>
        <v>0</v>
      </c>
      <c r="O24" s="374" t="s">
        <v>281</v>
      </c>
      <c r="P24" s="375"/>
      <c r="Q24" s="385"/>
      <c r="R24" s="2"/>
      <c r="S24" s="375"/>
      <c r="T24" s="401"/>
      <c r="U24" s="378"/>
      <c r="V24" s="445"/>
      <c r="W24" s="385"/>
      <c r="X24" s="446"/>
      <c r="Y24" s="446"/>
      <c r="Z24" s="385"/>
      <c r="AA24" s="307"/>
      <c r="AB24" s="307"/>
      <c r="AC24" s="307"/>
      <c r="AD24" s="307"/>
      <c r="AE24" s="391">
        <v>673040</v>
      </c>
    </row>
    <row r="25" spans="2:34" ht="14.25" customHeight="1">
      <c r="B25" s="364" t="s">
        <v>276</v>
      </c>
      <c r="C25" s="365">
        <v>6011</v>
      </c>
      <c r="D25" s="365">
        <v>28040</v>
      </c>
      <c r="E25" s="366">
        <v>673050</v>
      </c>
      <c r="F25" s="307" t="s">
        <v>298</v>
      </c>
      <c r="G25" s="381"/>
      <c r="H25" s="234">
        <f t="shared" si="6"/>
        <v>0</v>
      </c>
      <c r="I25" s="378"/>
      <c r="J25" s="373" t="s">
        <v>260</v>
      </c>
      <c r="K25" s="385">
        <f>+Q25+W25</f>
        <v>0</v>
      </c>
      <c r="L25" s="372" t="s">
        <v>281</v>
      </c>
      <c r="M25" s="373"/>
      <c r="N25" s="385">
        <f t="shared" si="5"/>
        <v>0</v>
      </c>
      <c r="O25" s="374" t="s">
        <v>278</v>
      </c>
      <c r="P25" s="375"/>
      <c r="Q25" s="395">
        <v>0</v>
      </c>
      <c r="R25" s="2"/>
      <c r="S25" s="375"/>
      <c r="T25" s="401"/>
      <c r="U25" s="378"/>
      <c r="V25" s="445"/>
      <c r="W25" s="385"/>
      <c r="X25" s="446"/>
      <c r="Y25" s="446"/>
      <c r="Z25" s="385"/>
      <c r="AA25" s="307"/>
      <c r="AB25" s="307"/>
      <c r="AC25" s="307"/>
      <c r="AD25" s="307"/>
      <c r="AE25" s="391">
        <v>673050</v>
      </c>
    </row>
    <row r="26" spans="2:34" ht="14.25" customHeight="1">
      <c r="B26" s="364" t="s">
        <v>276</v>
      </c>
      <c r="C26" s="365">
        <v>6011</v>
      </c>
      <c r="D26" s="365">
        <v>28040</v>
      </c>
      <c r="E26" s="366">
        <v>673060</v>
      </c>
      <c r="F26" s="307" t="s">
        <v>299</v>
      </c>
      <c r="G26" s="381"/>
      <c r="H26" s="234">
        <f t="shared" si="6"/>
        <v>0</v>
      </c>
      <c r="I26" s="378"/>
      <c r="J26" s="373"/>
      <c r="K26" s="385">
        <f>+Q26+W26</f>
        <v>0</v>
      </c>
      <c r="L26" s="372" t="s">
        <v>281</v>
      </c>
      <c r="M26" s="373"/>
      <c r="N26" s="385">
        <f t="shared" si="5"/>
        <v>0</v>
      </c>
      <c r="O26" s="374" t="s">
        <v>278</v>
      </c>
      <c r="P26" s="375"/>
      <c r="Q26" s="385"/>
      <c r="R26" s="2"/>
      <c r="S26" s="430"/>
      <c r="T26" s="401"/>
      <c r="U26" s="378"/>
      <c r="V26" s="445"/>
      <c r="W26" s="385"/>
      <c r="X26" s="446"/>
      <c r="Y26" s="446"/>
      <c r="Z26" s="385"/>
      <c r="AA26" s="307"/>
      <c r="AB26" s="307"/>
      <c r="AC26" s="307"/>
      <c r="AD26" s="307"/>
      <c r="AE26" s="391">
        <v>673060</v>
      </c>
    </row>
    <row r="27" spans="2:34" ht="14.25" customHeight="1">
      <c r="B27" s="364" t="s">
        <v>276</v>
      </c>
      <c r="C27" s="365">
        <v>6011</v>
      </c>
      <c r="D27" s="365">
        <v>28040</v>
      </c>
      <c r="E27" s="366">
        <v>673070</v>
      </c>
      <c r="F27" s="307" t="s">
        <v>300</v>
      </c>
      <c r="G27" s="381"/>
      <c r="H27" s="234">
        <f t="shared" si="6"/>
        <v>0</v>
      </c>
      <c r="I27" s="378"/>
      <c r="J27" s="373"/>
      <c r="K27" s="382">
        <f t="shared" si="4"/>
        <v>0</v>
      </c>
      <c r="L27" s="372" t="s">
        <v>281</v>
      </c>
      <c r="M27" s="373"/>
      <c r="N27" s="382">
        <f t="shared" si="5"/>
        <v>0</v>
      </c>
      <c r="O27" s="374" t="s">
        <v>278</v>
      </c>
      <c r="P27" s="375"/>
      <c r="Q27" s="382"/>
      <c r="R27" s="2"/>
      <c r="S27" s="375"/>
      <c r="T27" s="447"/>
      <c r="U27" s="378"/>
      <c r="V27" s="445"/>
      <c r="W27" s="382"/>
      <c r="X27" s="446"/>
      <c r="Y27" s="446"/>
      <c r="Z27" s="382"/>
      <c r="AA27" s="307"/>
      <c r="AB27" s="307"/>
      <c r="AC27" s="307"/>
      <c r="AD27" s="307"/>
      <c r="AE27" s="383">
        <v>673070</v>
      </c>
    </row>
    <row r="28" spans="2:34" ht="14.25" customHeight="1">
      <c r="B28" s="364" t="s">
        <v>276</v>
      </c>
      <c r="C28" s="365">
        <v>6011</v>
      </c>
      <c r="D28" s="365">
        <v>28040</v>
      </c>
      <c r="E28" s="366">
        <v>673080</v>
      </c>
      <c r="F28" s="307" t="s">
        <v>301</v>
      </c>
      <c r="G28" s="381"/>
      <c r="H28" s="234">
        <f t="shared" si="6"/>
        <v>0</v>
      </c>
      <c r="I28" s="378"/>
      <c r="J28" s="373"/>
      <c r="K28" s="382">
        <f t="shared" si="4"/>
        <v>0</v>
      </c>
      <c r="L28" s="372" t="s">
        <v>278</v>
      </c>
      <c r="M28" s="373"/>
      <c r="N28" s="382">
        <f t="shared" si="5"/>
        <v>0</v>
      </c>
      <c r="O28" s="374" t="s">
        <v>278</v>
      </c>
      <c r="P28" s="375"/>
      <c r="Q28" s="382"/>
      <c r="R28" s="2"/>
      <c r="S28" s="375"/>
      <c r="T28" s="447"/>
      <c r="U28" s="378"/>
      <c r="V28" s="445"/>
      <c r="W28" s="382"/>
      <c r="X28" s="446"/>
      <c r="Y28" s="446"/>
      <c r="Z28" s="382"/>
      <c r="AA28" s="307"/>
      <c r="AB28" s="307"/>
      <c r="AC28" s="307"/>
      <c r="AD28" s="307"/>
      <c r="AE28" s="383">
        <v>673080</v>
      </c>
    </row>
    <row r="29" spans="2:34" ht="14.25" customHeight="1">
      <c r="B29" s="364" t="s">
        <v>276</v>
      </c>
      <c r="C29" s="365">
        <v>6011</v>
      </c>
      <c r="D29" s="365">
        <v>28040</v>
      </c>
      <c r="E29" s="366">
        <v>673090</v>
      </c>
      <c r="F29" s="307" t="s">
        <v>302</v>
      </c>
      <c r="G29" s="381"/>
      <c r="H29" s="234">
        <f t="shared" si="6"/>
        <v>0</v>
      </c>
      <c r="I29" s="378"/>
      <c r="J29" s="373"/>
      <c r="K29" s="385">
        <f>+Q29+W29</f>
        <v>0</v>
      </c>
      <c r="L29" s="372" t="s">
        <v>281</v>
      </c>
      <c r="M29" s="373"/>
      <c r="N29" s="385">
        <f>+T29+Z29</f>
        <v>0</v>
      </c>
      <c r="O29" s="374" t="s">
        <v>281</v>
      </c>
      <c r="P29" s="375"/>
      <c r="Q29" s="385"/>
      <c r="R29" s="2"/>
      <c r="S29" s="375"/>
      <c r="T29" s="401"/>
      <c r="U29" s="378"/>
      <c r="V29" s="445"/>
      <c r="W29" s="385"/>
      <c r="X29" s="446"/>
      <c r="Y29" s="446"/>
      <c r="Z29" s="385"/>
      <c r="AA29" s="307"/>
      <c r="AB29" s="307"/>
      <c r="AC29" s="307"/>
      <c r="AD29" s="307"/>
      <c r="AE29" s="391">
        <v>673090</v>
      </c>
    </row>
    <row r="30" spans="2:34" ht="14.25" customHeight="1">
      <c r="B30" s="364" t="s">
        <v>276</v>
      </c>
      <c r="C30" s="365">
        <v>6011</v>
      </c>
      <c r="D30" s="365">
        <v>28040</v>
      </c>
      <c r="E30" s="366">
        <v>673120</v>
      </c>
      <c r="F30" s="307" t="s">
        <v>303</v>
      </c>
      <c r="G30" s="381"/>
      <c r="H30" s="234">
        <f t="shared" si="6"/>
        <v>110278.97</v>
      </c>
      <c r="I30" s="378"/>
      <c r="J30" s="373"/>
      <c r="K30" s="382">
        <f>+Q30+W30</f>
        <v>98756.430000000008</v>
      </c>
      <c r="L30" s="372" t="s">
        <v>278</v>
      </c>
      <c r="M30" s="373"/>
      <c r="N30" s="382">
        <f>+T30+Z30</f>
        <v>11522.539999999999</v>
      </c>
      <c r="O30" s="374" t="s">
        <v>278</v>
      </c>
      <c r="P30" s="375"/>
      <c r="Q30" s="376">
        <v>98756.430000000008</v>
      </c>
      <c r="R30" s="2"/>
      <c r="S30" s="375"/>
      <c r="T30" s="379">
        <v>11522.539999999999</v>
      </c>
      <c r="U30" s="378"/>
      <c r="V30" s="445"/>
      <c r="W30" s="382">
        <v>0</v>
      </c>
      <c r="X30" s="446"/>
      <c r="Y30" s="446"/>
      <c r="Z30" s="382">
        <v>0</v>
      </c>
      <c r="AA30" s="307"/>
      <c r="AB30" s="307"/>
      <c r="AC30" s="307"/>
      <c r="AD30" s="448"/>
      <c r="AE30" s="383">
        <v>673120</v>
      </c>
    </row>
    <row r="31" spans="2:34" ht="14.25" customHeight="1">
      <c r="B31" s="364" t="s">
        <v>276</v>
      </c>
      <c r="C31" s="365">
        <v>6011</v>
      </c>
      <c r="D31" s="365">
        <v>28040</v>
      </c>
      <c r="E31" s="366">
        <v>673130</v>
      </c>
      <c r="F31" s="307" t="s">
        <v>304</v>
      </c>
      <c r="G31" s="381"/>
      <c r="H31" s="234">
        <f t="shared" si="6"/>
        <v>0</v>
      </c>
      <c r="I31" s="378"/>
      <c r="J31" s="373"/>
      <c r="K31" s="382">
        <f t="shared" si="4"/>
        <v>0</v>
      </c>
      <c r="L31" s="372" t="s">
        <v>278</v>
      </c>
      <c r="M31" s="373"/>
      <c r="N31" s="382">
        <f t="shared" si="5"/>
        <v>0</v>
      </c>
      <c r="O31" s="374" t="s">
        <v>278</v>
      </c>
      <c r="P31" s="375"/>
      <c r="Q31" s="433"/>
      <c r="R31" s="2"/>
      <c r="S31" s="375"/>
      <c r="T31" s="434"/>
      <c r="U31" s="378"/>
      <c r="V31" s="445"/>
      <c r="W31" s="382"/>
      <c r="X31" s="446"/>
      <c r="Y31" s="446"/>
      <c r="Z31" s="382"/>
      <c r="AA31" s="307"/>
      <c r="AB31" s="307"/>
      <c r="AC31" s="307"/>
      <c r="AD31" s="307"/>
      <c r="AE31" s="383">
        <v>673130</v>
      </c>
    </row>
    <row r="32" spans="2:34" ht="14.25" customHeight="1">
      <c r="B32" s="364" t="s">
        <v>276</v>
      </c>
      <c r="C32" s="365">
        <v>6011</v>
      </c>
      <c r="D32" s="365">
        <v>28040</v>
      </c>
      <c r="E32" s="366">
        <v>673140</v>
      </c>
      <c r="F32" s="307" t="s">
        <v>305</v>
      </c>
      <c r="G32" s="381"/>
      <c r="H32" s="234">
        <f t="shared" si="6"/>
        <v>0</v>
      </c>
      <c r="I32" s="378"/>
      <c r="J32" s="373"/>
      <c r="K32" s="385">
        <f t="shared" si="4"/>
        <v>0</v>
      </c>
      <c r="L32" s="372" t="s">
        <v>281</v>
      </c>
      <c r="M32" s="373"/>
      <c r="N32" s="385">
        <f>+T32+Z32</f>
        <v>0</v>
      </c>
      <c r="O32" s="374" t="s">
        <v>281</v>
      </c>
      <c r="P32" s="375"/>
      <c r="Q32" s="449"/>
      <c r="R32" s="2"/>
      <c r="S32" s="375"/>
      <c r="T32" s="410"/>
      <c r="U32" s="378"/>
      <c r="V32" s="445"/>
      <c r="W32" s="385"/>
      <c r="X32" s="446"/>
      <c r="Y32" s="446"/>
      <c r="Z32" s="385"/>
      <c r="AA32" s="307"/>
      <c r="AB32" s="307"/>
      <c r="AC32" s="307"/>
      <c r="AD32" s="307"/>
      <c r="AE32" s="391">
        <v>673140</v>
      </c>
    </row>
    <row r="33" spans="2:38" ht="14.25" customHeight="1">
      <c r="B33" s="364" t="s">
        <v>276</v>
      </c>
      <c r="C33" s="365">
        <v>6011</v>
      </c>
      <c r="D33" s="365">
        <v>28040</v>
      </c>
      <c r="E33" s="366">
        <v>673160</v>
      </c>
      <c r="F33" s="307" t="s">
        <v>306</v>
      </c>
      <c r="G33" s="381"/>
      <c r="H33" s="234">
        <f t="shared" si="6"/>
        <v>0</v>
      </c>
      <c r="I33" s="378"/>
      <c r="J33" s="373"/>
      <c r="K33" s="385">
        <f t="shared" si="4"/>
        <v>0</v>
      </c>
      <c r="L33" s="372" t="s">
        <v>281</v>
      </c>
      <c r="M33" s="373"/>
      <c r="N33" s="385">
        <f>+T33+Z33</f>
        <v>0</v>
      </c>
      <c r="O33" s="374" t="s">
        <v>281</v>
      </c>
      <c r="P33" s="373"/>
      <c r="Q33" s="450"/>
      <c r="R33" s="448"/>
      <c r="S33" s="451"/>
      <c r="T33" s="450"/>
      <c r="U33" s="378"/>
      <c r="V33" s="445"/>
      <c r="W33" s="385"/>
      <c r="X33" s="446"/>
      <c r="Y33" s="446"/>
      <c r="Z33" s="385"/>
      <c r="AA33" s="307"/>
      <c r="AB33" s="307"/>
      <c r="AC33" s="307"/>
      <c r="AD33" s="307"/>
      <c r="AE33" s="391">
        <v>673160</v>
      </c>
    </row>
    <row r="34" spans="2:38" ht="14.25" customHeight="1">
      <c r="B34" s="364" t="s">
        <v>276</v>
      </c>
      <c r="C34" s="365">
        <v>6011</v>
      </c>
      <c r="D34" s="365">
        <v>28040</v>
      </c>
      <c r="E34" s="366">
        <v>673180</v>
      </c>
      <c r="F34" s="307" t="s">
        <v>307</v>
      </c>
      <c r="G34" s="381"/>
      <c r="H34" s="234">
        <f t="shared" si="6"/>
        <v>0</v>
      </c>
      <c r="I34" s="378"/>
      <c r="J34" s="373"/>
      <c r="K34" s="382">
        <f>+Q34+W34</f>
        <v>0</v>
      </c>
      <c r="L34" s="372" t="s">
        <v>278</v>
      </c>
      <c r="M34" s="373"/>
      <c r="N34" s="382">
        <f>+T34+Z34</f>
        <v>0</v>
      </c>
      <c r="O34" s="374" t="s">
        <v>278</v>
      </c>
      <c r="P34" s="373"/>
      <c r="Q34" s="452"/>
      <c r="R34" s="448"/>
      <c r="S34" s="451"/>
      <c r="T34" s="452"/>
      <c r="U34" s="378"/>
      <c r="V34" s="445"/>
      <c r="W34" s="382"/>
      <c r="X34" s="446"/>
      <c r="Y34" s="446"/>
      <c r="Z34" s="382"/>
      <c r="AA34" s="307"/>
      <c r="AB34" s="307"/>
      <c r="AC34" s="307"/>
      <c r="AD34" s="307"/>
      <c r="AE34" s="383">
        <v>673180</v>
      </c>
    </row>
    <row r="35" spans="2:38" ht="14.25" customHeight="1">
      <c r="B35" s="364" t="s">
        <v>276</v>
      </c>
      <c r="C35" s="365">
        <v>6011</v>
      </c>
      <c r="D35" s="365">
        <v>28040</v>
      </c>
      <c r="E35" s="366">
        <v>673200</v>
      </c>
      <c r="F35" s="431" t="s">
        <v>308</v>
      </c>
      <c r="G35" s="381"/>
      <c r="H35" s="278">
        <f t="shared" si="6"/>
        <v>0</v>
      </c>
      <c r="I35" s="378"/>
      <c r="J35" s="373"/>
      <c r="K35" s="385">
        <f t="shared" si="4"/>
        <v>0</v>
      </c>
      <c r="L35" s="372" t="s">
        <v>281</v>
      </c>
      <c r="M35" s="453"/>
      <c r="N35" s="385">
        <f>+T35+Z35</f>
        <v>0</v>
      </c>
      <c r="O35" s="374" t="s">
        <v>281</v>
      </c>
      <c r="P35" s="453"/>
      <c r="Q35" s="450"/>
      <c r="R35" s="448"/>
      <c r="S35" s="454"/>
      <c r="T35" s="455"/>
      <c r="U35" s="378"/>
      <c r="V35" s="303"/>
      <c r="W35" s="385"/>
      <c r="X35" s="446"/>
      <c r="Y35" s="446"/>
      <c r="Z35" s="385"/>
      <c r="AA35" s="307"/>
      <c r="AB35" s="307"/>
      <c r="AC35" s="307"/>
      <c r="AD35" s="307"/>
      <c r="AE35" s="391">
        <v>673200</v>
      </c>
    </row>
    <row r="36" spans="2:38" ht="14.25" customHeight="1">
      <c r="B36" s="402" t="s">
        <v>276</v>
      </c>
      <c r="C36" s="403">
        <v>6011</v>
      </c>
      <c r="D36" s="403">
        <v>28040</v>
      </c>
      <c r="E36" s="404">
        <v>673210</v>
      </c>
      <c r="F36" s="405" t="s">
        <v>309</v>
      </c>
      <c r="G36" s="456"/>
      <c r="H36" s="249">
        <f t="shared" si="6"/>
        <v>0</v>
      </c>
      <c r="I36" s="457"/>
      <c r="J36" s="435"/>
      <c r="K36" s="385">
        <f t="shared" si="4"/>
        <v>0</v>
      </c>
      <c r="L36" s="372" t="s">
        <v>281</v>
      </c>
      <c r="M36" s="435"/>
      <c r="N36" s="385">
        <f>+T36+Z36</f>
        <v>0</v>
      </c>
      <c r="O36" s="374" t="s">
        <v>281</v>
      </c>
      <c r="P36" s="435"/>
      <c r="Q36" s="458"/>
      <c r="R36" s="459"/>
      <c r="S36" s="460"/>
      <c r="T36" s="458"/>
      <c r="U36" s="378"/>
      <c r="V36" s="461"/>
      <c r="W36" s="385"/>
      <c r="X36" s="446"/>
      <c r="Y36" s="446"/>
      <c r="Z36" s="407"/>
      <c r="AA36" s="405"/>
      <c r="AB36" s="405"/>
      <c r="AC36" s="405"/>
      <c r="AD36" s="405"/>
      <c r="AE36" s="411">
        <v>673210</v>
      </c>
    </row>
    <row r="37" spans="2:38" s="426" customFormat="1" ht="16.5" customHeight="1">
      <c r="B37" s="462"/>
      <c r="C37" s="462"/>
      <c r="D37" s="462"/>
      <c r="E37" s="463"/>
      <c r="F37" s="440" t="s">
        <v>310</v>
      </c>
      <c r="G37" s="464"/>
      <c r="H37" s="417">
        <f>SUM(H22:H35)</f>
        <v>675450.81</v>
      </c>
      <c r="I37" s="465"/>
      <c r="J37" s="464"/>
      <c r="K37" s="417">
        <f>SUM(K22:K35)</f>
        <v>602455.31000000006</v>
      </c>
      <c r="L37" s="466"/>
      <c r="M37" s="467"/>
      <c r="N37" s="417">
        <f>SUM(N22:N35)</f>
        <v>72995.5</v>
      </c>
      <c r="O37" s="420"/>
      <c r="P37" s="467"/>
      <c r="Q37" s="468">
        <f>SUM(Q22:Q36)</f>
        <v>602455.31000000006</v>
      </c>
      <c r="R37" s="469"/>
      <c r="S37" s="464"/>
      <c r="T37" s="468">
        <f>SUM(T22:T36)</f>
        <v>72995.5</v>
      </c>
      <c r="U37" s="418"/>
      <c r="V37" s="467"/>
      <c r="W37" s="417">
        <f>SUM(W22:W36)</f>
        <v>0</v>
      </c>
      <c r="X37" s="467"/>
      <c r="Y37" s="441"/>
      <c r="Z37" s="468">
        <f>SUM(Z22:Z36)</f>
        <v>0</v>
      </c>
      <c r="AA37" s="467"/>
      <c r="AB37" s="470">
        <f>SUM(AB22:AB35)</f>
        <v>0</v>
      </c>
      <c r="AC37" s="470">
        <f>SUM(AC22:AC35)</f>
        <v>0</v>
      </c>
      <c r="AD37" s="425"/>
      <c r="AE37" s="416"/>
    </row>
    <row r="38" spans="2:38" ht="16.5" customHeight="1">
      <c r="B38" s="471"/>
      <c r="C38" s="471"/>
      <c r="D38" s="471"/>
      <c r="E38" s="472"/>
      <c r="F38" s="473" t="s">
        <v>311</v>
      </c>
      <c r="G38" s="474">
        <f>+G37+G21+G15</f>
        <v>54203117</v>
      </c>
      <c r="H38" s="234">
        <f>+H37+H21+H15</f>
        <v>29028926.440000001</v>
      </c>
      <c r="I38" s="378"/>
      <c r="J38" s="474">
        <f>+J37+J21+J15</f>
        <v>40979913</v>
      </c>
      <c r="K38" s="475">
        <f>+K37+K21+K15</f>
        <v>22463758.378210001</v>
      </c>
      <c r="L38" s="476"/>
      <c r="M38" s="474">
        <f>+M37+M21+M15</f>
        <v>13223204</v>
      </c>
      <c r="N38" s="475">
        <f>+N37+N21+N15</f>
        <v>6565168.0617900006</v>
      </c>
      <c r="O38" s="374"/>
      <c r="P38" s="474">
        <f>+P37+P21+P15</f>
        <v>40907190</v>
      </c>
      <c r="Q38" s="475">
        <f>+Q37+Q21+Q15</f>
        <v>22395259.380492002</v>
      </c>
      <c r="R38" s="474"/>
      <c r="S38" s="474">
        <f>+S37+S21+S15</f>
        <v>13195927</v>
      </c>
      <c r="T38" s="475">
        <f>+T37+T21+T15</f>
        <v>6564737.3395079989</v>
      </c>
      <c r="U38" s="378"/>
      <c r="V38" s="474">
        <f>+V37+V21+V15</f>
        <v>72723</v>
      </c>
      <c r="W38" s="475">
        <f>+W37+W21+W15</f>
        <v>68498.99771799997</v>
      </c>
      <c r="X38" s="307"/>
      <c r="Y38" s="316">
        <f>+Y37+Y21+Y15</f>
        <v>27277</v>
      </c>
      <c r="Z38" s="475">
        <f>+Z37+Z21+Z15</f>
        <v>430.72228200000245</v>
      </c>
      <c r="AA38" s="405"/>
      <c r="AB38" s="477">
        <f>+AB37+AB21+AB15</f>
        <v>0</v>
      </c>
      <c r="AC38" s="477">
        <f>+AC37+AC21+AC15</f>
        <v>0</v>
      </c>
      <c r="AD38" s="477"/>
      <c r="AE38" s="249"/>
    </row>
    <row r="39" spans="2:38" ht="14.1" customHeight="1">
      <c r="G39" s="307"/>
      <c r="H39" s="478"/>
      <c r="I39" s="378"/>
      <c r="J39" s="307"/>
      <c r="K39" s="479"/>
      <c r="L39" s="372"/>
      <c r="M39" s="307"/>
      <c r="N39" s="479"/>
      <c r="O39" s="374"/>
      <c r="P39" s="448"/>
      <c r="Q39" s="480"/>
      <c r="R39" s="448"/>
      <c r="S39" s="448"/>
      <c r="T39" s="480"/>
      <c r="U39" s="378"/>
      <c r="V39" s="316"/>
      <c r="W39" s="479"/>
      <c r="X39" s="307"/>
      <c r="Y39" s="316"/>
      <c r="Z39" s="479"/>
      <c r="AA39" s="307"/>
      <c r="AB39" s="307"/>
      <c r="AC39" s="307"/>
      <c r="AD39" s="307"/>
      <c r="AE39" s="431"/>
    </row>
    <row r="40" spans="2:38" ht="14.1" customHeight="1">
      <c r="B40" s="481" t="s">
        <v>312</v>
      </c>
      <c r="C40" s="482"/>
      <c r="D40" s="483"/>
      <c r="E40" s="482"/>
      <c r="F40" s="482"/>
      <c r="G40" s="481"/>
      <c r="H40" s="481"/>
      <c r="I40" s="378"/>
      <c r="J40" s="381" t="s">
        <v>313</v>
      </c>
      <c r="K40" s="484">
        <f>+K8+K9+K10+K11+K12+K13+K14+K17+K24+K25+K26+K29+K32+K33+K35+K36</f>
        <v>18691799.218210001</v>
      </c>
      <c r="L40" s="372" t="s">
        <v>281</v>
      </c>
      <c r="M40" s="307"/>
      <c r="N40" s="484">
        <f>+N8+N9+N10+N11+N12+N13+N14+N17+N24+N29+N32+N33+N35+N25+N26+N36</f>
        <v>5050268.63179</v>
      </c>
      <c r="O40" s="374" t="s">
        <v>281</v>
      </c>
      <c r="P40" s="448"/>
      <c r="Q40" s="385">
        <f>+Q8+Q9+Q10+Q11+Q12+Q13+Q14+Q17+Q24+Q25+Q26+Q29+Q32+Q33+Q35+Q36</f>
        <v>18652537.190492</v>
      </c>
      <c r="R40" s="448"/>
      <c r="S40" s="381" t="s">
        <v>314</v>
      </c>
      <c r="T40" s="385">
        <f>+T8+T10+T9+T11+T12+T13+T14+T17+T24+T29+T32+T33+T35+T25+T26+T36</f>
        <v>5021090.7995079998</v>
      </c>
      <c r="U40" s="378"/>
      <c r="V40" s="307"/>
      <c r="W40" s="385">
        <f>+W8+W9+W10+W11+W12+W13+W14+W17+W24+W25+W26+W29+W32+W33+W35+W36</f>
        <v>39262.027717999968</v>
      </c>
      <c r="X40" s="307"/>
      <c r="Y40" s="307"/>
      <c r="Z40" s="385">
        <f>Z9+Z10+Z11+Z12+Z13+Z14+Z17+Z24+Z29+Z32+Z33+Z35+Z8+Z25+Z26+Z36</f>
        <v>29177.832282000003</v>
      </c>
      <c r="AA40" s="307"/>
      <c r="AB40" s="485">
        <f>+AB8+AB9+AB10+AB11+AB12+AB13+AB14+AB17+AB24+AB25+AB26+AB27+AB29+AB32+AB33+AB35</f>
        <v>0</v>
      </c>
      <c r="AC40" s="485">
        <f>+AC6+AC8+AC9+AC10+AC11+AC12+AC13+AC14+AC17+AC24+AC29+AC32+AC33+AC35</f>
        <v>0</v>
      </c>
      <c r="AD40" s="307"/>
      <c r="AE40" s="307"/>
    </row>
    <row r="41" spans="2:38" ht="14.1" customHeight="1">
      <c r="B41" s="486" t="s">
        <v>315</v>
      </c>
      <c r="C41" s="486"/>
      <c r="D41" s="486"/>
      <c r="E41" s="486"/>
      <c r="F41" s="486"/>
      <c r="G41" s="486"/>
      <c r="H41" s="486"/>
      <c r="I41" s="378"/>
      <c r="J41" s="381" t="s">
        <v>313</v>
      </c>
      <c r="K41" s="484">
        <f>+K6+K7+K16+K22+K23+K28+K30+K31+K34+K18+K19+K20+K27</f>
        <v>3771959.16</v>
      </c>
      <c r="L41" s="372" t="s">
        <v>278</v>
      </c>
      <c r="M41" s="307"/>
      <c r="N41" s="484">
        <f>N6+N7+N16+N22+N23+N28+N30+N31+N34+N18+N19+N20+N27</f>
        <v>1514899.4300000002</v>
      </c>
      <c r="O41" s="374" t="s">
        <v>278</v>
      </c>
      <c r="P41" s="448"/>
      <c r="Q41" s="382">
        <f>Q6+Q7+Q16+Q22+Q23+Q28+Q30+Q31+Q34+Q18+Q19+Q20+Q27</f>
        <v>3742722.19</v>
      </c>
      <c r="R41" s="448"/>
      <c r="S41" s="381" t="s">
        <v>314</v>
      </c>
      <c r="T41" s="382">
        <f>+T7+T6+T16+T22+T23+T28+T30+T31+T34+T18+T19+T20+T27</f>
        <v>1543646.54</v>
      </c>
      <c r="U41" s="378"/>
      <c r="V41" s="307"/>
      <c r="W41" s="382">
        <f>W6+W7+W16+W22+W23+W28+W30+W31+W34+W18+W19+W20+W27</f>
        <v>29236.97</v>
      </c>
      <c r="X41" s="307"/>
      <c r="Y41" s="307"/>
      <c r="Z41" s="382">
        <f>+Z7+Z16+Z22+Z23+Z28+Z30+Z31+Z34+Z18+Z19+Z20+Z27+Z6</f>
        <v>-28747.109999999997</v>
      </c>
      <c r="AA41" s="307"/>
      <c r="AB41" s="382">
        <f>AB6+AB7+AB16+AB22+AB23+AB28+AB30+AB31+AB34</f>
        <v>0</v>
      </c>
      <c r="AC41" s="382">
        <f>+AC7+AC16+AC22+AC23+AC25+AC26+AC27+AC28+AC30+AC31+AC34</f>
        <v>0</v>
      </c>
      <c r="AD41" s="307"/>
    </row>
    <row r="42" spans="2:38" ht="15" customHeight="1">
      <c r="B42" s="487" t="s">
        <v>115</v>
      </c>
      <c r="G42" s="307"/>
      <c r="H42" s="479"/>
      <c r="I42" s="378"/>
      <c r="J42" s="307">
        <f>+K42+N42</f>
        <v>29028926.440000001</v>
      </c>
      <c r="K42" s="475">
        <f>SUM(K40:K41)</f>
        <v>22463758.378210001</v>
      </c>
      <c r="L42" s="372"/>
      <c r="M42" s="307"/>
      <c r="N42" s="475">
        <f>SUM(N40:N41)</f>
        <v>6565168.0617900006</v>
      </c>
      <c r="O42" s="374"/>
      <c r="P42" s="448"/>
      <c r="Q42" s="475">
        <f>SUM(Q40:Q41)</f>
        <v>22395259.380492002</v>
      </c>
      <c r="R42" s="448"/>
      <c r="S42" s="448"/>
      <c r="T42" s="475">
        <f>SUM(T40:T41)</f>
        <v>6564737.3395079998</v>
      </c>
      <c r="U42" s="378"/>
      <c r="V42" s="307"/>
      <c r="W42" s="475">
        <f>SUM(W40:W41)</f>
        <v>68498.99771799997</v>
      </c>
      <c r="X42" s="307"/>
      <c r="Y42" s="307"/>
      <c r="Z42" s="475">
        <f>SUM(Z40:Z41)</f>
        <v>430.72228200000609</v>
      </c>
      <c r="AA42" s="307"/>
      <c r="AB42" s="488">
        <f>SUM(AB40:AB41)</f>
        <v>0</v>
      </c>
      <c r="AC42" s="488">
        <f>SUM(AC40:AC41)</f>
        <v>0</v>
      </c>
      <c r="AD42" s="489"/>
      <c r="AE42" s="535"/>
      <c r="AF42" s="557"/>
      <c r="AG42" s="558"/>
      <c r="AH42" s="558"/>
      <c r="AI42" s="558"/>
      <c r="AJ42" s="558"/>
      <c r="AK42" s="558"/>
      <c r="AL42" s="558"/>
    </row>
    <row r="43" spans="2:38" ht="15" customHeight="1">
      <c r="B43" s="487"/>
      <c r="G43" s="307"/>
      <c r="H43" s="479"/>
      <c r="I43" s="307"/>
      <c r="J43" s="307"/>
      <c r="K43" s="278"/>
      <c r="L43" s="372"/>
      <c r="M43" s="307"/>
      <c r="N43" s="278"/>
      <c r="O43" s="278"/>
      <c r="P43" s="448"/>
      <c r="Q43" s="278"/>
      <c r="R43" s="448"/>
      <c r="S43" s="448"/>
      <c r="T43" s="278"/>
      <c r="U43" s="278"/>
      <c r="V43" s="307"/>
      <c r="W43" s="278"/>
      <c r="X43" s="307"/>
      <c r="Y43" s="307"/>
      <c r="Z43" s="278"/>
      <c r="AA43" s="307"/>
      <c r="AB43" s="489"/>
      <c r="AC43" s="489"/>
      <c r="AD43" s="489"/>
      <c r="AE43" s="535"/>
      <c r="AF43" s="557"/>
      <c r="AG43" s="558"/>
      <c r="AH43" s="558"/>
      <c r="AI43" s="558"/>
      <c r="AJ43" s="558"/>
      <c r="AK43" s="558"/>
      <c r="AL43" s="558"/>
    </row>
    <row r="44" spans="2:38" ht="15" customHeight="1">
      <c r="G44" s="307"/>
      <c r="H44" s="479"/>
      <c r="I44" s="307"/>
      <c r="J44" s="307"/>
      <c r="K44" s="479"/>
      <c r="L44" s="381"/>
      <c r="M44" s="307"/>
      <c r="N44" s="479"/>
      <c r="O44" s="381"/>
      <c r="P44" s="448"/>
      <c r="Q44" s="448"/>
      <c r="R44" s="448"/>
      <c r="S44" s="448"/>
      <c r="T44" s="448"/>
      <c r="U44" s="307"/>
      <c r="V44" s="307"/>
      <c r="W44" s="307"/>
      <c r="X44" s="307"/>
      <c r="Y44" s="307"/>
      <c r="Z44" s="307"/>
      <c r="AA44" s="307"/>
      <c r="AB44" s="307"/>
      <c r="AC44" s="307"/>
      <c r="AD44" s="307"/>
      <c r="AE44" s="558"/>
      <c r="AF44" s="558"/>
      <c r="AG44" s="558"/>
      <c r="AH44" s="558"/>
      <c r="AI44" s="558"/>
      <c r="AJ44" s="558"/>
      <c r="AK44" s="558"/>
      <c r="AL44" s="558"/>
    </row>
    <row r="45" spans="2:38" ht="18">
      <c r="G45" s="307"/>
      <c r="I45" s="307"/>
      <c r="J45" s="307"/>
      <c r="K45" s="638"/>
      <c r="L45" s="638"/>
      <c r="M45" s="357" t="s">
        <v>316</v>
      </c>
      <c r="N45" s="490"/>
      <c r="O45" s="491"/>
      <c r="P45" s="639" t="s">
        <v>317</v>
      </c>
      <c r="Q45" s="639"/>
      <c r="R45" s="492"/>
      <c r="S45" s="640" t="s">
        <v>318</v>
      </c>
      <c r="T45" s="640"/>
      <c r="U45" s="307"/>
      <c r="V45" s="307"/>
      <c r="W45" s="234"/>
      <c r="X45" s="307"/>
      <c r="Y45" s="307"/>
      <c r="Z45" s="307"/>
      <c r="AA45" s="307"/>
      <c r="AB45" s="307"/>
      <c r="AC45" s="307"/>
      <c r="AD45" s="307"/>
      <c r="AE45" s="559"/>
      <c r="AF45" s="557"/>
      <c r="AG45" s="558"/>
      <c r="AH45" s="558"/>
      <c r="AI45" s="558"/>
      <c r="AJ45" s="558"/>
      <c r="AK45" s="558"/>
      <c r="AL45" s="558"/>
    </row>
    <row r="46" spans="2:38" ht="15" customHeight="1">
      <c r="F46" s="493"/>
      <c r="G46" s="307"/>
      <c r="H46" s="479"/>
      <c r="I46" s="307"/>
      <c r="J46" s="307"/>
      <c r="K46" s="494" t="s">
        <v>319</v>
      </c>
      <c r="L46" s="367"/>
      <c r="M46" s="495">
        <f>K42+N42</f>
        <v>29028926.440000001</v>
      </c>
      <c r="N46" s="479"/>
      <c r="O46" s="381"/>
      <c r="P46" s="496" t="s">
        <v>319</v>
      </c>
      <c r="Q46" s="497">
        <f>Q42-Q11-Q12-Q13-Q25</f>
        <v>21561077.330492001</v>
      </c>
      <c r="R46" s="498"/>
      <c r="S46" s="496" t="s">
        <v>319</v>
      </c>
      <c r="T46" s="499">
        <f>T42-T11-T12-T13</f>
        <v>6271598.2095079999</v>
      </c>
      <c r="U46" s="307"/>
      <c r="V46" s="307"/>
      <c r="W46" s="500"/>
      <c r="X46" s="500"/>
      <c r="Y46" s="500"/>
      <c r="Z46" s="500"/>
      <c r="AA46" s="307"/>
      <c r="AB46" s="307"/>
      <c r="AC46" s="307"/>
      <c r="AD46" s="307"/>
      <c r="AE46" s="557"/>
      <c r="AF46" s="558"/>
      <c r="AG46" s="558"/>
      <c r="AH46" s="558"/>
      <c r="AI46" s="558"/>
      <c r="AJ46" s="558"/>
      <c r="AK46" s="558"/>
      <c r="AL46" s="558"/>
    </row>
    <row r="47" spans="2:38" ht="15" customHeight="1">
      <c r="F47" s="493"/>
      <c r="G47" s="307" t="s">
        <v>320</v>
      </c>
      <c r="H47" s="479"/>
      <c r="I47" s="307"/>
      <c r="J47" s="307"/>
      <c r="K47" s="501" t="s">
        <v>321</v>
      </c>
      <c r="L47" s="502"/>
      <c r="M47" s="503">
        <v>29848147.739999998</v>
      </c>
      <c r="N47" s="479"/>
      <c r="O47" s="381"/>
      <c r="P47" s="504" t="s">
        <v>322</v>
      </c>
      <c r="Q47" s="505"/>
      <c r="R47" s="448"/>
      <c r="U47" s="431"/>
      <c r="V47" s="431"/>
      <c r="W47" s="506"/>
      <c r="X47" s="307"/>
      <c r="Y47" s="307"/>
      <c r="Z47" s="479"/>
      <c r="AA47" s="307"/>
      <c r="AB47" s="307"/>
      <c r="AC47" s="307"/>
      <c r="AD47" s="307"/>
      <c r="AE47" s="557"/>
      <c r="AF47" s="558"/>
      <c r="AG47" s="558"/>
      <c r="AH47" s="558"/>
      <c r="AI47" s="558"/>
      <c r="AJ47" s="558"/>
      <c r="AK47" s="558"/>
      <c r="AL47" s="558"/>
    </row>
    <row r="48" spans="2:38" ht="15" customHeight="1">
      <c r="F48" s="493"/>
      <c r="G48" s="307"/>
      <c r="H48" s="479"/>
      <c r="I48" s="307"/>
      <c r="J48" s="307"/>
      <c r="K48" s="501">
        <v>28051</v>
      </c>
      <c r="L48" s="502"/>
      <c r="M48" s="503">
        <v>-328344.96000000002</v>
      </c>
      <c r="N48" s="479"/>
      <c r="O48" s="381"/>
      <c r="P48" s="504" t="s">
        <v>322</v>
      </c>
      <c r="Q48" s="507">
        <v>-13621.51</v>
      </c>
      <c r="U48" s="431"/>
      <c r="V48" s="431"/>
      <c r="W48" s="506"/>
      <c r="X48" s="307"/>
      <c r="Y48" s="307"/>
      <c r="Z48" s="479"/>
      <c r="AA48" s="307"/>
      <c r="AB48" s="307"/>
      <c r="AC48" s="307"/>
      <c r="AD48" s="307"/>
      <c r="AE48" s="557"/>
      <c r="AF48" s="558"/>
      <c r="AG48" s="558"/>
      <c r="AH48" s="558"/>
      <c r="AI48" s="558"/>
      <c r="AJ48" s="558"/>
      <c r="AK48" s="558"/>
      <c r="AL48" s="558"/>
    </row>
    <row r="49" spans="2:38" ht="15" customHeight="1">
      <c r="F49" s="493"/>
      <c r="G49" s="307"/>
      <c r="H49" s="479"/>
      <c r="I49" s="307"/>
      <c r="J49" s="307"/>
      <c r="K49" s="501">
        <v>28051</v>
      </c>
      <c r="L49" s="502"/>
      <c r="M49" s="503">
        <v>0</v>
      </c>
      <c r="N49" s="479"/>
      <c r="O49" s="381"/>
      <c r="P49" s="508" t="s">
        <v>3</v>
      </c>
      <c r="Q49" s="509">
        <f>W42</f>
        <v>68498.99771799997</v>
      </c>
      <c r="R49" s="459"/>
      <c r="S49" s="508" t="s">
        <v>3</v>
      </c>
      <c r="T49" s="509">
        <f>Z42</f>
        <v>430.72228200000609</v>
      </c>
      <c r="U49" s="431"/>
      <c r="V49" s="431"/>
      <c r="W49" s="506"/>
      <c r="X49" s="307"/>
      <c r="Y49" s="307"/>
      <c r="Z49" s="479"/>
      <c r="AA49" s="307"/>
      <c r="AB49" s="307"/>
      <c r="AC49" s="307"/>
      <c r="AD49" s="307"/>
      <c r="AE49" s="557"/>
      <c r="AF49" s="558"/>
      <c r="AG49" s="558"/>
      <c r="AH49" s="558"/>
      <c r="AI49" s="558"/>
      <c r="AJ49" s="558"/>
      <c r="AK49" s="558"/>
      <c r="AL49" s="558"/>
    </row>
    <row r="50" spans="2:38" ht="15" customHeight="1">
      <c r="F50" s="493"/>
      <c r="G50" s="307"/>
      <c r="H50" s="479"/>
      <c r="I50" s="307"/>
      <c r="J50" s="307"/>
      <c r="K50" s="501">
        <v>25090</v>
      </c>
      <c r="L50" s="502"/>
      <c r="M50" s="503">
        <v>-261306.06</v>
      </c>
      <c r="N50" s="307"/>
      <c r="O50" s="381"/>
      <c r="P50" s="496" t="s">
        <v>323</v>
      </c>
      <c r="Q50" s="510">
        <f>Q46+Q49-Q47-Q48</f>
        <v>21643197.838210002</v>
      </c>
      <c r="R50" s="448"/>
      <c r="S50" s="496" t="s">
        <v>323</v>
      </c>
      <c r="T50" s="510">
        <f>T46+T49</f>
        <v>6272028.9317899998</v>
      </c>
      <c r="U50" s="431"/>
      <c r="V50" s="511"/>
      <c r="W50" s="506"/>
      <c r="X50" s="307"/>
      <c r="Y50" s="307"/>
      <c r="Z50" s="479"/>
      <c r="AA50" s="307"/>
      <c r="AB50" s="307"/>
      <c r="AC50" s="307"/>
      <c r="AD50" s="307"/>
      <c r="AE50" s="307"/>
    </row>
    <row r="51" spans="2:38" ht="15" customHeight="1">
      <c r="F51" s="493"/>
      <c r="G51" s="307"/>
      <c r="H51" s="479"/>
      <c r="I51" s="307"/>
      <c r="J51" s="307"/>
      <c r="K51" s="501">
        <v>25090</v>
      </c>
      <c r="L51" s="502"/>
      <c r="M51" s="503">
        <v>2740813.74</v>
      </c>
      <c r="N51" s="479"/>
      <c r="O51" s="381"/>
      <c r="P51" s="448"/>
      <c r="Q51" s="448"/>
      <c r="R51" s="512"/>
      <c r="S51" s="448"/>
      <c r="T51" s="448"/>
      <c r="U51" s="431"/>
      <c r="V51" s="511"/>
      <c r="W51" s="506"/>
      <c r="X51" s="307"/>
      <c r="Y51" s="307"/>
      <c r="Z51" s="479"/>
      <c r="AA51" s="307"/>
      <c r="AB51" s="307"/>
      <c r="AC51" s="307"/>
      <c r="AD51" s="307"/>
      <c r="AE51" s="307"/>
    </row>
    <row r="52" spans="2:38" ht="15" customHeight="1">
      <c r="F52" s="493"/>
      <c r="G52" s="307"/>
      <c r="H52" s="479"/>
      <c r="I52" s="307"/>
      <c r="J52" s="307"/>
      <c r="K52" s="501">
        <v>250901</v>
      </c>
      <c r="L52" s="502"/>
      <c r="M52" s="503">
        <v>-229570.28</v>
      </c>
      <c r="N52" s="479"/>
      <c r="O52" s="381"/>
      <c r="P52" s="513">
        <v>6011.2803999999996</v>
      </c>
      <c r="Q52" s="503">
        <v>21643197.84</v>
      </c>
      <c r="R52" s="448"/>
      <c r="S52" s="513">
        <v>6011.2803999999996</v>
      </c>
      <c r="T52" s="503">
        <v>6272028.9299999997</v>
      </c>
      <c r="U52" s="431"/>
      <c r="V52" s="511"/>
      <c r="W52" s="506"/>
      <c r="X52" s="307"/>
      <c r="Y52" s="307"/>
      <c r="Z52" s="479"/>
      <c r="AA52" s="307"/>
      <c r="AB52" s="307"/>
      <c r="AC52" s="307"/>
      <c r="AD52" s="307"/>
      <c r="AE52" s="307"/>
    </row>
    <row r="53" spans="2:38" ht="15" customHeight="1">
      <c r="F53" s="493"/>
      <c r="K53" s="501">
        <v>250901</v>
      </c>
      <c r="L53" s="502"/>
      <c r="M53" s="503">
        <v>-2740813.74</v>
      </c>
      <c r="P53" s="448"/>
      <c r="Q53" s="495">
        <f>+Q52-Q50</f>
        <v>1.7899982631206512E-3</v>
      </c>
      <c r="R53" s="498"/>
      <c r="S53" s="498"/>
      <c r="T53" s="495">
        <f>+T52-T50</f>
        <v>-1.7900001257658005E-3</v>
      </c>
      <c r="U53" s="351"/>
      <c r="V53" s="514"/>
      <c r="W53" s="506"/>
      <c r="Z53" s="323"/>
    </row>
    <row r="54" spans="2:38" ht="15" customHeight="1">
      <c r="F54" s="493"/>
      <c r="K54" s="515" t="s">
        <v>324</v>
      </c>
      <c r="L54" s="516"/>
      <c r="M54" s="517">
        <f>+M47+M48+M49+M51+M50+M52+M53</f>
        <v>29028926.439999998</v>
      </c>
      <c r="Q54" s="518"/>
      <c r="R54" s="448"/>
      <c r="S54" s="448"/>
      <c r="T54" s="518"/>
      <c r="U54" s="351"/>
      <c r="V54" s="514"/>
      <c r="W54" s="506"/>
      <c r="Z54" s="323"/>
    </row>
    <row r="55" spans="2:38" ht="15" customHeight="1">
      <c r="F55" s="493"/>
      <c r="K55" s="494"/>
      <c r="L55" s="315"/>
      <c r="M55" s="519">
        <f>ROUND(M46-M54,2)</f>
        <v>0</v>
      </c>
      <c r="P55" s="632"/>
      <c r="Q55" s="632"/>
      <c r="R55" s="632"/>
      <c r="S55" s="632"/>
      <c r="T55" s="632"/>
      <c r="U55" s="351"/>
      <c r="V55" s="514"/>
      <c r="W55" s="506"/>
      <c r="Z55" s="323"/>
    </row>
    <row r="56" spans="2:38" ht="15" customHeight="1">
      <c r="F56" s="493"/>
      <c r="K56" s="520"/>
      <c r="L56" s="521"/>
      <c r="M56" s="522"/>
      <c r="Q56" s="518"/>
      <c r="R56" s="448"/>
      <c r="S56" s="448"/>
      <c r="T56" s="518"/>
      <c r="U56" s="351"/>
      <c r="V56" s="514"/>
      <c r="W56" s="506"/>
      <c r="Z56" s="323"/>
    </row>
    <row r="57" spans="2:38" ht="15" customHeight="1">
      <c r="F57" s="493"/>
      <c r="K57" s="520"/>
      <c r="L57" s="521"/>
      <c r="M57" s="522"/>
      <c r="Q57" s="518"/>
      <c r="R57" s="448"/>
      <c r="S57" s="448"/>
      <c r="T57" s="518"/>
      <c r="U57" s="351"/>
      <c r="V57" s="514"/>
      <c r="W57" s="506"/>
      <c r="Z57" s="323"/>
    </row>
    <row r="58" spans="2:38" ht="15" customHeight="1">
      <c r="F58" s="493"/>
      <c r="K58" s="520"/>
      <c r="L58" s="521"/>
      <c r="M58" s="522"/>
      <c r="Q58" s="518"/>
      <c r="R58" s="448"/>
      <c r="S58" s="448"/>
      <c r="T58" s="518"/>
      <c r="U58" s="351"/>
      <c r="V58" s="514"/>
      <c r="W58" s="506"/>
      <c r="Z58" s="323"/>
    </row>
    <row r="59" spans="2:38" ht="15" customHeight="1">
      <c r="F59" s="493"/>
      <c r="K59" s="520"/>
      <c r="L59" s="521"/>
      <c r="M59" s="522"/>
      <c r="Q59" s="518"/>
      <c r="R59" s="448"/>
      <c r="S59" s="448"/>
      <c r="T59" s="518"/>
      <c r="U59" s="351"/>
      <c r="V59" s="514"/>
      <c r="W59" s="506"/>
      <c r="Z59" s="323"/>
    </row>
    <row r="60" spans="2:38" ht="15" customHeight="1">
      <c r="F60" s="493"/>
      <c r="K60" s="520"/>
      <c r="L60" s="521"/>
      <c r="M60" s="522"/>
      <c r="Q60" s="518"/>
      <c r="R60" s="448"/>
      <c r="S60" s="448"/>
      <c r="T60" s="518"/>
      <c r="U60" s="351"/>
      <c r="V60" s="514"/>
      <c r="W60" s="506"/>
      <c r="Z60" s="323"/>
    </row>
    <row r="61" spans="2:38" ht="15" customHeight="1">
      <c r="F61" s="493"/>
      <c r="K61" s="520"/>
      <c r="L61" s="521"/>
      <c r="M61" s="522"/>
      <c r="Q61" s="518"/>
      <c r="R61" s="448"/>
      <c r="S61" s="448"/>
      <c r="T61" s="518"/>
      <c r="U61" s="351"/>
      <c r="V61" s="514"/>
      <c r="W61" s="506"/>
      <c r="Z61" s="323"/>
    </row>
    <row r="62" spans="2:38" ht="15" customHeight="1">
      <c r="F62" s="493"/>
      <c r="K62" s="520"/>
      <c r="L62" s="521"/>
      <c r="M62" s="522"/>
      <c r="R62" s="519"/>
      <c r="S62" s="519"/>
      <c r="Z62" s="323"/>
    </row>
    <row r="63" spans="2:38" ht="14.1" customHeight="1">
      <c r="K63" s="520"/>
      <c r="L63" s="521"/>
      <c r="M63" s="522"/>
      <c r="Q63" s="519"/>
      <c r="R63" s="519"/>
      <c r="S63" s="519"/>
      <c r="T63" s="519"/>
      <c r="Z63" s="323"/>
    </row>
    <row r="64" spans="2:38" ht="14.1" customHeight="1">
      <c r="B64" s="322"/>
      <c r="K64" s="520"/>
      <c r="L64" s="521"/>
      <c r="M64" s="522"/>
      <c r="Q64" s="518"/>
      <c r="R64" s="518"/>
      <c r="S64" s="518"/>
      <c r="T64" s="518"/>
    </row>
    <row r="65" spans="2:23" ht="14.1" customHeight="1">
      <c r="B65" s="523"/>
      <c r="Q65" s="518"/>
      <c r="R65" s="519"/>
      <c r="S65" s="519"/>
      <c r="T65" s="518"/>
      <c r="W65" s="524"/>
    </row>
  </sheetData>
  <mergeCells count="16">
    <mergeCell ref="AB3:AC3"/>
    <mergeCell ref="G4:H4"/>
    <mergeCell ref="J4:K4"/>
    <mergeCell ref="M4:N4"/>
    <mergeCell ref="P4:Q4"/>
    <mergeCell ref="S4:T4"/>
    <mergeCell ref="P55:T55"/>
    <mergeCell ref="J2:N2"/>
    <mergeCell ref="P2:T2"/>
    <mergeCell ref="W2:Y2"/>
    <mergeCell ref="B3:D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76"/>
  <sheetViews>
    <sheetView view="pageBreakPreview" zoomScale="130" zoomScaleNormal="75" zoomScaleSheetLayoutView="130" workbookViewId="0">
      <pane xSplit="1" ySplit="10" topLeftCell="B144" activePane="bottomRight" state="frozen"/>
      <selection pane="bottomRight" activeCell="D162" sqref="D162"/>
      <selection pane="bottomLeft" activeCell="G21" sqref="G20:G21"/>
      <selection pane="topRight" activeCell="G21" sqref="G20:G21"/>
    </sheetView>
  </sheetViews>
  <sheetFormatPr defaultColWidth="8.88671875" defaultRowHeight="12.75"/>
  <cols>
    <col min="1" max="1" width="9.6640625" style="1" bestFit="1" customWidth="1"/>
    <col min="2" max="2" width="5.6640625" style="1" customWidth="1"/>
    <col min="3" max="3" width="6.3320312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21875" style="9" bestFit="1" customWidth="1"/>
    <col min="13" max="13" width="10.33203125" style="9" bestFit="1" customWidth="1"/>
    <col min="14" max="14" width="34" style="1" customWidth="1"/>
    <col min="15" max="15" width="9.21875" style="1" bestFit="1" customWidth="1"/>
    <col min="16" max="16384" width="8.88671875" style="1"/>
  </cols>
  <sheetData>
    <row r="1" spans="1:13">
      <c r="A1" s="567" t="s">
        <v>52</v>
      </c>
      <c r="B1" s="568"/>
      <c r="C1" s="643" t="s">
        <v>53</v>
      </c>
      <c r="D1" s="643"/>
      <c r="E1" s="643"/>
      <c r="F1" s="643"/>
      <c r="G1" s="643"/>
      <c r="H1" s="644"/>
      <c r="I1" s="11"/>
    </row>
    <row r="2" spans="1:13">
      <c r="A2" s="565" t="s">
        <v>54</v>
      </c>
      <c r="B2" s="566"/>
      <c r="C2" s="561" t="s">
        <v>55</v>
      </c>
      <c r="D2" s="561"/>
      <c r="E2" s="561"/>
      <c r="F2" s="561"/>
      <c r="G2" s="561"/>
      <c r="H2" s="562"/>
      <c r="I2" s="11"/>
    </row>
    <row r="3" spans="1:13" ht="14.25">
      <c r="A3" s="565" t="s">
        <v>56</v>
      </c>
      <c r="B3" s="566"/>
      <c r="C3" s="563" t="s">
        <v>57</v>
      </c>
      <c r="D3" s="563"/>
      <c r="E3" s="563"/>
      <c r="F3" s="563"/>
      <c r="G3" s="563"/>
      <c r="H3" s="564"/>
      <c r="I3" s="11"/>
    </row>
    <row r="4" spans="1:13">
      <c r="A4" s="565" t="s">
        <v>58</v>
      </c>
      <c r="B4" s="566"/>
      <c r="C4" s="645" t="s">
        <v>59</v>
      </c>
      <c r="D4" s="645"/>
      <c r="E4" s="645"/>
      <c r="F4" s="645"/>
      <c r="G4" s="645"/>
      <c r="H4" s="646"/>
      <c r="I4" s="11"/>
    </row>
    <row r="5" spans="1:13">
      <c r="A5" s="565" t="s">
        <v>60</v>
      </c>
      <c r="B5" s="566"/>
      <c r="C5" s="202" t="s">
        <v>61</v>
      </c>
      <c r="D5" s="202"/>
      <c r="E5" s="202"/>
      <c r="F5" s="202"/>
      <c r="G5" s="202"/>
      <c r="H5" s="203"/>
      <c r="I5" s="11"/>
    </row>
    <row r="6" spans="1:13">
      <c r="A6" s="565" t="s">
        <v>62</v>
      </c>
      <c r="B6" s="566"/>
      <c r="C6" s="561" t="s">
        <v>63</v>
      </c>
      <c r="D6" s="561"/>
      <c r="E6" s="561"/>
      <c r="F6" s="561"/>
      <c r="G6" s="561"/>
      <c r="H6" s="562"/>
      <c r="I6" s="11"/>
    </row>
    <row r="7" spans="1:13" ht="29.25" customHeight="1" thickBot="1">
      <c r="A7" s="572" t="s">
        <v>64</v>
      </c>
      <c r="B7" s="573"/>
      <c r="C7" s="569" t="s">
        <v>65</v>
      </c>
      <c r="D7" s="569"/>
      <c r="E7" s="569"/>
      <c r="F7" s="569"/>
      <c r="G7" s="569"/>
      <c r="H7" s="570"/>
      <c r="I7" s="125"/>
    </row>
    <row r="8" spans="1:13">
      <c r="B8" s="15"/>
      <c r="G8" s="76" t="s">
        <v>66</v>
      </c>
    </row>
    <row r="9" spans="1:13">
      <c r="A9" s="6"/>
      <c r="D9" s="571" t="s">
        <v>67</v>
      </c>
      <c r="E9" s="571"/>
      <c r="F9" s="571"/>
      <c r="G9" s="75" t="s">
        <v>68</v>
      </c>
    </row>
    <row r="10" spans="1:13" s="7" customFormat="1" ht="39.75" customHeight="1">
      <c r="A10" s="7" t="s">
        <v>69</v>
      </c>
      <c r="B10" s="7" t="s">
        <v>70</v>
      </c>
      <c r="C10" s="7" t="s">
        <v>71</v>
      </c>
      <c r="D10" s="7" t="s">
        <v>72</v>
      </c>
      <c r="E10" s="7" t="s">
        <v>73</v>
      </c>
      <c r="F10" s="7" t="s">
        <v>74</v>
      </c>
      <c r="G10" s="7" t="s">
        <v>75</v>
      </c>
      <c r="H10" s="7" t="s">
        <v>76</v>
      </c>
      <c r="I10" s="126"/>
      <c r="J10" s="7" t="s">
        <v>77</v>
      </c>
      <c r="K10" s="7" t="s">
        <v>78</v>
      </c>
      <c r="L10" s="3" t="s">
        <v>79</v>
      </c>
      <c r="M10" s="3" t="s">
        <v>80</v>
      </c>
    </row>
    <row r="11" spans="1:13" hidden="1">
      <c r="A11" s="574" t="s">
        <v>81</v>
      </c>
      <c r="B11" s="574"/>
      <c r="C11" s="574"/>
      <c r="D11" s="574"/>
      <c r="E11" s="574"/>
      <c r="F11" s="574"/>
      <c r="G11" s="574"/>
      <c r="H11" s="1">
        <v>-1120659.83</v>
      </c>
      <c r="I11" s="121"/>
      <c r="M11" s="10"/>
    </row>
    <row r="12" spans="1:13" hidden="1">
      <c r="A12" s="39">
        <f>'FERC Interest Rates'!A20</f>
        <v>41608</v>
      </c>
      <c r="D12" s="1">
        <v>93596.04</v>
      </c>
      <c r="F12" s="1">
        <f>ROUND(H11*VLOOKUP(A12,FERCINT13,2)/365*VLOOKUP(A12,FERCINT13,3),2)</f>
        <v>-2993.54</v>
      </c>
      <c r="H12" s="1">
        <f t="shared" ref="H12:H24" si="0">H11+SUM(D12:G12)</f>
        <v>-1030057.3300000001</v>
      </c>
      <c r="I12" s="121"/>
      <c r="J12" s="1">
        <v>-1030057.33</v>
      </c>
      <c r="K12" s="1">
        <f t="shared" ref="K12:K37" si="1">H12-J12</f>
        <v>0</v>
      </c>
      <c r="L12" s="9" t="s">
        <v>82</v>
      </c>
      <c r="M12" s="10">
        <v>41614</v>
      </c>
    </row>
    <row r="13" spans="1:13" hidden="1">
      <c r="A13" s="39">
        <f>'FERC Interest Rates'!A21</f>
        <v>41639</v>
      </c>
      <c r="D13" s="1">
        <v>-302560.25</v>
      </c>
      <c r="F13" s="1">
        <f t="shared" ref="F13" si="2">ROUND(H12*VLOOKUP(A13,FERCINT13,2)/365*VLOOKUP(A13,FERCINT13,3),2)</f>
        <v>-2843.24</v>
      </c>
      <c r="H13" s="1">
        <f t="shared" si="0"/>
        <v>-1335460.82</v>
      </c>
      <c r="I13" s="121"/>
      <c r="J13" s="1">
        <v>-1335460.82</v>
      </c>
      <c r="K13" s="1">
        <f t="shared" si="1"/>
        <v>0</v>
      </c>
      <c r="L13" s="9" t="s">
        <v>82</v>
      </c>
      <c r="M13" s="10">
        <v>41647</v>
      </c>
    </row>
    <row r="14" spans="1:13" hidden="1">
      <c r="A14" s="39">
        <f>'FERC Interest Rates'!A22</f>
        <v>41670</v>
      </c>
      <c r="D14" s="1">
        <v>192476.01</v>
      </c>
      <c r="F14" s="1">
        <f t="shared" ref="F14:F23" si="3">ROUND(H13*VLOOKUP(A14,FERCINT14,2)/365*VLOOKUP(A14,FERCINT14,3),2)</f>
        <v>-3686.24</v>
      </c>
      <c r="H14" s="1">
        <f t="shared" si="0"/>
        <v>-1146671.05</v>
      </c>
      <c r="I14" s="121"/>
      <c r="J14" s="1">
        <v>-1146671.05</v>
      </c>
      <c r="K14" s="1">
        <f t="shared" si="1"/>
        <v>0</v>
      </c>
      <c r="L14" s="9" t="s">
        <v>82</v>
      </c>
      <c r="M14" s="10">
        <v>41677</v>
      </c>
    </row>
    <row r="15" spans="1:13" hidden="1">
      <c r="A15" s="39">
        <f>'FERC Interest Rates'!A23</f>
        <v>41698</v>
      </c>
      <c r="D15" s="1">
        <v>1883159.68</v>
      </c>
      <c r="F15" s="1">
        <f t="shared" si="3"/>
        <v>-2858.82</v>
      </c>
      <c r="H15" s="1">
        <f t="shared" si="0"/>
        <v>733629.80999999982</v>
      </c>
      <c r="I15" s="121"/>
      <c r="J15" s="1">
        <v>733629.81</v>
      </c>
      <c r="K15" s="1">
        <f t="shared" si="1"/>
        <v>0</v>
      </c>
      <c r="L15" s="9" t="s">
        <v>82</v>
      </c>
      <c r="M15" s="10">
        <v>41705</v>
      </c>
    </row>
    <row r="16" spans="1:13" hidden="1">
      <c r="A16" s="39">
        <f>'FERC Interest Rates'!A24</f>
        <v>41729</v>
      </c>
      <c r="D16" s="1">
        <v>1966862.04</v>
      </c>
      <c r="F16" s="1">
        <f t="shared" si="3"/>
        <v>2025.02</v>
      </c>
      <c r="H16" s="1">
        <f t="shared" si="0"/>
        <v>2702516.87</v>
      </c>
      <c r="I16" s="121"/>
      <c r="J16" s="1">
        <v>2702516.87</v>
      </c>
      <c r="K16" s="1">
        <f t="shared" si="1"/>
        <v>0</v>
      </c>
      <c r="L16" s="9" t="s">
        <v>82</v>
      </c>
      <c r="M16" s="10">
        <v>41736</v>
      </c>
    </row>
    <row r="17" spans="1:13" hidden="1">
      <c r="A17" s="39">
        <f>'FERC Interest Rates'!A25</f>
        <v>41759</v>
      </c>
      <c r="D17" s="1">
        <f>-274443.54-10556.4</f>
        <v>-284999.94</v>
      </c>
      <c r="F17" s="1">
        <f t="shared" si="3"/>
        <v>7219.05</v>
      </c>
      <c r="H17" s="1">
        <f t="shared" si="0"/>
        <v>2424735.98</v>
      </c>
      <c r="I17" s="121"/>
      <c r="J17" s="1">
        <v>2424735.98</v>
      </c>
      <c r="K17" s="1">
        <f t="shared" si="1"/>
        <v>0</v>
      </c>
      <c r="L17" s="9" t="s">
        <v>82</v>
      </c>
      <c r="M17" s="10">
        <v>41766</v>
      </c>
    </row>
    <row r="18" spans="1:13" hidden="1">
      <c r="A18" s="39">
        <f>'FERC Interest Rates'!A26</f>
        <v>41790</v>
      </c>
      <c r="D18" s="1">
        <v>1506.11</v>
      </c>
      <c r="F18" s="1">
        <f t="shared" si="3"/>
        <v>6692.94</v>
      </c>
      <c r="H18" s="1">
        <f t="shared" si="0"/>
        <v>2432935.0299999998</v>
      </c>
      <c r="I18" s="121"/>
      <c r="J18" s="1">
        <v>2432935.0299999998</v>
      </c>
      <c r="K18" s="1">
        <f t="shared" si="1"/>
        <v>0</v>
      </c>
      <c r="L18" s="9" t="s">
        <v>82</v>
      </c>
      <c r="M18" s="10">
        <v>41796</v>
      </c>
    </row>
    <row r="19" spans="1:13" hidden="1">
      <c r="A19" s="39">
        <f>'FERC Interest Rates'!A27</f>
        <v>41820</v>
      </c>
      <c r="D19" s="1">
        <v>152709.69</v>
      </c>
      <c r="F19" s="1">
        <f t="shared" si="3"/>
        <v>6498.94</v>
      </c>
      <c r="H19" s="1">
        <f t="shared" si="0"/>
        <v>2592143.6599999997</v>
      </c>
      <c r="I19" s="121"/>
      <c r="J19" s="1">
        <v>2592143.66</v>
      </c>
      <c r="K19" s="1">
        <f t="shared" si="1"/>
        <v>0</v>
      </c>
      <c r="L19" s="9" t="s">
        <v>82</v>
      </c>
      <c r="M19" s="10">
        <v>41828</v>
      </c>
    </row>
    <row r="20" spans="1:13" hidden="1">
      <c r="A20" s="39">
        <f>'FERC Interest Rates'!A28</f>
        <v>41851</v>
      </c>
      <c r="D20" s="1">
        <v>167726.51</v>
      </c>
      <c r="F20" s="1">
        <f t="shared" si="3"/>
        <v>7155.03</v>
      </c>
      <c r="H20" s="1">
        <f t="shared" si="0"/>
        <v>2767025.1999999997</v>
      </c>
      <c r="I20" s="121"/>
      <c r="J20" s="1">
        <v>2767025.2</v>
      </c>
      <c r="K20" s="1">
        <f t="shared" si="1"/>
        <v>0</v>
      </c>
      <c r="L20" s="9" t="s">
        <v>82</v>
      </c>
      <c r="M20" s="10">
        <v>41858</v>
      </c>
    </row>
    <row r="21" spans="1:13" hidden="1">
      <c r="A21" s="39">
        <f>'FERC Interest Rates'!A29</f>
        <v>41882</v>
      </c>
      <c r="D21" s="1">
        <v>-467001.19</v>
      </c>
      <c r="F21" s="1">
        <f t="shared" si="3"/>
        <v>7637.75</v>
      </c>
      <c r="H21" s="1">
        <f t="shared" si="0"/>
        <v>2307661.7599999998</v>
      </c>
      <c r="I21" s="121"/>
      <c r="J21" s="1">
        <v>2307661.7599999998</v>
      </c>
      <c r="K21" s="1">
        <f t="shared" si="1"/>
        <v>0</v>
      </c>
      <c r="L21" s="9" t="s">
        <v>82</v>
      </c>
      <c r="M21" s="10">
        <v>41890</v>
      </c>
    </row>
    <row r="22" spans="1:13" hidden="1">
      <c r="A22" s="39">
        <f>'FERC Interest Rates'!A30</f>
        <v>41912</v>
      </c>
      <c r="D22" s="1">
        <v>-76065.69</v>
      </c>
      <c r="F22" s="1">
        <f t="shared" si="3"/>
        <v>6164.3</v>
      </c>
      <c r="H22" s="1">
        <f t="shared" si="0"/>
        <v>2237760.3699999996</v>
      </c>
      <c r="I22" s="121"/>
      <c r="J22" s="1">
        <v>2237760.37</v>
      </c>
      <c r="K22" s="1">
        <f t="shared" si="1"/>
        <v>0</v>
      </c>
      <c r="L22" s="9" t="s">
        <v>82</v>
      </c>
      <c r="M22" s="10">
        <v>41919</v>
      </c>
    </row>
    <row r="23" spans="1:13" hidden="1">
      <c r="A23" s="39">
        <f>'FERC Interest Rates'!A31</f>
        <v>41943</v>
      </c>
      <c r="D23" s="1">
        <v>-41866.550000000003</v>
      </c>
      <c r="F23" s="1">
        <f t="shared" si="3"/>
        <v>6176.83</v>
      </c>
      <c r="H23" s="40">
        <f t="shared" si="0"/>
        <v>2202070.6499999994</v>
      </c>
      <c r="I23" s="127"/>
      <c r="J23" s="1">
        <v>2202070.65</v>
      </c>
      <c r="K23" s="1">
        <f t="shared" si="1"/>
        <v>0</v>
      </c>
      <c r="L23" s="9" t="s">
        <v>82</v>
      </c>
      <c r="M23" s="10">
        <v>41950</v>
      </c>
    </row>
    <row r="24" spans="1:13" hidden="1">
      <c r="A24" s="560" t="s">
        <v>83</v>
      </c>
      <c r="B24" s="560"/>
      <c r="C24" s="560"/>
      <c r="D24" s="560"/>
      <c r="E24" s="560"/>
      <c r="F24" s="560"/>
      <c r="G24" s="1">
        <v>-2789754.01</v>
      </c>
      <c r="H24" s="40">
        <f t="shared" si="0"/>
        <v>-587683.36000000034</v>
      </c>
      <c r="I24" s="127"/>
    </row>
    <row r="25" spans="1:13" hidden="1">
      <c r="A25" s="39">
        <f>'FERC Interest Rates'!A32</f>
        <v>41973</v>
      </c>
      <c r="D25" s="1">
        <v>-388093.17</v>
      </c>
      <c r="F25" s="1">
        <f t="shared" ref="F25" si="4">ROUND(H24*VLOOKUP(A25,FERCINT14,2)/365*VLOOKUP(A25,FERCINT14,3),2)</f>
        <v>-1569.84</v>
      </c>
      <c r="H25" s="40">
        <f t="shared" ref="H25" si="5">H24+SUM(D25:G25)</f>
        <v>-977346.37000000034</v>
      </c>
      <c r="I25" s="127"/>
      <c r="J25" s="1">
        <v>-977346.37</v>
      </c>
      <c r="K25" s="1">
        <f t="shared" si="1"/>
        <v>0</v>
      </c>
      <c r="L25" s="9" t="s">
        <v>82</v>
      </c>
      <c r="M25" s="10">
        <v>41981</v>
      </c>
    </row>
    <row r="26" spans="1:13" hidden="1">
      <c r="A26" s="39">
        <f>'FERC Interest Rates'!A33</f>
        <v>42004</v>
      </c>
      <c r="D26" s="1">
        <v>50810.48</v>
      </c>
      <c r="F26" s="1">
        <f t="shared" ref="F26" si="6">ROUND(H25*VLOOKUP(A26,FERCINT14,2)/365*VLOOKUP(A26,FERCINT14,3),2)</f>
        <v>-2697.74</v>
      </c>
      <c r="H26" s="40">
        <f t="shared" ref="H26:H47" si="7">H25+SUM(D26:G26)</f>
        <v>-929233.63000000035</v>
      </c>
      <c r="I26" s="127"/>
      <c r="J26" s="1">
        <v>-929233.63</v>
      </c>
      <c r="K26" s="1">
        <f t="shared" si="1"/>
        <v>0</v>
      </c>
      <c r="L26" s="9" t="s">
        <v>82</v>
      </c>
      <c r="M26" s="10">
        <v>42012</v>
      </c>
    </row>
    <row r="27" spans="1:13" hidden="1">
      <c r="A27" s="39">
        <f>'FERC Interest Rates'!A34</f>
        <v>42035</v>
      </c>
      <c r="D27" s="1">
        <v>-1925336.63</v>
      </c>
      <c r="F27" s="1">
        <f t="shared" ref="F27:F39" si="8">ROUND(H26*VLOOKUP(A27,FERCINT15,2)/365*VLOOKUP(A27,FERCINT15,3),2)</f>
        <v>-2564.94</v>
      </c>
      <c r="H27" s="40">
        <f t="shared" si="7"/>
        <v>-2857135.2</v>
      </c>
      <c r="I27" s="127"/>
      <c r="J27" s="1">
        <v>-2857135.2</v>
      </c>
      <c r="K27" s="1">
        <f t="shared" si="1"/>
        <v>0</v>
      </c>
      <c r="L27" s="9" t="s">
        <v>82</v>
      </c>
      <c r="M27" s="10">
        <v>42041</v>
      </c>
    </row>
    <row r="28" spans="1:13" hidden="1">
      <c r="A28" s="39">
        <f>'FERC Interest Rates'!A35</f>
        <v>42063</v>
      </c>
      <c r="D28" s="1">
        <v>-1353526.41</v>
      </c>
      <c r="F28" s="1">
        <f t="shared" si="8"/>
        <v>-7123.27</v>
      </c>
      <c r="H28" s="40">
        <f t="shared" si="7"/>
        <v>-4217784.88</v>
      </c>
      <c r="I28" s="127"/>
      <c r="J28" s="1">
        <v>-4217784.88</v>
      </c>
      <c r="K28" s="1">
        <f t="shared" si="1"/>
        <v>0</v>
      </c>
      <c r="L28" s="9" t="s">
        <v>82</v>
      </c>
      <c r="M28" s="10">
        <v>42069</v>
      </c>
    </row>
    <row r="29" spans="1:13" hidden="1">
      <c r="A29" s="39">
        <f>'FERC Interest Rates'!A36</f>
        <v>42094</v>
      </c>
      <c r="D29" s="1">
        <v>-1683298.68</v>
      </c>
      <c r="F29" s="1">
        <f t="shared" si="8"/>
        <v>-11642.24</v>
      </c>
      <c r="H29" s="40">
        <f t="shared" si="7"/>
        <v>-5912725.7999999998</v>
      </c>
      <c r="I29" s="127"/>
      <c r="J29" s="1">
        <v>-5912725.7999999998</v>
      </c>
      <c r="K29" s="1">
        <f t="shared" si="1"/>
        <v>0</v>
      </c>
      <c r="L29" s="9" t="s">
        <v>82</v>
      </c>
      <c r="M29" s="10">
        <v>42101</v>
      </c>
    </row>
    <row r="30" spans="1:13" hidden="1">
      <c r="A30" s="39">
        <f>'FERC Interest Rates'!A37</f>
        <v>42124</v>
      </c>
      <c r="D30" s="1">
        <v>-1792191.55</v>
      </c>
      <c r="F30" s="1">
        <f t="shared" si="8"/>
        <v>-15794.27</v>
      </c>
      <c r="H30" s="40">
        <f t="shared" si="7"/>
        <v>-7720711.6200000001</v>
      </c>
      <c r="I30" s="127"/>
      <c r="J30" s="1">
        <v>-7720711.6200000001</v>
      </c>
      <c r="K30" s="1">
        <f t="shared" si="1"/>
        <v>0</v>
      </c>
      <c r="L30" s="9" t="s">
        <v>82</v>
      </c>
      <c r="M30" s="10">
        <v>42131</v>
      </c>
    </row>
    <row r="31" spans="1:13" hidden="1">
      <c r="A31" s="39">
        <f>'FERC Interest Rates'!A38</f>
        <v>42155</v>
      </c>
      <c r="D31" s="1">
        <v>-1388193.03</v>
      </c>
      <c r="F31" s="1">
        <f t="shared" si="8"/>
        <v>-21311.279999999999</v>
      </c>
      <c r="H31" s="40">
        <f t="shared" si="7"/>
        <v>-9130215.9299999997</v>
      </c>
      <c r="I31" s="127"/>
      <c r="J31" s="1">
        <v>-9130215.9299999997</v>
      </c>
      <c r="K31" s="1">
        <f t="shared" si="1"/>
        <v>0</v>
      </c>
      <c r="L31" s="9" t="s">
        <v>82</v>
      </c>
      <c r="M31" s="10">
        <v>42160</v>
      </c>
    </row>
    <row r="32" spans="1:13" hidden="1">
      <c r="A32" s="39">
        <f>'FERC Interest Rates'!A39</f>
        <v>42185</v>
      </c>
      <c r="D32" s="1">
        <v>26234.13</v>
      </c>
      <c r="F32" s="1">
        <f t="shared" si="8"/>
        <v>-24388.93</v>
      </c>
      <c r="H32" s="40">
        <f t="shared" si="7"/>
        <v>-9128370.7300000004</v>
      </c>
      <c r="I32" s="127"/>
      <c r="J32" s="1">
        <v>-9128370.7300000004</v>
      </c>
      <c r="K32" s="1">
        <f t="shared" si="1"/>
        <v>0</v>
      </c>
      <c r="L32" s="9" t="s">
        <v>82</v>
      </c>
      <c r="M32" s="10">
        <v>42193</v>
      </c>
    </row>
    <row r="33" spans="1:13" hidden="1">
      <c r="A33" s="39">
        <f>'FERC Interest Rates'!A40</f>
        <v>42216</v>
      </c>
      <c r="D33" s="1">
        <v>-864942.07999999996</v>
      </c>
      <c r="F33" s="1">
        <f t="shared" si="8"/>
        <v>-25196.799999999999</v>
      </c>
      <c r="H33" s="40">
        <f t="shared" si="7"/>
        <v>-10018509.610000001</v>
      </c>
      <c r="I33" s="127"/>
      <c r="J33" s="1">
        <v>-10018509.609999999</v>
      </c>
      <c r="K33" s="1">
        <f t="shared" si="1"/>
        <v>0</v>
      </c>
      <c r="L33" s="9" t="s">
        <v>82</v>
      </c>
      <c r="M33" s="10">
        <v>42223</v>
      </c>
    </row>
    <row r="34" spans="1:13" hidden="1">
      <c r="A34" s="39">
        <f>'FERC Interest Rates'!A41</f>
        <v>42247</v>
      </c>
      <c r="D34" s="1">
        <v>-127139.21</v>
      </c>
      <c r="F34" s="1">
        <f t="shared" si="8"/>
        <v>-27653.83</v>
      </c>
      <c r="H34" s="40">
        <f t="shared" si="7"/>
        <v>-10173302.65</v>
      </c>
      <c r="I34" s="127"/>
      <c r="J34" s="1">
        <v>-10173302.65</v>
      </c>
      <c r="K34" s="1">
        <f t="shared" si="1"/>
        <v>0</v>
      </c>
      <c r="L34" s="9" t="s">
        <v>82</v>
      </c>
      <c r="M34" s="10">
        <v>42255</v>
      </c>
    </row>
    <row r="35" spans="1:13" hidden="1">
      <c r="A35" s="560" t="s">
        <v>84</v>
      </c>
      <c r="B35" s="560"/>
      <c r="C35" s="560"/>
      <c r="D35" s="560"/>
      <c r="E35" s="560"/>
      <c r="F35" s="560"/>
      <c r="G35" s="1">
        <v>9178833.8800000008</v>
      </c>
      <c r="H35" s="40">
        <f t="shared" si="7"/>
        <v>-994468.76999999955</v>
      </c>
      <c r="I35" s="127"/>
      <c r="M35" s="10"/>
    </row>
    <row r="36" spans="1:13" hidden="1">
      <c r="A36" s="39">
        <f>'FERC Interest Rates'!A42</f>
        <v>42277</v>
      </c>
      <c r="D36" s="1">
        <v>-585536.48</v>
      </c>
      <c r="F36" s="1">
        <f>ROUND(H35*VLOOKUP(A36,FERCINT15,2)/365*VLOOKUP(A36,FERCINT15,3),2)</f>
        <v>-2656.46</v>
      </c>
      <c r="H36" s="40">
        <f t="shared" si="7"/>
        <v>-1582661.7099999995</v>
      </c>
      <c r="I36" s="127"/>
      <c r="J36" s="1">
        <v>-1582661.71</v>
      </c>
      <c r="K36" s="1">
        <f t="shared" si="1"/>
        <v>0</v>
      </c>
      <c r="L36" s="9" t="s">
        <v>82</v>
      </c>
      <c r="M36" s="10">
        <v>42284</v>
      </c>
    </row>
    <row r="37" spans="1:13" hidden="1">
      <c r="A37" s="39">
        <f>'FERC Interest Rates'!A43</f>
        <v>42308</v>
      </c>
      <c r="D37" s="1">
        <v>-465803</v>
      </c>
      <c r="F37" s="1">
        <f t="shared" si="8"/>
        <v>-4368.58</v>
      </c>
      <c r="H37" s="40">
        <f>H36+SUM(D37:G37)</f>
        <v>-2052833.2899999996</v>
      </c>
      <c r="I37" s="127"/>
      <c r="J37" s="1">
        <v>-2052833.29</v>
      </c>
      <c r="K37" s="1">
        <f t="shared" si="1"/>
        <v>0</v>
      </c>
      <c r="L37" s="9" t="s">
        <v>82</v>
      </c>
      <c r="M37" s="10">
        <v>42314</v>
      </c>
    </row>
    <row r="38" spans="1:13" hidden="1">
      <c r="A38" s="39">
        <f>'FERC Interest Rates'!A44</f>
        <v>42338</v>
      </c>
      <c r="D38" s="1">
        <v>-1544843.34</v>
      </c>
      <c r="F38" s="1">
        <f t="shared" si="8"/>
        <v>-5483.6</v>
      </c>
      <c r="H38" s="40">
        <f>H37+SUM(D38:G38)</f>
        <v>-3603160.2299999995</v>
      </c>
      <c r="I38" s="127"/>
      <c r="J38" s="1">
        <v>-3603160.23</v>
      </c>
      <c r="K38" s="1">
        <f t="shared" ref="K38:K89" si="9">H38-J38</f>
        <v>0</v>
      </c>
      <c r="L38" s="9" t="s">
        <v>82</v>
      </c>
      <c r="M38" s="10">
        <v>42345</v>
      </c>
    </row>
    <row r="39" spans="1:13" hidden="1">
      <c r="A39" s="39">
        <f>'FERC Interest Rates'!A45</f>
        <v>42369</v>
      </c>
      <c r="D39" s="1">
        <v>-1645881.86</v>
      </c>
      <c r="F39" s="1">
        <f t="shared" si="8"/>
        <v>-9945.7099999999991</v>
      </c>
      <c r="H39" s="40">
        <f>H38+SUM(D39:G39)</f>
        <v>-5258987.8</v>
      </c>
      <c r="I39" s="127"/>
      <c r="J39" s="1">
        <v>-5258987.8</v>
      </c>
      <c r="K39" s="1">
        <f t="shared" si="9"/>
        <v>0</v>
      </c>
      <c r="L39" s="9" t="s">
        <v>82</v>
      </c>
      <c r="M39" s="10">
        <v>42377</v>
      </c>
    </row>
    <row r="40" spans="1:13" hidden="1">
      <c r="A40" s="39">
        <f>'FERC Interest Rates'!A46</f>
        <v>42400</v>
      </c>
      <c r="D40" s="1">
        <v>-2154994.2799999998</v>
      </c>
      <c r="F40" s="1">
        <f t="shared" ref="F40:F52" si="10">ROUND(H39*VLOOKUP(A40,FERCINT16,2)/365*VLOOKUP(A40,FERCINT16,3),2)</f>
        <v>-14516.25</v>
      </c>
      <c r="H40" s="40">
        <f t="shared" si="7"/>
        <v>-7428498.3300000001</v>
      </c>
      <c r="I40" s="127"/>
      <c r="J40" s="1">
        <v>-7428498.3300000001</v>
      </c>
      <c r="K40" s="1">
        <f t="shared" si="9"/>
        <v>0</v>
      </c>
      <c r="L40" s="9" t="s">
        <v>82</v>
      </c>
      <c r="M40" s="10">
        <v>42405</v>
      </c>
    </row>
    <row r="41" spans="1:13" hidden="1">
      <c r="A41" s="39">
        <f>'FERC Interest Rates'!A47</f>
        <v>42429</v>
      </c>
      <c r="D41" s="1">
        <v>-1476931.21</v>
      </c>
      <c r="F41" s="1">
        <f t="shared" si="10"/>
        <v>-19181.810000000001</v>
      </c>
      <c r="G41" s="1">
        <v>-99.96</v>
      </c>
      <c r="H41" s="40">
        <f t="shared" si="7"/>
        <v>-8924711.3100000005</v>
      </c>
      <c r="I41" s="127"/>
      <c r="J41" s="1">
        <v>-8924711.3100000005</v>
      </c>
      <c r="K41" s="1">
        <f t="shared" si="9"/>
        <v>0</v>
      </c>
      <c r="L41" s="9" t="s">
        <v>82</v>
      </c>
      <c r="M41" s="10">
        <v>42436</v>
      </c>
    </row>
    <row r="42" spans="1:13" hidden="1">
      <c r="A42" s="39">
        <f>'FERC Interest Rates'!A48</f>
        <v>42460</v>
      </c>
      <c r="D42" s="1">
        <v>-1690305.69</v>
      </c>
      <c r="F42" s="1">
        <f t="shared" si="10"/>
        <v>-24634.65</v>
      </c>
      <c r="G42" s="1">
        <v>-6148.88</v>
      </c>
      <c r="H42" s="40">
        <f t="shared" si="7"/>
        <v>-10645800.530000001</v>
      </c>
      <c r="I42" s="127"/>
      <c r="J42" s="1">
        <v>-10645800.529999999</v>
      </c>
      <c r="K42" s="1">
        <f t="shared" si="9"/>
        <v>0</v>
      </c>
      <c r="L42" s="9" t="s">
        <v>82</v>
      </c>
      <c r="M42" s="10">
        <v>42467</v>
      </c>
    </row>
    <row r="43" spans="1:13" hidden="1">
      <c r="A43" s="39">
        <f>'FERC Interest Rates'!A49</f>
        <v>42490</v>
      </c>
      <c r="D43" s="1">
        <v>-1904970.39</v>
      </c>
      <c r="F43" s="1">
        <f t="shared" si="10"/>
        <v>-30274.91</v>
      </c>
      <c r="G43" s="1">
        <v>-710.41</v>
      </c>
      <c r="H43" s="40">
        <f t="shared" si="7"/>
        <v>-12581756.24</v>
      </c>
      <c r="I43" s="127"/>
      <c r="J43" s="1">
        <v>-12581756.24</v>
      </c>
      <c r="K43" s="1">
        <f t="shared" si="9"/>
        <v>0</v>
      </c>
      <c r="L43" s="9" t="s">
        <v>82</v>
      </c>
      <c r="M43" s="10">
        <v>42496</v>
      </c>
    </row>
    <row r="44" spans="1:13" hidden="1">
      <c r="A44" s="39">
        <f>'FERC Interest Rates'!A50</f>
        <v>42521</v>
      </c>
      <c r="D44" s="1">
        <v>-1147138.95</v>
      </c>
      <c r="F44" s="1">
        <f t="shared" si="10"/>
        <v>-36973.129999999997</v>
      </c>
      <c r="G44" s="1">
        <v>-389.13</v>
      </c>
      <c r="H44" s="40">
        <f t="shared" si="7"/>
        <v>-13766257.449999999</v>
      </c>
      <c r="I44" s="127"/>
      <c r="J44" s="1">
        <v>-13766257.449999999</v>
      </c>
      <c r="K44" s="1">
        <f t="shared" si="9"/>
        <v>0</v>
      </c>
      <c r="L44" s="9" t="s">
        <v>82</v>
      </c>
      <c r="M44" s="10">
        <v>42528</v>
      </c>
    </row>
    <row r="45" spans="1:13" hidden="1">
      <c r="A45" s="39">
        <f>'FERC Interest Rates'!A51</f>
        <v>42551</v>
      </c>
      <c r="D45" s="1">
        <v>-588401.41</v>
      </c>
      <c r="F45" s="1">
        <f t="shared" si="10"/>
        <v>-39148.97</v>
      </c>
      <c r="G45" s="1">
        <v>-6060.87</v>
      </c>
      <c r="H45" s="40">
        <f t="shared" si="7"/>
        <v>-14399868.699999999</v>
      </c>
      <c r="I45" s="127"/>
      <c r="J45" s="1">
        <v>-14399868.699999999</v>
      </c>
      <c r="K45" s="1">
        <f t="shared" si="9"/>
        <v>0</v>
      </c>
      <c r="L45" s="9" t="s">
        <v>82</v>
      </c>
      <c r="M45" s="10">
        <v>42559</v>
      </c>
    </row>
    <row r="46" spans="1:13" hidden="1">
      <c r="A46" s="39">
        <f>'FERC Interest Rates'!A52</f>
        <v>42582</v>
      </c>
      <c r="D46" s="1">
        <v>-455489.75</v>
      </c>
      <c r="F46" s="1">
        <f t="shared" si="10"/>
        <v>-42805.09</v>
      </c>
      <c r="G46" s="1">
        <f>-500654.43+42805.09+455489.75</f>
        <v>-2359.5899999999674</v>
      </c>
      <c r="H46" s="40">
        <f t="shared" si="7"/>
        <v>-14900523.129999999</v>
      </c>
      <c r="I46" s="127"/>
      <c r="J46" s="1">
        <v>-14900523.130000001</v>
      </c>
      <c r="K46" s="1">
        <f t="shared" si="9"/>
        <v>0</v>
      </c>
      <c r="L46" s="9" t="s">
        <v>85</v>
      </c>
      <c r="M46" s="10">
        <v>42587</v>
      </c>
    </row>
    <row r="47" spans="1:13" hidden="1">
      <c r="A47" s="39">
        <f>'FERC Interest Rates'!A53</f>
        <v>42613</v>
      </c>
      <c r="D47" s="1">
        <v>-147435.35</v>
      </c>
      <c r="F47" s="1">
        <f t="shared" si="10"/>
        <v>-44293.34</v>
      </c>
      <c r="G47" s="1">
        <f>-192518.19+44293.34+147435.35</f>
        <v>-789.5</v>
      </c>
      <c r="H47" s="40">
        <f t="shared" si="7"/>
        <v>-15093041.319999998</v>
      </c>
      <c r="I47" s="127"/>
      <c r="J47" s="1">
        <v>-15093041.32</v>
      </c>
      <c r="K47" s="1">
        <f t="shared" si="9"/>
        <v>0</v>
      </c>
      <c r="L47" s="9" t="s">
        <v>85</v>
      </c>
      <c r="M47" s="10">
        <v>42621</v>
      </c>
    </row>
    <row r="48" spans="1:13" hidden="1">
      <c r="A48" s="560" t="s">
        <v>86</v>
      </c>
      <c r="B48" s="560"/>
      <c r="C48" s="560"/>
      <c r="D48" s="560"/>
      <c r="E48" s="560"/>
      <c r="F48" s="560"/>
      <c r="G48" s="1">
        <v>14485606.119999999</v>
      </c>
      <c r="H48" s="40">
        <f t="shared" ref="H48" si="11">H47+SUM(D48:G48)</f>
        <v>-607435.19999999925</v>
      </c>
      <c r="I48" s="127"/>
      <c r="M48" s="10"/>
    </row>
    <row r="49" spans="1:13" hidden="1">
      <c r="A49" s="39">
        <f>'FERC Interest Rates'!A54</f>
        <v>42643</v>
      </c>
      <c r="D49" s="1">
        <v>-199542.95</v>
      </c>
      <c r="F49" s="1">
        <f>ROUND(H48*VLOOKUP(A49,FERCINT16,2)/365*VLOOKUP(A49,FERCINT16,3),2)</f>
        <v>-1747.42</v>
      </c>
      <c r="G49" s="1">
        <f>-310.25-73.21-249.6-110.16-216.72-71.88</f>
        <v>-1031.82</v>
      </c>
      <c r="H49" s="40">
        <f>H48+SUM(D49:G49)</f>
        <v>-809757.38999999932</v>
      </c>
      <c r="I49" s="127"/>
      <c r="J49" s="1">
        <v>-809757.39</v>
      </c>
      <c r="K49" s="1">
        <f t="shared" si="9"/>
        <v>0</v>
      </c>
      <c r="L49" s="9" t="s">
        <v>85</v>
      </c>
      <c r="M49" s="10">
        <v>42654</v>
      </c>
    </row>
    <row r="50" spans="1:13" hidden="1">
      <c r="A50" s="39">
        <f>'FERC Interest Rates'!A55</f>
        <v>42674</v>
      </c>
      <c r="D50" s="1">
        <v>-335397.51</v>
      </c>
      <c r="F50" s="1">
        <f t="shared" si="10"/>
        <v>-2407.09</v>
      </c>
      <c r="G50" s="1">
        <f>-30-310.25+71.88-71.88-246.4-71.88-47.92+74.63+310.25+323.5</f>
        <v>1.9300000000000637</v>
      </c>
      <c r="H50" s="40">
        <f t="shared" ref="H50:H75" si="12">H49+SUM(D50:G50)</f>
        <v>-1147560.0599999994</v>
      </c>
      <c r="I50" s="127"/>
      <c r="J50" s="1">
        <v>-1147560.06</v>
      </c>
      <c r="K50" s="1">
        <f t="shared" si="9"/>
        <v>0</v>
      </c>
      <c r="L50" s="9" t="s">
        <v>85</v>
      </c>
      <c r="M50" s="10">
        <v>42681</v>
      </c>
    </row>
    <row r="51" spans="1:13" hidden="1">
      <c r="A51" s="39">
        <f>'FERC Interest Rates'!A56</f>
        <v>42704</v>
      </c>
      <c r="D51" s="1">
        <v>704713.46</v>
      </c>
      <c r="F51" s="1">
        <f t="shared" si="10"/>
        <v>-3301.2</v>
      </c>
      <c r="G51" s="1">
        <v>-447.57</v>
      </c>
      <c r="H51" s="40">
        <f t="shared" si="12"/>
        <v>-446595.3699999993</v>
      </c>
      <c r="I51" s="127"/>
      <c r="J51" s="1">
        <v>-446595.37</v>
      </c>
      <c r="K51" s="1">
        <f t="shared" si="9"/>
        <v>6.9849193096160889E-10</v>
      </c>
      <c r="L51" s="9" t="s">
        <v>85</v>
      </c>
      <c r="M51" s="10">
        <v>42712</v>
      </c>
    </row>
    <row r="52" spans="1:13" hidden="1">
      <c r="A52" s="39">
        <f>'FERC Interest Rates'!A57</f>
        <v>42735</v>
      </c>
      <c r="D52" s="1">
        <f>3430803.48-399700.78</f>
        <v>3031102.7</v>
      </c>
      <c r="F52" s="1">
        <f t="shared" si="10"/>
        <v>-1327.55</v>
      </c>
      <c r="G52" s="1">
        <f>-647-1045.5-597-647-261.38-65.34-36.76-21.78-4.27</f>
        <v>-3326.0300000000007</v>
      </c>
      <c r="H52" s="40">
        <f t="shared" si="12"/>
        <v>2579853.7500000014</v>
      </c>
      <c r="I52" s="127"/>
      <c r="J52" s="1">
        <v>2579853.75</v>
      </c>
      <c r="K52" s="1">
        <f t="shared" si="9"/>
        <v>0</v>
      </c>
      <c r="L52" s="9" t="s">
        <v>85</v>
      </c>
      <c r="M52" s="10">
        <v>42752</v>
      </c>
    </row>
    <row r="53" spans="1:13" hidden="1">
      <c r="A53" s="39">
        <f>'FERC Interest Rates'!A58</f>
        <v>42766</v>
      </c>
      <c r="D53" s="1">
        <v>4901066.0599999996</v>
      </c>
      <c r="F53" s="1">
        <f t="shared" ref="F53:F65" si="13">ROUND(H52*VLOOKUP(A53,FERCINT17,2)/365*VLOOKUP(A53,FERCINT17,3),2)</f>
        <v>7668.88</v>
      </c>
      <c r="G53" s="1">
        <f>-500-47.92-323.37-51.28-50-5.56-3.73+1045.5+47.92</f>
        <v>111.5600000000001</v>
      </c>
      <c r="H53" s="40">
        <f t="shared" si="12"/>
        <v>7488700.25</v>
      </c>
      <c r="I53" s="127"/>
      <c r="J53" s="1">
        <v>7488700.25</v>
      </c>
      <c r="K53" s="1">
        <f t="shared" si="9"/>
        <v>0</v>
      </c>
      <c r="L53" s="9" t="s">
        <v>85</v>
      </c>
      <c r="M53" s="10">
        <v>42773</v>
      </c>
    </row>
    <row r="54" spans="1:13" hidden="1">
      <c r="A54" s="39">
        <f>'FERC Interest Rates'!A59</f>
        <v>42794</v>
      </c>
      <c r="D54" s="1">
        <v>1733602.92</v>
      </c>
      <c r="F54" s="1">
        <f t="shared" si="13"/>
        <v>20106.650000000001</v>
      </c>
      <c r="G54" s="1">
        <f>-278.19-174.25</f>
        <v>-452.44</v>
      </c>
      <c r="H54" s="40">
        <f t="shared" si="12"/>
        <v>9241957.379999999</v>
      </c>
      <c r="I54" s="127"/>
      <c r="J54" s="1">
        <v>9241957.3800000008</v>
      </c>
      <c r="K54" s="1">
        <f t="shared" si="9"/>
        <v>0</v>
      </c>
      <c r="L54" s="9" t="s">
        <v>85</v>
      </c>
      <c r="M54" s="10">
        <v>42801</v>
      </c>
    </row>
    <row r="55" spans="1:13" hidden="1">
      <c r="A55" s="39">
        <f>'FERC Interest Rates'!A60</f>
        <v>42825</v>
      </c>
      <c r="D55" s="1">
        <v>-778930.47</v>
      </c>
      <c r="F55" s="1">
        <f t="shared" si="13"/>
        <v>27472.67</v>
      </c>
      <c r="G55" s="1">
        <f>-364.45+50</f>
        <v>-314.45</v>
      </c>
      <c r="H55" s="40">
        <f t="shared" si="12"/>
        <v>8490185.129999999</v>
      </c>
      <c r="I55" s="127"/>
      <c r="J55" s="1">
        <v>8490185.1300000008</v>
      </c>
      <c r="K55" s="1">
        <f t="shared" si="9"/>
        <v>0</v>
      </c>
      <c r="L55" s="9" t="s">
        <v>85</v>
      </c>
      <c r="M55" s="10">
        <v>42832</v>
      </c>
    </row>
    <row r="56" spans="1:13" hidden="1">
      <c r="A56" s="39">
        <f>'FERC Interest Rates'!A61</f>
        <v>42855</v>
      </c>
      <c r="D56" s="1">
        <v>-354428.35</v>
      </c>
      <c r="F56" s="1">
        <f t="shared" si="13"/>
        <v>25889.25</v>
      </c>
      <c r="G56" s="1">
        <v>-2323.67</v>
      </c>
      <c r="H56" s="40">
        <f t="shared" si="12"/>
        <v>8159322.3599999994</v>
      </c>
      <c r="I56" s="127"/>
      <c r="J56" s="1">
        <v>8159322.3600000003</v>
      </c>
      <c r="K56" s="1">
        <f t="shared" si="9"/>
        <v>0</v>
      </c>
      <c r="L56" s="9" t="s">
        <v>85</v>
      </c>
      <c r="M56" s="10">
        <v>42860</v>
      </c>
    </row>
    <row r="57" spans="1:13" hidden="1">
      <c r="A57" s="39">
        <f>'FERC Interest Rates'!A62</f>
        <v>42886</v>
      </c>
      <c r="D57" s="1">
        <v>-371160.81</v>
      </c>
      <c r="F57" s="1">
        <f t="shared" si="13"/>
        <v>25709.69</v>
      </c>
      <c r="G57" s="1">
        <f>-1494-717-2.79-15.87</f>
        <v>-2229.66</v>
      </c>
      <c r="H57" s="40">
        <f t="shared" si="12"/>
        <v>7811641.5799999991</v>
      </c>
      <c r="I57" s="127"/>
      <c r="J57" s="1">
        <v>7811641.5800000001</v>
      </c>
      <c r="K57" s="1">
        <f t="shared" si="9"/>
        <v>0</v>
      </c>
      <c r="L57" s="9" t="s">
        <v>85</v>
      </c>
      <c r="M57" s="10">
        <v>42893</v>
      </c>
    </row>
    <row r="58" spans="1:13" hidden="1">
      <c r="A58" s="39">
        <f>'FERC Interest Rates'!A63</f>
        <v>42916</v>
      </c>
      <c r="D58" s="1">
        <v>734514.16</v>
      </c>
      <c r="F58" s="1">
        <f t="shared" si="13"/>
        <v>23820.16</v>
      </c>
      <c r="G58" s="1">
        <f>95.84-101.09-358.5-43.56-727-2.45</f>
        <v>-1136.76</v>
      </c>
      <c r="H58" s="40">
        <f t="shared" si="12"/>
        <v>8568839.1399999987</v>
      </c>
      <c r="I58" s="127"/>
      <c r="J58" s="1">
        <v>8568839.1400000006</v>
      </c>
      <c r="K58" s="1">
        <f t="shared" si="9"/>
        <v>0</v>
      </c>
      <c r="L58" s="9" t="s">
        <v>85</v>
      </c>
      <c r="M58" s="10">
        <v>42926</v>
      </c>
    </row>
    <row r="59" spans="1:13" hidden="1">
      <c r="A59" s="39">
        <f>'FERC Interest Rates'!A64</f>
        <v>42947</v>
      </c>
      <c r="D59" s="1">
        <v>-589039.61</v>
      </c>
      <c r="F59" s="1">
        <f t="shared" si="13"/>
        <v>28819.47</v>
      </c>
      <c r="G59" s="1">
        <f>-2091-1434-197.63</f>
        <v>-3722.63</v>
      </c>
      <c r="H59" s="40">
        <f t="shared" si="12"/>
        <v>8004896.3699999992</v>
      </c>
      <c r="I59" s="127"/>
      <c r="J59" s="1">
        <v>8004896.3700000001</v>
      </c>
      <c r="K59" s="1">
        <f t="shared" si="9"/>
        <v>0</v>
      </c>
      <c r="L59" s="9" t="s">
        <v>85</v>
      </c>
      <c r="M59" s="10">
        <v>42954</v>
      </c>
    </row>
    <row r="60" spans="1:13" hidden="1">
      <c r="A60" s="39">
        <f>'FERC Interest Rates'!A65</f>
        <v>42978</v>
      </c>
      <c r="D60" s="1">
        <v>104863.56</v>
      </c>
      <c r="F60" s="1">
        <f t="shared" si="13"/>
        <v>26922.77</v>
      </c>
      <c r="G60" s="1">
        <f>-3387.75+717+747</f>
        <v>-1923.75</v>
      </c>
      <c r="H60" s="40">
        <f t="shared" si="12"/>
        <v>8134758.9499999993</v>
      </c>
      <c r="I60" s="127"/>
      <c r="J60" s="1">
        <v>8134758.9500000002</v>
      </c>
      <c r="K60" s="1">
        <f t="shared" si="9"/>
        <v>0</v>
      </c>
      <c r="L60" s="9" t="s">
        <v>85</v>
      </c>
      <c r="M60" s="10">
        <v>42989</v>
      </c>
    </row>
    <row r="61" spans="1:13" hidden="1">
      <c r="A61" s="39">
        <f>'FERC Interest Rates'!A66</f>
        <v>43008</v>
      </c>
      <c r="D61" s="1">
        <v>-157172.82</v>
      </c>
      <c r="F61" s="1">
        <f t="shared" si="13"/>
        <v>26476.97</v>
      </c>
      <c r="G61" s="1">
        <f>-717-32.09-47.43-18.66-2788</f>
        <v>-3603.18</v>
      </c>
      <c r="H61" s="40">
        <f t="shared" si="12"/>
        <v>8000459.919999999</v>
      </c>
      <c r="I61" s="127"/>
      <c r="J61" s="1">
        <v>8000459.9199999999</v>
      </c>
      <c r="K61" s="1">
        <f t="shared" si="9"/>
        <v>0</v>
      </c>
      <c r="L61" s="9" t="s">
        <v>85</v>
      </c>
      <c r="M61" s="10">
        <v>43017</v>
      </c>
    </row>
    <row r="62" spans="1:13" hidden="1">
      <c r="A62" s="39">
        <f>'FERC Interest Rates'!A67</f>
        <v>43039</v>
      </c>
      <c r="D62" s="1">
        <v>-440869.09</v>
      </c>
      <c r="F62" s="1">
        <f t="shared" si="13"/>
        <v>28606.58</v>
      </c>
      <c r="G62" s="1">
        <v>0</v>
      </c>
      <c r="H62" s="40">
        <f t="shared" si="12"/>
        <v>7588197.4099999992</v>
      </c>
      <c r="I62" s="127"/>
      <c r="J62" s="1">
        <v>7588197.4100000001</v>
      </c>
      <c r="K62" s="1">
        <f t="shared" si="9"/>
        <v>0</v>
      </c>
      <c r="L62" s="9" t="s">
        <v>85</v>
      </c>
      <c r="M62" s="10">
        <v>43047</v>
      </c>
    </row>
    <row r="63" spans="1:13" hidden="1">
      <c r="A63" s="560" t="s">
        <v>86</v>
      </c>
      <c r="B63" s="560"/>
      <c r="C63" s="560"/>
      <c r="D63" s="560"/>
      <c r="E63" s="560"/>
      <c r="F63" s="560"/>
      <c r="G63" s="1">
        <v>-8086773.2400000002</v>
      </c>
      <c r="H63" s="40">
        <f t="shared" si="12"/>
        <v>-498575.83000000101</v>
      </c>
      <c r="I63" s="127"/>
      <c r="M63" s="10"/>
    </row>
    <row r="64" spans="1:13" hidden="1">
      <c r="A64" s="39">
        <f>'FERC Interest Rates'!A68</f>
        <v>43069</v>
      </c>
      <c r="B64" s="121"/>
      <c r="C64" s="121"/>
      <c r="D64" s="1">
        <v>538678.29</v>
      </c>
      <c r="E64" s="121"/>
      <c r="F64" s="1">
        <f>ROUND(H63*VLOOKUP(A64,FERCINT17,2)/365*VLOOKUP(A64,FERCINT17,3),2)</f>
        <v>-1725.21</v>
      </c>
      <c r="G64" s="1">
        <f>-13.34-313.65-808.75-161.75-7.03-46.69-62.13-560.25-2187.28-21.78</f>
        <v>-4182.6500000000005</v>
      </c>
      <c r="H64" s="40">
        <f t="shared" si="12"/>
        <v>34194.599999999045</v>
      </c>
      <c r="I64" s="127"/>
      <c r="J64" s="1">
        <v>34194.6</v>
      </c>
      <c r="K64" s="1">
        <f t="shared" si="9"/>
        <v>-9.5315044745802879E-10</v>
      </c>
      <c r="L64" s="9" t="s">
        <v>85</v>
      </c>
      <c r="M64" s="10">
        <v>43077</v>
      </c>
    </row>
    <row r="65" spans="1:13" hidden="1">
      <c r="A65" s="39">
        <f>'FERC Interest Rates'!A69</f>
        <v>43100</v>
      </c>
      <c r="B65" s="121"/>
      <c r="C65" s="121"/>
      <c r="D65" s="1">
        <v>1082015.6399999999</v>
      </c>
      <c r="E65" s="121"/>
      <c r="F65" s="1">
        <f t="shared" si="13"/>
        <v>122.27</v>
      </c>
      <c r="G65" s="1">
        <v>-4778.87</v>
      </c>
      <c r="H65" s="40">
        <f t="shared" si="12"/>
        <v>1111553.6399999987</v>
      </c>
      <c r="I65" s="127"/>
      <c r="J65" s="1">
        <v>1111553.6399999999</v>
      </c>
      <c r="K65" s="1">
        <f t="shared" si="9"/>
        <v>0</v>
      </c>
      <c r="L65" s="9" t="s">
        <v>85</v>
      </c>
      <c r="M65" s="10">
        <v>43108</v>
      </c>
    </row>
    <row r="66" spans="1:13" hidden="1">
      <c r="A66" s="39">
        <f>'FERC Interest Rates'!A70</f>
        <v>43131</v>
      </c>
      <c r="B66" s="121"/>
      <c r="C66" s="121"/>
      <c r="D66" s="1">
        <v>653023.03</v>
      </c>
      <c r="E66" s="121"/>
      <c r="F66" s="1">
        <f t="shared" ref="F66:F75" si="14">ROUND(H65*VLOOKUP(A66,FERCINT18,2)/365*VLOOKUP(A66,FERCINT18,3),2)</f>
        <v>4012.25</v>
      </c>
      <c r="G66" s="1">
        <v>-1184.8599999999999</v>
      </c>
      <c r="H66" s="40">
        <f t="shared" si="12"/>
        <v>1767404.0599999987</v>
      </c>
      <c r="I66" s="127"/>
      <c r="J66" s="1">
        <v>1767404.06</v>
      </c>
      <c r="K66" s="1">
        <f t="shared" si="9"/>
        <v>0</v>
      </c>
      <c r="L66" s="9" t="s">
        <v>85</v>
      </c>
      <c r="M66" s="10">
        <v>43139</v>
      </c>
    </row>
    <row r="67" spans="1:13" hidden="1">
      <c r="A67" s="39">
        <f>'FERC Interest Rates'!A71</f>
        <v>43159</v>
      </c>
      <c r="B67" s="121"/>
      <c r="C67" s="121"/>
      <c r="D67" s="1">
        <v>340119.88</v>
      </c>
      <c r="E67" s="121"/>
      <c r="F67" s="1">
        <f t="shared" si="14"/>
        <v>5762.22</v>
      </c>
      <c r="G67" s="1">
        <v>-744.36</v>
      </c>
      <c r="H67" s="40">
        <f t="shared" si="12"/>
        <v>2112541.7999999989</v>
      </c>
      <c r="I67" s="127"/>
      <c r="J67" s="1">
        <v>2112541.7999999998</v>
      </c>
      <c r="K67" s="1">
        <f t="shared" si="9"/>
        <v>0</v>
      </c>
      <c r="L67" s="9" t="s">
        <v>85</v>
      </c>
      <c r="M67" s="10">
        <v>43167</v>
      </c>
    </row>
    <row r="68" spans="1:13" hidden="1">
      <c r="A68" s="39">
        <f>'FERC Interest Rates'!A72</f>
        <v>43190</v>
      </c>
      <c r="B68" s="121"/>
      <c r="C68" s="121"/>
      <c r="D68" s="1">
        <v>-1006779.36</v>
      </c>
      <c r="E68" s="121"/>
      <c r="F68" s="1">
        <f t="shared" si="14"/>
        <v>7625.41</v>
      </c>
      <c r="G68" s="1">
        <v>0</v>
      </c>
      <c r="H68" s="40">
        <f t="shared" si="12"/>
        <v>1113387.8499999989</v>
      </c>
      <c r="I68" s="127"/>
      <c r="J68" s="1">
        <v>1113387.8500000001</v>
      </c>
      <c r="K68" s="1">
        <f t="shared" si="9"/>
        <v>0</v>
      </c>
      <c r="L68" s="9" t="s">
        <v>85</v>
      </c>
      <c r="M68" s="10">
        <v>43200</v>
      </c>
    </row>
    <row r="69" spans="1:13" hidden="1">
      <c r="A69" s="39">
        <f>'FERC Interest Rates'!A73</f>
        <v>43220</v>
      </c>
      <c r="B69" s="121"/>
      <c r="C69" s="121"/>
      <c r="D69" s="1">
        <v>-1246804.32</v>
      </c>
      <c r="E69" s="121"/>
      <c r="F69" s="1">
        <f t="shared" si="14"/>
        <v>4090.56</v>
      </c>
      <c r="G69" s="1">
        <f>-1394-562.95-687-281.48-30.63-156.83-1881.9-13.07</f>
        <v>-5007.8599999999997</v>
      </c>
      <c r="H69" s="40">
        <f t="shared" si="12"/>
        <v>-134333.77000000118</v>
      </c>
      <c r="I69" s="127"/>
      <c r="J69" s="1">
        <v>-134333.76999999999</v>
      </c>
      <c r="K69" s="1">
        <f t="shared" si="9"/>
        <v>-1.1932570487260818E-9</v>
      </c>
      <c r="L69" s="9" t="s">
        <v>85</v>
      </c>
      <c r="M69" s="10">
        <v>43228</v>
      </c>
    </row>
    <row r="70" spans="1:13" hidden="1">
      <c r="A70" s="39">
        <f>'FERC Interest Rates'!A74</f>
        <v>43251</v>
      </c>
      <c r="B70" s="121"/>
      <c r="C70" s="121"/>
      <c r="D70" s="1">
        <v>-717420.57</v>
      </c>
      <c r="E70" s="121"/>
      <c r="F70" s="1">
        <f t="shared" si="14"/>
        <v>-509.99</v>
      </c>
      <c r="G70" s="1">
        <f>-12.11+1394-705.71-122.52</f>
        <v>553.66000000000008</v>
      </c>
      <c r="H70" s="40">
        <f t="shared" si="12"/>
        <v>-851710.67000000109</v>
      </c>
      <c r="I70" s="127"/>
      <c r="J70" s="1">
        <v>-851710.67</v>
      </c>
      <c r="K70" s="1">
        <f t="shared" si="9"/>
        <v>-1.0477378964424133E-9</v>
      </c>
      <c r="L70" s="9" t="s">
        <v>85</v>
      </c>
      <c r="M70" s="10">
        <v>43258</v>
      </c>
    </row>
    <row r="71" spans="1:13" hidden="1">
      <c r="A71" s="39">
        <f>'FERC Interest Rates'!A75</f>
        <v>43281</v>
      </c>
      <c r="B71" s="121"/>
      <c r="C71" s="121"/>
      <c r="D71" s="1">
        <f>56498.47-605038.08</f>
        <v>-548539.61</v>
      </c>
      <c r="E71" s="121"/>
      <c r="F71" s="1">
        <f t="shared" si="14"/>
        <v>-3129.16</v>
      </c>
      <c r="G71" s="1">
        <f>-8.06-40.34-4.14</f>
        <v>-52.540000000000006</v>
      </c>
      <c r="H71" s="40">
        <f t="shared" si="12"/>
        <v>-1403431.9800000011</v>
      </c>
      <c r="I71" s="127"/>
      <c r="J71" s="1">
        <v>-1403431.98</v>
      </c>
      <c r="K71" s="1">
        <f t="shared" si="9"/>
        <v>0</v>
      </c>
      <c r="L71" s="9" t="s">
        <v>85</v>
      </c>
      <c r="M71" s="10">
        <v>43290</v>
      </c>
    </row>
    <row r="72" spans="1:13" hidden="1">
      <c r="A72" s="39">
        <f>'FERC Interest Rates'!A76</f>
        <v>43312</v>
      </c>
      <c r="B72" s="121"/>
      <c r="C72" s="121"/>
      <c r="D72" s="1">
        <f>22301.5-78799.97-294908.89</f>
        <v>-351407.35999999999</v>
      </c>
      <c r="E72" s="121"/>
      <c r="F72" s="1">
        <f t="shared" si="14"/>
        <v>-5590.27</v>
      </c>
      <c r="G72" s="1">
        <f>-747-40.94-20.17+687-40.21-2.14-3.92-1.43-39.26</f>
        <v>-208.07</v>
      </c>
      <c r="H72" s="40">
        <f t="shared" si="12"/>
        <v>-1760637.6800000011</v>
      </c>
      <c r="I72" s="127"/>
      <c r="J72" s="1">
        <f>-1465728.79-294908.89</f>
        <v>-1760637.6800000002</v>
      </c>
      <c r="K72" s="1">
        <f t="shared" si="9"/>
        <v>0</v>
      </c>
      <c r="L72" s="9" t="s">
        <v>85</v>
      </c>
      <c r="M72" s="10">
        <v>43319</v>
      </c>
    </row>
    <row r="73" spans="1:13" hidden="1">
      <c r="A73" s="39">
        <f>'FERC Interest Rates'!A77</f>
        <v>43343</v>
      </c>
      <c r="B73" s="121"/>
      <c r="C73" s="121"/>
      <c r="D73" s="1">
        <v>478516.1</v>
      </c>
      <c r="E73" s="121"/>
      <c r="F73" s="1">
        <f t="shared" si="14"/>
        <v>-7013.13</v>
      </c>
      <c r="G73" s="1">
        <f>1.43-257.63</f>
        <v>-256.2</v>
      </c>
      <c r="H73" s="40">
        <f t="shared" si="12"/>
        <v>-1289390.9100000011</v>
      </c>
      <c r="I73" s="127"/>
      <c r="J73" s="1">
        <v>-1289390.9099999999</v>
      </c>
      <c r="K73" s="1">
        <f t="shared" si="9"/>
        <v>0</v>
      </c>
      <c r="L73" s="9" t="s">
        <v>85</v>
      </c>
      <c r="M73" s="10">
        <v>43354</v>
      </c>
    </row>
    <row r="74" spans="1:13" hidden="1">
      <c r="A74" s="39">
        <f>'FERC Interest Rates'!A78</f>
        <v>43373</v>
      </c>
      <c r="B74" s="121"/>
      <c r="C74" s="121"/>
      <c r="D74" s="1">
        <v>-569609.17000000004</v>
      </c>
      <c r="E74" s="121"/>
      <c r="F74" s="1">
        <f>ROUND(H73*VLOOKUP(A74,FERCINT18,2)/365*VLOOKUP(A74,FERCINT18,3),2)</f>
        <v>-4970.34</v>
      </c>
      <c r="G74" s="1">
        <f>-585886.09+4970.34+569609.17</f>
        <v>-11306.579999999958</v>
      </c>
      <c r="H74" s="40">
        <f t="shared" si="12"/>
        <v>-1875277.0000000009</v>
      </c>
      <c r="I74" s="127"/>
      <c r="J74" s="1">
        <v>-1875277</v>
      </c>
      <c r="K74" s="1">
        <f t="shared" si="9"/>
        <v>0</v>
      </c>
      <c r="L74" s="9" t="s">
        <v>85</v>
      </c>
      <c r="M74" s="10">
        <v>43381</v>
      </c>
    </row>
    <row r="75" spans="1:13" hidden="1">
      <c r="A75" s="39">
        <f>'FERC Interest Rates'!A79</f>
        <v>43404</v>
      </c>
      <c r="B75" s="121"/>
      <c r="C75" s="121"/>
      <c r="D75" s="1">
        <v>600997.39</v>
      </c>
      <c r="E75" s="121"/>
      <c r="F75" s="1">
        <f t="shared" si="14"/>
        <v>-7899.8</v>
      </c>
      <c r="G75" s="1">
        <f>-1494-408.94-22.72-43.56-90.88-261.38</f>
        <v>-2321.48</v>
      </c>
      <c r="H75" s="40">
        <f t="shared" si="12"/>
        <v>-1284500.8900000011</v>
      </c>
      <c r="I75" s="127"/>
      <c r="J75" s="1">
        <v>-1284500.8899999999</v>
      </c>
      <c r="K75" s="1">
        <f t="shared" si="9"/>
        <v>0</v>
      </c>
      <c r="L75" s="9" t="s">
        <v>85</v>
      </c>
      <c r="M75" s="10">
        <v>43411</v>
      </c>
    </row>
    <row r="76" spans="1:13" hidden="1">
      <c r="A76" s="560" t="s">
        <v>86</v>
      </c>
      <c r="B76" s="560"/>
      <c r="C76" s="560"/>
      <c r="D76" s="560"/>
      <c r="E76" s="560"/>
      <c r="F76" s="560"/>
      <c r="G76" s="1">
        <v>1781939.86</v>
      </c>
      <c r="H76" s="40">
        <f t="shared" ref="H76:H89" si="15">H75+SUM(D76:G76)</f>
        <v>497438.96999999904</v>
      </c>
      <c r="I76" s="127"/>
      <c r="M76" s="10"/>
    </row>
    <row r="77" spans="1:13" hidden="1">
      <c r="A77" s="39">
        <f>'FERC Interest Rates'!A80</f>
        <v>43434</v>
      </c>
      <c r="D77" s="1">
        <v>11481839.560000001</v>
      </c>
      <c r="F77" s="1">
        <f>ROUND(H76*VLOOKUP(A77,FERCINT18,2)/365*VLOOKUP(A77,FERCINT18,3),2)</f>
        <v>2027.92</v>
      </c>
      <c r="G77" s="1">
        <v>-2310.9</v>
      </c>
      <c r="H77" s="40">
        <f t="shared" si="15"/>
        <v>11978995.549999999</v>
      </c>
      <c r="I77" s="127"/>
      <c r="J77" s="1">
        <v>11978995.550000001</v>
      </c>
      <c r="K77" s="1">
        <f t="shared" si="9"/>
        <v>0</v>
      </c>
      <c r="L77" s="9" t="s">
        <v>85</v>
      </c>
      <c r="M77" s="10">
        <v>43444</v>
      </c>
    </row>
    <row r="78" spans="1:13" hidden="1">
      <c r="A78" s="39">
        <f>'FERC Interest Rates'!A81</f>
        <v>43465</v>
      </c>
      <c r="D78" s="1">
        <f>26023479.29+1621876.21-88421.74</f>
        <v>27556933.760000002</v>
      </c>
      <c r="F78" s="1">
        <f>ROUND(H77*VLOOKUP(A78,FERCINT18,2)/365*VLOOKUP(A78,FERCINT18,3),2)</f>
        <v>50462.75</v>
      </c>
      <c r="G78" s="1">
        <f>-1333769.68+408.94</f>
        <v>-1333360.74</v>
      </c>
      <c r="H78" s="40">
        <f t="shared" si="15"/>
        <v>38253031.32</v>
      </c>
      <c r="I78" s="127"/>
      <c r="J78" s="1">
        <v>38253031.32</v>
      </c>
      <c r="K78" s="1">
        <f t="shared" si="9"/>
        <v>0</v>
      </c>
      <c r="L78" s="9" t="s">
        <v>85</v>
      </c>
      <c r="M78" s="10">
        <v>43476</v>
      </c>
    </row>
    <row r="79" spans="1:13" hidden="1">
      <c r="A79" s="39">
        <f>'FERC Interest Rates'!A82</f>
        <v>43496</v>
      </c>
      <c r="D79" s="1">
        <v>11519106.91</v>
      </c>
      <c r="F79" s="1">
        <f t="shared" ref="F79:F89" si="16">ROUND(H78*VLOOKUP(A79,FERCINT19,2)/365*VLOOKUP(A79,FERCINT19,3),2)</f>
        <v>168292.38</v>
      </c>
      <c r="G79" s="1">
        <v>-1778416.72</v>
      </c>
      <c r="H79" s="40">
        <f t="shared" si="15"/>
        <v>48162013.890000001</v>
      </c>
      <c r="I79" s="127"/>
      <c r="J79" s="1">
        <v>48162013.890000001</v>
      </c>
      <c r="K79" s="1">
        <f t="shared" si="9"/>
        <v>0</v>
      </c>
      <c r="L79" s="9" t="s">
        <v>85</v>
      </c>
      <c r="M79" s="10">
        <v>43507</v>
      </c>
    </row>
    <row r="80" spans="1:13" hidden="1">
      <c r="A80" s="39">
        <f>'FERC Interest Rates'!A83</f>
        <v>43524</v>
      </c>
      <c r="D80" s="1">
        <v>24127776.719999999</v>
      </c>
      <c r="F80" s="1">
        <f t="shared" si="16"/>
        <v>191381.33</v>
      </c>
      <c r="G80" s="1">
        <f>-13612.54+60.66+800.63+560.25</f>
        <v>-12191.000000000002</v>
      </c>
      <c r="H80" s="40">
        <f t="shared" si="15"/>
        <v>72468980.939999998</v>
      </c>
      <c r="I80" s="127"/>
      <c r="J80" s="1">
        <f>48341204.22+24127776.72</f>
        <v>72468980.939999998</v>
      </c>
      <c r="K80" s="1">
        <f t="shared" si="9"/>
        <v>0</v>
      </c>
      <c r="L80" s="9" t="s">
        <v>85</v>
      </c>
      <c r="M80" s="10">
        <v>43531</v>
      </c>
    </row>
    <row r="81" spans="1:13" hidden="1">
      <c r="A81" s="39">
        <f>'FERC Interest Rates'!A84</f>
        <v>43555</v>
      </c>
      <c r="D81" s="1">
        <v>24278408.23</v>
      </c>
      <c r="F81" s="1">
        <f t="shared" si="16"/>
        <v>318823.81</v>
      </c>
      <c r="G81" s="1">
        <v>-1873251.5</v>
      </c>
      <c r="H81" s="40">
        <f t="shared" si="15"/>
        <v>95192961.479999989</v>
      </c>
      <c r="I81" s="127"/>
      <c r="J81" s="1">
        <v>95192961.480000004</v>
      </c>
      <c r="K81" s="1">
        <f t="shared" si="9"/>
        <v>0</v>
      </c>
      <c r="L81" s="9" t="s">
        <v>85</v>
      </c>
      <c r="M81" s="10">
        <v>43563</v>
      </c>
    </row>
    <row r="82" spans="1:13" hidden="1">
      <c r="A82" s="560" t="s">
        <v>87</v>
      </c>
      <c r="B82" s="560"/>
      <c r="C82" s="560"/>
      <c r="D82" s="560"/>
      <c r="E82" s="560"/>
      <c r="F82" s="560"/>
      <c r="G82" s="1">
        <v>-48566123.659999996</v>
      </c>
      <c r="H82" s="40">
        <f>+H81+G82</f>
        <v>46626837.819999993</v>
      </c>
      <c r="I82" s="127"/>
      <c r="M82" s="10"/>
    </row>
    <row r="83" spans="1:13" hidden="1">
      <c r="A83" s="39">
        <f>'FERC Interest Rates'!A85</f>
        <v>43585</v>
      </c>
      <c r="B83" s="121"/>
      <c r="C83" s="121"/>
      <c r="D83" s="1">
        <v>1254983.51</v>
      </c>
      <c r="E83" s="121"/>
      <c r="F83" s="1">
        <f>ROUND(H82*VLOOKUP(A83,FERCINT19,2)/365*VLOOKUP(A83,FERCINT19,3),2)</f>
        <v>208862.68</v>
      </c>
      <c r="G83" s="1">
        <f>-50572097.05+48566123.66+5871.58+120+582.18+7842.13+5399.6+2172.27</f>
        <v>-1983985.6300000006</v>
      </c>
      <c r="H83" s="40">
        <f>H82+SUM(D83:G83)</f>
        <v>46106698.379999995</v>
      </c>
      <c r="I83" s="127"/>
      <c r="J83" s="1">
        <v>46106698.380000003</v>
      </c>
      <c r="K83" s="1">
        <f t="shared" si="9"/>
        <v>0</v>
      </c>
      <c r="L83" s="9" t="s">
        <v>85</v>
      </c>
      <c r="M83" s="10">
        <v>43594</v>
      </c>
    </row>
    <row r="84" spans="1:13" hidden="1">
      <c r="A84" s="39">
        <f>'FERC Interest Rates'!A86</f>
        <v>43616</v>
      </c>
      <c r="B84" s="121"/>
      <c r="C84" s="121"/>
      <c r="D84" s="1">
        <v>-472449</v>
      </c>
      <c r="E84" s="121"/>
      <c r="F84" s="1">
        <f t="shared" si="16"/>
        <v>213417.17</v>
      </c>
      <c r="G84" s="1">
        <f>-278.38+50.23</f>
        <v>-228.15</v>
      </c>
      <c r="H84" s="40">
        <f t="shared" si="15"/>
        <v>45847438.399999999</v>
      </c>
      <c r="I84" s="127"/>
      <c r="J84" s="1">
        <v>45847438.399999999</v>
      </c>
      <c r="K84" s="1">
        <f t="shared" si="9"/>
        <v>0</v>
      </c>
      <c r="L84" s="9" t="s">
        <v>85</v>
      </c>
      <c r="M84" s="10">
        <v>43623</v>
      </c>
    </row>
    <row r="85" spans="1:13" hidden="1">
      <c r="A85" s="39">
        <f>'FERC Interest Rates'!A87</f>
        <v>43646</v>
      </c>
      <c r="B85" s="121"/>
      <c r="C85" s="121"/>
      <c r="D85" s="1">
        <v>-108065.09</v>
      </c>
      <c r="E85" s="121"/>
      <c r="F85" s="1">
        <f t="shared" si="16"/>
        <v>205371.4</v>
      </c>
      <c r="G85" s="1">
        <f>-5.48-2.61-135-174.25-348.5-41.28-34.85-247.95+705.71+10.21+13.07</f>
        <v>-260.93000000000006</v>
      </c>
      <c r="H85" s="40">
        <f t="shared" si="15"/>
        <v>45944483.780000001</v>
      </c>
      <c r="I85" s="127"/>
      <c r="J85" s="1">
        <f>46052548.87-108065.09</f>
        <v>45944483.779999994</v>
      </c>
      <c r="K85" s="1">
        <f t="shared" si="9"/>
        <v>0</v>
      </c>
      <c r="L85" s="9" t="s">
        <v>85</v>
      </c>
      <c r="M85" s="10">
        <v>43654</v>
      </c>
    </row>
    <row r="86" spans="1:13" hidden="1">
      <c r="A86" s="39">
        <f>'FERC Interest Rates'!A88</f>
        <v>43677</v>
      </c>
      <c r="B86" s="121"/>
      <c r="C86" s="121"/>
      <c r="D86" s="1">
        <v>-71659.929999999993</v>
      </c>
      <c r="E86" s="121"/>
      <c r="F86" s="1">
        <f t="shared" si="16"/>
        <v>214617.38</v>
      </c>
      <c r="G86" s="1">
        <f>-14.52-552.75-8.55-6.3-456.98-840.38-313.65</f>
        <v>-2193.13</v>
      </c>
      <c r="H86" s="40">
        <f t="shared" si="15"/>
        <v>46085248.100000001</v>
      </c>
      <c r="I86" s="127"/>
      <c r="J86" s="1">
        <v>46085248.100000001</v>
      </c>
      <c r="K86" s="1">
        <f t="shared" si="9"/>
        <v>0</v>
      </c>
      <c r="L86" s="9" t="s">
        <v>85</v>
      </c>
      <c r="M86" s="10">
        <v>43685</v>
      </c>
    </row>
    <row r="87" spans="1:13" hidden="1">
      <c r="A87" s="39">
        <f>'FERC Interest Rates'!A89</f>
        <v>43708</v>
      </c>
      <c r="B87" s="121"/>
      <c r="C87" s="121"/>
      <c r="D87" s="1">
        <f>-314.96-61.04-314.96+314.96+61.04+473954.35</f>
        <v>473639.38999999996</v>
      </c>
      <c r="E87" s="121"/>
      <c r="F87" s="1">
        <f t="shared" si="16"/>
        <v>215274.93</v>
      </c>
      <c r="G87" s="1">
        <f>-80.88-348.5-291.15-1200.6-186.75</f>
        <v>-2107.88</v>
      </c>
      <c r="H87" s="40">
        <f t="shared" si="15"/>
        <v>46772054.539999999</v>
      </c>
      <c r="I87" s="127"/>
      <c r="J87" s="1">
        <f>46298100.19+473954.35</f>
        <v>46772054.539999999</v>
      </c>
      <c r="K87" s="1">
        <f t="shared" si="9"/>
        <v>0</v>
      </c>
      <c r="L87" s="9" t="s">
        <v>85</v>
      </c>
      <c r="M87" s="10">
        <v>43717</v>
      </c>
    </row>
    <row r="88" spans="1:13" hidden="1">
      <c r="A88" s="39">
        <f>'FERC Interest Rates'!A90</f>
        <v>43738</v>
      </c>
      <c r="B88" s="121"/>
      <c r="C88" s="121"/>
      <c r="D88" s="1">
        <v>-198684.5</v>
      </c>
      <c r="E88" s="121"/>
      <c r="F88" s="1">
        <f t="shared" si="16"/>
        <v>211435.32</v>
      </c>
      <c r="G88" s="1">
        <f>-277176.87+198684.5+120</f>
        <v>-78372.37</v>
      </c>
      <c r="H88" s="40">
        <f t="shared" si="15"/>
        <v>46706432.990000002</v>
      </c>
      <c r="I88" s="127"/>
      <c r="J88" s="1">
        <v>46706432.990000002</v>
      </c>
      <c r="K88" s="1">
        <f t="shared" si="9"/>
        <v>0</v>
      </c>
      <c r="L88" s="9" t="s">
        <v>85</v>
      </c>
      <c r="M88" s="10">
        <v>43746</v>
      </c>
    </row>
    <row r="89" spans="1:13" hidden="1">
      <c r="A89" s="39">
        <f>'FERC Interest Rates'!A91</f>
        <v>43769</v>
      </c>
      <c r="B89" s="121"/>
      <c r="C89" s="121"/>
      <c r="D89" s="1">
        <v>1771461.07</v>
      </c>
      <c r="E89" s="121"/>
      <c r="F89" s="1">
        <f t="shared" si="16"/>
        <v>215003.15</v>
      </c>
      <c r="G89" s="1">
        <f>-13719.81+117.62</f>
        <v>-13602.189999999999</v>
      </c>
      <c r="H89" s="40">
        <f t="shared" si="15"/>
        <v>48679295.020000003</v>
      </c>
      <c r="I89" s="127"/>
      <c r="J89" s="1">
        <v>48679295.020000003</v>
      </c>
      <c r="K89" s="1">
        <f t="shared" si="9"/>
        <v>0</v>
      </c>
      <c r="L89" s="9" t="s">
        <v>85</v>
      </c>
      <c r="M89" s="10">
        <v>43777</v>
      </c>
    </row>
    <row r="90" spans="1:13" hidden="1">
      <c r="A90" s="560" t="s">
        <v>88</v>
      </c>
      <c r="B90" s="560"/>
      <c r="C90" s="560"/>
      <c r="D90" s="560"/>
      <c r="E90" s="560"/>
      <c r="F90" s="560"/>
      <c r="G90" s="1">
        <v>-46723924.869999997</v>
      </c>
      <c r="H90" s="40">
        <f>+H89+G90</f>
        <v>1955370.150000006</v>
      </c>
      <c r="I90" s="127"/>
      <c r="M90" s="10"/>
    </row>
    <row r="91" spans="1:13" hidden="1">
      <c r="A91" s="39">
        <f>'FERC Interest Rates'!A92</f>
        <v>43799</v>
      </c>
      <c r="B91" s="121"/>
      <c r="C91" s="121"/>
      <c r="D91" s="1">
        <f>2604231.94-84822.71</f>
        <v>2519409.23</v>
      </c>
      <c r="E91" s="121"/>
      <c r="F91" s="1">
        <f>ROUND(H90*VLOOKUP(A91,FERCINT19,2)/365*VLOOKUP(A91,FERCINT19,3),2)</f>
        <v>8710.77</v>
      </c>
      <c r="G91" s="1">
        <f>-46823558.58+46723924.87+552.75</f>
        <v>-99080.960000000894</v>
      </c>
      <c r="H91" s="40">
        <f>H90+SUM(D91:G91)</f>
        <v>4384409.1900000051</v>
      </c>
      <c r="I91" s="127"/>
      <c r="J91" s="1">
        <v>4384409.1900000004</v>
      </c>
      <c r="K91" s="1">
        <f t="shared" ref="K91:K115" si="17">H91-J91</f>
        <v>0</v>
      </c>
      <c r="L91" s="9" t="s">
        <v>85</v>
      </c>
      <c r="M91" s="10">
        <v>43812</v>
      </c>
    </row>
    <row r="92" spans="1:13" hidden="1">
      <c r="A92" s="39">
        <f>'FERC Interest Rates'!A93</f>
        <v>43830</v>
      </c>
      <c r="B92" s="121"/>
      <c r="C92" s="121"/>
      <c r="D92" s="1">
        <v>7443113.8300000001</v>
      </c>
      <c r="E92" s="121"/>
      <c r="F92" s="1">
        <f t="shared" ref="F92" si="18">ROUND(H91*VLOOKUP(A92,FERCINT19,2)/365*VLOOKUP(A92,FERCINT19,3),2)</f>
        <v>20182.7</v>
      </c>
      <c r="G92" s="1">
        <f>-393497.4+2545.2</f>
        <v>-390952.2</v>
      </c>
      <c r="H92" s="40">
        <f t="shared" ref="H92:H115" si="19">H91+SUM(D92:G92)</f>
        <v>11456753.520000005</v>
      </c>
      <c r="I92" s="127"/>
      <c r="J92" s="1">
        <v>11456753.52</v>
      </c>
      <c r="K92" s="1">
        <f t="shared" si="17"/>
        <v>0</v>
      </c>
      <c r="L92" s="9" t="s">
        <v>85</v>
      </c>
      <c r="M92" s="10">
        <v>43838</v>
      </c>
    </row>
    <row r="93" spans="1:13" hidden="1">
      <c r="A93" s="39">
        <f>'FERC Interest Rates'!A94</f>
        <v>43861</v>
      </c>
      <c r="B93" s="121"/>
      <c r="C93" s="121"/>
      <c r="D93" s="1">
        <v>3722203.31</v>
      </c>
      <c r="E93" s="121"/>
      <c r="F93" s="1">
        <f t="shared" ref="F93:F105" si="20">ROUND(H92*VLOOKUP(A93,FERCINT20,2)/365*VLOOKUP(A93,FERCINT20,3),2)</f>
        <v>48262.75</v>
      </c>
      <c r="G93" s="1">
        <f>339730-356181.16</f>
        <v>-16451.159999999974</v>
      </c>
      <c r="H93" s="40">
        <f t="shared" si="19"/>
        <v>15210768.420000006</v>
      </c>
      <c r="I93" s="127"/>
      <c r="J93" s="1">
        <v>15210768.42</v>
      </c>
      <c r="K93" s="1">
        <f t="shared" si="17"/>
        <v>0</v>
      </c>
      <c r="L93" s="9" t="s">
        <v>85</v>
      </c>
      <c r="M93" s="10">
        <v>43880</v>
      </c>
    </row>
    <row r="94" spans="1:13" hidden="1">
      <c r="A94" s="39">
        <f>'FERC Interest Rates'!A95</f>
        <v>43890</v>
      </c>
      <c r="B94" s="121"/>
      <c r="C94" s="121"/>
      <c r="D94" s="1">
        <v>1056427.6399999999</v>
      </c>
      <c r="E94" s="121"/>
      <c r="F94" s="1">
        <f t="shared" si="20"/>
        <v>59942.93</v>
      </c>
      <c r="G94" s="1">
        <f>-105944.03+0.56+180+3890</f>
        <v>-101873.47</v>
      </c>
      <c r="H94" s="40">
        <f t="shared" si="19"/>
        <v>16225265.520000005</v>
      </c>
      <c r="I94" s="127"/>
      <c r="J94" s="1">
        <v>16225265.52</v>
      </c>
      <c r="K94" s="1">
        <f t="shared" si="17"/>
        <v>0</v>
      </c>
      <c r="L94" s="9" t="s">
        <v>85</v>
      </c>
      <c r="M94" s="10">
        <v>43899</v>
      </c>
    </row>
    <row r="95" spans="1:13" hidden="1">
      <c r="A95" s="39">
        <f>'FERC Interest Rates'!A96</f>
        <v>43921</v>
      </c>
      <c r="B95" s="121"/>
      <c r="C95" s="121"/>
      <c r="D95" s="1">
        <v>-965632.06</v>
      </c>
      <c r="E95" s="121"/>
      <c r="F95" s="1">
        <f t="shared" si="20"/>
        <v>68350.600000000006</v>
      </c>
      <c r="G95" s="1">
        <f>-470.48-39.21-1045.5</f>
        <v>-1555.19</v>
      </c>
      <c r="H95" s="40">
        <f t="shared" si="19"/>
        <v>15326428.870000005</v>
      </c>
      <c r="I95" s="127"/>
      <c r="J95" s="1">
        <v>15326428.869999999</v>
      </c>
      <c r="K95" s="1">
        <f t="shared" si="17"/>
        <v>0</v>
      </c>
      <c r="L95" s="9" t="s">
        <v>85</v>
      </c>
      <c r="M95" s="10">
        <v>43929</v>
      </c>
    </row>
    <row r="96" spans="1:13" hidden="1">
      <c r="A96" s="39">
        <f>'FERC Interest Rates'!A97</f>
        <v>43951</v>
      </c>
      <c r="B96" s="121"/>
      <c r="C96" s="121"/>
      <c r="D96" s="1">
        <v>-1245846.81</v>
      </c>
      <c r="E96" s="121"/>
      <c r="F96" s="1">
        <f t="shared" si="20"/>
        <v>59836.06</v>
      </c>
      <c r="G96" s="1">
        <f>-28-42-737-618.3-17.18-545.03-323.39+747</f>
        <v>-1563.9</v>
      </c>
      <c r="H96" s="40">
        <f t="shared" si="19"/>
        <v>14138854.220000004</v>
      </c>
      <c r="I96" s="127"/>
      <c r="J96" s="1">
        <v>14138854.220000001</v>
      </c>
      <c r="K96" s="1">
        <f t="shared" si="17"/>
        <v>0</v>
      </c>
      <c r="L96" s="9" t="s">
        <v>85</v>
      </c>
      <c r="M96" s="10">
        <v>43963</v>
      </c>
    </row>
    <row r="97" spans="1:13" hidden="1">
      <c r="A97" s="39">
        <f>'FERC Interest Rates'!A98</f>
        <v>43982</v>
      </c>
      <c r="B97" s="121"/>
      <c r="C97" s="121"/>
      <c r="D97" s="1">
        <v>-886512.27</v>
      </c>
      <c r="E97" s="121"/>
      <c r="F97" s="1">
        <f t="shared" si="20"/>
        <v>57039.62</v>
      </c>
      <c r="G97" s="1">
        <f>-888655.76+886512.27</f>
        <v>-2143.4899999999907</v>
      </c>
      <c r="H97" s="40">
        <f t="shared" si="19"/>
        <v>13307238.080000004</v>
      </c>
      <c r="I97" s="127"/>
      <c r="J97" s="1">
        <f>14193750.35-886512.27</f>
        <v>13307238.08</v>
      </c>
      <c r="K97" s="1">
        <f t="shared" si="17"/>
        <v>0</v>
      </c>
      <c r="L97" s="9" t="s">
        <v>85</v>
      </c>
      <c r="M97" s="10">
        <v>43990</v>
      </c>
    </row>
    <row r="98" spans="1:13" hidden="1">
      <c r="A98" s="39">
        <f>'FERC Interest Rates'!A99</f>
        <v>44012</v>
      </c>
      <c r="B98" s="121"/>
      <c r="C98" s="121"/>
      <c r="D98" s="1">
        <v>-674060.38</v>
      </c>
      <c r="E98" s="121"/>
      <c r="F98" s="1">
        <f t="shared" si="20"/>
        <v>51952.92</v>
      </c>
      <c r="G98" s="1">
        <v>-4276.38</v>
      </c>
      <c r="H98" s="40">
        <f t="shared" si="19"/>
        <v>12680854.240000004</v>
      </c>
      <c r="I98" s="127"/>
      <c r="J98" s="1">
        <v>12680854.24</v>
      </c>
      <c r="K98" s="1">
        <f t="shared" si="17"/>
        <v>0</v>
      </c>
      <c r="L98" s="9" t="s">
        <v>85</v>
      </c>
      <c r="M98" s="10">
        <v>44020</v>
      </c>
    </row>
    <row r="99" spans="1:13" hidden="1">
      <c r="A99" s="39">
        <f>'FERC Interest Rates'!A100</f>
        <v>44043</v>
      </c>
      <c r="B99" s="121"/>
      <c r="C99" s="121"/>
      <c r="D99" s="1">
        <v>-666024.26</v>
      </c>
      <c r="E99" s="121"/>
      <c r="F99" s="1">
        <f t="shared" si="20"/>
        <v>36941.24</v>
      </c>
      <c r="G99" s="1">
        <f>-5.25-2.42-117.62</f>
        <v>-125.29</v>
      </c>
      <c r="H99" s="40">
        <f t="shared" si="19"/>
        <v>12051645.930000003</v>
      </c>
      <c r="I99" s="127"/>
      <c r="J99" s="1">
        <v>12051645.93</v>
      </c>
      <c r="K99" s="1">
        <f t="shared" si="17"/>
        <v>0</v>
      </c>
      <c r="L99" s="9" t="s">
        <v>85</v>
      </c>
      <c r="M99" s="10">
        <v>44053</v>
      </c>
    </row>
    <row r="100" spans="1:13" hidden="1">
      <c r="A100" s="39">
        <f>'FERC Interest Rates'!A101</f>
        <v>44074</v>
      </c>
      <c r="B100" s="121"/>
      <c r="C100" s="121"/>
      <c r="D100" s="1">
        <v>-413067.49</v>
      </c>
      <c r="E100" s="121"/>
      <c r="F100" s="1">
        <f t="shared" si="20"/>
        <v>35108.26</v>
      </c>
      <c r="G100" s="1">
        <f>-363.94+112.56</f>
        <v>-251.38</v>
      </c>
      <c r="H100" s="40">
        <f t="shared" si="19"/>
        <v>11673435.320000004</v>
      </c>
      <c r="I100" s="127"/>
      <c r="J100" s="1">
        <f>12086502.81-413067.49</f>
        <v>11673435.32</v>
      </c>
      <c r="K100" s="1">
        <f t="shared" si="17"/>
        <v>0</v>
      </c>
      <c r="L100" s="9" t="s">
        <v>85</v>
      </c>
      <c r="M100" s="10">
        <v>44084</v>
      </c>
    </row>
    <row r="101" spans="1:13" hidden="1">
      <c r="A101" s="39">
        <f>'FERC Interest Rates'!A102</f>
        <v>44104</v>
      </c>
      <c r="B101" s="121"/>
      <c r="C101" s="121"/>
      <c r="D101" s="1">
        <v>-213096.86</v>
      </c>
      <c r="E101" s="121"/>
      <c r="F101" s="1">
        <f t="shared" si="20"/>
        <v>32909.49</v>
      </c>
      <c r="G101" s="1">
        <f>-232.45-1.94-1295.3-17.43-354.42-4.97-17.51</f>
        <v>-1924.0200000000002</v>
      </c>
      <c r="H101" s="40">
        <f t="shared" si="19"/>
        <v>11491323.930000003</v>
      </c>
      <c r="I101" s="127"/>
      <c r="J101" s="1">
        <v>11491323.93</v>
      </c>
      <c r="K101" s="1">
        <f t="shared" si="17"/>
        <v>0</v>
      </c>
      <c r="L101" s="9" t="s">
        <v>85</v>
      </c>
      <c r="M101" s="10">
        <v>44111</v>
      </c>
    </row>
    <row r="102" spans="1:13" hidden="1">
      <c r="A102" s="39">
        <f>'FERC Interest Rates'!A103</f>
        <v>44135</v>
      </c>
      <c r="B102" s="121"/>
      <c r="C102" s="121"/>
      <c r="D102" s="1">
        <v>86188.21</v>
      </c>
      <c r="E102" s="121"/>
      <c r="F102" s="1">
        <f t="shared" si="20"/>
        <v>31719.200000000001</v>
      </c>
      <c r="G102" s="1">
        <v>-6085.13</v>
      </c>
      <c r="H102" s="40">
        <f t="shared" si="19"/>
        <v>11603146.210000003</v>
      </c>
      <c r="I102" s="127"/>
      <c r="J102" s="1">
        <v>11603146.210000001</v>
      </c>
      <c r="K102" s="1">
        <f t="shared" si="17"/>
        <v>0</v>
      </c>
      <c r="L102" s="9" t="s">
        <v>85</v>
      </c>
      <c r="M102" s="10">
        <v>44141</v>
      </c>
    </row>
    <row r="103" spans="1:13" hidden="1">
      <c r="A103" s="560" t="s">
        <v>88</v>
      </c>
      <c r="B103" s="560"/>
      <c r="C103" s="560"/>
      <c r="D103" s="560"/>
      <c r="E103" s="560"/>
      <c r="F103" s="560"/>
      <c r="G103" s="1">
        <v>-12154285.710000001</v>
      </c>
      <c r="H103" s="40">
        <f t="shared" si="19"/>
        <v>-551139.49999999814</v>
      </c>
      <c r="I103" s="127"/>
      <c r="M103" s="10"/>
    </row>
    <row r="104" spans="1:13" hidden="1">
      <c r="A104" s="39">
        <f>'FERC Interest Rates'!A104</f>
        <v>44165</v>
      </c>
      <c r="B104" s="121"/>
      <c r="C104" s="121"/>
      <c r="D104" s="1">
        <v>1863900.71</v>
      </c>
      <c r="E104" s="121"/>
      <c r="F104" s="1">
        <f t="shared" si="20"/>
        <v>-1472.22</v>
      </c>
      <c r="G104" s="1">
        <f>-126.04-10.65-2.27-168.08-7.46+426.97-72.79-4391.1-26.14+1196.89+476.13</f>
        <v>-2704.54</v>
      </c>
      <c r="H104" s="40">
        <f t="shared" si="19"/>
        <v>1308584.4500000018</v>
      </c>
      <c r="I104" s="127"/>
      <c r="J104" s="1">
        <v>1308584.45</v>
      </c>
      <c r="K104" s="1">
        <f t="shared" si="17"/>
        <v>1.862645149230957E-9</v>
      </c>
      <c r="L104" s="9" t="s">
        <v>85</v>
      </c>
      <c r="M104" s="10">
        <v>44173</v>
      </c>
    </row>
    <row r="105" spans="1:13" hidden="1">
      <c r="A105" s="39">
        <f>'FERC Interest Rates'!A105</f>
        <v>44196</v>
      </c>
      <c r="B105" s="121"/>
      <c r="C105" s="121"/>
      <c r="D105" s="1">
        <v>3091481.65</v>
      </c>
      <c r="E105" s="121"/>
      <c r="F105" s="1">
        <f t="shared" si="20"/>
        <v>3612.05</v>
      </c>
      <c r="G105" s="1">
        <f>-15.09-2.86-3.68-3761.1-246.15</f>
        <v>-4028.88</v>
      </c>
      <c r="H105" s="40">
        <f t="shared" si="19"/>
        <v>4399649.2700000014</v>
      </c>
      <c r="I105" s="127"/>
      <c r="J105" s="1">
        <v>4399649.2699999996</v>
      </c>
      <c r="K105" s="1">
        <f t="shared" si="17"/>
        <v>0</v>
      </c>
      <c r="L105" s="9" t="s">
        <v>85</v>
      </c>
      <c r="M105" s="10">
        <v>44204</v>
      </c>
    </row>
    <row r="106" spans="1:13" hidden="1">
      <c r="A106" s="39">
        <f>'FERC Interest Rates'!A106</f>
        <v>44227</v>
      </c>
      <c r="B106" s="121"/>
      <c r="C106" s="121"/>
      <c r="D106" s="1">
        <v>2345649.2000000002</v>
      </c>
      <c r="E106" s="121"/>
      <c r="F106" s="1">
        <f t="shared" ref="F106:F115" si="21">ROUND(H105*VLOOKUP(A106,FERCINT21,2)/365*VLOOKUP(A106,FERCINT21,3),2)</f>
        <v>12144.24</v>
      </c>
      <c r="G106" s="1">
        <v>0</v>
      </c>
      <c r="H106" s="40">
        <f t="shared" si="19"/>
        <v>6757442.7100000018</v>
      </c>
      <c r="I106" s="127"/>
      <c r="J106" s="1">
        <v>6757442.71</v>
      </c>
      <c r="K106" s="1">
        <f t="shared" si="17"/>
        <v>0</v>
      </c>
      <c r="L106" s="9" t="s">
        <v>85</v>
      </c>
      <c r="M106" s="10">
        <v>44236</v>
      </c>
    </row>
    <row r="107" spans="1:13" hidden="1">
      <c r="A107" s="39">
        <f>'FERC Interest Rates'!A107</f>
        <v>44255</v>
      </c>
      <c r="B107" s="121"/>
      <c r="C107" s="121"/>
      <c r="D107" s="1">
        <v>670189.91</v>
      </c>
      <c r="E107" s="121"/>
      <c r="F107" s="1">
        <f t="shared" si="21"/>
        <v>16847.32</v>
      </c>
      <c r="G107" s="1">
        <f>-10089.63+3761.1</f>
        <v>-6328.5299999999988</v>
      </c>
      <c r="H107" s="40">
        <f t="shared" si="19"/>
        <v>7438151.410000002</v>
      </c>
      <c r="I107" s="127"/>
      <c r="J107" s="1">
        <v>7438151.4100000001</v>
      </c>
      <c r="K107" s="1">
        <f t="shared" si="17"/>
        <v>0</v>
      </c>
      <c r="L107" s="9" t="s">
        <v>85</v>
      </c>
      <c r="M107" s="10">
        <v>44263</v>
      </c>
    </row>
    <row r="108" spans="1:13" hidden="1">
      <c r="A108" s="39">
        <f>'FERC Interest Rates'!A108</f>
        <v>44286</v>
      </c>
      <c r="B108" s="121"/>
      <c r="C108" s="121"/>
      <c r="D108" s="1">
        <v>1002581.35</v>
      </c>
      <c r="E108" s="121"/>
      <c r="F108" s="1">
        <f t="shared" si="21"/>
        <v>20531.34</v>
      </c>
      <c r="G108" s="1">
        <v>-915172.19</v>
      </c>
      <c r="H108" s="40">
        <f t="shared" si="19"/>
        <v>7546091.910000002</v>
      </c>
      <c r="I108" s="127"/>
      <c r="J108" s="1">
        <v>7546091.9100000001</v>
      </c>
      <c r="K108" s="1">
        <f t="shared" si="17"/>
        <v>0</v>
      </c>
      <c r="L108" s="9" t="s">
        <v>85</v>
      </c>
      <c r="M108" s="10">
        <v>44294</v>
      </c>
    </row>
    <row r="109" spans="1:13" hidden="1">
      <c r="A109" s="39">
        <f>'FERC Interest Rates'!A109</f>
        <v>44316</v>
      </c>
      <c r="B109" s="121"/>
      <c r="C109" s="121"/>
      <c r="D109" s="1">
        <v>-62818.49</v>
      </c>
      <c r="E109" s="121"/>
      <c r="F109" s="1">
        <f t="shared" si="21"/>
        <v>20157.37</v>
      </c>
      <c r="G109" s="1">
        <f>-119.31-940</f>
        <v>-1059.31</v>
      </c>
      <c r="H109" s="40">
        <f t="shared" si="19"/>
        <v>7502371.4800000023</v>
      </c>
      <c r="I109" s="127"/>
      <c r="J109" s="1">
        <v>7502371.4800000004</v>
      </c>
      <c r="K109" s="1">
        <f t="shared" si="17"/>
        <v>0</v>
      </c>
      <c r="L109" s="9" t="s">
        <v>85</v>
      </c>
      <c r="M109" s="10">
        <v>44326</v>
      </c>
    </row>
    <row r="110" spans="1:13" hidden="1">
      <c r="A110" s="39">
        <f>'FERC Interest Rates'!A110</f>
        <v>44347</v>
      </c>
      <c r="B110" s="121"/>
      <c r="C110" s="121"/>
      <c r="D110" s="1">
        <v>30813.07</v>
      </c>
      <c r="E110" s="121"/>
      <c r="F110" s="1">
        <f t="shared" si="21"/>
        <v>20708.599999999999</v>
      </c>
      <c r="G110" s="1">
        <f>-1854.85+56.63</f>
        <v>-1798.2199999999998</v>
      </c>
      <c r="H110" s="40">
        <f t="shared" si="19"/>
        <v>7552094.9300000025</v>
      </c>
      <c r="I110" s="127"/>
      <c r="J110" s="1">
        <v>7552094.9299999997</v>
      </c>
      <c r="K110" s="1">
        <f t="shared" si="17"/>
        <v>0</v>
      </c>
      <c r="L110" s="9" t="s">
        <v>85</v>
      </c>
      <c r="M110" s="10">
        <v>44355</v>
      </c>
    </row>
    <row r="111" spans="1:13" hidden="1">
      <c r="A111" s="39">
        <f>'FERC Interest Rates'!A111</f>
        <v>44377</v>
      </c>
      <c r="B111" s="121"/>
      <c r="C111" s="121"/>
      <c r="D111" s="1">
        <v>191543.67999999999</v>
      </c>
      <c r="E111" s="121"/>
      <c r="F111" s="1">
        <f t="shared" si="21"/>
        <v>20173.400000000001</v>
      </c>
      <c r="G111" s="1">
        <f>-262.38+19.32</f>
        <v>-243.06</v>
      </c>
      <c r="H111" s="40">
        <f t="shared" si="19"/>
        <v>7763568.950000002</v>
      </c>
      <c r="I111" s="127"/>
      <c r="J111" s="1">
        <v>7763568.9500000002</v>
      </c>
      <c r="K111" s="1">
        <f t="shared" si="17"/>
        <v>0</v>
      </c>
      <c r="L111" s="9" t="s">
        <v>85</v>
      </c>
      <c r="M111" s="10">
        <v>44386</v>
      </c>
    </row>
    <row r="112" spans="1:13" hidden="1">
      <c r="A112" s="39">
        <f>'FERC Interest Rates'!A112</f>
        <v>44408</v>
      </c>
      <c r="B112" s="121"/>
      <c r="C112" s="121"/>
      <c r="D112" s="1">
        <v>-213097.11</v>
      </c>
      <c r="E112" s="121"/>
      <c r="F112" s="1">
        <f t="shared" si="21"/>
        <v>21429.58</v>
      </c>
      <c r="G112" s="1">
        <f>-7.35-686.55-587.4-460.02</f>
        <v>-1741.32</v>
      </c>
      <c r="H112" s="40">
        <f t="shared" si="19"/>
        <v>7570160.1000000024</v>
      </c>
      <c r="I112" s="127"/>
      <c r="J112" s="1">
        <v>7570160.0999999996</v>
      </c>
      <c r="K112" s="1">
        <f t="shared" si="17"/>
        <v>0</v>
      </c>
      <c r="L112" s="9" t="s">
        <v>85</v>
      </c>
      <c r="M112" s="10">
        <v>44417</v>
      </c>
    </row>
    <row r="113" spans="1:14" hidden="1">
      <c r="A113" s="39">
        <f>'FERC Interest Rates'!A113</f>
        <v>44439</v>
      </c>
      <c r="B113" s="121"/>
      <c r="C113" s="121"/>
      <c r="D113" s="1">
        <v>974090.32</v>
      </c>
      <c r="E113" s="121"/>
      <c r="F113" s="1">
        <f t="shared" si="21"/>
        <v>20895.72</v>
      </c>
      <c r="G113" s="1">
        <f>-6697.31+30353.46</f>
        <v>23656.149999999998</v>
      </c>
      <c r="H113" s="40">
        <f t="shared" si="19"/>
        <v>8588802.2900000028</v>
      </c>
      <c r="I113" s="127"/>
      <c r="J113" s="1">
        <v>8588802.2899999991</v>
      </c>
      <c r="K113" s="1">
        <f t="shared" si="17"/>
        <v>0</v>
      </c>
      <c r="L113" s="9" t="s">
        <v>85</v>
      </c>
      <c r="M113" s="10">
        <v>44448</v>
      </c>
    </row>
    <row r="114" spans="1:14" hidden="1">
      <c r="A114" s="39">
        <f>'FERC Interest Rates'!A114</f>
        <v>44469</v>
      </c>
      <c r="B114" s="121"/>
      <c r="C114" s="121"/>
      <c r="D114" s="1">
        <v>1457121.05</v>
      </c>
      <c r="E114" s="121"/>
      <c r="F114" s="1">
        <f t="shared" si="21"/>
        <v>22942.69</v>
      </c>
      <c r="G114" s="1">
        <f>-587.8+3.59+3.22</f>
        <v>-580.9899999999999</v>
      </c>
      <c r="H114" s="40">
        <f t="shared" si="19"/>
        <v>10068285.040000003</v>
      </c>
      <c r="I114" s="127"/>
      <c r="J114" s="1">
        <v>10068285.039999999</v>
      </c>
      <c r="K114" s="1">
        <f t="shared" si="17"/>
        <v>0</v>
      </c>
      <c r="L114" s="9" t="s">
        <v>85</v>
      </c>
      <c r="M114" s="10">
        <v>44476</v>
      </c>
    </row>
    <row r="115" spans="1:14" hidden="1">
      <c r="A115" s="39">
        <f>'FERC Interest Rates'!A115</f>
        <v>44500</v>
      </c>
      <c r="B115" s="121"/>
      <c r="C115" s="121"/>
      <c r="D115" s="1">
        <v>2835435.04</v>
      </c>
      <c r="E115" s="121"/>
      <c r="F115" s="1">
        <f t="shared" si="21"/>
        <v>27791.23</v>
      </c>
      <c r="G115" s="1">
        <v>-281.81</v>
      </c>
      <c r="H115" s="40">
        <f t="shared" si="19"/>
        <v>12931229.500000004</v>
      </c>
      <c r="I115" s="127"/>
      <c r="J115" s="1">
        <v>12931229.5</v>
      </c>
      <c r="K115" s="1">
        <f t="shared" si="17"/>
        <v>0</v>
      </c>
      <c r="L115" s="9" t="s">
        <v>85</v>
      </c>
      <c r="M115" s="10">
        <v>44505</v>
      </c>
    </row>
    <row r="116" spans="1:14" hidden="1">
      <c r="A116" s="560" t="s">
        <v>89</v>
      </c>
      <c r="B116" s="560"/>
      <c r="C116" s="560"/>
      <c r="D116" s="560"/>
      <c r="E116" s="560"/>
      <c r="F116" s="560"/>
      <c r="G116" s="1">
        <v>-7632342.6699999999</v>
      </c>
      <c r="H116" s="40">
        <f t="shared" ref="H116:H117" si="22">H115+SUM(D116:G116)</f>
        <v>5298886.8300000038</v>
      </c>
      <c r="I116" s="127"/>
      <c r="M116" s="10"/>
    </row>
    <row r="117" spans="1:14" hidden="1">
      <c r="A117" s="39">
        <f>'FERC Interest Rates'!A116</f>
        <v>44530</v>
      </c>
      <c r="B117" s="121"/>
      <c r="C117" s="121"/>
      <c r="D117" s="1">
        <v>3941343.24</v>
      </c>
      <c r="E117" s="121"/>
      <c r="F117" s="1">
        <f t="shared" ref="F117" si="23">ROUND(H116*VLOOKUP(A117,FERCINT21,2)/365*VLOOKUP(A117,FERCINT21,3),2)</f>
        <v>14154.56</v>
      </c>
      <c r="G117" s="1">
        <f>-72.79-417.15-100.83-5.05-119.52-19.7</f>
        <v>-735.04</v>
      </c>
      <c r="H117" s="40">
        <f t="shared" si="22"/>
        <v>9253649.5900000036</v>
      </c>
      <c r="I117" s="127"/>
      <c r="J117" s="1">
        <v>9253649.5899999999</v>
      </c>
      <c r="K117" s="1">
        <f t="shared" ref="K117" si="24">H117-J117</f>
        <v>0</v>
      </c>
      <c r="L117" s="9" t="s">
        <v>85</v>
      </c>
      <c r="M117" s="10">
        <v>44539</v>
      </c>
    </row>
    <row r="118" spans="1:14" hidden="1">
      <c r="A118" s="39">
        <f>'FERC Interest Rates'!A117</f>
        <v>44561</v>
      </c>
      <c r="B118" s="121"/>
      <c r="C118" s="121"/>
      <c r="D118" s="1">
        <v>8491383.3000000007</v>
      </c>
      <c r="E118" s="121"/>
      <c r="F118" s="1">
        <f t="shared" ref="F118" si="25">ROUND(H117*VLOOKUP(A118,FERCINT21,2)/365*VLOOKUP(A118,FERCINT21,3),2)</f>
        <v>25542.61</v>
      </c>
      <c r="G118" s="1">
        <v>-277</v>
      </c>
      <c r="H118" s="40">
        <f t="shared" ref="H118:H119" si="26">H117+SUM(D118:G118)</f>
        <v>17770298.500000004</v>
      </c>
      <c r="I118" s="127"/>
      <c r="J118" s="1">
        <v>17770298.5</v>
      </c>
      <c r="K118" s="1">
        <f t="shared" ref="K118:K119" si="27">H118-J118</f>
        <v>0</v>
      </c>
      <c r="L118" s="9" t="s">
        <v>85</v>
      </c>
      <c r="M118" s="10">
        <v>44872</v>
      </c>
    </row>
    <row r="119" spans="1:14" hidden="1">
      <c r="A119" s="39">
        <f>'FERC Interest Rates'!A118</f>
        <v>44592</v>
      </c>
      <c r="B119" s="121"/>
      <c r="C119" s="121"/>
      <c r="D119" s="1">
        <v>8995285.6400000006</v>
      </c>
      <c r="E119" s="121"/>
      <c r="F119" s="1">
        <f t="shared" ref="F119:F132" si="28">ROUND(H118*VLOOKUP(A119,FERCINT22,2)/365*VLOOKUP(A119,FERCINT22,3),2)</f>
        <v>49050.89</v>
      </c>
      <c r="G119" s="1">
        <f>-462307.23+4820.88+147.07</f>
        <v>-457339.27999999997</v>
      </c>
      <c r="H119" s="40">
        <f t="shared" si="26"/>
        <v>26357295.750000007</v>
      </c>
      <c r="I119" s="127"/>
      <c r="J119" s="1">
        <v>26357295.75</v>
      </c>
      <c r="K119" s="1">
        <f t="shared" si="27"/>
        <v>0</v>
      </c>
      <c r="L119" s="9" t="s">
        <v>85</v>
      </c>
      <c r="M119" s="10">
        <v>44600</v>
      </c>
    </row>
    <row r="120" spans="1:14" hidden="1">
      <c r="A120" s="39">
        <f>'FERC Interest Rates'!A119</f>
        <v>44620</v>
      </c>
      <c r="B120" s="121"/>
      <c r="C120" s="121"/>
      <c r="D120" s="1">
        <f>4060515.8+45479.71</f>
        <v>4105995.51</v>
      </c>
      <c r="E120" s="121"/>
      <c r="F120" s="1">
        <f t="shared" si="28"/>
        <v>65712.710000000006</v>
      </c>
      <c r="G120" s="1">
        <f>-138824.18+174.25</f>
        <v>-138649.93</v>
      </c>
      <c r="H120" s="40">
        <f t="shared" ref="H120:H129" si="29">H119+SUM(D120:G120)</f>
        <v>30390354.040000007</v>
      </c>
      <c r="I120" s="127"/>
      <c r="J120" s="1">
        <v>30344874.329999998</v>
      </c>
      <c r="K120" s="1">
        <f t="shared" ref="K120:K154" si="30">H120-J120</f>
        <v>45479.710000008345</v>
      </c>
      <c r="L120" s="9" t="s">
        <v>85</v>
      </c>
      <c r="M120" s="10">
        <v>44627</v>
      </c>
    </row>
    <row r="121" spans="1:14" hidden="1">
      <c r="A121" s="39">
        <f>'FERC Interest Rates'!A120</f>
        <v>44651</v>
      </c>
      <c r="B121" s="121"/>
      <c r="C121" s="121"/>
      <c r="D121" s="1">
        <f>-1.66+2003206.98+30904.35</f>
        <v>2034109.6700000002</v>
      </c>
      <c r="E121" s="121"/>
      <c r="F121" s="1">
        <f t="shared" si="28"/>
        <v>83885.7</v>
      </c>
      <c r="G121" s="1">
        <f>-960.55-545.25-492.53-14.19-42.22+492.53</f>
        <v>-1562.2099999999998</v>
      </c>
      <c r="H121" s="40">
        <f t="shared" si="29"/>
        <v>32506787.200000007</v>
      </c>
      <c r="I121" s="127"/>
      <c r="J121" s="1">
        <v>32430277.609999999</v>
      </c>
      <c r="K121" s="1">
        <f t="shared" si="30"/>
        <v>76509.590000007302</v>
      </c>
      <c r="L121" s="9" t="s">
        <v>85</v>
      </c>
      <c r="M121" s="10">
        <v>44658</v>
      </c>
    </row>
    <row r="122" spans="1:14" hidden="1">
      <c r="A122" s="39">
        <f>'FERC Interest Rates'!A121</f>
        <v>44681</v>
      </c>
      <c r="B122" s="121"/>
      <c r="C122" s="121"/>
      <c r="D122" s="1">
        <f>3639684.49+36132.19</f>
        <v>3675816.68</v>
      </c>
      <c r="E122" s="121"/>
      <c r="F122" s="1">
        <f t="shared" si="28"/>
        <v>86833.2</v>
      </c>
      <c r="G122" s="1">
        <v>-313.64999999999998</v>
      </c>
      <c r="H122" s="40">
        <f t="shared" si="29"/>
        <v>36269123.430000007</v>
      </c>
      <c r="I122" s="127"/>
      <c r="J122" s="1">
        <v>36156277.270000003</v>
      </c>
      <c r="K122" s="1">
        <f t="shared" si="30"/>
        <v>112846.16000000387</v>
      </c>
      <c r="L122" s="9" t="s">
        <v>85</v>
      </c>
      <c r="M122" s="10">
        <v>44690</v>
      </c>
    </row>
    <row r="123" spans="1:14" hidden="1">
      <c r="A123" s="560" t="s">
        <v>90</v>
      </c>
      <c r="B123" s="560"/>
      <c r="C123" s="560"/>
      <c r="D123" s="560"/>
      <c r="E123" s="560"/>
      <c r="F123" s="560"/>
      <c r="G123" s="1">
        <v>-1888502.14</v>
      </c>
      <c r="H123" s="40">
        <f t="shared" ref="H123" si="31">H122+SUM(D123:G123)</f>
        <v>34380621.290000007</v>
      </c>
      <c r="I123" s="127"/>
      <c r="M123" s="10"/>
    </row>
    <row r="124" spans="1:14" hidden="1">
      <c r="A124" s="39">
        <f>'FERC Interest Rates'!A122</f>
        <v>44712</v>
      </c>
      <c r="B124" s="121"/>
      <c r="C124" s="121"/>
      <c r="D124" s="1">
        <v>3415077.36</v>
      </c>
      <c r="E124" s="121"/>
      <c r="F124" s="1">
        <f>ROUND(H123*VLOOKUP(A124,FERCINT22,2)/365*VLOOKUP(A124,FERCINT22,3),2)</f>
        <v>94899.93</v>
      </c>
      <c r="G124" s="1">
        <f>-23.19-336.15-373.5-140.76-117.62-176.43</f>
        <v>-1167.6499999999999</v>
      </c>
      <c r="H124" s="40">
        <f>H123+SUM(D124:G124)</f>
        <v>37889430.930000007</v>
      </c>
      <c r="I124" s="127"/>
      <c r="J124" s="1">
        <v>37889430.93</v>
      </c>
      <c r="K124" s="1">
        <f t="shared" si="30"/>
        <v>0</v>
      </c>
      <c r="L124" s="9" t="s">
        <v>85</v>
      </c>
      <c r="M124" s="10">
        <v>44719</v>
      </c>
      <c r="N124" s="1" t="s">
        <v>91</v>
      </c>
    </row>
    <row r="125" spans="1:14" hidden="1">
      <c r="A125" s="39">
        <f>'FERC Interest Rates'!A123</f>
        <v>44742</v>
      </c>
      <c r="B125" s="121"/>
      <c r="C125" s="121"/>
      <c r="D125" s="1">
        <v>3098937.13</v>
      </c>
      <c r="E125" s="121"/>
      <c r="F125" s="1">
        <f t="shared" si="28"/>
        <v>101211.49</v>
      </c>
      <c r="G125" s="1">
        <v>-104.57</v>
      </c>
      <c r="H125" s="40">
        <f t="shared" si="29"/>
        <v>41089474.980000004</v>
      </c>
      <c r="I125" s="127"/>
      <c r="J125" s="1">
        <v>41089474.979999997</v>
      </c>
      <c r="K125" s="1">
        <f t="shared" si="30"/>
        <v>0</v>
      </c>
      <c r="L125" s="9" t="s">
        <v>85</v>
      </c>
      <c r="M125" s="10">
        <v>44750</v>
      </c>
    </row>
    <row r="126" spans="1:14" hidden="1">
      <c r="A126" s="39">
        <f>'FERC Interest Rates'!A124</f>
        <v>44773</v>
      </c>
      <c r="B126" s="121"/>
      <c r="C126" s="121"/>
      <c r="D126" s="1">
        <v>1089064.57</v>
      </c>
      <c r="E126" s="121"/>
      <c r="F126" s="1">
        <f t="shared" si="28"/>
        <v>125632.48</v>
      </c>
      <c r="G126" s="1">
        <v>-459.01</v>
      </c>
      <c r="H126" s="40">
        <f t="shared" si="29"/>
        <v>42303713.020000003</v>
      </c>
      <c r="I126" s="127"/>
      <c r="J126" s="1">
        <v>42291498.75</v>
      </c>
      <c r="K126" s="1">
        <f t="shared" si="30"/>
        <v>12214.270000003278</v>
      </c>
      <c r="L126" s="9" t="s">
        <v>85</v>
      </c>
      <c r="M126" s="10">
        <v>44778</v>
      </c>
    </row>
    <row r="127" spans="1:14" hidden="1">
      <c r="A127" s="39">
        <f>'FERC Interest Rates'!A125</f>
        <v>44804</v>
      </c>
      <c r="B127" s="121"/>
      <c r="C127" s="121"/>
      <c r="D127" s="1">
        <v>2312920.9300000002</v>
      </c>
      <c r="E127" s="121"/>
      <c r="F127" s="1">
        <f t="shared" si="28"/>
        <v>129345.05</v>
      </c>
      <c r="G127" s="1">
        <v>-443.34</v>
      </c>
      <c r="H127" s="40">
        <f t="shared" si="29"/>
        <v>44745535.660000004</v>
      </c>
      <c r="I127" s="127"/>
      <c r="J127" s="1">
        <v>44745535.659999996</v>
      </c>
      <c r="K127" s="1">
        <f t="shared" si="30"/>
        <v>0</v>
      </c>
      <c r="L127" s="9" t="s">
        <v>85</v>
      </c>
      <c r="M127" s="10">
        <v>44813</v>
      </c>
    </row>
    <row r="128" spans="1:14" hidden="1">
      <c r="A128" s="39">
        <f>'FERC Interest Rates'!A126</f>
        <v>44834</v>
      </c>
      <c r="B128" s="121"/>
      <c r="C128" s="121"/>
      <c r="D128" s="1">
        <v>3159307.88</v>
      </c>
      <c r="E128" s="121"/>
      <c r="F128" s="1">
        <f t="shared" si="28"/>
        <v>132397.75</v>
      </c>
      <c r="G128" s="1">
        <v>-3009.75</v>
      </c>
      <c r="H128" s="40">
        <f t="shared" si="29"/>
        <v>48034231.540000007</v>
      </c>
      <c r="I128" s="127"/>
      <c r="J128" s="1">
        <v>48034231.539999999</v>
      </c>
      <c r="K128" s="1">
        <f t="shared" si="30"/>
        <v>0</v>
      </c>
      <c r="L128" s="9" t="s">
        <v>85</v>
      </c>
      <c r="M128" s="10">
        <v>44841</v>
      </c>
    </row>
    <row r="129" spans="1:13" hidden="1">
      <c r="A129" s="39">
        <f>'FERC Interest Rates'!A127</f>
        <v>44865</v>
      </c>
      <c r="B129" s="121"/>
      <c r="C129" s="121"/>
      <c r="D129" s="1">
        <v>2458121.14</v>
      </c>
      <c r="E129" s="121"/>
      <c r="F129" s="1">
        <f t="shared" si="28"/>
        <v>200309.33</v>
      </c>
      <c r="G129" s="1">
        <f>-1152.36+104.13+0.95+79.59</f>
        <v>-967.68999999999994</v>
      </c>
      <c r="H129" s="40">
        <f t="shared" si="29"/>
        <v>50691694.320000008</v>
      </c>
      <c r="I129" s="127"/>
      <c r="J129" s="1">
        <v>50691694.32</v>
      </c>
      <c r="K129" s="1">
        <f t="shared" si="30"/>
        <v>0</v>
      </c>
      <c r="L129" s="9" t="s">
        <v>85</v>
      </c>
      <c r="M129" s="10">
        <v>44873</v>
      </c>
    </row>
    <row r="130" spans="1:13" hidden="1">
      <c r="A130" s="560" t="s">
        <v>92</v>
      </c>
      <c r="B130" s="560"/>
      <c r="C130" s="560"/>
      <c r="D130" s="560"/>
      <c r="E130" s="560"/>
      <c r="F130" s="560"/>
      <c r="G130" s="1">
        <v>-42736088.670000002</v>
      </c>
      <c r="H130" s="40">
        <f t="shared" ref="H130:H142" si="32">H129+SUM(D130:G130)</f>
        <v>7955605.650000006</v>
      </c>
      <c r="I130" s="127"/>
      <c r="M130" s="10"/>
    </row>
    <row r="131" spans="1:13" hidden="1">
      <c r="A131" s="39">
        <f>'FERC Interest Rates'!A128</f>
        <v>44895</v>
      </c>
      <c r="B131" s="121"/>
      <c r="C131" s="121"/>
      <c r="D131" s="1">
        <v>5625403.9800000004</v>
      </c>
      <c r="E131" s="121"/>
      <c r="F131" s="1">
        <f t="shared" si="28"/>
        <v>32105.77</v>
      </c>
      <c r="G131" s="1">
        <f>-42817074.38+42736088.67</f>
        <v>-80985.710000000894</v>
      </c>
      <c r="H131" s="40">
        <f t="shared" si="32"/>
        <v>13532129.690000005</v>
      </c>
      <c r="I131" s="127"/>
      <c r="J131" s="1">
        <v>13532129.689999999</v>
      </c>
      <c r="K131" s="1">
        <f t="shared" si="30"/>
        <v>0</v>
      </c>
      <c r="L131" s="9" t="s">
        <v>85</v>
      </c>
      <c r="M131" s="10">
        <v>44903</v>
      </c>
    </row>
    <row r="132" spans="1:13" hidden="1">
      <c r="A132" s="39">
        <f>'FERC Interest Rates'!A129</f>
        <v>44926</v>
      </c>
      <c r="B132" s="121"/>
      <c r="C132" s="121"/>
      <c r="D132" s="1">
        <v>22727179.699999999</v>
      </c>
      <c r="E132" s="121"/>
      <c r="F132" s="1">
        <f t="shared" si="28"/>
        <v>56430.83</v>
      </c>
      <c r="G132" s="1">
        <f>-3005.4+1200</f>
        <v>-1805.4</v>
      </c>
      <c r="H132" s="40">
        <f t="shared" si="32"/>
        <v>36313934.820000008</v>
      </c>
      <c r="I132" s="127"/>
      <c r="J132" s="1">
        <v>36313934.82</v>
      </c>
      <c r="K132" s="1">
        <f t="shared" si="30"/>
        <v>0</v>
      </c>
      <c r="L132" s="9" t="s">
        <v>85</v>
      </c>
      <c r="M132" s="10">
        <v>44936</v>
      </c>
    </row>
    <row r="133" spans="1:13" hidden="1">
      <c r="A133" s="39">
        <f>'FERC Interest Rates'!A130</f>
        <v>44957</v>
      </c>
      <c r="B133" s="121"/>
      <c r="C133" s="121"/>
      <c r="D133" s="1">
        <v>107174977.76000001</v>
      </c>
      <c r="E133" s="121"/>
      <c r="F133" s="1">
        <f t="shared" ref="F133:F145" si="33">ROUND(H132*VLOOKUP(A133,FERCINT23,2)/365*VLOOKUP(A133,FERCINT23,3),2)</f>
        <v>194612.84</v>
      </c>
      <c r="G133" s="1">
        <v>-368407.26</v>
      </c>
      <c r="H133" s="40">
        <f t="shared" si="32"/>
        <v>143315118.16000003</v>
      </c>
      <c r="I133" s="127"/>
      <c r="J133" s="1">
        <v>143315118.16</v>
      </c>
      <c r="K133" s="1">
        <f t="shared" si="30"/>
        <v>0</v>
      </c>
      <c r="L133" s="9" t="s">
        <v>85</v>
      </c>
      <c r="M133" s="10">
        <v>44967</v>
      </c>
    </row>
    <row r="134" spans="1:13" hidden="1">
      <c r="A134" s="39">
        <f>'FERC Interest Rates'!A131</f>
        <v>44985</v>
      </c>
      <c r="B134" s="121"/>
      <c r="C134" s="121"/>
      <c r="D134" s="1">
        <v>10983516.18</v>
      </c>
      <c r="E134" s="121"/>
      <c r="F134" s="1">
        <f t="shared" si="33"/>
        <v>693723.7</v>
      </c>
      <c r="G134" s="1">
        <v>-2148.02</v>
      </c>
      <c r="H134" s="40">
        <f t="shared" si="32"/>
        <v>154990210.02000004</v>
      </c>
      <c r="I134" s="127"/>
      <c r="J134" s="1">
        <v>154990210.02000001</v>
      </c>
      <c r="K134" s="1">
        <f t="shared" si="30"/>
        <v>0</v>
      </c>
      <c r="L134" s="9" t="s">
        <v>85</v>
      </c>
      <c r="M134" s="10">
        <v>44993</v>
      </c>
    </row>
    <row r="135" spans="1:13" hidden="1">
      <c r="A135" s="39">
        <f>'FERC Interest Rates'!A132</f>
        <v>45016</v>
      </c>
      <c r="B135" s="121"/>
      <c r="C135" s="121"/>
      <c r="D135" s="1">
        <f>1048979.47</f>
        <v>1048979.47</v>
      </c>
      <c r="E135" s="121"/>
      <c r="F135" s="1">
        <f t="shared" si="33"/>
        <v>830620.14</v>
      </c>
      <c r="G135" s="1">
        <f>-56.86-400.1-0.9-224049.51</f>
        <v>-224507.37</v>
      </c>
      <c r="H135" s="40">
        <f t="shared" si="32"/>
        <v>156645302.26000005</v>
      </c>
      <c r="I135" s="127"/>
      <c r="J135" s="1">
        <v>156645302.25999999</v>
      </c>
      <c r="K135" s="1">
        <f t="shared" si="30"/>
        <v>0</v>
      </c>
      <c r="L135" s="9" t="s">
        <v>85</v>
      </c>
      <c r="M135" s="10">
        <v>45026</v>
      </c>
    </row>
    <row r="136" spans="1:13" hidden="1">
      <c r="A136" s="39">
        <f>'FERC Interest Rates'!A133</f>
        <v>45046</v>
      </c>
      <c r="B136" s="121"/>
      <c r="C136" s="121"/>
      <c r="D136" s="1">
        <v>-3581453.96</v>
      </c>
      <c r="E136" s="121"/>
      <c r="F136" s="1">
        <f t="shared" si="33"/>
        <v>965621.73</v>
      </c>
      <c r="G136" s="1">
        <f>-392.24-400.1-49.01-376.97-0.44-176.58+400.1</f>
        <v>-995.24000000000012</v>
      </c>
      <c r="H136" s="40">
        <f t="shared" si="32"/>
        <v>154028474.79000005</v>
      </c>
      <c r="I136" s="127"/>
      <c r="J136" s="1">
        <v>154028474.78999999</v>
      </c>
      <c r="K136" s="1">
        <f t="shared" si="30"/>
        <v>0</v>
      </c>
      <c r="L136" s="9" t="s">
        <v>85</v>
      </c>
      <c r="M136" s="10">
        <v>45054</v>
      </c>
    </row>
    <row r="137" spans="1:13" hidden="1">
      <c r="A137" s="39">
        <f>'FERC Interest Rates'!A134</f>
        <v>45077</v>
      </c>
      <c r="B137" s="121"/>
      <c r="C137" s="121"/>
      <c r="D137" s="1">
        <v>-2952329</v>
      </c>
      <c r="E137" s="121"/>
      <c r="F137" s="1">
        <f t="shared" si="33"/>
        <v>981140.28</v>
      </c>
      <c r="G137" s="1">
        <f>-2954035.85+2952329</f>
        <v>-1706.8500000000931</v>
      </c>
      <c r="H137" s="40">
        <f t="shared" si="32"/>
        <v>152055579.22000006</v>
      </c>
      <c r="I137" s="127"/>
      <c r="J137" s="1">
        <v>152055579.22</v>
      </c>
      <c r="K137" s="1">
        <f t="shared" si="30"/>
        <v>0</v>
      </c>
      <c r="L137" s="9" t="s">
        <v>85</v>
      </c>
      <c r="M137" s="10">
        <v>45091</v>
      </c>
    </row>
    <row r="138" spans="1:13" hidden="1">
      <c r="A138" s="39">
        <f>'FERC Interest Rates'!A135</f>
        <v>45107</v>
      </c>
      <c r="B138" s="121"/>
      <c r="C138" s="121"/>
      <c r="D138" s="1">
        <v>-2330351.5699999998</v>
      </c>
      <c r="E138" s="121"/>
      <c r="F138" s="1">
        <f t="shared" si="33"/>
        <v>937328.91</v>
      </c>
      <c r="G138" s="1">
        <f>-2473709.45+2330351.57+5.17</f>
        <v>-143352.71000000034</v>
      </c>
      <c r="H138" s="40">
        <f t="shared" si="32"/>
        <v>150519203.85000005</v>
      </c>
      <c r="I138" s="127"/>
      <c r="J138" s="1">
        <v>150519203.84999999</v>
      </c>
      <c r="K138" s="1">
        <f t="shared" si="30"/>
        <v>0</v>
      </c>
      <c r="L138" s="9" t="s">
        <v>85</v>
      </c>
      <c r="M138" s="10">
        <v>45118</v>
      </c>
    </row>
    <row r="139" spans="1:13" hidden="1">
      <c r="A139" s="39">
        <f>'FERC Interest Rates'!A136</f>
        <v>45138</v>
      </c>
      <c r="B139" s="121"/>
      <c r="C139" s="121"/>
      <c r="D139" s="1">
        <v>-437624.51</v>
      </c>
      <c r="E139" s="121"/>
      <c r="F139" s="1">
        <f t="shared" si="33"/>
        <v>1025262.59</v>
      </c>
      <c r="G139" s="1">
        <f>-61190-45.49-29.54-114.31-10.11+55.46+114.31-28.92+57.05</f>
        <v>-61191.549999999996</v>
      </c>
      <c r="H139" s="40">
        <f t="shared" si="32"/>
        <v>151045650.38000005</v>
      </c>
      <c r="I139" s="127"/>
      <c r="J139" s="1">
        <v>151045650.38</v>
      </c>
      <c r="K139" s="1">
        <f t="shared" si="30"/>
        <v>0</v>
      </c>
      <c r="L139" s="9" t="s">
        <v>85</v>
      </c>
      <c r="M139" s="10">
        <v>45146</v>
      </c>
    </row>
    <row r="140" spans="1:13" hidden="1">
      <c r="A140" s="39">
        <f>'FERC Interest Rates'!A137</f>
        <v>45169</v>
      </c>
      <c r="B140" s="121"/>
      <c r="C140" s="121"/>
      <c r="D140" s="1">
        <v>-1118634.04</v>
      </c>
      <c r="E140" s="121"/>
      <c r="F140" s="1">
        <f t="shared" si="33"/>
        <v>1028848.48</v>
      </c>
      <c r="G140" s="1">
        <f>-1257839.92+1118634.04+25.97</f>
        <v>-139179.90999999989</v>
      </c>
      <c r="H140" s="40">
        <f t="shared" si="32"/>
        <v>150816684.91000006</v>
      </c>
      <c r="I140" s="127"/>
      <c r="J140" s="1">
        <v>150816684.91</v>
      </c>
      <c r="K140" s="1">
        <f t="shared" si="30"/>
        <v>0</v>
      </c>
      <c r="L140" s="9" t="s">
        <v>85</v>
      </c>
      <c r="M140" s="10">
        <v>45180</v>
      </c>
    </row>
    <row r="141" spans="1:13" hidden="1">
      <c r="A141" s="39">
        <f>'FERC Interest Rates'!A138</f>
        <v>45199</v>
      </c>
      <c r="B141" s="121"/>
      <c r="C141" s="121"/>
      <c r="D141" s="1">
        <v>-2072332.25</v>
      </c>
      <c r="E141" s="121"/>
      <c r="F141" s="1">
        <f t="shared" si="33"/>
        <v>994150.53</v>
      </c>
      <c r="G141" s="1">
        <f>-2074263.1+2072332.25+1840</f>
        <v>-90.850000000093132</v>
      </c>
      <c r="H141" s="40">
        <f t="shared" si="32"/>
        <v>149738412.34000006</v>
      </c>
      <c r="I141" s="127"/>
      <c r="J141" s="1">
        <v>149738412.34</v>
      </c>
      <c r="K141" s="1">
        <f t="shared" si="30"/>
        <v>0</v>
      </c>
      <c r="L141" s="9" t="s">
        <v>85</v>
      </c>
      <c r="M141" s="10">
        <v>45208</v>
      </c>
    </row>
    <row r="142" spans="1:13" hidden="1">
      <c r="A142" s="39">
        <f>'FERC Interest Rates'!A139</f>
        <v>45230</v>
      </c>
      <c r="B142" s="121"/>
      <c r="C142" s="121"/>
      <c r="D142" s="1">
        <v>-2344307.7799999998</v>
      </c>
      <c r="E142" s="121"/>
      <c r="F142" s="1">
        <f t="shared" si="33"/>
        <v>1061912</v>
      </c>
      <c r="G142" s="1">
        <f>-222070-48.9-5.08-35.16-1.43-26.66-1508.64-0.73-90.41-50.23-6.28</f>
        <v>-223843.52000000002</v>
      </c>
      <c r="H142" s="40">
        <f t="shared" si="32"/>
        <v>148232173.04000005</v>
      </c>
      <c r="I142" s="127"/>
      <c r="J142" s="1">
        <v>148232173.03999999</v>
      </c>
      <c r="K142" s="1">
        <f t="shared" si="30"/>
        <v>0</v>
      </c>
      <c r="L142" s="9" t="s">
        <v>85</v>
      </c>
      <c r="M142" s="10">
        <v>45238</v>
      </c>
    </row>
    <row r="143" spans="1:13" hidden="1">
      <c r="A143" s="560" t="s">
        <v>93</v>
      </c>
      <c r="B143" s="560"/>
      <c r="C143" s="560"/>
      <c r="D143" s="560"/>
      <c r="E143" s="560"/>
      <c r="F143" s="560"/>
      <c r="G143" s="1">
        <v>-154162528.74000001</v>
      </c>
      <c r="H143" s="40">
        <f t="shared" ref="H143:H155" si="34">H142+SUM(D143:G143)</f>
        <v>-5930355.6999999583</v>
      </c>
      <c r="I143" s="127"/>
      <c r="M143" s="10"/>
    </row>
    <row r="144" spans="1:13">
      <c r="A144" s="39">
        <f>'FERC Interest Rates'!A140</f>
        <v>45260</v>
      </c>
      <c r="B144" s="121"/>
      <c r="C144" s="121"/>
      <c r="D144" s="1">
        <v>2651610.12</v>
      </c>
      <c r="E144" s="121"/>
      <c r="F144" s="1">
        <f t="shared" si="33"/>
        <v>-40700.11</v>
      </c>
      <c r="G144" s="1">
        <f>-225980-114.31+114.31+114.31-96.52-337.25-180.81-28.72-9.9-4.39-37.16-447.5</f>
        <v>-227007.94</v>
      </c>
      <c r="H144" s="40">
        <f t="shared" si="34"/>
        <v>-3546453.629999958</v>
      </c>
      <c r="I144" s="127"/>
      <c r="J144" s="1">
        <v>-3546453.63</v>
      </c>
      <c r="K144" s="1">
        <f t="shared" si="30"/>
        <v>4.1909515857696533E-8</v>
      </c>
      <c r="L144" s="9" t="s">
        <v>85</v>
      </c>
      <c r="M144" s="10">
        <v>45271</v>
      </c>
    </row>
    <row r="145" spans="1:13">
      <c r="A145" s="39">
        <f>'FERC Interest Rates'!A141</f>
        <v>45291</v>
      </c>
      <c r="B145" s="121"/>
      <c r="C145" s="121"/>
      <c r="D145" s="1">
        <v>10511110.67</v>
      </c>
      <c r="E145" s="121"/>
      <c r="F145" s="1">
        <f t="shared" si="33"/>
        <v>-25150.67</v>
      </c>
      <c r="G145" s="1">
        <f>-125320.84+25150.67</f>
        <v>-100170.17</v>
      </c>
      <c r="H145" s="40">
        <f t="shared" si="34"/>
        <v>6839336.2000000421</v>
      </c>
      <c r="I145" s="127"/>
      <c r="J145" s="1">
        <v>6839336.2000000002</v>
      </c>
      <c r="K145" s="1">
        <f t="shared" si="30"/>
        <v>4.1909515857696533E-8</v>
      </c>
      <c r="L145" s="9" t="s">
        <v>85</v>
      </c>
      <c r="M145" s="10">
        <v>45300</v>
      </c>
    </row>
    <row r="146" spans="1:13">
      <c r="A146" s="39">
        <f>'FERC Interest Rates'!A142</f>
        <v>45322</v>
      </c>
      <c r="B146" s="121"/>
      <c r="C146" s="121"/>
      <c r="D146" s="1">
        <v>8093886.8499999996</v>
      </c>
      <c r="E146" s="121"/>
      <c r="F146" s="1">
        <f t="shared" ref="F146:F155" si="35">ROUND(H145*VLOOKUP(A146,FERCINT24,2)/365*VLOOKUP(A146,FERCINT24,3),2)</f>
        <v>49374.39</v>
      </c>
      <c r="G146" s="1">
        <f>-22040-455.16</f>
        <v>-22495.16</v>
      </c>
      <c r="H146" s="40">
        <f t="shared" si="34"/>
        <v>14960102.280000042</v>
      </c>
      <c r="I146" s="127"/>
      <c r="J146" s="1">
        <v>14960102.279999999</v>
      </c>
      <c r="K146" s="1">
        <f t="shared" si="30"/>
        <v>4.2840838432312012E-8</v>
      </c>
      <c r="L146" s="9" t="s">
        <v>85</v>
      </c>
      <c r="M146" s="10">
        <v>45334</v>
      </c>
    </row>
    <row r="147" spans="1:13">
      <c r="A147" s="39">
        <f>'FERC Interest Rates'!A143</f>
        <v>45351</v>
      </c>
      <c r="B147" s="121"/>
      <c r="C147" s="121"/>
      <c r="D147" s="1">
        <v>8088119.7800000003</v>
      </c>
      <c r="E147" s="121"/>
      <c r="F147" s="1">
        <f t="shared" si="35"/>
        <v>101031.92</v>
      </c>
      <c r="G147" s="1">
        <f>-568266.17-411.03-52.64-101.17-101.22</f>
        <v>-568932.2300000001</v>
      </c>
      <c r="H147" s="40">
        <f t="shared" si="34"/>
        <v>22580321.750000041</v>
      </c>
      <c r="I147" s="127"/>
      <c r="J147" s="1">
        <v>22580321.75</v>
      </c>
      <c r="K147" s="1">
        <f t="shared" si="30"/>
        <v>4.0978193283081055E-8</v>
      </c>
      <c r="L147" s="9" t="s">
        <v>85</v>
      </c>
      <c r="M147" s="10">
        <v>45359</v>
      </c>
    </row>
    <row r="148" spans="1:13">
      <c r="A148" s="39">
        <f>'FERC Interest Rates'!A144</f>
        <v>45382</v>
      </c>
      <c r="B148" s="121"/>
      <c r="C148" s="121"/>
      <c r="D148" s="1">
        <v>3153395.53</v>
      </c>
      <c r="E148" s="121"/>
      <c r="F148" s="1">
        <f t="shared" si="35"/>
        <v>163011.35999999999</v>
      </c>
      <c r="G148" s="1">
        <v>-899.8</v>
      </c>
      <c r="H148" s="40">
        <f t="shared" si="34"/>
        <v>25895828.840000041</v>
      </c>
      <c r="I148" s="127"/>
      <c r="J148" s="1">
        <v>25895828.84</v>
      </c>
      <c r="K148" s="1">
        <f t="shared" si="30"/>
        <v>4.0978193283081055E-8</v>
      </c>
      <c r="L148" s="9" t="s">
        <v>85</v>
      </c>
      <c r="M148" s="10">
        <v>45390</v>
      </c>
    </row>
    <row r="149" spans="1:13">
      <c r="A149" s="39">
        <f>'FERC Interest Rates'!A145</f>
        <v>45412</v>
      </c>
      <c r="B149" s="121"/>
      <c r="C149" s="121"/>
      <c r="D149" s="1">
        <v>-3557549.55</v>
      </c>
      <c r="E149" s="121"/>
      <c r="F149" s="1">
        <f t="shared" si="35"/>
        <v>180916.06</v>
      </c>
      <c r="G149" s="1">
        <f>-3558400.363+3557549.55</f>
        <v>-850.81300000008196</v>
      </c>
      <c r="H149" s="40">
        <f t="shared" si="34"/>
        <v>22518344.537000041</v>
      </c>
      <c r="I149" s="127"/>
      <c r="J149" s="1">
        <v>22518344.539999999</v>
      </c>
      <c r="K149" s="1">
        <f t="shared" si="30"/>
        <v>-2.9999576508998871E-3</v>
      </c>
      <c r="L149" s="9" t="s">
        <v>85</v>
      </c>
      <c r="M149" s="10">
        <v>45420</v>
      </c>
    </row>
    <row r="150" spans="1:13">
      <c r="A150" s="39">
        <f>'FERC Interest Rates'!A146</f>
        <v>45443</v>
      </c>
      <c r="B150" s="121"/>
      <c r="C150" s="121"/>
      <c r="D150" s="1">
        <v>-2481701.2999999998</v>
      </c>
      <c r="E150" s="121"/>
      <c r="F150" s="1">
        <f t="shared" si="35"/>
        <v>162563.94</v>
      </c>
      <c r="G150" s="1">
        <f>-2584034.24+2481701.3</f>
        <v>-102332.94000000041</v>
      </c>
      <c r="H150" s="40">
        <f t="shared" si="34"/>
        <v>20096874.237000041</v>
      </c>
      <c r="I150" s="127"/>
      <c r="J150" s="1">
        <v>20096874.239999998</v>
      </c>
      <c r="K150" s="1">
        <f t="shared" si="30"/>
        <v>-2.9999576508998871E-3</v>
      </c>
      <c r="L150" s="9" t="s">
        <v>85</v>
      </c>
      <c r="M150" s="10">
        <v>45453</v>
      </c>
    </row>
    <row r="151" spans="1:13">
      <c r="A151" s="39">
        <f>'FERC Interest Rates'!A147</f>
        <v>45473</v>
      </c>
      <c r="B151" s="121"/>
      <c r="C151" s="121"/>
      <c r="D151" s="1">
        <v>-852706.03</v>
      </c>
      <c r="E151" s="121"/>
      <c r="F151" s="1">
        <f t="shared" si="35"/>
        <v>140402.82</v>
      </c>
      <c r="G151" s="1">
        <f>-854060.92+852706.03</f>
        <v>-1354.890000000014</v>
      </c>
      <c r="H151" s="40">
        <f t="shared" si="34"/>
        <v>19383216.137000039</v>
      </c>
      <c r="I151" s="127"/>
      <c r="J151" s="1">
        <v>19383216.140000001</v>
      </c>
      <c r="K151" s="1">
        <f t="shared" si="30"/>
        <v>-2.9999613761901855E-3</v>
      </c>
      <c r="L151" s="9" t="s">
        <v>85</v>
      </c>
      <c r="M151" s="10">
        <v>45482</v>
      </c>
    </row>
    <row r="152" spans="1:13">
      <c r="A152" s="39">
        <f>'FERC Interest Rates'!A148</f>
        <v>45504</v>
      </c>
      <c r="B152" s="121"/>
      <c r="C152" s="121"/>
      <c r="D152" s="1">
        <v>-586040.47</v>
      </c>
      <c r="E152" s="121"/>
      <c r="F152" s="1">
        <f t="shared" si="35"/>
        <v>139930.89000000001</v>
      </c>
      <c r="G152" s="1">
        <f>-586406.39+586040.47</f>
        <v>-365.92000000004191</v>
      </c>
      <c r="H152" s="40">
        <f t="shared" si="34"/>
        <v>18936740.637000039</v>
      </c>
      <c r="I152" s="127"/>
      <c r="J152" s="1">
        <v>18936740.640000001</v>
      </c>
      <c r="K152" s="1">
        <f t="shared" si="30"/>
        <v>-2.9999613761901855E-3</v>
      </c>
      <c r="L152" s="9" t="s">
        <v>85</v>
      </c>
      <c r="M152" s="10">
        <v>45516</v>
      </c>
    </row>
    <row r="153" spans="1:13">
      <c r="A153" s="39">
        <f>'FERC Interest Rates'!A149</f>
        <v>45535</v>
      </c>
      <c r="B153" s="121"/>
      <c r="C153" s="121"/>
      <c r="D153" s="1">
        <v>-39520.68</v>
      </c>
      <c r="E153" s="121"/>
      <c r="F153" s="1">
        <f t="shared" si="35"/>
        <v>136707.70000000001</v>
      </c>
      <c r="G153" s="1">
        <f>-28760-98.92-13.74</f>
        <v>-28872.66</v>
      </c>
      <c r="H153" s="40">
        <f t="shared" si="34"/>
        <v>19005054.997000039</v>
      </c>
      <c r="I153" s="127"/>
      <c r="J153" s="1">
        <v>19005055</v>
      </c>
      <c r="K153" s="1">
        <f t="shared" si="30"/>
        <v>-2.9999613761901855E-3</v>
      </c>
      <c r="L153" s="9" t="s">
        <v>94</v>
      </c>
      <c r="M153" s="10">
        <v>45546</v>
      </c>
    </row>
    <row r="154" spans="1:13">
      <c r="A154" s="39">
        <f>'FERC Interest Rates'!A150</f>
        <v>45565</v>
      </c>
      <c r="B154" s="121"/>
      <c r="C154" s="121"/>
      <c r="D154" s="1">
        <v>-1378424.09</v>
      </c>
      <c r="E154" s="121"/>
      <c r="F154" s="1">
        <f t="shared" si="35"/>
        <v>132775.04000000001</v>
      </c>
      <c r="G154" s="1">
        <f>-13.56-91.68-9.65-353.71-4.11-26.72-0.77-31.24-69.23-24.96-475.34-188.06-65.07</f>
        <v>-1354.1</v>
      </c>
      <c r="H154" s="40">
        <f t="shared" si="34"/>
        <v>17758051.84700004</v>
      </c>
      <c r="I154" s="127"/>
      <c r="J154" s="1">
        <v>17758051.850000001</v>
      </c>
      <c r="K154" s="1">
        <f t="shared" si="30"/>
        <v>-2.9999613761901855E-3</v>
      </c>
      <c r="L154" s="9" t="s">
        <v>94</v>
      </c>
      <c r="M154" s="10">
        <v>45573</v>
      </c>
    </row>
    <row r="155" spans="1:13">
      <c r="A155" s="39">
        <f>'FERC Interest Rates'!A151</f>
        <v>45596</v>
      </c>
      <c r="B155" s="121"/>
      <c r="C155" s="121"/>
      <c r="D155" s="1">
        <f>+-2642116.06</f>
        <v>-2642116.06</v>
      </c>
      <c r="E155" s="121"/>
      <c r="F155" s="1">
        <f t="shared" si="35"/>
        <v>128198.54</v>
      </c>
      <c r="G155" s="1">
        <v>-38.85</v>
      </c>
      <c r="H155" s="40">
        <f t="shared" si="34"/>
        <v>15244095.477000039</v>
      </c>
      <c r="I155" s="127"/>
      <c r="J155" s="1">
        <v>15244095.48</v>
      </c>
      <c r="K155" s="1">
        <f>H155-J155</f>
        <v>-2.9999613761901855E-3</v>
      </c>
      <c r="L155" s="9" t="s">
        <v>94</v>
      </c>
      <c r="M155" s="10">
        <v>45608</v>
      </c>
    </row>
    <row r="156" spans="1:13">
      <c r="A156" s="560" t="s">
        <v>89</v>
      </c>
      <c r="B156" s="560"/>
      <c r="C156" s="560"/>
      <c r="D156" s="560"/>
      <c r="E156" s="560"/>
      <c r="F156" s="560"/>
      <c r="G156" s="1">
        <v>-19345357.800000001</v>
      </c>
      <c r="H156" s="40">
        <f t="shared" ref="H156:H160" si="36">H155+SUM(D156:G156)</f>
        <v>-4101262.3229999617</v>
      </c>
      <c r="I156" s="127"/>
      <c r="M156" s="10"/>
    </row>
    <row r="157" spans="1:13">
      <c r="A157" s="39">
        <v>45626</v>
      </c>
      <c r="B157" s="121"/>
      <c r="C157" s="121"/>
      <c r="D157" s="1">
        <v>1702392.95</v>
      </c>
      <c r="E157" s="121"/>
      <c r="F157" s="1">
        <f t="shared" ref="F157:F158" si="37">ROUND(H156*VLOOKUP(A157,FERCINT24,2)/365*VLOOKUP(A157,FERCINT24,3),2)</f>
        <v>-28652.65</v>
      </c>
      <c r="G157" s="1">
        <f>-168.46-32.84-420.37-43.3-65.68-2.87-20.57-149.58-354.28-59.42-20.92</f>
        <v>-1338.2900000000004</v>
      </c>
      <c r="H157" s="40">
        <f t="shared" si="36"/>
        <v>-2428860.3129999619</v>
      </c>
      <c r="I157" s="127"/>
      <c r="J157" s="1">
        <v>-2428860.31</v>
      </c>
      <c r="K157" s="1">
        <f t="shared" ref="K157:K160" si="38">H157-J157</f>
        <v>-2.9999618418514729E-3</v>
      </c>
      <c r="L157" s="9" t="s">
        <v>94</v>
      </c>
      <c r="M157" s="10">
        <v>45638</v>
      </c>
    </row>
    <row r="158" spans="1:13">
      <c r="A158" s="39">
        <v>45657</v>
      </c>
      <c r="B158" s="121"/>
      <c r="C158" s="121"/>
      <c r="D158" s="1">
        <v>3569676.18</v>
      </c>
      <c r="E158" s="121"/>
      <c r="F158" s="1">
        <f t="shared" si="37"/>
        <v>-17534.38</v>
      </c>
      <c r="G158" s="1">
        <f>+-33.53-55.01</f>
        <v>-88.539999999999992</v>
      </c>
      <c r="H158" s="40">
        <f t="shared" si="36"/>
        <v>1123192.9470000383</v>
      </c>
      <c r="I158" s="127"/>
      <c r="J158" s="1">
        <v>1123192.95</v>
      </c>
      <c r="K158" s="1">
        <f t="shared" si="38"/>
        <v>-2.9999616090208292E-3</v>
      </c>
      <c r="L158" s="9" t="s">
        <v>94</v>
      </c>
      <c r="M158" s="10">
        <v>45667</v>
      </c>
    </row>
    <row r="159" spans="1:13">
      <c r="A159" s="39">
        <v>45688</v>
      </c>
      <c r="B159" s="121"/>
      <c r="C159" s="121"/>
      <c r="D159" s="1">
        <v>2816799.61</v>
      </c>
      <c r="E159" s="121"/>
      <c r="F159" s="1">
        <f>ROUND(H158*VLOOKUP(A159,FERCINT25,2)/365*VLOOKUP(A159,FERCINT25,3),2)</f>
        <v>7669.72</v>
      </c>
      <c r="G159" s="1">
        <v>-39.43</v>
      </c>
      <c r="H159" s="40">
        <f t="shared" si="36"/>
        <v>3947622.8470000383</v>
      </c>
      <c r="I159" s="127"/>
      <c r="J159" s="1">
        <v>3947622.85</v>
      </c>
      <c r="K159" s="1">
        <f t="shared" si="38"/>
        <v>-2.9999618418514729E-3</v>
      </c>
      <c r="L159" s="9" t="s">
        <v>94</v>
      </c>
      <c r="M159" s="10">
        <v>45699</v>
      </c>
    </row>
    <row r="160" spans="1:13">
      <c r="A160" s="39">
        <v>45716</v>
      </c>
      <c r="B160" s="121"/>
      <c r="C160" s="121"/>
      <c r="D160" s="1">
        <v>957193.61</v>
      </c>
      <c r="E160" s="121"/>
      <c r="F160" s="1">
        <f t="shared" ref="F160" si="39">ROUND(H159*VLOOKUP(A160,FERCINT25,2)/365*VLOOKUP(A160,FERCINT25,3),2)</f>
        <v>24347.64</v>
      </c>
      <c r="G160" s="1">
        <f>-92.37-122086.56</f>
        <v>-122178.93</v>
      </c>
      <c r="H160" s="40">
        <f t="shared" si="36"/>
        <v>4806985.1670000385</v>
      </c>
      <c r="I160" s="127"/>
      <c r="J160" s="1">
        <v>4806985.17</v>
      </c>
      <c r="K160" s="1">
        <f t="shared" si="38"/>
        <v>-2.9999613761901855E-3</v>
      </c>
      <c r="L160" s="9" t="s">
        <v>94</v>
      </c>
      <c r="M160" s="10">
        <v>45726</v>
      </c>
    </row>
    <row r="161" spans="13:13">
      <c r="M161" s="10"/>
    </row>
    <row r="162" spans="13:13">
      <c r="M162" s="10"/>
    </row>
    <row r="163" spans="13:13">
      <c r="M163" s="10"/>
    </row>
    <row r="164" spans="13:13">
      <c r="M164" s="10"/>
    </row>
    <row r="165" spans="13:13">
      <c r="M165" s="10"/>
    </row>
    <row r="166" spans="13:13">
      <c r="M166" s="10"/>
    </row>
    <row r="167" spans="13:13">
      <c r="M167" s="10"/>
    </row>
    <row r="168" spans="13:13">
      <c r="M168" s="10"/>
    </row>
    <row r="169" spans="13:13">
      <c r="M169" s="10"/>
    </row>
    <row r="170" spans="13:13">
      <c r="M170" s="10"/>
    </row>
    <row r="171" spans="13:13">
      <c r="M171" s="10"/>
    </row>
    <row r="172" spans="13:13">
      <c r="M172" s="10"/>
    </row>
    <row r="173" spans="13:13">
      <c r="M173" s="10"/>
    </row>
    <row r="174" spans="13:13">
      <c r="M174" s="10"/>
    </row>
    <row r="175" spans="13:13">
      <c r="M175" s="10"/>
    </row>
    <row r="176" spans="13:13">
      <c r="M176"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C1:H1"/>
    <mergeCell ref="C2:H2"/>
    <mergeCell ref="C3:H3"/>
    <mergeCell ref="C4:H4"/>
    <mergeCell ref="A6:B6"/>
    <mergeCell ref="C6:H6"/>
    <mergeCell ref="A1:B1"/>
    <mergeCell ref="A2:B2"/>
    <mergeCell ref="A3:B3"/>
    <mergeCell ref="A4:B4"/>
    <mergeCell ref="A5:B5"/>
    <mergeCell ref="A156:F156"/>
    <mergeCell ref="A143:F143"/>
    <mergeCell ref="A130:F130"/>
    <mergeCell ref="A123:F123"/>
    <mergeCell ref="A116:F116"/>
  </mergeCells>
  <phoneticPr fontId="0" type="noConversion"/>
  <printOptions horizontalCentered="1"/>
  <pageMargins left="0.5" right="0.25" top="0.5" bottom="0.25" header="0.5" footer="0.5"/>
  <pageSetup scale="92"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86"/>
  <sheetViews>
    <sheetView view="pageBreakPreview" zoomScale="115" zoomScaleNormal="75" zoomScaleSheetLayoutView="115" workbookViewId="0">
      <pane xSplit="1" ySplit="10" topLeftCell="B142" activePane="bottomRight" state="frozen"/>
      <selection pane="bottomRight" activeCell="D162" sqref="D162"/>
      <selection pane="bottomLeft" activeCell="D162" sqref="D162"/>
      <selection pane="topRight" activeCell="D162" sqref="D162"/>
    </sheetView>
  </sheetViews>
  <sheetFormatPr defaultColWidth="8.88671875" defaultRowHeight="12.75"/>
  <cols>
    <col min="1" max="1" width="8.88671875" style="1" customWidth="1"/>
    <col min="2" max="2" width="5.109375" style="1" customWidth="1"/>
    <col min="3" max="3" width="5.33203125" style="1" bestFit="1" customWidth="1"/>
    <col min="4" max="4" width="11.21875" style="1" customWidth="1"/>
    <col min="5" max="6" width="10.33203125" style="1" bestFit="1" customWidth="1"/>
    <col min="7" max="7" width="11.88671875" style="1" customWidth="1"/>
    <col min="8" max="8" width="16.5546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11.6640625" style="1" customWidth="1"/>
    <col min="15" max="16" width="8.88671875" style="1"/>
    <col min="17" max="17" width="9.6640625" style="1" bestFit="1" customWidth="1"/>
    <col min="18" max="16384" width="8.88671875" style="1"/>
  </cols>
  <sheetData>
    <row r="1" spans="1:14">
      <c r="A1" s="567" t="s">
        <v>52</v>
      </c>
      <c r="B1" s="568"/>
      <c r="C1" s="643" t="s">
        <v>53</v>
      </c>
      <c r="D1" s="643"/>
      <c r="E1" s="643"/>
      <c r="F1" s="643"/>
      <c r="G1" s="643"/>
      <c r="H1" s="644"/>
      <c r="I1" s="11"/>
    </row>
    <row r="2" spans="1:14">
      <c r="A2" s="565" t="s">
        <v>54</v>
      </c>
      <c r="B2" s="566"/>
      <c r="C2" s="561" t="s">
        <v>95</v>
      </c>
      <c r="D2" s="561"/>
      <c r="E2" s="561"/>
      <c r="F2" s="561"/>
      <c r="G2" s="561"/>
      <c r="H2" s="562"/>
      <c r="I2" s="11"/>
    </row>
    <row r="3" spans="1:14" ht="14.25">
      <c r="A3" s="565" t="s">
        <v>56</v>
      </c>
      <c r="B3" s="566"/>
      <c r="C3" s="563" t="s">
        <v>96</v>
      </c>
      <c r="D3" s="563"/>
      <c r="E3" s="563"/>
      <c r="F3" s="563"/>
      <c r="G3" s="563"/>
      <c r="H3" s="564"/>
      <c r="I3" s="11"/>
      <c r="K3" s="11"/>
    </row>
    <row r="4" spans="1:14">
      <c r="A4" s="565" t="s">
        <v>58</v>
      </c>
      <c r="B4" s="566"/>
      <c r="C4" s="645" t="s">
        <v>59</v>
      </c>
      <c r="D4" s="645"/>
      <c r="E4" s="645"/>
      <c r="F4" s="645"/>
      <c r="G4" s="645"/>
      <c r="H4" s="646"/>
      <c r="I4" s="11"/>
    </row>
    <row r="5" spans="1:14">
      <c r="A5" s="565" t="s">
        <v>60</v>
      </c>
      <c r="B5" s="566"/>
      <c r="C5" s="561" t="str">
        <f>'DG 1910.01253'!C5</f>
        <v>11/01/2024 through 10/31/2025</v>
      </c>
      <c r="D5" s="576"/>
      <c r="E5" s="576"/>
      <c r="F5" s="576"/>
      <c r="G5" s="576"/>
      <c r="H5" s="577"/>
      <c r="I5" s="11"/>
    </row>
    <row r="6" spans="1:14">
      <c r="A6" s="565" t="s">
        <v>62</v>
      </c>
      <c r="B6" s="566"/>
      <c r="C6" s="561" t="s">
        <v>63</v>
      </c>
      <c r="D6" s="561"/>
      <c r="E6" s="561"/>
      <c r="F6" s="561"/>
      <c r="G6" s="561"/>
      <c r="H6" s="562"/>
      <c r="I6" s="11"/>
      <c r="K6" s="11"/>
    </row>
    <row r="7" spans="1:14" s="25" customFormat="1" ht="72" customHeight="1" thickBot="1">
      <c r="A7" s="572" t="s">
        <v>64</v>
      </c>
      <c r="B7" s="573"/>
      <c r="C7" s="569" t="s">
        <v>97</v>
      </c>
      <c r="D7" s="569"/>
      <c r="E7" s="569"/>
      <c r="F7" s="569"/>
      <c r="G7" s="569"/>
      <c r="H7" s="570"/>
      <c r="I7" s="125"/>
      <c r="J7" s="1"/>
      <c r="K7" s="11"/>
      <c r="L7" s="9"/>
      <c r="M7" s="1"/>
      <c r="N7" s="1"/>
    </row>
    <row r="8" spans="1:14">
      <c r="A8" s="4"/>
      <c r="B8" s="4"/>
      <c r="C8" s="5"/>
      <c r="D8" s="5"/>
      <c r="E8" s="5"/>
      <c r="F8" s="5"/>
      <c r="G8" s="5"/>
      <c r="H8" s="5"/>
      <c r="K8" s="11"/>
    </row>
    <row r="9" spans="1:14">
      <c r="A9" s="6"/>
      <c r="D9" s="575" t="s">
        <v>67</v>
      </c>
      <c r="E9" s="575"/>
      <c r="F9" s="575"/>
    </row>
    <row r="10" spans="1:14" s="7" customFormat="1" ht="25.5">
      <c r="A10" s="7" t="s">
        <v>69</v>
      </c>
      <c r="B10" s="7" t="s">
        <v>70</v>
      </c>
      <c r="C10" s="7" t="s">
        <v>71</v>
      </c>
      <c r="D10" s="7" t="s">
        <v>72</v>
      </c>
      <c r="E10" s="7" t="s">
        <v>73</v>
      </c>
      <c r="F10" s="7" t="s">
        <v>74</v>
      </c>
      <c r="G10" s="7" t="s">
        <v>75</v>
      </c>
      <c r="H10" s="7" t="s">
        <v>76</v>
      </c>
      <c r="I10" s="126"/>
      <c r="J10" s="7" t="s">
        <v>77</v>
      </c>
      <c r="K10" s="7" t="s">
        <v>78</v>
      </c>
      <c r="L10" s="3" t="s">
        <v>79</v>
      </c>
      <c r="M10" s="3" t="s">
        <v>80</v>
      </c>
    </row>
    <row r="11" spans="1:14" hidden="1">
      <c r="A11" s="574" t="s">
        <v>81</v>
      </c>
      <c r="B11" s="574"/>
      <c r="C11" s="574"/>
      <c r="D11" s="574"/>
      <c r="E11" s="574"/>
      <c r="F11" s="574"/>
      <c r="G11" s="574"/>
      <c r="H11" s="1">
        <v>5300789.51</v>
      </c>
      <c r="I11" s="121"/>
      <c r="M11" s="10"/>
    </row>
    <row r="12" spans="1:14" hidden="1">
      <c r="A12" s="8">
        <f>'FERC Interest Rates'!A20</f>
        <v>41608</v>
      </c>
      <c r="D12" s="1">
        <f>-235790-543534.68</f>
        <v>-779324.68</v>
      </c>
      <c r="F12" s="1">
        <f t="shared" ref="F12:F13" si="0">ROUND(H11*VLOOKUP(A12,FERCINT13,2)/365*VLOOKUP(A12,FERCINT13,3),2)</f>
        <v>14159.64</v>
      </c>
      <c r="H12" s="1">
        <f t="shared" ref="H12:H75" si="1">H11+SUM(D12:G12)</f>
        <v>4535624.47</v>
      </c>
      <c r="I12" s="121"/>
      <c r="J12" s="1">
        <v>4535624.47</v>
      </c>
      <c r="K12" s="1">
        <f t="shared" ref="K12:K37" si="2">H12-J12</f>
        <v>0</v>
      </c>
      <c r="L12" s="9" t="s">
        <v>82</v>
      </c>
      <c r="M12" s="10">
        <v>41614</v>
      </c>
    </row>
    <row r="13" spans="1:14" hidden="1">
      <c r="A13" s="8">
        <f>'FERC Interest Rates'!A21</f>
        <v>41639</v>
      </c>
      <c r="D13" s="1">
        <f>-2151664.93-235790</f>
        <v>-2387454.9300000002</v>
      </c>
      <c r="F13" s="1">
        <f t="shared" si="0"/>
        <v>12519.57</v>
      </c>
      <c r="H13" s="1">
        <f t="shared" si="1"/>
        <v>2160689.1099999994</v>
      </c>
      <c r="I13" s="121"/>
      <c r="J13" s="1">
        <v>2160689.11</v>
      </c>
      <c r="K13" s="1">
        <f t="shared" si="2"/>
        <v>0</v>
      </c>
      <c r="L13" s="9" t="s">
        <v>82</v>
      </c>
      <c r="M13" s="10">
        <v>41647</v>
      </c>
    </row>
    <row r="14" spans="1:14" hidden="1">
      <c r="A14" s="8">
        <f>'FERC Interest Rates'!A22</f>
        <v>41670</v>
      </c>
      <c r="D14" s="1">
        <f>-1890171.1-235790</f>
        <v>-2125961.1</v>
      </c>
      <c r="F14" s="1">
        <f t="shared" ref="F14:F26" si="3">ROUND(H13*VLOOKUP(A14,FERCINT14,2)/365*VLOOKUP(A14,FERCINT14,3),2)</f>
        <v>5964.09</v>
      </c>
      <c r="H14" s="1">
        <f t="shared" si="1"/>
        <v>40692.099999999162</v>
      </c>
      <c r="I14" s="121"/>
      <c r="J14" s="1">
        <v>40692.1</v>
      </c>
      <c r="K14" s="1">
        <f t="shared" si="2"/>
        <v>-8.3673512563109398E-10</v>
      </c>
      <c r="L14" s="9" t="s">
        <v>82</v>
      </c>
      <c r="M14" s="10">
        <v>41677</v>
      </c>
    </row>
    <row r="15" spans="1:14" hidden="1">
      <c r="A15" s="8">
        <f>'FERC Interest Rates'!A23</f>
        <v>41698</v>
      </c>
      <c r="D15" s="1">
        <f>-1628431.9-235790</f>
        <v>-1864221.9</v>
      </c>
      <c r="F15" s="1">
        <f t="shared" si="3"/>
        <v>101.45</v>
      </c>
      <c r="H15" s="1">
        <f t="shared" si="1"/>
        <v>-1823428.3500000008</v>
      </c>
      <c r="I15" s="121"/>
      <c r="J15" s="1">
        <v>-1823417.48</v>
      </c>
      <c r="K15" s="1">
        <f t="shared" si="2"/>
        <v>-10.870000000810251</v>
      </c>
      <c r="L15" s="9" t="s">
        <v>82</v>
      </c>
      <c r="M15" s="10">
        <v>41705</v>
      </c>
    </row>
    <row r="16" spans="1:14" hidden="1">
      <c r="A16" s="8">
        <f>'FERC Interest Rates'!A24</f>
        <v>41729</v>
      </c>
      <c r="D16" s="1">
        <v>128015.9</v>
      </c>
      <c r="F16" s="1">
        <f t="shared" si="3"/>
        <v>-5033.16</v>
      </c>
      <c r="H16" s="1">
        <f t="shared" si="1"/>
        <v>-1700445.6100000008</v>
      </c>
      <c r="I16" s="121"/>
      <c r="J16" s="1">
        <v>-1700434.71</v>
      </c>
      <c r="K16" s="1">
        <f t="shared" si="2"/>
        <v>-10.90000000083819</v>
      </c>
      <c r="L16" s="9" t="s">
        <v>82</v>
      </c>
      <c r="M16" s="10">
        <v>41736</v>
      </c>
    </row>
    <row r="17" spans="1:13" hidden="1">
      <c r="A17" s="8">
        <f>'FERC Interest Rates'!A25</f>
        <v>41759</v>
      </c>
      <c r="D17" s="1">
        <f>1545767.97-235790</f>
        <v>1309977.97</v>
      </c>
      <c r="F17" s="1">
        <f t="shared" si="3"/>
        <v>-4542.29</v>
      </c>
      <c r="H17" s="1">
        <f t="shared" si="1"/>
        <v>-395009.93000000087</v>
      </c>
      <c r="I17" s="121"/>
      <c r="J17" s="1">
        <v>-395009.93</v>
      </c>
      <c r="K17" s="1">
        <f t="shared" si="2"/>
        <v>-8.7311491370201111E-10</v>
      </c>
      <c r="L17" s="9" t="s">
        <v>82</v>
      </c>
      <c r="M17" s="10">
        <v>41766</v>
      </c>
    </row>
    <row r="18" spans="1:13" hidden="1">
      <c r="A18" s="8">
        <f>'FERC Interest Rates'!A26</f>
        <v>41790</v>
      </c>
      <c r="D18" s="1">
        <f>2390005.33-235790</f>
        <v>2154215.33</v>
      </c>
      <c r="F18" s="1">
        <f t="shared" si="3"/>
        <v>-1090.3399999999999</v>
      </c>
      <c r="H18" s="1">
        <f t="shared" si="1"/>
        <v>1758115.0599999994</v>
      </c>
      <c r="I18" s="121"/>
      <c r="J18" s="1">
        <v>1758115.06</v>
      </c>
      <c r="K18" s="1">
        <f t="shared" si="2"/>
        <v>0</v>
      </c>
      <c r="L18" s="9" t="s">
        <v>82</v>
      </c>
      <c r="M18" s="10">
        <v>41796</v>
      </c>
    </row>
    <row r="19" spans="1:13" hidden="1">
      <c r="A19" s="8">
        <f>'FERC Interest Rates'!A27</f>
        <v>41820</v>
      </c>
      <c r="D19" s="1">
        <f>2129580.54-235790</f>
        <v>1893790.54</v>
      </c>
      <c r="F19" s="1">
        <f t="shared" si="3"/>
        <v>4696.33</v>
      </c>
      <c r="H19" s="1">
        <f t="shared" si="1"/>
        <v>3656601.9299999997</v>
      </c>
      <c r="I19" s="121"/>
      <c r="J19" s="1">
        <v>3656601.93</v>
      </c>
      <c r="K19" s="1">
        <f t="shared" si="2"/>
        <v>0</v>
      </c>
      <c r="L19" s="9" t="s">
        <v>82</v>
      </c>
      <c r="M19" s="10">
        <v>41828</v>
      </c>
    </row>
    <row r="20" spans="1:13" hidden="1">
      <c r="A20" s="8">
        <f>'FERC Interest Rates'!A28</f>
        <v>41851</v>
      </c>
      <c r="D20" s="1">
        <f>2343224.81-235790</f>
        <v>2107434.81</v>
      </c>
      <c r="F20" s="1">
        <f t="shared" si="3"/>
        <v>10093.219999999999</v>
      </c>
      <c r="H20" s="1">
        <f t="shared" si="1"/>
        <v>5774129.96</v>
      </c>
      <c r="I20" s="121"/>
      <c r="J20" s="1">
        <v>5774129.96</v>
      </c>
      <c r="K20" s="1">
        <f t="shared" si="2"/>
        <v>0</v>
      </c>
      <c r="L20" s="9" t="s">
        <v>82</v>
      </c>
      <c r="M20" s="10">
        <v>41858</v>
      </c>
    </row>
    <row r="21" spans="1:13" hidden="1">
      <c r="A21" s="8">
        <f>'FERC Interest Rates'!A29</f>
        <v>41882</v>
      </c>
      <c r="D21" s="1">
        <f>2806868.63-235790</f>
        <v>2571078.63</v>
      </c>
      <c r="F21" s="1">
        <f t="shared" si="3"/>
        <v>15938.18</v>
      </c>
      <c r="H21" s="1">
        <f t="shared" si="1"/>
        <v>8361146.7699999996</v>
      </c>
      <c r="I21" s="121"/>
      <c r="J21" s="1">
        <v>8361146.7699999996</v>
      </c>
      <c r="K21" s="1">
        <f t="shared" si="2"/>
        <v>0</v>
      </c>
      <c r="L21" s="9" t="s">
        <v>82</v>
      </c>
      <c r="M21" s="10">
        <v>41890</v>
      </c>
    </row>
    <row r="22" spans="1:13" hidden="1">
      <c r="A22" s="8">
        <f>'FERC Interest Rates'!A30</f>
        <v>41912</v>
      </c>
      <c r="D22" s="1">
        <f>2483434.98-235790</f>
        <v>2247644.98</v>
      </c>
      <c r="F22" s="1">
        <f t="shared" si="3"/>
        <v>22334.57</v>
      </c>
      <c r="H22" s="1">
        <f t="shared" si="1"/>
        <v>10631126.32</v>
      </c>
      <c r="I22" s="121"/>
      <c r="J22" s="1">
        <v>10631126.32</v>
      </c>
      <c r="K22" s="1">
        <f t="shared" si="2"/>
        <v>0</v>
      </c>
      <c r="L22" s="9" t="s">
        <v>82</v>
      </c>
      <c r="M22" s="10">
        <v>41919</v>
      </c>
    </row>
    <row r="23" spans="1:13" hidden="1">
      <c r="A23" s="8">
        <f>'FERC Interest Rates'!A31</f>
        <v>41943</v>
      </c>
      <c r="D23" s="1">
        <f>2177304.09-235790</f>
        <v>1941514.0899999999</v>
      </c>
      <c r="F23" s="1">
        <f t="shared" si="3"/>
        <v>29344.82</v>
      </c>
      <c r="H23" s="1">
        <f t="shared" si="1"/>
        <v>12601985.23</v>
      </c>
      <c r="I23" s="127"/>
      <c r="J23" s="1">
        <v>12601985.23</v>
      </c>
      <c r="K23" s="1">
        <f t="shared" si="2"/>
        <v>0</v>
      </c>
      <c r="L23" s="9" t="s">
        <v>82</v>
      </c>
      <c r="M23" s="10">
        <v>41950</v>
      </c>
    </row>
    <row r="24" spans="1:13" hidden="1">
      <c r="A24" s="560" t="s">
        <v>83</v>
      </c>
      <c r="B24" s="560"/>
      <c r="C24" s="560"/>
      <c r="D24" s="560"/>
      <c r="E24" s="560"/>
      <c r="F24" s="560"/>
      <c r="G24" s="1">
        <v>-5821559.6299999999</v>
      </c>
      <c r="H24" s="1">
        <f t="shared" si="1"/>
        <v>6780425.6000000006</v>
      </c>
      <c r="I24" s="127"/>
    </row>
    <row r="25" spans="1:13" hidden="1">
      <c r="A25" s="8">
        <f>'FERC Interest Rates'!A32</f>
        <v>41973</v>
      </c>
      <c r="D25" s="1">
        <v>-2042189.49</v>
      </c>
      <c r="F25" s="1">
        <f t="shared" si="3"/>
        <v>18112.099999999999</v>
      </c>
      <c r="H25" s="1">
        <f t="shared" si="1"/>
        <v>4756348.2100000009</v>
      </c>
      <c r="I25" s="127"/>
      <c r="J25" s="1">
        <v>4756348.21</v>
      </c>
      <c r="K25" s="1">
        <f t="shared" si="2"/>
        <v>0</v>
      </c>
      <c r="L25" s="9" t="s">
        <v>82</v>
      </c>
      <c r="M25" s="10">
        <v>41981</v>
      </c>
    </row>
    <row r="26" spans="1:13" hidden="1">
      <c r="A26" s="8">
        <f>'FERC Interest Rates'!A33</f>
        <v>42004</v>
      </c>
      <c r="D26" s="1">
        <f>-1692473.19-235790</f>
        <v>-1928263.19</v>
      </c>
      <c r="F26" s="1">
        <f t="shared" si="3"/>
        <v>13128.82</v>
      </c>
      <c r="H26" s="1">
        <f t="shared" si="1"/>
        <v>2841213.8400000008</v>
      </c>
      <c r="I26" s="127"/>
      <c r="J26" s="1">
        <v>2841213.84</v>
      </c>
      <c r="K26" s="1">
        <f t="shared" si="2"/>
        <v>0</v>
      </c>
      <c r="L26" s="9" t="s">
        <v>82</v>
      </c>
      <c r="M26" s="10">
        <v>42012</v>
      </c>
    </row>
    <row r="27" spans="1:13" hidden="1">
      <c r="A27" s="8">
        <f>'FERC Interest Rates'!A34</f>
        <v>42035</v>
      </c>
      <c r="D27" s="1">
        <f>-235790-2244525.95</f>
        <v>-2480315.9500000002</v>
      </c>
      <c r="F27" s="1">
        <f t="shared" ref="F27:F34" si="4">ROUND(H26*VLOOKUP(A27,FERCINT15,2)/365*VLOOKUP(A27,FERCINT15,3),2)</f>
        <v>7842.53</v>
      </c>
      <c r="H27" s="1">
        <f t="shared" si="1"/>
        <v>368740.42000000039</v>
      </c>
      <c r="I27" s="127"/>
      <c r="J27" s="1">
        <v>368740.42</v>
      </c>
      <c r="K27" s="1">
        <f t="shared" si="2"/>
        <v>0</v>
      </c>
      <c r="L27" s="9" t="s">
        <v>82</v>
      </c>
      <c r="M27" s="10">
        <v>42041</v>
      </c>
    </row>
    <row r="28" spans="1:13" hidden="1">
      <c r="A28" s="8">
        <f>'FERC Interest Rates'!A35</f>
        <v>42063</v>
      </c>
      <c r="D28" s="1">
        <f>-235790-439032.16</f>
        <v>-674822.15999999992</v>
      </c>
      <c r="F28" s="1">
        <f t="shared" si="4"/>
        <v>919.33</v>
      </c>
      <c r="H28" s="1">
        <f t="shared" si="1"/>
        <v>-305162.40999999957</v>
      </c>
      <c r="I28" s="127"/>
      <c r="J28" s="1">
        <v>-305162.40999999997</v>
      </c>
      <c r="K28" s="1">
        <f t="shared" si="2"/>
        <v>0</v>
      </c>
      <c r="L28" s="9" t="s">
        <v>82</v>
      </c>
      <c r="M28" s="10">
        <v>42069</v>
      </c>
    </row>
    <row r="29" spans="1:13" hidden="1">
      <c r="A29" s="8">
        <f>'FERC Interest Rates'!A36</f>
        <v>42094</v>
      </c>
      <c r="D29" s="1">
        <f>624226.35-235790</f>
        <v>388436.35</v>
      </c>
      <c r="F29" s="1">
        <f t="shared" si="4"/>
        <v>-842.33</v>
      </c>
      <c r="H29" s="1">
        <f t="shared" si="1"/>
        <v>82431.610000000393</v>
      </c>
      <c r="I29" s="127"/>
      <c r="J29" s="1">
        <v>82431.61</v>
      </c>
      <c r="K29" s="1">
        <f t="shared" si="2"/>
        <v>3.92901711165905E-10</v>
      </c>
      <c r="L29" s="9" t="s">
        <v>82</v>
      </c>
      <c r="M29" s="10">
        <v>42101</v>
      </c>
    </row>
    <row r="30" spans="1:13" hidden="1">
      <c r="A30" s="8">
        <f>'FERC Interest Rates'!A37</f>
        <v>42124</v>
      </c>
      <c r="D30" s="1">
        <v>577862.52</v>
      </c>
      <c r="F30" s="1">
        <f t="shared" si="4"/>
        <v>220.19</v>
      </c>
      <c r="H30" s="1">
        <f t="shared" si="1"/>
        <v>660514.3200000003</v>
      </c>
      <c r="I30" s="127"/>
      <c r="J30" s="1">
        <v>660514.31999999995</v>
      </c>
      <c r="K30" s="1">
        <f t="shared" si="2"/>
        <v>0</v>
      </c>
      <c r="L30" s="9" t="s">
        <v>82</v>
      </c>
      <c r="M30" s="10">
        <v>42131</v>
      </c>
    </row>
    <row r="31" spans="1:13" hidden="1">
      <c r="A31" s="8">
        <f>'FERC Interest Rates'!A38</f>
        <v>42155</v>
      </c>
      <c r="D31" s="1">
        <f>-235790+2154521.16</f>
        <v>1918731.1600000001</v>
      </c>
      <c r="F31" s="1">
        <f t="shared" si="4"/>
        <v>1823.2</v>
      </c>
      <c r="H31" s="1">
        <f t="shared" si="1"/>
        <v>2581068.6800000006</v>
      </c>
      <c r="I31" s="127"/>
      <c r="J31" s="1">
        <v>2581068.6800000002</v>
      </c>
      <c r="K31" s="1">
        <f t="shared" si="2"/>
        <v>0</v>
      </c>
      <c r="L31" s="9" t="s">
        <v>82</v>
      </c>
      <c r="M31" s="10">
        <v>42160</v>
      </c>
    </row>
    <row r="32" spans="1:13" hidden="1">
      <c r="A32" s="8">
        <f>'FERC Interest Rates'!A39</f>
        <v>42185</v>
      </c>
      <c r="D32" s="1">
        <f>-235790+3002370.29</f>
        <v>2766580.29</v>
      </c>
      <c r="F32" s="1">
        <f t="shared" si="4"/>
        <v>6894.64</v>
      </c>
      <c r="H32" s="1">
        <f t="shared" si="1"/>
        <v>5354543.6100000013</v>
      </c>
      <c r="I32" s="127"/>
      <c r="J32" s="1">
        <v>5354543.6100000003</v>
      </c>
      <c r="K32" s="1">
        <f t="shared" si="2"/>
        <v>0</v>
      </c>
      <c r="L32" s="9" t="s">
        <v>82</v>
      </c>
      <c r="M32" s="10">
        <v>42193</v>
      </c>
    </row>
    <row r="33" spans="1:13" hidden="1">
      <c r="A33" s="8">
        <f>'FERC Interest Rates'!A40</f>
        <v>42216</v>
      </c>
      <c r="D33" s="1">
        <f>-235790+2635153.59</f>
        <v>2399363.59</v>
      </c>
      <c r="F33" s="1">
        <f t="shared" si="4"/>
        <v>14780.01</v>
      </c>
      <c r="H33" s="1">
        <f t="shared" si="1"/>
        <v>7768687.2100000009</v>
      </c>
      <c r="I33" s="127"/>
      <c r="J33" s="1">
        <v>7768687.21</v>
      </c>
      <c r="K33" s="1">
        <f t="shared" si="2"/>
        <v>0</v>
      </c>
      <c r="L33" s="9" t="s">
        <v>82</v>
      </c>
      <c r="M33" s="10">
        <v>42223</v>
      </c>
    </row>
    <row r="34" spans="1:13" hidden="1">
      <c r="A34" s="8">
        <f>'FERC Interest Rates'!A41</f>
        <v>42247</v>
      </c>
      <c r="D34" s="1">
        <f>-235790+3068421.49</f>
        <v>2832631.49</v>
      </c>
      <c r="F34" s="1">
        <f t="shared" si="4"/>
        <v>21443.71</v>
      </c>
      <c r="H34" s="1">
        <f t="shared" si="1"/>
        <v>10622762.41</v>
      </c>
      <c r="I34" s="127"/>
      <c r="J34" s="1">
        <v>10622762.41</v>
      </c>
      <c r="K34" s="1">
        <f t="shared" si="2"/>
        <v>0</v>
      </c>
      <c r="L34" s="9" t="s">
        <v>82</v>
      </c>
      <c r="M34" s="10">
        <v>42255</v>
      </c>
    </row>
    <row r="35" spans="1:13" hidden="1">
      <c r="A35" s="560" t="s">
        <v>84</v>
      </c>
      <c r="B35" s="560"/>
      <c r="C35" s="560"/>
      <c r="D35" s="560"/>
      <c r="E35" s="560"/>
      <c r="F35" s="560"/>
      <c r="G35" s="1">
        <v>-5384144.4199999999</v>
      </c>
      <c r="H35" s="1">
        <f t="shared" si="1"/>
        <v>5238617.99</v>
      </c>
      <c r="I35" s="127"/>
      <c r="M35" s="10"/>
    </row>
    <row r="36" spans="1:13" hidden="1">
      <c r="A36" s="8">
        <f>'FERC Interest Rates'!A42</f>
        <v>42277</v>
      </c>
      <c r="D36" s="1">
        <f>-235790+2279842.94</f>
        <v>2044052.94</v>
      </c>
      <c r="F36" s="1">
        <f>ROUND(H35*VLOOKUP(A36,FERCINT15,2)/365*VLOOKUP(A36,FERCINT15,3),2)</f>
        <v>13993.57</v>
      </c>
      <c r="H36" s="1">
        <f t="shared" si="1"/>
        <v>7296664.5</v>
      </c>
      <c r="I36" s="127"/>
      <c r="J36" s="1">
        <v>7296664.5</v>
      </c>
      <c r="K36" s="1">
        <f t="shared" si="2"/>
        <v>0</v>
      </c>
      <c r="L36" s="9" t="s">
        <v>82</v>
      </c>
      <c r="M36" s="10">
        <v>42284</v>
      </c>
    </row>
    <row r="37" spans="1:13" hidden="1">
      <c r="A37" s="8">
        <f>'FERC Interest Rates'!A43</f>
        <v>42308</v>
      </c>
      <c r="D37" s="1">
        <f>-235790+1685153.23</f>
        <v>1449363.23</v>
      </c>
      <c r="F37" s="1">
        <f>ROUND(H36*VLOOKUP(A37,FERCINT15,2)/365*VLOOKUP(A37,FERCINT15,3),2)</f>
        <v>20140.79</v>
      </c>
      <c r="H37" s="1">
        <f t="shared" si="1"/>
        <v>8766168.5199999996</v>
      </c>
      <c r="I37" s="127"/>
      <c r="J37" s="1">
        <v>8766168.5199999996</v>
      </c>
      <c r="K37" s="1">
        <f t="shared" si="2"/>
        <v>0</v>
      </c>
      <c r="L37" s="9" t="s">
        <v>82</v>
      </c>
      <c r="M37" s="10">
        <v>42314</v>
      </c>
    </row>
    <row r="38" spans="1:13" hidden="1">
      <c r="A38" s="8">
        <f>'FERC Interest Rates'!A44</f>
        <v>42338</v>
      </c>
      <c r="D38" s="1">
        <f>-235790-1154654.65</f>
        <v>-1390444.65</v>
      </c>
      <c r="F38" s="1">
        <f>ROUND(H37*VLOOKUP(A38,FERCINT15,2)/365*VLOOKUP(A38,FERCINT15,3),2)</f>
        <v>23416.48</v>
      </c>
      <c r="H38" s="1">
        <f t="shared" si="1"/>
        <v>7399140.3499999996</v>
      </c>
      <c r="I38" s="127"/>
      <c r="J38" s="1">
        <v>7399140.3499999996</v>
      </c>
      <c r="K38" s="1">
        <f t="shared" ref="K38:K77" si="5">H38-J38</f>
        <v>0</v>
      </c>
      <c r="L38" s="9" t="s">
        <v>82</v>
      </c>
      <c r="M38" s="10">
        <v>42345</v>
      </c>
    </row>
    <row r="39" spans="1:13" hidden="1">
      <c r="A39" s="8">
        <f>'FERC Interest Rates'!A45</f>
        <v>42369</v>
      </c>
      <c r="D39" s="1">
        <f>-235790-2451396.83</f>
        <v>-2687186.83</v>
      </c>
      <c r="F39" s="1">
        <f>ROUND(H38*VLOOKUP(A39,FERCINT15,2)/365*VLOOKUP(A39,FERCINT15,3),2)</f>
        <v>20423.650000000001</v>
      </c>
      <c r="H39" s="1">
        <f t="shared" si="1"/>
        <v>4732377.17</v>
      </c>
      <c r="I39" s="127"/>
      <c r="J39" s="1">
        <v>4732377.17</v>
      </c>
      <c r="K39" s="1">
        <f t="shared" si="5"/>
        <v>0</v>
      </c>
      <c r="L39" s="9" t="s">
        <v>82</v>
      </c>
      <c r="M39" s="10">
        <v>42377</v>
      </c>
    </row>
    <row r="40" spans="1:13" hidden="1">
      <c r="A40" s="8">
        <f>'FERC Interest Rates'!A46</f>
        <v>42400</v>
      </c>
      <c r="D40" s="1">
        <f>-235790-2843736.16</f>
        <v>-3079526.16</v>
      </c>
      <c r="F40" s="1">
        <f t="shared" ref="F40:F52" si="6">ROUND(H39*VLOOKUP(A40,FERCINT16,2)/365*VLOOKUP(A40,FERCINT16,3),2)</f>
        <v>13062.66</v>
      </c>
      <c r="H40" s="1">
        <f t="shared" si="1"/>
        <v>1665913.67</v>
      </c>
      <c r="I40" s="127"/>
      <c r="J40" s="1">
        <v>1665913.67</v>
      </c>
      <c r="K40" s="1">
        <f t="shared" si="5"/>
        <v>0</v>
      </c>
      <c r="L40" s="9" t="s">
        <v>82</v>
      </c>
      <c r="M40" s="10">
        <v>42405</v>
      </c>
    </row>
    <row r="41" spans="1:13" hidden="1">
      <c r="A41" s="8">
        <f>'FERC Interest Rates'!A47</f>
        <v>42429</v>
      </c>
      <c r="D41" s="1">
        <f>-235790-733663.69</f>
        <v>-969453.69</v>
      </c>
      <c r="F41" s="1">
        <f t="shared" si="6"/>
        <v>4301.71</v>
      </c>
      <c r="H41" s="1">
        <f t="shared" si="1"/>
        <v>700761.69</v>
      </c>
      <c r="I41" s="127"/>
      <c r="J41" s="1">
        <v>700761.69</v>
      </c>
      <c r="K41" s="1">
        <f t="shared" si="5"/>
        <v>0</v>
      </c>
      <c r="L41" s="9" t="s">
        <v>82</v>
      </c>
      <c r="M41" s="10">
        <v>42436</v>
      </c>
    </row>
    <row r="42" spans="1:13" hidden="1">
      <c r="A42" s="8">
        <f>'FERC Interest Rates'!A48</f>
        <v>42460</v>
      </c>
      <c r="D42" s="1">
        <f>-235790-251077.59</f>
        <v>-486867.58999999997</v>
      </c>
      <c r="F42" s="1">
        <f t="shared" si="6"/>
        <v>1934.29</v>
      </c>
      <c r="H42" s="1">
        <f t="shared" si="1"/>
        <v>215828.38999999996</v>
      </c>
      <c r="I42" s="127"/>
      <c r="J42" s="1">
        <v>215828.39</v>
      </c>
      <c r="K42" s="1">
        <f t="shared" si="5"/>
        <v>0</v>
      </c>
      <c r="L42" s="9" t="s">
        <v>82</v>
      </c>
      <c r="M42" s="10">
        <v>42467</v>
      </c>
    </row>
    <row r="43" spans="1:13" hidden="1">
      <c r="A43" s="8">
        <f>'FERC Interest Rates'!A49</f>
        <v>42490</v>
      </c>
      <c r="D43" s="1">
        <f>-235790+1778810.98</f>
        <v>1543020.98</v>
      </c>
      <c r="F43" s="1">
        <f t="shared" si="6"/>
        <v>613.78</v>
      </c>
      <c r="H43" s="1">
        <f t="shared" si="1"/>
        <v>1759463.15</v>
      </c>
      <c r="I43" s="127"/>
      <c r="J43" s="1">
        <v>1759463.15</v>
      </c>
      <c r="K43" s="1">
        <f t="shared" si="5"/>
        <v>0</v>
      </c>
      <c r="L43" s="9" t="s">
        <v>82</v>
      </c>
      <c r="M43" s="10">
        <v>42496</v>
      </c>
    </row>
    <row r="44" spans="1:13" hidden="1">
      <c r="A44" s="8">
        <f>'FERC Interest Rates'!A50</f>
        <v>42521</v>
      </c>
      <c r="D44" s="1">
        <f>-235790+2166277.82</f>
        <v>1930487.8199999998</v>
      </c>
      <c r="F44" s="1">
        <f t="shared" si="6"/>
        <v>5170.41</v>
      </c>
      <c r="H44" s="1">
        <f t="shared" si="1"/>
        <v>3695121.38</v>
      </c>
      <c r="I44" s="127"/>
      <c r="J44" s="1">
        <v>3695121.38</v>
      </c>
      <c r="K44" s="1">
        <f t="shared" si="5"/>
        <v>0</v>
      </c>
      <c r="L44" s="9" t="s">
        <v>82</v>
      </c>
      <c r="M44" s="10">
        <v>42528</v>
      </c>
    </row>
    <row r="45" spans="1:13" hidden="1">
      <c r="A45" s="8">
        <f>'FERC Interest Rates'!A51</f>
        <v>42551</v>
      </c>
      <c r="D45" s="1">
        <f>-235790+2358521.52</f>
        <v>2122731.52</v>
      </c>
      <c r="F45" s="1">
        <f t="shared" si="6"/>
        <v>10508.32</v>
      </c>
      <c r="H45" s="1">
        <f t="shared" si="1"/>
        <v>5828361.2199999997</v>
      </c>
      <c r="I45" s="127"/>
      <c r="J45" s="1">
        <v>5828361.2199999997</v>
      </c>
      <c r="K45" s="1">
        <f t="shared" si="5"/>
        <v>0</v>
      </c>
      <c r="L45" s="9" t="s">
        <v>82</v>
      </c>
      <c r="M45" s="10">
        <v>42559</v>
      </c>
    </row>
    <row r="46" spans="1:13" hidden="1">
      <c r="A46" s="8">
        <f>'FERC Interest Rates'!A52</f>
        <v>42582</v>
      </c>
      <c r="D46" s="1">
        <f>2544357.05-235790</f>
        <v>2308567.0499999998</v>
      </c>
      <c r="F46" s="1">
        <f t="shared" si="6"/>
        <v>17325.400000000001</v>
      </c>
      <c r="H46" s="1">
        <f t="shared" si="1"/>
        <v>8154253.6699999999</v>
      </c>
      <c r="I46" s="127"/>
      <c r="J46" s="1">
        <v>8154253.6699999999</v>
      </c>
      <c r="K46" s="1">
        <f t="shared" si="5"/>
        <v>0</v>
      </c>
      <c r="L46" s="9" t="s">
        <v>85</v>
      </c>
      <c r="M46" s="10">
        <v>42587</v>
      </c>
    </row>
    <row r="47" spans="1:13" hidden="1">
      <c r="A47" s="8">
        <f>'FERC Interest Rates'!A53</f>
        <v>42613</v>
      </c>
      <c r="D47" s="1">
        <f>2676077.9-235790</f>
        <v>2440287.9</v>
      </c>
      <c r="F47" s="1">
        <f t="shared" si="6"/>
        <v>24239.360000000001</v>
      </c>
      <c r="H47" s="1">
        <f t="shared" si="1"/>
        <v>10618780.93</v>
      </c>
      <c r="I47" s="127"/>
      <c r="J47" s="1">
        <v>10618780.93</v>
      </c>
      <c r="K47" s="1">
        <f t="shared" si="5"/>
        <v>0</v>
      </c>
      <c r="L47" s="9" t="s">
        <v>85</v>
      </c>
      <c r="M47" s="10">
        <v>42621</v>
      </c>
    </row>
    <row r="48" spans="1:13" hidden="1">
      <c r="A48" s="560" t="s">
        <v>84</v>
      </c>
      <c r="B48" s="560"/>
      <c r="C48" s="560"/>
      <c r="D48" s="560"/>
      <c r="E48" s="560"/>
      <c r="F48" s="560"/>
      <c r="G48" s="1">
        <v>-5863063.5199999996</v>
      </c>
      <c r="H48" s="1">
        <f t="shared" ref="H48" si="7">H47+SUM(D48:G48)</f>
        <v>4755717.41</v>
      </c>
      <c r="I48" s="127"/>
      <c r="M48" s="10"/>
    </row>
    <row r="49" spans="1:13" hidden="1">
      <c r="A49" s="8">
        <f>'FERC Interest Rates'!A54</f>
        <v>42643</v>
      </c>
      <c r="D49" s="1">
        <f>2256459.89-235790</f>
        <v>2020669.8900000001</v>
      </c>
      <c r="F49" s="1">
        <f>ROUND(H48*VLOOKUP(A49,FERCINT16,2)/365*VLOOKUP(A49,FERCINT16,3),2)</f>
        <v>13680.83</v>
      </c>
      <c r="H49" s="1">
        <f>H48+SUM(D49:G49)</f>
        <v>6790068.1300000008</v>
      </c>
      <c r="I49" s="127"/>
      <c r="J49" s="1">
        <v>6790068.1299999999</v>
      </c>
      <c r="K49" s="1">
        <f t="shared" si="5"/>
        <v>0</v>
      </c>
      <c r="L49" s="9" t="s">
        <v>85</v>
      </c>
      <c r="M49" s="10">
        <v>42654</v>
      </c>
    </row>
    <row r="50" spans="1:13" hidden="1">
      <c r="A50" s="8">
        <f>'FERC Interest Rates'!A55</f>
        <v>42674</v>
      </c>
      <c r="D50" s="1">
        <f>1223760.21-235790</f>
        <v>987970.21</v>
      </c>
      <c r="F50" s="1">
        <f t="shared" si="6"/>
        <v>20184.18</v>
      </c>
      <c r="H50" s="1">
        <f t="shared" si="1"/>
        <v>7798222.5200000005</v>
      </c>
      <c r="I50" s="127"/>
      <c r="J50" s="1">
        <v>7798222.5199999996</v>
      </c>
      <c r="K50" s="1">
        <f t="shared" si="5"/>
        <v>0</v>
      </c>
      <c r="L50" s="9" t="s">
        <v>85</v>
      </c>
      <c r="M50" s="10">
        <v>42681</v>
      </c>
    </row>
    <row r="51" spans="1:13" hidden="1">
      <c r="A51" s="8">
        <f>'FERC Interest Rates'!A56</f>
        <v>42704</v>
      </c>
      <c r="D51" s="1">
        <f>-27093.75+6998.33-235790+279026.37</f>
        <v>23140.950000000012</v>
      </c>
      <c r="F51" s="1">
        <f t="shared" si="6"/>
        <v>22433.24</v>
      </c>
      <c r="H51" s="1">
        <f t="shared" si="1"/>
        <v>7843796.7100000009</v>
      </c>
      <c r="I51" s="127"/>
      <c r="J51" s="1">
        <v>7843796.71</v>
      </c>
      <c r="K51" s="1">
        <f t="shared" si="5"/>
        <v>0</v>
      </c>
      <c r="L51" s="9" t="s">
        <v>85</v>
      </c>
      <c r="M51" s="10">
        <v>42712</v>
      </c>
    </row>
    <row r="52" spans="1:13" hidden="1">
      <c r="A52" s="8">
        <f>'FERC Interest Rates'!A57</f>
        <v>42735</v>
      </c>
      <c r="D52" s="1">
        <f>-3365220.01-255885.42</f>
        <v>-3621105.4299999997</v>
      </c>
      <c r="F52" s="1">
        <f t="shared" si="6"/>
        <v>23316.49</v>
      </c>
      <c r="H52" s="1">
        <f t="shared" si="1"/>
        <v>4246007.7700000014</v>
      </c>
      <c r="I52" s="127"/>
      <c r="J52" s="1">
        <v>4246007.7699999996</v>
      </c>
      <c r="K52" s="1">
        <f t="shared" si="5"/>
        <v>0</v>
      </c>
      <c r="L52" s="9" t="s">
        <v>85</v>
      </c>
      <c r="M52" s="10">
        <v>42744</v>
      </c>
    </row>
    <row r="53" spans="1:13" hidden="1">
      <c r="A53" s="8">
        <f>'FERC Interest Rates'!A58</f>
        <v>42766</v>
      </c>
      <c r="D53" s="1">
        <f>-255885.42-3925040.15</f>
        <v>-4180925.57</v>
      </c>
      <c r="F53" s="1">
        <f t="shared" ref="F53:F65" si="8">ROUND(H52*VLOOKUP(A53,FERCINT17,2)/365*VLOOKUP(A53,FERCINT17,3),2)</f>
        <v>12621.69</v>
      </c>
      <c r="H53" s="1">
        <f t="shared" si="1"/>
        <v>77703.890000001527</v>
      </c>
      <c r="I53" s="127"/>
      <c r="J53" s="1">
        <v>77703.89</v>
      </c>
      <c r="K53" s="1">
        <f t="shared" si="5"/>
        <v>1.5279510989785194E-9</v>
      </c>
      <c r="L53" s="9" t="s">
        <v>85</v>
      </c>
      <c r="M53" s="10">
        <v>42773</v>
      </c>
    </row>
    <row r="54" spans="1:13" hidden="1">
      <c r="A54" s="8">
        <f>'FERC Interest Rates'!A59</f>
        <v>42794</v>
      </c>
      <c r="D54" s="1">
        <f>-255885.42-2150057.29</f>
        <v>-2405942.71</v>
      </c>
      <c r="F54" s="1">
        <f t="shared" si="8"/>
        <v>208.63</v>
      </c>
      <c r="H54" s="1">
        <f t="shared" si="1"/>
        <v>-2328030.1899999985</v>
      </c>
      <c r="I54" s="127"/>
      <c r="J54" s="1">
        <v>-2328030.19</v>
      </c>
      <c r="K54" s="1">
        <f t="shared" si="5"/>
        <v>0</v>
      </c>
      <c r="L54" s="9" t="s">
        <v>85</v>
      </c>
      <c r="M54" s="10">
        <v>42801</v>
      </c>
    </row>
    <row r="55" spans="1:13" hidden="1">
      <c r="A55" s="8">
        <f>'FERC Interest Rates'!A60</f>
        <v>42825</v>
      </c>
      <c r="D55" s="1">
        <f>-255885.42-552759.68</f>
        <v>-808645.10000000009</v>
      </c>
      <c r="F55" s="1">
        <f t="shared" si="8"/>
        <v>-6920.31</v>
      </c>
      <c r="H55" s="1">
        <f t="shared" si="1"/>
        <v>-3143595.5999999987</v>
      </c>
      <c r="I55" s="127"/>
      <c r="J55" s="1">
        <v>-3143595.6</v>
      </c>
      <c r="K55" s="1">
        <f t="shared" si="5"/>
        <v>0</v>
      </c>
      <c r="L55" s="9" t="s">
        <v>85</v>
      </c>
      <c r="M55" s="10">
        <v>42832</v>
      </c>
    </row>
    <row r="56" spans="1:13" hidden="1">
      <c r="A56" s="8">
        <f>'FERC Interest Rates'!A61</f>
        <v>42855</v>
      </c>
      <c r="D56" s="1">
        <f>-255885.42+711602.06</f>
        <v>455716.64</v>
      </c>
      <c r="F56" s="1">
        <f t="shared" si="8"/>
        <v>-9585.81</v>
      </c>
      <c r="H56" s="1">
        <f t="shared" si="1"/>
        <v>-2697464.7699999986</v>
      </c>
      <c r="I56" s="127"/>
      <c r="J56" s="1">
        <v>-2697464.77</v>
      </c>
      <c r="K56" s="1">
        <f t="shared" si="5"/>
        <v>0</v>
      </c>
      <c r="L56" s="9" t="s">
        <v>85</v>
      </c>
      <c r="M56" s="10">
        <v>42860</v>
      </c>
    </row>
    <row r="57" spans="1:13" hidden="1">
      <c r="A57" s="8">
        <f>'FERC Interest Rates'!A62</f>
        <v>42886</v>
      </c>
      <c r="D57" s="1">
        <f>1785186.57-255885.42</f>
        <v>1529301.1500000001</v>
      </c>
      <c r="F57" s="1">
        <f t="shared" si="8"/>
        <v>-8499.6</v>
      </c>
      <c r="H57" s="1">
        <f t="shared" si="1"/>
        <v>-1176663.2199999986</v>
      </c>
      <c r="I57" s="127"/>
      <c r="J57" s="1">
        <v>-1176663.22</v>
      </c>
      <c r="K57" s="1">
        <f t="shared" si="5"/>
        <v>0</v>
      </c>
      <c r="L57" s="9" t="s">
        <v>85</v>
      </c>
      <c r="M57" s="10">
        <v>42893</v>
      </c>
    </row>
    <row r="58" spans="1:13" hidden="1">
      <c r="A58" s="8">
        <f>'FERC Interest Rates'!A63</f>
        <v>42916</v>
      </c>
      <c r="D58" s="1">
        <f>-255885.42+2860897.95</f>
        <v>2605012.5300000003</v>
      </c>
      <c r="F58" s="1">
        <f t="shared" si="8"/>
        <v>-3588.02</v>
      </c>
      <c r="H58" s="1">
        <f t="shared" si="1"/>
        <v>1424761.2900000017</v>
      </c>
      <c r="I58" s="127"/>
      <c r="J58" s="1">
        <v>1424761.29</v>
      </c>
      <c r="K58" s="1">
        <f t="shared" si="5"/>
        <v>0</v>
      </c>
      <c r="L58" s="9" t="s">
        <v>85</v>
      </c>
      <c r="M58" s="10">
        <v>42926</v>
      </c>
    </row>
    <row r="59" spans="1:13" hidden="1">
      <c r="A59" s="8">
        <f>'FERC Interest Rates'!A64</f>
        <v>42947</v>
      </c>
      <c r="D59" s="1">
        <f>-255885.42+2782148.25</f>
        <v>2526262.83</v>
      </c>
      <c r="F59" s="1">
        <f t="shared" si="8"/>
        <v>4791.88</v>
      </c>
      <c r="H59" s="1">
        <f t="shared" si="1"/>
        <v>3955816.0000000019</v>
      </c>
      <c r="I59" s="127"/>
      <c r="J59" s="1">
        <v>3955816</v>
      </c>
      <c r="K59" s="1">
        <f t="shared" si="5"/>
        <v>0</v>
      </c>
      <c r="L59" s="9" t="s">
        <v>85</v>
      </c>
      <c r="M59" s="10">
        <v>42954</v>
      </c>
    </row>
    <row r="60" spans="1:13" hidden="1">
      <c r="A60" s="8">
        <f>'FERC Interest Rates'!A65</f>
        <v>42978</v>
      </c>
      <c r="D60" s="1">
        <f>2895319.51-255885.42</f>
        <v>2639434.09</v>
      </c>
      <c r="F60" s="1">
        <f t="shared" si="8"/>
        <v>13304.55</v>
      </c>
      <c r="H60" s="1">
        <f t="shared" si="1"/>
        <v>6608554.6400000015</v>
      </c>
      <c r="I60" s="127"/>
      <c r="J60" s="1">
        <v>6608554.6399999997</v>
      </c>
      <c r="K60" s="1">
        <f t="shared" si="5"/>
        <v>0</v>
      </c>
      <c r="L60" s="9" t="s">
        <v>85</v>
      </c>
      <c r="M60" s="10">
        <v>42989</v>
      </c>
    </row>
    <row r="61" spans="1:13" hidden="1">
      <c r="A61" s="8">
        <f>'FERC Interest Rates'!A66</f>
        <v>43008</v>
      </c>
      <c r="D61" s="1">
        <f>2319711.12-255885.42</f>
        <v>2063825.7000000002</v>
      </c>
      <c r="F61" s="1">
        <f t="shared" si="8"/>
        <v>21509.49</v>
      </c>
      <c r="H61" s="1">
        <f t="shared" si="1"/>
        <v>8693889.8300000019</v>
      </c>
      <c r="I61" s="127"/>
      <c r="J61" s="1">
        <v>8693889.8300000001</v>
      </c>
      <c r="K61" s="1">
        <f t="shared" si="5"/>
        <v>0</v>
      </c>
      <c r="L61" s="9" t="s">
        <v>85</v>
      </c>
      <c r="M61" s="10">
        <v>43017</v>
      </c>
    </row>
    <row r="62" spans="1:13" hidden="1">
      <c r="A62" s="8">
        <f>'FERC Interest Rates'!A67</f>
        <v>43039</v>
      </c>
      <c r="D62" s="1">
        <v>1101849.6100000001</v>
      </c>
      <c r="F62" s="1">
        <f t="shared" si="8"/>
        <v>31086.02</v>
      </c>
      <c r="H62" s="1">
        <f t="shared" si="1"/>
        <v>9826825.4600000028</v>
      </c>
      <c r="I62" s="127"/>
      <c r="J62" s="1">
        <v>9826825.4600000009</v>
      </c>
      <c r="K62" s="1">
        <f t="shared" si="5"/>
        <v>0</v>
      </c>
      <c r="L62" s="9" t="s">
        <v>85</v>
      </c>
      <c r="M62" s="10">
        <v>43047</v>
      </c>
    </row>
    <row r="63" spans="1:13" hidden="1">
      <c r="A63" s="560" t="s">
        <v>86</v>
      </c>
      <c r="B63" s="560"/>
      <c r="C63" s="560"/>
      <c r="D63" s="560"/>
      <c r="E63" s="560"/>
      <c r="F63" s="560"/>
      <c r="G63" s="1">
        <v>-3996277.46</v>
      </c>
      <c r="H63" s="1">
        <f t="shared" si="1"/>
        <v>5830548.0000000028</v>
      </c>
      <c r="I63" s="127"/>
      <c r="M63" s="10"/>
    </row>
    <row r="64" spans="1:13" hidden="1">
      <c r="A64" s="8">
        <f>'FERC Interest Rates'!A68</f>
        <v>43069</v>
      </c>
      <c r="D64" s="1">
        <f>-897988.44-255885.42-255885.42</f>
        <v>-1409759.2799999998</v>
      </c>
      <c r="F64" s="1">
        <f>ROUND(H63*VLOOKUP(A64,FERCINT17,2)/365*VLOOKUP(A64,FERCINT17,3),2)</f>
        <v>20175.29</v>
      </c>
      <c r="H64" s="1">
        <f t="shared" si="1"/>
        <v>4440964.0100000035</v>
      </c>
      <c r="I64" s="127"/>
      <c r="J64" s="1">
        <v>4440964.01</v>
      </c>
      <c r="K64" s="1">
        <f t="shared" si="5"/>
        <v>0</v>
      </c>
      <c r="L64" s="9" t="s">
        <v>85</v>
      </c>
      <c r="M64" s="10">
        <v>43077</v>
      </c>
    </row>
    <row r="65" spans="1:13" hidden="1">
      <c r="A65" s="8">
        <f>'FERC Interest Rates'!A69</f>
        <v>43100</v>
      </c>
      <c r="D65" s="1">
        <f>-255885.42-2475480.62</f>
        <v>-2731366.04</v>
      </c>
      <c r="F65" s="1">
        <f t="shared" si="8"/>
        <v>15879.18</v>
      </c>
      <c r="H65" s="1">
        <f t="shared" si="1"/>
        <v>1725477.1500000036</v>
      </c>
      <c r="I65" s="127"/>
      <c r="J65" s="1">
        <v>1725477.15</v>
      </c>
      <c r="K65" s="1">
        <f t="shared" si="5"/>
        <v>3.7252902984619141E-9</v>
      </c>
      <c r="L65" s="9" t="s">
        <v>85</v>
      </c>
      <c r="M65" s="10">
        <v>43108</v>
      </c>
    </row>
    <row r="66" spans="1:13" hidden="1">
      <c r="A66" s="8">
        <f>'FERC Interest Rates'!A70</f>
        <v>43131</v>
      </c>
      <c r="D66" s="1">
        <f>-255885.42-2432578.96</f>
        <v>-2688464.38</v>
      </c>
      <c r="F66" s="1">
        <f t="shared" ref="F66:F78" si="9">ROUND(H65*VLOOKUP(A66,FERCINT18,2)/365*VLOOKUP(A66,FERCINT18,3),2)</f>
        <v>6228.26</v>
      </c>
      <c r="H66" s="1">
        <f t="shared" si="1"/>
        <v>-956758.96999999648</v>
      </c>
      <c r="I66" s="127"/>
      <c r="J66" s="1">
        <v>-956758.97</v>
      </c>
      <c r="K66" s="1">
        <f t="shared" si="5"/>
        <v>3.4924596548080444E-9</v>
      </c>
      <c r="L66" s="9" t="s">
        <v>85</v>
      </c>
      <c r="M66" s="10">
        <v>43139</v>
      </c>
    </row>
    <row r="67" spans="1:13" hidden="1">
      <c r="A67" s="8">
        <f>'FERC Interest Rates'!A71</f>
        <v>43159</v>
      </c>
      <c r="D67" s="1">
        <f>-255885.42-1881476.29</f>
        <v>-2137361.71</v>
      </c>
      <c r="F67" s="1">
        <f t="shared" si="9"/>
        <v>-3119.3</v>
      </c>
      <c r="H67" s="1">
        <f t="shared" si="1"/>
        <v>-3097239.9799999963</v>
      </c>
      <c r="I67" s="127"/>
      <c r="J67" s="1">
        <v>-3097239.98</v>
      </c>
      <c r="K67" s="1">
        <f t="shared" si="5"/>
        <v>3.7252902984619141E-9</v>
      </c>
      <c r="L67" s="9" t="s">
        <v>85</v>
      </c>
      <c r="M67" s="10">
        <v>43167</v>
      </c>
    </row>
    <row r="68" spans="1:13" hidden="1">
      <c r="A68" s="8">
        <f>'FERC Interest Rates'!A72</f>
        <v>43190</v>
      </c>
      <c r="D68" s="1">
        <f>-255885.42-527904.85</f>
        <v>-783790.27</v>
      </c>
      <c r="F68" s="1">
        <f t="shared" si="9"/>
        <v>-11179.76</v>
      </c>
      <c r="H68" s="1">
        <f t="shared" si="1"/>
        <v>-3892210.0099999961</v>
      </c>
      <c r="I68" s="127"/>
      <c r="J68" s="1">
        <v>-3892210.01</v>
      </c>
      <c r="K68" s="1">
        <f t="shared" si="5"/>
        <v>3.7252902984619141E-9</v>
      </c>
      <c r="L68" s="9" t="s">
        <v>85</v>
      </c>
      <c r="M68" s="10">
        <v>43200</v>
      </c>
    </row>
    <row r="69" spans="1:13" hidden="1">
      <c r="A69" s="8">
        <f>'FERC Interest Rates'!A73</f>
        <v>43220</v>
      </c>
      <c r="D69" s="1">
        <f>-255885.42+736662.62</f>
        <v>480777.19999999995</v>
      </c>
      <c r="F69" s="1">
        <f t="shared" si="9"/>
        <v>-14299.87</v>
      </c>
      <c r="H69" s="1">
        <f t="shared" si="1"/>
        <v>-3425732.679999996</v>
      </c>
      <c r="I69" s="127"/>
      <c r="J69" s="1">
        <v>-3425732.68</v>
      </c>
      <c r="K69" s="1">
        <f t="shared" si="5"/>
        <v>4.1909515857696533E-9</v>
      </c>
      <c r="L69" s="9" t="s">
        <v>85</v>
      </c>
      <c r="M69" s="10">
        <v>43228</v>
      </c>
    </row>
    <row r="70" spans="1:13" hidden="1">
      <c r="A70" s="8">
        <f>'FERC Interest Rates'!A74</f>
        <v>43251</v>
      </c>
      <c r="D70" s="1">
        <f>-255885.42+2305103.01</f>
        <v>2049217.5899999999</v>
      </c>
      <c r="F70" s="1">
        <f t="shared" si="9"/>
        <v>-13005.58</v>
      </c>
      <c r="H70" s="1">
        <f t="shared" si="1"/>
        <v>-1389520.6699999962</v>
      </c>
      <c r="I70" s="127"/>
      <c r="J70" s="1">
        <v>-1389520.67</v>
      </c>
      <c r="K70" s="1">
        <f t="shared" si="5"/>
        <v>3.7252902984619141E-9</v>
      </c>
      <c r="L70" s="9" t="s">
        <v>85</v>
      </c>
      <c r="M70" s="10">
        <v>43258</v>
      </c>
    </row>
    <row r="71" spans="1:13" hidden="1">
      <c r="A71" s="8">
        <f>'FERC Interest Rates'!A75</f>
        <v>43281</v>
      </c>
      <c r="D71" s="1">
        <f>-255885.42+2275296</f>
        <v>2019410.58</v>
      </c>
      <c r="F71" s="1">
        <f t="shared" si="9"/>
        <v>-5105.0600000000004</v>
      </c>
      <c r="H71" s="1">
        <f t="shared" si="1"/>
        <v>624784.85000000382</v>
      </c>
      <c r="I71" s="127"/>
      <c r="J71" s="1">
        <v>624784.85</v>
      </c>
      <c r="K71" s="1">
        <f t="shared" si="5"/>
        <v>3.8417056202888489E-9</v>
      </c>
      <c r="L71" s="9" t="s">
        <v>85</v>
      </c>
      <c r="M71" s="10">
        <v>43290</v>
      </c>
    </row>
    <row r="72" spans="1:13" hidden="1">
      <c r="A72" s="8">
        <f>'FERC Interest Rates'!A76</f>
        <v>43312</v>
      </c>
      <c r="D72" s="1">
        <f>-255885.42+2633195.8</f>
        <v>2377310.38</v>
      </c>
      <c r="F72" s="1">
        <f t="shared" si="9"/>
        <v>2488.6999999999998</v>
      </c>
      <c r="H72" s="1">
        <f t="shared" si="1"/>
        <v>3004583.9300000039</v>
      </c>
      <c r="I72" s="127"/>
      <c r="J72" s="1">
        <f>371388.13+2633195.8</f>
        <v>3004583.9299999997</v>
      </c>
      <c r="K72" s="1">
        <f t="shared" si="5"/>
        <v>4.1909515857696533E-9</v>
      </c>
      <c r="L72" s="9" t="s">
        <v>85</v>
      </c>
      <c r="M72" s="10">
        <v>43319</v>
      </c>
    </row>
    <row r="73" spans="1:13" hidden="1">
      <c r="A73" s="8">
        <f>'FERC Interest Rates'!A77</f>
        <v>43343</v>
      </c>
      <c r="D73" s="1">
        <f>3035339.83-255885.42</f>
        <v>2779454.41</v>
      </c>
      <c r="F73" s="1">
        <f t="shared" si="9"/>
        <v>11968.12</v>
      </c>
      <c r="H73" s="1">
        <f t="shared" si="1"/>
        <v>5796006.4600000046</v>
      </c>
      <c r="I73" s="127"/>
      <c r="J73" s="1">
        <v>5796006.46</v>
      </c>
      <c r="K73" s="1">
        <f t="shared" si="5"/>
        <v>0</v>
      </c>
      <c r="L73" s="9" t="s">
        <v>85</v>
      </c>
      <c r="M73" s="10">
        <v>43354</v>
      </c>
    </row>
    <row r="74" spans="1:13" hidden="1">
      <c r="A74" s="8">
        <f>'FERC Interest Rates'!A78</f>
        <v>43373</v>
      </c>
      <c r="D74" s="1">
        <f>-255885.42+2254070.8</f>
        <v>1998185.38</v>
      </c>
      <c r="F74" s="1">
        <f t="shared" si="9"/>
        <v>22342.41</v>
      </c>
      <c r="H74" s="1">
        <f t="shared" si="1"/>
        <v>7816534.2500000047</v>
      </c>
      <c r="I74" s="127"/>
      <c r="J74" s="1">
        <v>7816534.25</v>
      </c>
      <c r="K74" s="1">
        <f t="shared" si="5"/>
        <v>0</v>
      </c>
      <c r="L74" s="9" t="s">
        <v>85</v>
      </c>
      <c r="M74" s="10">
        <v>43381</v>
      </c>
    </row>
    <row r="75" spans="1:13" ht="18" hidden="1" customHeight="1">
      <c r="A75" s="8">
        <f>'FERC Interest Rates'!A79</f>
        <v>43404</v>
      </c>
      <c r="D75" s="1">
        <f>986862.1-255885.42</f>
        <v>730976.67999999993</v>
      </c>
      <c r="F75" s="1">
        <f t="shared" si="9"/>
        <v>32927.949999999997</v>
      </c>
      <c r="H75" s="1">
        <f t="shared" si="1"/>
        <v>8580438.8800000045</v>
      </c>
      <c r="I75" s="127"/>
      <c r="J75" s="1">
        <v>8580438.8800000008</v>
      </c>
      <c r="K75" s="1">
        <f t="shared" si="5"/>
        <v>0</v>
      </c>
      <c r="L75" s="9" t="s">
        <v>85</v>
      </c>
      <c r="M75" s="10">
        <v>43411</v>
      </c>
    </row>
    <row r="76" spans="1:13" hidden="1">
      <c r="A76" s="560" t="s">
        <v>86</v>
      </c>
      <c r="B76" s="560"/>
      <c r="C76" s="560"/>
      <c r="D76" s="560"/>
      <c r="E76" s="560"/>
      <c r="F76" s="560"/>
      <c r="G76" s="1">
        <v>-3040936.76</v>
      </c>
      <c r="H76" s="1">
        <f t="shared" ref="H76:H88" si="10">H75+SUM(D76:G76)</f>
        <v>5539502.1200000048</v>
      </c>
      <c r="I76" s="127"/>
      <c r="M76" s="10"/>
    </row>
    <row r="77" spans="1:13" hidden="1">
      <c r="A77" s="8">
        <f>'FERC Interest Rates'!A80</f>
        <v>43434</v>
      </c>
      <c r="B77" s="121"/>
      <c r="C77" s="121"/>
      <c r="D77" s="1">
        <f>-352350.7-1006347.35</f>
        <v>-1358698.05</v>
      </c>
      <c r="E77" s="121"/>
      <c r="F77" s="1">
        <f t="shared" si="9"/>
        <v>22582.959999999999</v>
      </c>
      <c r="H77" s="1">
        <f t="shared" si="10"/>
        <v>4203387.0300000049</v>
      </c>
      <c r="I77" s="127"/>
      <c r="J77" s="1">
        <v>4203387.03</v>
      </c>
      <c r="K77" s="1">
        <f t="shared" si="5"/>
        <v>0</v>
      </c>
      <c r="L77" s="9" t="s">
        <v>85</v>
      </c>
      <c r="M77" s="10">
        <v>43444</v>
      </c>
    </row>
    <row r="78" spans="1:13" hidden="1">
      <c r="A78" s="8">
        <f>'FERC Interest Rates'!A81</f>
        <v>43465</v>
      </c>
      <c r="B78" s="121"/>
      <c r="C78" s="121"/>
      <c r="D78" s="1">
        <f>-2725392.79+73490.98</f>
        <v>-2651901.81</v>
      </c>
      <c r="E78" s="121"/>
      <c r="F78" s="1">
        <f t="shared" si="9"/>
        <v>17707.2</v>
      </c>
      <c r="H78" s="1">
        <f t="shared" si="10"/>
        <v>1569192.420000005</v>
      </c>
      <c r="I78" s="127"/>
      <c r="J78" s="1">
        <v>1569192.42</v>
      </c>
      <c r="K78" s="1">
        <f t="shared" ref="K78:K88" si="11">H78-J78</f>
        <v>5.1222741603851318E-9</v>
      </c>
      <c r="L78" s="9" t="s">
        <v>85</v>
      </c>
      <c r="M78" s="10">
        <v>43476</v>
      </c>
    </row>
    <row r="79" spans="1:13" hidden="1">
      <c r="A79" s="8">
        <f>'FERC Interest Rates'!A82</f>
        <v>43496</v>
      </c>
      <c r="B79" s="121"/>
      <c r="C79" s="121"/>
      <c r="D79" s="1">
        <f>-352350.7-2243893.67</f>
        <v>-2596244.37</v>
      </c>
      <c r="E79" s="121"/>
      <c r="F79" s="1">
        <f t="shared" ref="F79:F88" si="12">ROUND(H78*VLOOKUP(A79,FERCINT19,2)/365*VLOOKUP(A79,FERCINT19,3),2)</f>
        <v>6903.59</v>
      </c>
      <c r="H79" s="1">
        <f t="shared" si="10"/>
        <v>-1020148.3599999952</v>
      </c>
      <c r="I79" s="127"/>
      <c r="J79" s="1">
        <v>-1020148.36</v>
      </c>
      <c r="K79" s="1">
        <f t="shared" si="11"/>
        <v>4.7730281949043274E-9</v>
      </c>
      <c r="L79" s="9" t="s">
        <v>85</v>
      </c>
      <c r="M79" s="10">
        <v>43507</v>
      </c>
    </row>
    <row r="80" spans="1:13" hidden="1">
      <c r="A80" s="8">
        <f>'FERC Interest Rates'!A83</f>
        <v>43524</v>
      </c>
      <c r="B80" s="121"/>
      <c r="C80" s="121"/>
      <c r="D80" s="1">
        <f>-352350.7-4066257.52</f>
        <v>-4418608.22</v>
      </c>
      <c r="E80" s="121"/>
      <c r="F80" s="1">
        <f t="shared" si="12"/>
        <v>-4053.76</v>
      </c>
      <c r="H80" s="1">
        <f t="shared" si="10"/>
        <v>-5442810.3399999943</v>
      </c>
      <c r="I80" s="127"/>
      <c r="J80" s="1">
        <f>-1376552.82-4066257.52</f>
        <v>-5442810.3399999999</v>
      </c>
      <c r="K80" s="1">
        <f t="shared" si="11"/>
        <v>0</v>
      </c>
      <c r="L80" s="9" t="s">
        <v>85</v>
      </c>
      <c r="M80" s="10">
        <v>43531</v>
      </c>
    </row>
    <row r="81" spans="1:14" hidden="1">
      <c r="A81" s="8">
        <f>'FERC Interest Rates'!A84</f>
        <v>43555</v>
      </c>
      <c r="B81" s="121"/>
      <c r="C81" s="121"/>
      <c r="D81" s="1">
        <f>-352350.7-1565906.59</f>
        <v>-1918257.29</v>
      </c>
      <c r="E81" s="121"/>
      <c r="F81" s="1">
        <f t="shared" si="12"/>
        <v>-23945.38</v>
      </c>
      <c r="H81" s="1">
        <f t="shared" si="10"/>
        <v>-7385013.0099999942</v>
      </c>
      <c r="I81" s="127"/>
      <c r="J81" s="1">
        <v>-7385013.0099999998</v>
      </c>
      <c r="K81" s="1">
        <f t="shared" si="11"/>
        <v>0</v>
      </c>
      <c r="L81" s="9" t="s">
        <v>85</v>
      </c>
      <c r="M81" s="10">
        <v>43563</v>
      </c>
    </row>
    <row r="82" spans="1:14" hidden="1">
      <c r="A82" s="8">
        <f>'FERC Interest Rates'!A85</f>
        <v>43585</v>
      </c>
      <c r="B82" s="121"/>
      <c r="C82" s="121"/>
      <c r="D82" s="1">
        <f>1221377.19-352350.7</f>
        <v>869026.49</v>
      </c>
      <c r="E82" s="121"/>
      <c r="F82" s="1">
        <f t="shared" si="12"/>
        <v>-33080.81</v>
      </c>
      <c r="H82" s="1">
        <f t="shared" si="10"/>
        <v>-6549067.3299999945</v>
      </c>
      <c r="I82" s="127"/>
      <c r="J82" s="1">
        <v>-6549067.3300000001</v>
      </c>
      <c r="K82" s="1">
        <f t="shared" si="11"/>
        <v>0</v>
      </c>
      <c r="L82" s="9" t="s">
        <v>85</v>
      </c>
      <c r="M82" s="10">
        <v>43593</v>
      </c>
    </row>
    <row r="83" spans="1:14" hidden="1">
      <c r="A83" s="8">
        <f>'FERC Interest Rates'!A86</f>
        <v>43616</v>
      </c>
      <c r="B83" s="121"/>
      <c r="C83" s="121"/>
      <c r="D83" s="1">
        <f>2009114.82-352350.7</f>
        <v>1656764.12</v>
      </c>
      <c r="E83" s="121"/>
      <c r="F83" s="1">
        <f t="shared" si="12"/>
        <v>-30314.11</v>
      </c>
      <c r="H83" s="1">
        <f t="shared" si="10"/>
        <v>-4922617.3199999947</v>
      </c>
      <c r="I83" s="127"/>
      <c r="J83" s="1">
        <v>-4922617.32</v>
      </c>
      <c r="K83" s="1">
        <f t="shared" si="11"/>
        <v>0</v>
      </c>
      <c r="L83" s="9" t="s">
        <v>85</v>
      </c>
      <c r="M83" s="10">
        <v>43623</v>
      </c>
    </row>
    <row r="84" spans="1:14" hidden="1">
      <c r="A84" s="8">
        <f>'FERC Interest Rates'!A87</f>
        <v>43646</v>
      </c>
      <c r="B84" s="121"/>
      <c r="C84" s="121"/>
      <c r="D84" s="1">
        <f>2443588.78-352350.7</f>
        <v>2091238.0799999998</v>
      </c>
      <c r="E84" s="121"/>
      <c r="F84" s="1">
        <f t="shared" si="12"/>
        <v>-22050.63</v>
      </c>
      <c r="H84" s="1">
        <f t="shared" si="10"/>
        <v>-2853429.8699999945</v>
      </c>
      <c r="I84" s="127"/>
      <c r="J84" s="1">
        <f>-5297018.65+2443588.78</f>
        <v>-2853429.8700000006</v>
      </c>
      <c r="K84" s="1">
        <f t="shared" si="11"/>
        <v>6.0535967350006104E-9</v>
      </c>
      <c r="L84" s="9" t="s">
        <v>85</v>
      </c>
      <c r="M84" s="10">
        <v>43654</v>
      </c>
    </row>
    <row r="85" spans="1:14" hidden="1">
      <c r="A85" s="8">
        <f>'FERC Interest Rates'!A88</f>
        <v>43677</v>
      </c>
      <c r="B85" s="121"/>
      <c r="C85" s="121"/>
      <c r="D85" s="1">
        <f>2494215.77-352350.7</f>
        <v>2141865.0699999998</v>
      </c>
      <c r="E85" s="121"/>
      <c r="F85" s="1">
        <f t="shared" si="12"/>
        <v>-13329.04</v>
      </c>
      <c r="H85" s="1">
        <f t="shared" si="10"/>
        <v>-724893.83999999473</v>
      </c>
      <c r="I85" s="127"/>
      <c r="J85" s="1">
        <v>-724893.84</v>
      </c>
      <c r="K85" s="1">
        <f t="shared" si="11"/>
        <v>5.2386894822120667E-9</v>
      </c>
      <c r="L85" s="9" t="s">
        <v>85</v>
      </c>
      <c r="M85" s="10">
        <v>43685</v>
      </c>
    </row>
    <row r="86" spans="1:14" hidden="1">
      <c r="A86" s="8">
        <f>'FERC Interest Rates'!A89</f>
        <v>43708</v>
      </c>
      <c r="B86" s="121"/>
      <c r="C86" s="121"/>
      <c r="D86" s="1">
        <f>2635631.05-352350.7</f>
        <v>2283280.3499999996</v>
      </c>
      <c r="E86" s="121"/>
      <c r="F86" s="1">
        <f t="shared" si="12"/>
        <v>-3386.15</v>
      </c>
      <c r="H86" s="1">
        <f t="shared" si="10"/>
        <v>1555000.360000005</v>
      </c>
      <c r="I86" s="127"/>
      <c r="J86" s="1">
        <f>-1080630.69+2635631.05</f>
        <v>1555000.3599999999</v>
      </c>
      <c r="K86" s="1">
        <f t="shared" si="11"/>
        <v>5.1222741603851318E-9</v>
      </c>
      <c r="L86" s="9" t="s">
        <v>85</v>
      </c>
      <c r="M86" s="10">
        <v>43717</v>
      </c>
    </row>
    <row r="87" spans="1:14" hidden="1">
      <c r="A87" s="8">
        <f>'FERC Interest Rates'!A90</f>
        <v>43738</v>
      </c>
      <c r="B87" s="121"/>
      <c r="C87" s="121"/>
      <c r="D87" s="1">
        <f>1785785.68-4837772.82-352350.7-2081113.59</f>
        <v>-5485451.4300000006</v>
      </c>
      <c r="E87" s="121"/>
      <c r="F87" s="1">
        <f t="shared" si="12"/>
        <v>7029.45</v>
      </c>
      <c r="H87" s="1">
        <f t="shared" si="10"/>
        <v>-3923421.6199999955</v>
      </c>
      <c r="I87" s="127"/>
      <c r="J87" s="1">
        <v>-3923421.62</v>
      </c>
      <c r="K87" s="1">
        <f t="shared" si="11"/>
        <v>4.6566128730773926E-9</v>
      </c>
      <c r="L87" s="9" t="s">
        <v>85</v>
      </c>
      <c r="M87" s="10">
        <v>43746</v>
      </c>
    </row>
    <row r="88" spans="1:14" hidden="1">
      <c r="A88" s="8">
        <f>'FERC Interest Rates'!A91</f>
        <v>43769</v>
      </c>
      <c r="B88" s="121"/>
      <c r="C88" s="121"/>
      <c r="D88" s="1">
        <f>-364139.14-352350.7</f>
        <v>-716489.84000000008</v>
      </c>
      <c r="E88" s="121"/>
      <c r="F88" s="1">
        <f t="shared" si="12"/>
        <v>-18060.64</v>
      </c>
      <c r="H88" s="1">
        <f t="shared" si="10"/>
        <v>-4657972.0999999959</v>
      </c>
      <c r="I88" s="127"/>
      <c r="J88" s="1">
        <v>-4657972.0999999996</v>
      </c>
      <c r="K88" s="1">
        <f t="shared" si="11"/>
        <v>0</v>
      </c>
      <c r="L88" s="9" t="s">
        <v>85</v>
      </c>
      <c r="M88" s="10">
        <v>43777</v>
      </c>
    </row>
    <row r="89" spans="1:14" hidden="1">
      <c r="A89" s="560" t="s">
        <v>98</v>
      </c>
      <c r="B89" s="560"/>
      <c r="C89" s="560"/>
      <c r="D89" s="560"/>
      <c r="E89" s="560"/>
      <c r="F89" s="560"/>
      <c r="G89" s="1">
        <v>7685675.8799999999</v>
      </c>
      <c r="H89" s="1">
        <f t="shared" ref="H89" si="13">H88+SUM(D89:G89)</f>
        <v>3027703.780000004</v>
      </c>
      <c r="I89" s="127"/>
      <c r="M89" s="10"/>
    </row>
    <row r="90" spans="1:14" hidden="1">
      <c r="A90" s="8">
        <f>'FERC Interest Rates'!A92</f>
        <v>43799</v>
      </c>
      <c r="B90" s="121"/>
      <c r="C90" s="121"/>
      <c r="D90" s="1">
        <f>-1755909.97-352350.7+13888.75</f>
        <v>-2094371.92</v>
      </c>
      <c r="E90" s="121"/>
      <c r="F90" s="1">
        <f>ROUND(H89*VLOOKUP(A90,FERCINT19,2)/365*VLOOKUP(A90,FERCINT19,3),2)</f>
        <v>13487.8</v>
      </c>
      <c r="G90" s="1">
        <v>6718.25</v>
      </c>
      <c r="H90" s="1">
        <f>H89+SUM(D90:G90)</f>
        <v>953537.91000000411</v>
      </c>
      <c r="I90" s="127"/>
      <c r="J90" s="1">
        <v>946819.66</v>
      </c>
      <c r="K90" s="1">
        <f t="shared" ref="K90:K114" si="14">H90-J90</f>
        <v>6718.2500000040745</v>
      </c>
      <c r="L90" s="9" t="s">
        <v>85</v>
      </c>
      <c r="M90" s="10">
        <v>43812</v>
      </c>
    </row>
    <row r="91" spans="1:14" hidden="1">
      <c r="A91" s="8">
        <f>'FERC Interest Rates'!A93</f>
        <v>43830</v>
      </c>
      <c r="B91" s="121"/>
      <c r="C91" s="121"/>
      <c r="D91" s="1">
        <v>-2859387.57</v>
      </c>
      <c r="E91" s="121"/>
      <c r="F91" s="1">
        <f t="shared" ref="F91" si="15">ROUND(H90*VLOOKUP(A91,FERCINT19,2)/365*VLOOKUP(A91,FERCINT19,3),2)</f>
        <v>4389.41</v>
      </c>
      <c r="H91" s="1">
        <f>H90+SUM(D91:G91)+19580.2</f>
        <v>-1881880.0499999956</v>
      </c>
      <c r="I91" s="127"/>
      <c r="J91" s="1">
        <v>-1901460.25</v>
      </c>
      <c r="K91" s="1">
        <f t="shared" si="14"/>
        <v>19580.200000004377</v>
      </c>
      <c r="L91" s="9" t="s">
        <v>85</v>
      </c>
      <c r="M91" s="10">
        <v>43838</v>
      </c>
    </row>
    <row r="92" spans="1:14" hidden="1">
      <c r="A92" s="8">
        <f>'FERC Interest Rates'!A94</f>
        <v>43861</v>
      </c>
      <c r="B92" s="121"/>
      <c r="C92" s="121"/>
      <c r="D92" s="1">
        <f>-359068.95-2344316.43</f>
        <v>-2703385.3800000004</v>
      </c>
      <c r="E92" s="121"/>
      <c r="F92" s="1">
        <f t="shared" ref="F92:F104" si="16">ROUND(H91*VLOOKUP(A92,FERCINT20,2)/365*VLOOKUP(A92,FERCINT20,3),2)</f>
        <v>-7927.61</v>
      </c>
      <c r="H92" s="1">
        <f>H91+SUM(D92:G92)+22066.97</f>
        <v>-4571126.0699999956</v>
      </c>
      <c r="I92" s="127"/>
      <c r="J92" s="1">
        <v>-4612855.7300000004</v>
      </c>
      <c r="K92" s="1">
        <f t="shared" si="14"/>
        <v>41729.660000004806</v>
      </c>
      <c r="L92" s="9" t="s">
        <v>85</v>
      </c>
      <c r="M92" s="10">
        <v>43880</v>
      </c>
    </row>
    <row r="93" spans="1:14" hidden="1">
      <c r="A93" s="8">
        <f>'FERC Interest Rates'!A95</f>
        <v>43890</v>
      </c>
      <c r="B93" s="121"/>
      <c r="C93" s="121"/>
      <c r="D93" s="1">
        <f>-1908269.24-359068.95</f>
        <v>-2267338.19</v>
      </c>
      <c r="E93" s="121"/>
      <c r="F93" s="1">
        <f t="shared" si="16"/>
        <v>-18013.990000000002</v>
      </c>
      <c r="H93" s="1">
        <f t="shared" ref="H93:H114" si="17">H92+SUM(D93:G93)</f>
        <v>-6856478.2499999963</v>
      </c>
      <c r="I93" s="127"/>
      <c r="J93" s="1">
        <f>-4948455.95-1908269.24</f>
        <v>-6856725.1900000004</v>
      </c>
      <c r="K93" s="1">
        <f t="shared" si="14"/>
        <v>246.94000000413507</v>
      </c>
      <c r="L93" s="9" t="s">
        <v>85</v>
      </c>
      <c r="M93" s="10">
        <v>43899</v>
      </c>
      <c r="N93" s="1" t="s">
        <v>99</v>
      </c>
    </row>
    <row r="94" spans="1:14" hidden="1">
      <c r="A94" s="8">
        <f>'FERC Interest Rates'!A96</f>
        <v>43921</v>
      </c>
      <c r="B94" s="121"/>
      <c r="C94" s="121"/>
      <c r="D94" s="1">
        <f>-1132094.18-359068.95</f>
        <v>-1491163.13</v>
      </c>
      <c r="E94" s="121"/>
      <c r="F94" s="1">
        <f t="shared" si="16"/>
        <v>-28883.62</v>
      </c>
      <c r="H94" s="1">
        <f t="shared" si="17"/>
        <v>-8376524.9999999963</v>
      </c>
      <c r="I94" s="127"/>
      <c r="J94" s="1">
        <v>-8376771.9400000004</v>
      </c>
      <c r="K94" s="1">
        <f t="shared" si="14"/>
        <v>246.94000000413507</v>
      </c>
      <c r="L94" s="9" t="s">
        <v>85</v>
      </c>
      <c r="M94" s="10">
        <v>43929</v>
      </c>
    </row>
    <row r="95" spans="1:14" hidden="1">
      <c r="A95" s="8">
        <f>'FERC Interest Rates'!A97</f>
        <v>43951</v>
      </c>
      <c r="B95" s="121"/>
      <c r="C95" s="121"/>
      <c r="D95" s="1">
        <f>737922.46-359068.95</f>
        <v>378853.50999999995</v>
      </c>
      <c r="E95" s="121"/>
      <c r="F95" s="1">
        <f t="shared" si="16"/>
        <v>-32702.87</v>
      </c>
      <c r="H95" s="1">
        <f t="shared" si="17"/>
        <v>-8030374.3599999966</v>
      </c>
      <c r="I95" s="127"/>
      <c r="J95" s="1">
        <v>-8030374.3600000003</v>
      </c>
      <c r="K95" s="1">
        <f t="shared" si="14"/>
        <v>0</v>
      </c>
      <c r="L95" s="9" t="s">
        <v>85</v>
      </c>
      <c r="M95" s="10">
        <v>43963</v>
      </c>
    </row>
    <row r="96" spans="1:14" hidden="1">
      <c r="A96" s="8">
        <f>'FERC Interest Rates'!A98</f>
        <v>43982</v>
      </c>
      <c r="B96" s="121"/>
      <c r="C96" s="121"/>
      <c r="D96" s="1">
        <f>1822375.24-359068.95</f>
        <v>1463306.29</v>
      </c>
      <c r="E96" s="121"/>
      <c r="F96" s="1">
        <f t="shared" si="16"/>
        <v>-32396.51</v>
      </c>
      <c r="H96" s="1">
        <f t="shared" si="17"/>
        <v>-6599464.5799999963</v>
      </c>
      <c r="I96" s="127"/>
      <c r="J96" s="1">
        <f>-8421839.82+1822375.24</f>
        <v>-6599464.5800000001</v>
      </c>
      <c r="K96" s="1">
        <f t="shared" si="14"/>
        <v>0</v>
      </c>
      <c r="L96" s="9" t="s">
        <v>85</v>
      </c>
      <c r="M96" s="10">
        <v>43990</v>
      </c>
    </row>
    <row r="97" spans="1:14" hidden="1">
      <c r="A97" s="8">
        <f>'FERC Interest Rates'!A99</f>
        <v>44012</v>
      </c>
      <c r="B97" s="121"/>
      <c r="C97" s="121"/>
      <c r="D97" s="1">
        <f>-359068.95+2238074.24</f>
        <v>1879005.2900000003</v>
      </c>
      <c r="E97" s="121"/>
      <c r="F97" s="1">
        <f t="shared" si="16"/>
        <v>-25765.03</v>
      </c>
      <c r="H97" s="1">
        <f t="shared" si="17"/>
        <v>-4746224.3199999966</v>
      </c>
      <c r="I97" s="127"/>
      <c r="J97" s="1">
        <v>-4746224.32</v>
      </c>
      <c r="K97" s="1">
        <f t="shared" si="14"/>
        <v>0</v>
      </c>
      <c r="L97" s="9" t="s">
        <v>85</v>
      </c>
      <c r="M97" s="10">
        <v>44020</v>
      </c>
    </row>
    <row r="98" spans="1:14" hidden="1">
      <c r="A98" s="8">
        <f>'FERC Interest Rates'!A100</f>
        <v>44043</v>
      </c>
      <c r="B98" s="121"/>
      <c r="C98" s="121"/>
      <c r="D98" s="1">
        <f>2503009.42-359068.95</f>
        <v>2143940.4699999997</v>
      </c>
      <c r="E98" s="121"/>
      <c r="F98" s="1">
        <f t="shared" si="16"/>
        <v>-13826.47</v>
      </c>
      <c r="H98" s="1">
        <f t="shared" si="17"/>
        <v>-2616110.319999997</v>
      </c>
      <c r="I98" s="127"/>
      <c r="J98" s="1">
        <v>-2616110.3199999998</v>
      </c>
      <c r="K98" s="1">
        <f t="shared" si="14"/>
        <v>0</v>
      </c>
      <c r="L98" s="9" t="s">
        <v>85</v>
      </c>
      <c r="M98" s="10">
        <v>44053</v>
      </c>
    </row>
    <row r="99" spans="1:14" hidden="1">
      <c r="A99" s="8">
        <f>'FERC Interest Rates'!A101</f>
        <v>44074</v>
      </c>
      <c r="B99" s="121"/>
      <c r="C99" s="121"/>
      <c r="D99" s="1">
        <f>2419844.24-359068.95</f>
        <v>2060775.2900000003</v>
      </c>
      <c r="E99" s="121"/>
      <c r="F99" s="1">
        <f t="shared" si="16"/>
        <v>-7621.12</v>
      </c>
      <c r="H99" s="1">
        <f t="shared" si="17"/>
        <v>-562956.14999999688</v>
      </c>
      <c r="I99" s="127"/>
      <c r="J99" s="1">
        <f>-2982800.39+2419844.24</f>
        <v>-562956.14999999991</v>
      </c>
      <c r="K99" s="1">
        <f t="shared" si="14"/>
        <v>3.0267983675003052E-9</v>
      </c>
      <c r="L99" s="9" t="s">
        <v>85</v>
      </c>
      <c r="M99" s="10">
        <v>44084</v>
      </c>
    </row>
    <row r="100" spans="1:14" hidden="1">
      <c r="A100" s="8">
        <f>'FERC Interest Rates'!A102</f>
        <v>44104</v>
      </c>
      <c r="B100" s="121"/>
      <c r="C100" s="121"/>
      <c r="D100" s="1">
        <f>2250759.68-359068.95</f>
        <v>1891690.7300000002</v>
      </c>
      <c r="E100" s="121"/>
      <c r="F100" s="1">
        <f t="shared" si="16"/>
        <v>-1587.07</v>
      </c>
      <c r="H100" s="1">
        <f t="shared" si="17"/>
        <v>1327147.5100000033</v>
      </c>
      <c r="I100" s="127"/>
      <c r="J100" s="1">
        <v>1327147.51</v>
      </c>
      <c r="K100" s="1">
        <f t="shared" si="14"/>
        <v>3.2596290111541748E-9</v>
      </c>
      <c r="L100" s="9" t="s">
        <v>85</v>
      </c>
      <c r="M100" s="10">
        <v>44111</v>
      </c>
    </row>
    <row r="101" spans="1:14" hidden="1">
      <c r="A101" s="8">
        <f>'FERC Interest Rates'!A103</f>
        <v>44135</v>
      </c>
      <c r="B101" s="121"/>
      <c r="C101" s="121"/>
      <c r="D101" s="1">
        <f>817786.17-359068.95</f>
        <v>458717.22000000003</v>
      </c>
      <c r="E101" s="121"/>
      <c r="F101" s="1">
        <f t="shared" si="16"/>
        <v>3663.29</v>
      </c>
      <c r="H101" s="1">
        <f t="shared" si="17"/>
        <v>1789528.0200000033</v>
      </c>
      <c r="I101" s="127"/>
      <c r="J101" s="1">
        <v>1789528.02</v>
      </c>
      <c r="K101" s="1">
        <f t="shared" si="14"/>
        <v>3.2596290111541748E-9</v>
      </c>
      <c r="L101" s="9" t="s">
        <v>85</v>
      </c>
      <c r="M101" s="10">
        <v>44141</v>
      </c>
    </row>
    <row r="102" spans="1:14" hidden="1">
      <c r="A102" s="560" t="s">
        <v>98</v>
      </c>
      <c r="B102" s="560"/>
      <c r="C102" s="560"/>
      <c r="D102" s="560"/>
      <c r="E102" s="560"/>
      <c r="F102" s="560"/>
      <c r="G102" s="1">
        <v>2638390.84</v>
      </c>
      <c r="H102" s="1">
        <f t="shared" si="17"/>
        <v>4427918.8600000031</v>
      </c>
      <c r="I102" s="127"/>
      <c r="M102" s="10"/>
    </row>
    <row r="103" spans="1:14" hidden="1">
      <c r="A103" s="8">
        <f>'FERC Interest Rates'!A104</f>
        <v>44165</v>
      </c>
      <c r="B103" s="121"/>
      <c r="C103" s="121"/>
      <c r="D103" s="1">
        <f>-660317.71-359068.95-192.33+384.66</f>
        <v>-1019194.3299999998</v>
      </c>
      <c r="E103" s="121"/>
      <c r="F103" s="1">
        <f t="shared" si="16"/>
        <v>11828</v>
      </c>
      <c r="H103" s="1">
        <f t="shared" si="17"/>
        <v>3420552.5300000031</v>
      </c>
      <c r="I103" s="127"/>
      <c r="J103" s="1">
        <v>3420360.2</v>
      </c>
      <c r="K103" s="1">
        <f t="shared" si="14"/>
        <v>192.33000000286847</v>
      </c>
      <c r="L103" s="9" t="s">
        <v>85</v>
      </c>
      <c r="M103" s="10">
        <v>44173</v>
      </c>
      <c r="N103" s="1" t="s">
        <v>100</v>
      </c>
    </row>
    <row r="104" spans="1:14" hidden="1">
      <c r="A104" s="8">
        <f>'FERC Interest Rates'!A105</f>
        <v>44196</v>
      </c>
      <c r="B104" s="121"/>
      <c r="C104" s="121"/>
      <c r="D104" s="1">
        <f>-1630214.11-358876.62</f>
        <v>-1989090.73</v>
      </c>
      <c r="E104" s="121"/>
      <c r="F104" s="1">
        <f t="shared" si="16"/>
        <v>9441.66</v>
      </c>
      <c r="H104" s="1">
        <f t="shared" si="17"/>
        <v>1440903.460000003</v>
      </c>
      <c r="I104" s="127"/>
      <c r="J104" s="1">
        <v>1440517.74</v>
      </c>
      <c r="K104" s="1">
        <f t="shared" si="14"/>
        <v>385.72000000299886</v>
      </c>
      <c r="L104" s="9" t="s">
        <v>85</v>
      </c>
      <c r="M104" s="10">
        <v>44204</v>
      </c>
    </row>
    <row r="105" spans="1:14" hidden="1">
      <c r="A105" s="8">
        <f>'FERC Interest Rates'!A106</f>
        <v>44227</v>
      </c>
      <c r="B105" s="121"/>
      <c r="C105" s="121"/>
      <c r="D105" s="1">
        <f>-1457925.47-358876.62-49124.4</f>
        <v>-1865926.4899999998</v>
      </c>
      <c r="E105" s="121"/>
      <c r="F105" s="1">
        <f t="shared" ref="F105:F114" si="18">ROUND(H104*VLOOKUP(A105,FERCINT21,2)/365*VLOOKUP(A105,FERCINT21,3),2)</f>
        <v>3977.29</v>
      </c>
      <c r="H105" s="1">
        <f t="shared" si="17"/>
        <v>-421045.73999999673</v>
      </c>
      <c r="I105" s="127"/>
      <c r="J105" s="1">
        <v>-371923.47</v>
      </c>
      <c r="K105" s="1">
        <f t="shared" si="14"/>
        <v>-49122.269999996759</v>
      </c>
      <c r="L105" s="9" t="s">
        <v>85</v>
      </c>
      <c r="M105" s="10">
        <v>44236</v>
      </c>
    </row>
    <row r="106" spans="1:14" hidden="1">
      <c r="A106" s="8">
        <f>'FERC Interest Rates'!A107</f>
        <v>44255</v>
      </c>
      <c r="B106" s="121"/>
      <c r="C106" s="121"/>
      <c r="D106" s="1">
        <f>-1897964.36-358876.62-49824.98</f>
        <v>-2306665.96</v>
      </c>
      <c r="E106" s="121"/>
      <c r="F106" s="1">
        <f t="shared" si="18"/>
        <v>-1049.73</v>
      </c>
      <c r="H106" s="1">
        <f t="shared" si="17"/>
        <v>-2728761.4299999969</v>
      </c>
      <c r="I106" s="127"/>
      <c r="J106" s="1">
        <v>-2629689.58</v>
      </c>
      <c r="K106" s="1">
        <f t="shared" si="14"/>
        <v>-99071.849999996834</v>
      </c>
      <c r="L106" s="9" t="s">
        <v>85</v>
      </c>
      <c r="M106" s="10">
        <v>44263</v>
      </c>
    </row>
    <row r="107" spans="1:14" hidden="1">
      <c r="A107" s="8">
        <f>'FERC Interest Rates'!A108</f>
        <v>44286</v>
      </c>
      <c r="B107" s="121"/>
      <c r="C107" s="121"/>
      <c r="D107" s="1">
        <f>-358876.62-340624.4-43057.66</f>
        <v>-742558.68</v>
      </c>
      <c r="E107" s="121"/>
      <c r="F107" s="1">
        <f t="shared" si="18"/>
        <v>-7532.13</v>
      </c>
      <c r="H107" s="1">
        <f t="shared" si="17"/>
        <v>-3478852.239999997</v>
      </c>
      <c r="I107" s="127"/>
      <c r="J107" s="1">
        <v>-3336449.26</v>
      </c>
      <c r="K107" s="1">
        <f t="shared" si="14"/>
        <v>-142402.97999999719</v>
      </c>
      <c r="L107" s="9" t="s">
        <v>85</v>
      </c>
      <c r="M107" s="10">
        <v>44294</v>
      </c>
    </row>
    <row r="108" spans="1:14" hidden="1">
      <c r="A108" s="8">
        <f>'FERC Interest Rates'!A109</f>
        <v>44316</v>
      </c>
      <c r="B108" s="121"/>
      <c r="C108" s="121"/>
      <c r="D108" s="1">
        <f>1255557.62-358876.62-49224.86</f>
        <v>847456.14000000013</v>
      </c>
      <c r="E108" s="121"/>
      <c r="F108" s="1">
        <f t="shared" si="18"/>
        <v>-9292.82</v>
      </c>
      <c r="H108" s="1">
        <f t="shared" si="17"/>
        <v>-2640688.9199999967</v>
      </c>
      <c r="I108" s="127"/>
      <c r="J108" s="1">
        <v>-2448680.69</v>
      </c>
      <c r="K108" s="1">
        <f t="shared" si="14"/>
        <v>-192008.22999999672</v>
      </c>
      <c r="L108" s="9" t="s">
        <v>85</v>
      </c>
      <c r="M108" s="10">
        <v>44326</v>
      </c>
    </row>
    <row r="109" spans="1:14" hidden="1">
      <c r="A109" s="8">
        <f>'FERC Interest Rates'!A110</f>
        <v>44347</v>
      </c>
      <c r="B109" s="121"/>
      <c r="C109" s="121"/>
      <c r="D109" s="1">
        <f>2250611.28-358876.62+14438.84</f>
        <v>1906173.4999999998</v>
      </c>
      <c r="E109" s="121"/>
      <c r="F109" s="1">
        <f t="shared" si="18"/>
        <v>-7289.02</v>
      </c>
      <c r="H109" s="1">
        <f t="shared" si="17"/>
        <v>-741804.43999999692</v>
      </c>
      <c r="I109" s="127"/>
      <c r="J109" s="1">
        <v>-563705.06000000006</v>
      </c>
      <c r="K109" s="1">
        <f t="shared" si="14"/>
        <v>-178099.37999999686</v>
      </c>
      <c r="L109" s="9" t="s">
        <v>85</v>
      </c>
      <c r="M109" s="10">
        <v>44355</v>
      </c>
    </row>
    <row r="110" spans="1:14" hidden="1">
      <c r="A110" s="8">
        <f>'FERC Interest Rates'!A111</f>
        <v>44377</v>
      </c>
      <c r="B110" s="121"/>
      <c r="C110" s="121"/>
      <c r="D110" s="1">
        <f>2872548.62-358876.62+14446.58</f>
        <v>2528118.58</v>
      </c>
      <c r="E110" s="121"/>
      <c r="F110" s="1">
        <f t="shared" si="18"/>
        <v>-1981.53</v>
      </c>
      <c r="H110" s="1">
        <f t="shared" si="17"/>
        <v>1784332.6100000034</v>
      </c>
      <c r="I110" s="127"/>
      <c r="J110" s="1">
        <v>1948461.15</v>
      </c>
      <c r="K110" s="1">
        <f t="shared" si="14"/>
        <v>-164128.53999999654</v>
      </c>
      <c r="L110" s="9" t="s">
        <v>85</v>
      </c>
      <c r="M110" s="10">
        <v>44386</v>
      </c>
    </row>
    <row r="111" spans="1:14" hidden="1">
      <c r="A111" s="8">
        <f>'FERC Interest Rates'!A112</f>
        <v>44408</v>
      </c>
      <c r="B111" s="121"/>
      <c r="C111" s="121"/>
      <c r="D111" s="1">
        <f>2651020.7-358876.62-3.7</f>
        <v>2292140.38</v>
      </c>
      <c r="E111" s="121"/>
      <c r="F111" s="1">
        <f t="shared" si="18"/>
        <v>4925.25</v>
      </c>
      <c r="H111" s="1">
        <f t="shared" si="17"/>
        <v>4081398.240000003</v>
      </c>
      <c r="I111" s="127"/>
      <c r="J111" s="1">
        <v>4245983.5199999996</v>
      </c>
      <c r="K111" s="1">
        <f t="shared" si="14"/>
        <v>-164585.27999999654</v>
      </c>
      <c r="L111" s="9" t="s">
        <v>85</v>
      </c>
      <c r="M111" s="10">
        <v>44417</v>
      </c>
    </row>
    <row r="112" spans="1:14" hidden="1">
      <c r="A112" s="8">
        <f>'FERC Interest Rates'!A113</f>
        <v>44439</v>
      </c>
      <c r="B112" s="121"/>
      <c r="C112" s="121"/>
      <c r="D112" s="1">
        <f>2969206.75-358876.62-77.9</f>
        <v>2610252.23</v>
      </c>
      <c r="E112" s="121"/>
      <c r="F112" s="1">
        <f t="shared" si="18"/>
        <v>11265.78</v>
      </c>
      <c r="H112" s="1">
        <f t="shared" si="17"/>
        <v>6702916.2500000028</v>
      </c>
      <c r="I112" s="127"/>
      <c r="J112" s="1">
        <v>6868033.7300000004</v>
      </c>
      <c r="K112" s="1">
        <f t="shared" si="14"/>
        <v>-165117.47999999765</v>
      </c>
      <c r="L112" s="9" t="s">
        <v>85</v>
      </c>
      <c r="M112" s="10">
        <v>44448</v>
      </c>
    </row>
    <row r="113" spans="1:15" hidden="1">
      <c r="A113" s="8">
        <f>'FERC Interest Rates'!A114</f>
        <v>44469</v>
      </c>
      <c r="B113" s="121"/>
      <c r="C113" s="121"/>
      <c r="D113" s="1">
        <f>2511632.69-358876.62</f>
        <v>2152756.0699999998</v>
      </c>
      <c r="E113" s="121"/>
      <c r="F113" s="1">
        <f t="shared" si="18"/>
        <v>17905.05</v>
      </c>
      <c r="H113" s="1">
        <f t="shared" si="17"/>
        <v>8873577.3700000029</v>
      </c>
      <c r="I113" s="127"/>
      <c r="J113" s="1">
        <v>9039135.9199999999</v>
      </c>
      <c r="K113" s="1">
        <f t="shared" si="14"/>
        <v>-165558.54999999702</v>
      </c>
      <c r="L113" s="9" t="s">
        <v>85</v>
      </c>
      <c r="M113" s="10">
        <v>44476</v>
      </c>
    </row>
    <row r="114" spans="1:15" hidden="1">
      <c r="A114" s="8">
        <f>'FERC Interest Rates'!A115</f>
        <v>44500</v>
      </c>
      <c r="B114" s="121"/>
      <c r="C114" s="121"/>
      <c r="D114" s="1">
        <f>1136866.04-358876.62+0.02</f>
        <v>777989.44000000006</v>
      </c>
      <c r="E114" s="121"/>
      <c r="F114" s="1">
        <f t="shared" si="18"/>
        <v>24493.5</v>
      </c>
      <c r="H114" s="1">
        <f t="shared" si="17"/>
        <v>9676060.3100000024</v>
      </c>
      <c r="I114" s="127"/>
      <c r="J114" s="1">
        <v>9842075.8300000001</v>
      </c>
      <c r="K114" s="1">
        <f t="shared" si="14"/>
        <v>-166015.51999999769</v>
      </c>
      <c r="L114" s="9" t="s">
        <v>85</v>
      </c>
      <c r="M114" s="10">
        <v>44505</v>
      </c>
    </row>
    <row r="115" spans="1:15" hidden="1">
      <c r="A115" s="560" t="s">
        <v>89</v>
      </c>
      <c r="B115" s="560"/>
      <c r="C115" s="560"/>
      <c r="D115" s="560"/>
      <c r="E115" s="560"/>
      <c r="F115" s="560"/>
      <c r="G115" s="1">
        <v>-4280860.74</v>
      </c>
      <c r="H115" s="1">
        <f t="shared" ref="H115:H116" si="19">H114+SUM(D115:G115)</f>
        <v>5395199.5700000022</v>
      </c>
      <c r="I115" s="127"/>
      <c r="M115" s="10"/>
    </row>
    <row r="116" spans="1:15" hidden="1">
      <c r="A116" s="8">
        <f>'FERC Interest Rates'!A116</f>
        <v>44530</v>
      </c>
      <c r="B116" s="121"/>
      <c r="C116" s="121"/>
      <c r="D116" s="1">
        <f>-504475.95-362037.24+30599.91-6.56</f>
        <v>-835919.84</v>
      </c>
      <c r="E116" s="121"/>
      <c r="F116" s="1">
        <f t="shared" ref="F116" si="20">ROUND(H115*VLOOKUP(A116,FERCINT21,2)/365*VLOOKUP(A116,FERCINT21,3),2)</f>
        <v>14411.83</v>
      </c>
      <c r="H116" s="1">
        <f t="shared" si="19"/>
        <v>4573691.5600000024</v>
      </c>
      <c r="I116" s="127"/>
      <c r="J116" s="1">
        <v>4740157.1100000003</v>
      </c>
      <c r="K116" s="1">
        <f t="shared" ref="K116" si="21">H116-J116</f>
        <v>-166465.54999999795</v>
      </c>
      <c r="L116" s="9" t="s">
        <v>85</v>
      </c>
      <c r="M116" s="10">
        <v>44539</v>
      </c>
    </row>
    <row r="117" spans="1:15" hidden="1">
      <c r="A117" s="8">
        <f>'FERC Interest Rates'!A117</f>
        <v>44561</v>
      </c>
      <c r="B117" s="121"/>
      <c r="C117" s="121"/>
      <c r="D117" s="1">
        <f>-3392801.58-336374.2-23842.62-62718.2</f>
        <v>-3815736.6000000006</v>
      </c>
      <c r="E117" s="121"/>
      <c r="F117" s="1">
        <f t="shared" ref="F117" si="22">ROUND(H116*VLOOKUP(A117,FERCINT21,2)/365*VLOOKUP(A117,FERCINT21,3),2)</f>
        <v>12624.64</v>
      </c>
      <c r="H117" s="1">
        <f t="shared" ref="H117:H118" si="23">H116+SUM(D117:G117)</f>
        <v>770579.60000000196</v>
      </c>
      <c r="I117" s="127"/>
      <c r="J117" s="1">
        <v>1000222.84</v>
      </c>
      <c r="K117" s="1">
        <f t="shared" ref="K117:K118" si="24">H117-J117</f>
        <v>-229643.23999999801</v>
      </c>
      <c r="L117" s="9" t="s">
        <v>85</v>
      </c>
      <c r="M117" s="10">
        <v>44568</v>
      </c>
      <c r="N117" s="132" t="s">
        <v>101</v>
      </c>
    </row>
    <row r="118" spans="1:15" hidden="1">
      <c r="A118" s="8">
        <f>'FERC Interest Rates'!A118</f>
        <v>44592</v>
      </c>
      <c r="B118" s="121"/>
      <c r="C118" s="121"/>
      <c r="D118" s="1">
        <f>-3368588.89-336374.2</f>
        <v>-3704963.0900000003</v>
      </c>
      <c r="E118" s="121"/>
      <c r="F118" s="1">
        <f t="shared" ref="F118:F130" si="25">ROUND(H117*VLOOKUP(A118,FERCINT22,2)/365*VLOOKUP(A118,FERCINT22,3),2)</f>
        <v>2127.0100000000002</v>
      </c>
      <c r="H118" s="1">
        <f t="shared" si="23"/>
        <v>-2932256.4799999986</v>
      </c>
      <c r="I118" s="127"/>
      <c r="J118" s="1">
        <v>-2476826.54</v>
      </c>
      <c r="K118" s="1">
        <f t="shared" si="24"/>
        <v>-455429.93999999855</v>
      </c>
      <c r="L118" s="9" t="s">
        <v>85</v>
      </c>
      <c r="M118" s="10">
        <v>44600</v>
      </c>
    </row>
    <row r="119" spans="1:15" hidden="1">
      <c r="A119" s="8">
        <f>'FERC Interest Rates'!A119</f>
        <v>44620</v>
      </c>
      <c r="B119" s="121"/>
      <c r="C119" s="121"/>
      <c r="D119" s="1">
        <f>-1900883.6-336374.2-45479.34</f>
        <v>-2282737.14</v>
      </c>
      <c r="E119" s="121"/>
      <c r="F119" s="1">
        <f t="shared" si="25"/>
        <v>-7310.56</v>
      </c>
      <c r="H119" s="1">
        <f t="shared" ref="H119:H127" si="26">H118+SUM(D119:G119)</f>
        <v>-5222304.1799999988</v>
      </c>
      <c r="I119" s="127"/>
      <c r="J119" s="1">
        <v>-4715122.3600000003</v>
      </c>
      <c r="K119" s="1">
        <f t="shared" ref="K119:K153" si="27">H119-J119</f>
        <v>-507181.81999999844</v>
      </c>
      <c r="L119" s="9" t="s">
        <v>85</v>
      </c>
      <c r="M119" s="10">
        <v>44627</v>
      </c>
    </row>
    <row r="120" spans="1:15" hidden="1">
      <c r="A120" s="8">
        <f>'FERC Interest Rates'!A120</f>
        <v>44651</v>
      </c>
      <c r="B120" s="121"/>
      <c r="C120" s="121"/>
      <c r="D120" s="1">
        <f>-336374.2-99260.75-30904.35</f>
        <v>-466539.3</v>
      </c>
      <c r="E120" s="121"/>
      <c r="F120" s="1">
        <f t="shared" si="25"/>
        <v>-14414.99</v>
      </c>
      <c r="H120" s="1">
        <f t="shared" si="26"/>
        <v>-5703258.4699999988</v>
      </c>
      <c r="I120" s="127"/>
      <c r="J120" s="1">
        <v>-5626749.2400000002</v>
      </c>
      <c r="K120" s="1">
        <f t="shared" si="27"/>
        <v>-76509.229999998584</v>
      </c>
      <c r="L120" s="9" t="s">
        <v>85</v>
      </c>
      <c r="M120" s="10">
        <v>44658</v>
      </c>
      <c r="N120" s="1" t="s">
        <v>102</v>
      </c>
    </row>
    <row r="121" spans="1:15" hidden="1">
      <c r="A121" s="8">
        <f>'FERC Interest Rates'!A121</f>
        <v>44681</v>
      </c>
      <c r="B121" s="121"/>
      <c r="C121" s="121"/>
      <c r="D121" s="1">
        <f>-68623.84-336374.2-36135.55</f>
        <v>-441133.59</v>
      </c>
      <c r="E121" s="121"/>
      <c r="F121" s="1">
        <f t="shared" si="25"/>
        <v>-15234.73</v>
      </c>
      <c r="H121" s="1">
        <f t="shared" si="26"/>
        <v>-6159626.7899999991</v>
      </c>
      <c r="I121" s="127"/>
      <c r="J121" s="1">
        <v>-6046777.6399999997</v>
      </c>
      <c r="K121" s="1">
        <f t="shared" si="27"/>
        <v>-112849.14999999944</v>
      </c>
      <c r="L121" s="9" t="s">
        <v>85</v>
      </c>
      <c r="M121" s="10">
        <v>44690</v>
      </c>
    </row>
    <row r="122" spans="1:15" hidden="1">
      <c r="A122" s="8">
        <f>'FERC Interest Rates'!A122</f>
        <v>44712</v>
      </c>
      <c r="B122" s="121"/>
      <c r="C122" s="121"/>
      <c r="D122" s="1">
        <f>1495090.85-336374.2</f>
        <v>1158716.6500000001</v>
      </c>
      <c r="E122" s="121"/>
      <c r="F122" s="1">
        <f t="shared" si="25"/>
        <v>-17002.259999999998</v>
      </c>
      <c r="H122" s="1">
        <f t="shared" si="26"/>
        <v>-5017912.3999999985</v>
      </c>
      <c r="I122" s="127"/>
      <c r="J122" s="1">
        <v>-5017848.91</v>
      </c>
      <c r="K122" s="1">
        <f t="shared" si="27"/>
        <v>-63.489999998360872</v>
      </c>
      <c r="L122" s="9" t="s">
        <v>85</v>
      </c>
      <c r="M122" s="10">
        <v>44720</v>
      </c>
      <c r="N122" s="1" t="s">
        <v>103</v>
      </c>
      <c r="O122" s="1" t="s">
        <v>104</v>
      </c>
    </row>
    <row r="123" spans="1:15" hidden="1">
      <c r="A123" s="8">
        <f>'FERC Interest Rates'!A123</f>
        <v>44742</v>
      </c>
      <c r="B123" s="121"/>
      <c r="C123" s="121"/>
      <c r="D123" s="1">
        <f>2559931.4-336374.2</f>
        <v>2223557.1999999997</v>
      </c>
      <c r="E123" s="121"/>
      <c r="F123" s="1">
        <f t="shared" si="25"/>
        <v>-13404.01</v>
      </c>
      <c r="H123" s="1">
        <f t="shared" si="26"/>
        <v>-2807759.2099999986</v>
      </c>
      <c r="I123" s="127"/>
      <c r="J123" s="1">
        <f>-2807632.23-126.98</f>
        <v>-2807759.21</v>
      </c>
      <c r="K123" s="1">
        <f t="shared" si="27"/>
        <v>0</v>
      </c>
      <c r="L123" s="9" t="s">
        <v>85</v>
      </c>
      <c r="M123" s="10">
        <v>44750</v>
      </c>
    </row>
    <row r="124" spans="1:15" hidden="1">
      <c r="A124" s="8">
        <f>'FERC Interest Rates'!A124</f>
        <v>44773</v>
      </c>
      <c r="B124" s="121"/>
      <c r="C124" s="121"/>
      <c r="D124" s="1">
        <f>3049036.11-336374.2</f>
        <v>2712661.9099999997</v>
      </c>
      <c r="E124" s="121"/>
      <c r="F124" s="1">
        <f t="shared" si="25"/>
        <v>-8584.82</v>
      </c>
      <c r="H124" s="1">
        <f t="shared" si="26"/>
        <v>-103682.11999999871</v>
      </c>
      <c r="I124" s="127"/>
      <c r="J124" s="1">
        <v>-102847.48</v>
      </c>
      <c r="K124" s="1">
        <f t="shared" si="27"/>
        <v>-834.63999999871885</v>
      </c>
      <c r="L124" s="9" t="s">
        <v>85</v>
      </c>
      <c r="M124" s="10">
        <v>44778</v>
      </c>
    </row>
    <row r="125" spans="1:15" hidden="1">
      <c r="A125" s="8">
        <f>'FERC Interest Rates'!A125</f>
        <v>44804</v>
      </c>
      <c r="B125" s="121"/>
      <c r="C125" s="121"/>
      <c r="D125" s="1">
        <f>2953170.98-336374.2</f>
        <v>2616796.7799999998</v>
      </c>
      <c r="E125" s="121"/>
      <c r="F125" s="1">
        <f t="shared" si="25"/>
        <v>-317.01</v>
      </c>
      <c r="H125" s="1">
        <f t="shared" si="26"/>
        <v>2512797.6500000013</v>
      </c>
      <c r="I125" s="127"/>
      <c r="J125" s="1">
        <v>2512797.65</v>
      </c>
      <c r="K125" s="1">
        <f t="shared" si="27"/>
        <v>0</v>
      </c>
      <c r="L125" s="9" t="s">
        <v>85</v>
      </c>
      <c r="M125" s="10">
        <v>44813</v>
      </c>
    </row>
    <row r="126" spans="1:15" hidden="1">
      <c r="A126" s="8">
        <f>'FERC Interest Rates'!A126</f>
        <v>44834</v>
      </c>
      <c r="B126" s="121"/>
      <c r="C126" s="121"/>
      <c r="D126" s="1">
        <f>2734422.3-336374.2</f>
        <v>2398048.0999999996</v>
      </c>
      <c r="E126" s="121"/>
      <c r="F126" s="1">
        <f t="shared" si="25"/>
        <v>7435.13</v>
      </c>
      <c r="H126" s="1">
        <f t="shared" si="26"/>
        <v>4918280.8800000008</v>
      </c>
      <c r="I126" s="127"/>
      <c r="J126" s="1">
        <v>4918280.88</v>
      </c>
      <c r="K126" s="1">
        <f t="shared" si="27"/>
        <v>0</v>
      </c>
      <c r="L126" s="9" t="s">
        <v>85</v>
      </c>
      <c r="M126" s="10">
        <v>44841</v>
      </c>
    </row>
    <row r="127" spans="1:15" hidden="1">
      <c r="A127" s="8">
        <f>'FERC Interest Rates'!A127</f>
        <v>44865</v>
      </c>
      <c r="B127" s="121"/>
      <c r="C127" s="121"/>
      <c r="D127" s="1">
        <f>1687144.89-336374.2</f>
        <v>1350770.69</v>
      </c>
      <c r="E127" s="121"/>
      <c r="F127" s="1">
        <f t="shared" si="25"/>
        <v>20509.91</v>
      </c>
      <c r="H127" s="1">
        <f t="shared" si="26"/>
        <v>6289561.4800000004</v>
      </c>
      <c r="I127" s="127"/>
      <c r="J127" s="1">
        <v>6289561.4800000004</v>
      </c>
      <c r="K127" s="1">
        <f t="shared" si="27"/>
        <v>0</v>
      </c>
      <c r="L127" s="9" t="s">
        <v>85</v>
      </c>
      <c r="M127" s="10">
        <v>44873</v>
      </c>
    </row>
    <row r="128" spans="1:15" hidden="1">
      <c r="A128" s="560" t="s">
        <v>89</v>
      </c>
      <c r="B128" s="560"/>
      <c r="C128" s="560"/>
      <c r="D128" s="560"/>
      <c r="E128" s="560"/>
      <c r="F128" s="560"/>
      <c r="G128" s="1">
        <v>104741.82</v>
      </c>
      <c r="H128" s="1">
        <f t="shared" ref="H128" si="28">H127+SUM(D128:G128)</f>
        <v>6394303.3000000007</v>
      </c>
      <c r="I128" s="127"/>
      <c r="M128" s="10"/>
    </row>
    <row r="129" spans="1:13" hidden="1">
      <c r="A129" s="8">
        <f>'FERC Interest Rates'!A128</f>
        <v>44895</v>
      </c>
      <c r="B129" s="121"/>
      <c r="C129" s="121"/>
      <c r="D129" s="1">
        <f>-2070480.92-336626.17</f>
        <v>-2407107.09</v>
      </c>
      <c r="E129" s="121"/>
      <c r="F129" s="1">
        <f t="shared" si="25"/>
        <v>25804.959999999999</v>
      </c>
      <c r="H129" s="1">
        <f t="shared" ref="H129:H140" si="29">H128+SUM(D129:G129)</f>
        <v>4013001.1700000009</v>
      </c>
      <c r="I129" s="127"/>
      <c r="J129" s="1">
        <v>4013001.17</v>
      </c>
      <c r="K129" s="1">
        <f t="shared" si="27"/>
        <v>0</v>
      </c>
      <c r="L129" s="9" t="s">
        <v>85</v>
      </c>
      <c r="M129" s="10">
        <v>44903</v>
      </c>
    </row>
    <row r="130" spans="1:13" hidden="1">
      <c r="A130" s="8">
        <f>'FERC Interest Rates'!A129</f>
        <v>44926</v>
      </c>
      <c r="B130" s="121"/>
      <c r="C130" s="121"/>
      <c r="D130" s="1">
        <f>-4017752.92-336626.17</f>
        <v>-4354379.09</v>
      </c>
      <c r="E130" s="121"/>
      <c r="F130" s="1">
        <f t="shared" si="25"/>
        <v>16734.759999999998</v>
      </c>
      <c r="H130" s="1">
        <f t="shared" si="29"/>
        <v>-324643.15999999922</v>
      </c>
      <c r="I130" s="127"/>
      <c r="J130" s="1">
        <v>-324643.15999999997</v>
      </c>
      <c r="K130" s="1">
        <f t="shared" si="27"/>
        <v>7.5669959187507629E-10</v>
      </c>
      <c r="L130" s="9" t="s">
        <v>85</v>
      </c>
      <c r="M130" s="10">
        <v>44936</v>
      </c>
    </row>
    <row r="131" spans="1:13" hidden="1">
      <c r="A131" s="8">
        <f>'FERC Interest Rates'!A130</f>
        <v>44957</v>
      </c>
      <c r="B131" s="121"/>
      <c r="C131" s="121"/>
      <c r="D131" s="1">
        <f>-16115132.99+1739.82</f>
        <v>-16113393.17</v>
      </c>
      <c r="E131" s="121"/>
      <c r="F131" s="1">
        <f t="shared" ref="F131:F143" si="30">ROUND(H130*VLOOKUP(A131,FERCINT23,2)/365*VLOOKUP(A131,FERCINT23,3),2)</f>
        <v>-1739.82</v>
      </c>
      <c r="H131" s="1">
        <f t="shared" si="29"/>
        <v>-16439776.149999999</v>
      </c>
      <c r="I131" s="127"/>
      <c r="J131" s="1">
        <v>-16439776.15</v>
      </c>
      <c r="K131" s="1">
        <f t="shared" si="27"/>
        <v>0</v>
      </c>
      <c r="L131" s="9" t="s">
        <v>85</v>
      </c>
      <c r="M131" s="10">
        <v>44967</v>
      </c>
    </row>
    <row r="132" spans="1:13" hidden="1">
      <c r="A132" s="8">
        <f>'FERC Interest Rates'!A131</f>
        <v>44985</v>
      </c>
      <c r="B132" s="121"/>
      <c r="C132" s="121"/>
      <c r="D132" s="1">
        <f>-2177689.2-336626.17</f>
        <v>-2514315.37</v>
      </c>
      <c r="E132" s="121"/>
      <c r="F132" s="1">
        <f t="shared" si="30"/>
        <v>-79577.52</v>
      </c>
      <c r="H132" s="1">
        <f t="shared" si="29"/>
        <v>-19033669.039999999</v>
      </c>
      <c r="I132" s="127"/>
      <c r="J132" s="1">
        <v>-19033669.039999999</v>
      </c>
      <c r="K132" s="1">
        <f t="shared" si="27"/>
        <v>0</v>
      </c>
      <c r="L132" s="9" t="s">
        <v>85</v>
      </c>
      <c r="M132" s="10">
        <v>44993</v>
      </c>
    </row>
    <row r="133" spans="1:13" hidden="1">
      <c r="A133" s="8">
        <f>'FERC Interest Rates'!A132</f>
        <v>45016</v>
      </c>
      <c r="B133" s="121"/>
      <c r="C133" s="121"/>
      <c r="D133" s="1">
        <f>-1095435.64-336626.17</f>
        <v>-1432061.8099999998</v>
      </c>
      <c r="E133" s="121"/>
      <c r="F133" s="1">
        <f t="shared" si="30"/>
        <v>-102004.82</v>
      </c>
      <c r="H133" s="1">
        <f t="shared" si="29"/>
        <v>-20567735.669999998</v>
      </c>
      <c r="I133" s="127"/>
      <c r="J133" s="1">
        <v>-20567735.670000002</v>
      </c>
      <c r="K133" s="1">
        <f t="shared" si="27"/>
        <v>0</v>
      </c>
      <c r="L133" s="9" t="s">
        <v>85</v>
      </c>
      <c r="M133" s="10">
        <v>45026</v>
      </c>
    </row>
    <row r="134" spans="1:13" hidden="1">
      <c r="A134" s="8">
        <f>'FERC Interest Rates'!A133</f>
        <v>45046</v>
      </c>
      <c r="B134" s="121"/>
      <c r="C134" s="121"/>
      <c r="D134" s="1">
        <f>510803.3-336626.17</f>
        <v>174177.13</v>
      </c>
      <c r="E134" s="121"/>
      <c r="F134" s="1">
        <f t="shared" si="30"/>
        <v>-126787.41</v>
      </c>
      <c r="H134" s="1">
        <f t="shared" si="29"/>
        <v>-20520345.949999999</v>
      </c>
      <c r="I134" s="127"/>
      <c r="J134" s="1">
        <v>-20520345.949999999</v>
      </c>
      <c r="K134" s="1">
        <f t="shared" si="27"/>
        <v>0</v>
      </c>
      <c r="L134" s="9" t="s">
        <v>85</v>
      </c>
      <c r="M134" s="10">
        <v>45054</v>
      </c>
    </row>
    <row r="135" spans="1:13" hidden="1">
      <c r="A135" s="8">
        <f>'FERC Interest Rates'!A134</f>
        <v>45077</v>
      </c>
      <c r="B135" s="121"/>
      <c r="C135" s="121"/>
      <c r="D135" s="1">
        <f>2197272.06-336626.17</f>
        <v>1860645.8900000001</v>
      </c>
      <c r="E135" s="121"/>
      <c r="F135" s="1">
        <f t="shared" si="30"/>
        <v>-130711.79</v>
      </c>
      <c r="H135" s="1">
        <f t="shared" si="29"/>
        <v>-18790411.849999998</v>
      </c>
      <c r="I135" s="127"/>
      <c r="J135" s="1">
        <v>-18790411.850000001</v>
      </c>
      <c r="K135" s="1">
        <f t="shared" si="27"/>
        <v>0</v>
      </c>
      <c r="L135" s="9" t="s">
        <v>85</v>
      </c>
      <c r="M135" s="10">
        <v>45091</v>
      </c>
    </row>
    <row r="136" spans="1:13" hidden="1">
      <c r="A136" s="8">
        <f>'FERC Interest Rates'!A135</f>
        <v>45107</v>
      </c>
      <c r="B136" s="121"/>
      <c r="C136" s="121"/>
      <c r="D136" s="1">
        <f>2443124.4-336626.17</f>
        <v>2106498.23</v>
      </c>
      <c r="E136" s="121"/>
      <c r="F136" s="1">
        <f t="shared" si="30"/>
        <v>-115831.31</v>
      </c>
      <c r="H136" s="1">
        <f t="shared" si="29"/>
        <v>-16799744.93</v>
      </c>
      <c r="I136" s="127"/>
      <c r="J136" s="1">
        <v>-16799744.93</v>
      </c>
      <c r="K136" s="1">
        <f t="shared" si="27"/>
        <v>0</v>
      </c>
      <c r="L136" s="9" t="s">
        <v>85</v>
      </c>
      <c r="M136" s="10">
        <v>45118</v>
      </c>
    </row>
    <row r="137" spans="1:13" hidden="1">
      <c r="A137" s="8">
        <f>'FERC Interest Rates'!A136</f>
        <v>45138</v>
      </c>
      <c r="B137" s="121"/>
      <c r="C137" s="121"/>
      <c r="D137" s="1">
        <f>-336626.17+3121305.41</f>
        <v>2784679.24</v>
      </c>
      <c r="E137" s="121"/>
      <c r="F137" s="1">
        <f t="shared" si="30"/>
        <v>-114431.58</v>
      </c>
      <c r="H137" s="1">
        <f t="shared" si="29"/>
        <v>-14129497.27</v>
      </c>
      <c r="I137" s="127"/>
      <c r="J137" s="1">
        <v>-14129497.27</v>
      </c>
      <c r="K137" s="1">
        <f t="shared" si="27"/>
        <v>0</v>
      </c>
      <c r="L137" s="9" t="s">
        <v>85</v>
      </c>
      <c r="M137" s="10">
        <v>45146</v>
      </c>
    </row>
    <row r="138" spans="1:13" hidden="1">
      <c r="A138" s="8">
        <f>'FERC Interest Rates'!A137</f>
        <v>45169</v>
      </c>
      <c r="B138" s="121"/>
      <c r="C138" s="121"/>
      <c r="D138" s="1">
        <f>2909362.79-336626.17</f>
        <v>2572736.62</v>
      </c>
      <c r="E138" s="121"/>
      <c r="F138" s="1">
        <f t="shared" si="30"/>
        <v>-96243.17</v>
      </c>
      <c r="H138" s="1">
        <f t="shared" si="29"/>
        <v>-11653003.82</v>
      </c>
      <c r="I138" s="127"/>
      <c r="J138" s="1">
        <v>-11653003.82</v>
      </c>
      <c r="K138" s="1">
        <f t="shared" si="27"/>
        <v>0</v>
      </c>
      <c r="L138" s="9" t="s">
        <v>85</v>
      </c>
      <c r="M138" s="10">
        <v>45180</v>
      </c>
    </row>
    <row r="139" spans="1:13" hidden="1">
      <c r="A139" s="8">
        <f>'FERC Interest Rates'!A138</f>
        <v>45199</v>
      </c>
      <c r="B139" s="121"/>
      <c r="C139" s="121"/>
      <c r="D139" s="1">
        <f>-336626.17+2316015.57</f>
        <v>1979389.4</v>
      </c>
      <c r="E139" s="121"/>
      <c r="F139" s="1">
        <f t="shared" si="30"/>
        <v>-76814.05</v>
      </c>
      <c r="H139" s="1">
        <f t="shared" si="29"/>
        <v>-9750428.4700000007</v>
      </c>
      <c r="I139" s="127"/>
      <c r="J139" s="1">
        <v>-9750428.4700000007</v>
      </c>
      <c r="K139" s="1">
        <f t="shared" si="27"/>
        <v>0</v>
      </c>
      <c r="L139" s="9" t="s">
        <v>85</v>
      </c>
      <c r="M139" s="10">
        <v>45208</v>
      </c>
    </row>
    <row r="140" spans="1:13" hidden="1">
      <c r="A140" s="8">
        <f>'FERC Interest Rates'!A139</f>
        <v>45230</v>
      </c>
      <c r="B140" s="121"/>
      <c r="C140" s="121"/>
      <c r="D140" s="1">
        <f>-336626.17+1040250.93</f>
        <v>703624.76</v>
      </c>
      <c r="E140" s="121"/>
      <c r="F140" s="1">
        <f t="shared" si="30"/>
        <v>-69147.899999999994</v>
      </c>
      <c r="H140" s="1">
        <f t="shared" si="29"/>
        <v>-9115951.6100000013</v>
      </c>
      <c r="I140" s="127"/>
      <c r="J140" s="1">
        <v>-9115951.6099999994</v>
      </c>
      <c r="K140" s="1">
        <f t="shared" si="27"/>
        <v>0</v>
      </c>
      <c r="L140" s="9" t="s">
        <v>85</v>
      </c>
      <c r="M140" s="10">
        <v>45238</v>
      </c>
    </row>
    <row r="141" spans="1:13" hidden="1">
      <c r="A141" s="560" t="s">
        <v>89</v>
      </c>
      <c r="B141" s="560"/>
      <c r="C141" s="560"/>
      <c r="D141" s="560"/>
      <c r="E141" s="560"/>
      <c r="F141" s="560"/>
      <c r="G141" s="1">
        <v>14421064.25</v>
      </c>
      <c r="H141" s="1">
        <f t="shared" ref="H141" si="31">H140+SUM(D141:G141)</f>
        <v>5305112.6399999987</v>
      </c>
      <c r="I141" s="127"/>
      <c r="M141" s="10"/>
    </row>
    <row r="142" spans="1:13">
      <c r="A142" s="8">
        <f>'FERC Interest Rates'!A140</f>
        <v>45260</v>
      </c>
      <c r="B142" s="121"/>
      <c r="C142" s="121"/>
      <c r="D142" s="1">
        <f>-321146.56-1049595.59</f>
        <v>-1370742.1500000001</v>
      </c>
      <c r="E142" s="121"/>
      <c r="F142" s="1">
        <f t="shared" si="30"/>
        <v>36409.06</v>
      </c>
      <c r="H142" s="1">
        <f t="shared" ref="H142:H153" si="32">H141+SUM(D142:G142)</f>
        <v>3970779.5499999989</v>
      </c>
      <c r="I142" s="127"/>
      <c r="J142" s="1">
        <v>3970779.55</v>
      </c>
      <c r="K142" s="1">
        <f t="shared" si="27"/>
        <v>0</v>
      </c>
      <c r="L142" s="9" t="s">
        <v>85</v>
      </c>
      <c r="M142" s="10">
        <v>45271</v>
      </c>
    </row>
    <row r="143" spans="1:13">
      <c r="A143" s="8">
        <f>'FERC Interest Rates'!A141</f>
        <v>45291</v>
      </c>
      <c r="B143" s="121"/>
      <c r="C143" s="121"/>
      <c r="D143" s="1">
        <f>-1901555.55+609.37</f>
        <v>-1900946.18</v>
      </c>
      <c r="E143" s="121"/>
      <c r="F143" s="1">
        <f t="shared" si="30"/>
        <v>28159.9</v>
      </c>
      <c r="H143" s="1">
        <f t="shared" si="32"/>
        <v>2097993.2699999986</v>
      </c>
      <c r="I143" s="127"/>
      <c r="J143" s="1">
        <v>2097993.27</v>
      </c>
      <c r="K143" s="1">
        <f t="shared" si="27"/>
        <v>0</v>
      </c>
      <c r="L143" s="9" t="s">
        <v>85</v>
      </c>
      <c r="M143" s="10">
        <v>45300</v>
      </c>
    </row>
    <row r="144" spans="1:13">
      <c r="A144" s="8">
        <f>'FERC Interest Rates'!A142</f>
        <v>45322</v>
      </c>
      <c r="B144" s="121"/>
      <c r="C144" s="121"/>
      <c r="D144" s="1">
        <v>-3438245.96</v>
      </c>
      <c r="E144" s="121"/>
      <c r="F144" s="1">
        <f t="shared" ref="F144:F153" si="33">ROUND(H143*VLOOKUP(A144,FERCINT24,2)/365*VLOOKUP(A144,FERCINT24,3),2)</f>
        <v>15145.79</v>
      </c>
      <c r="H144" s="1">
        <f t="shared" si="32"/>
        <v>-1325106.9000000013</v>
      </c>
      <c r="I144" s="127"/>
      <c r="J144" s="1">
        <v>-1325106.8999999999</v>
      </c>
      <c r="K144" s="1">
        <f t="shared" si="27"/>
        <v>0</v>
      </c>
      <c r="L144" s="9" t="s">
        <v>85</v>
      </c>
      <c r="M144" s="10">
        <v>45334</v>
      </c>
    </row>
    <row r="145" spans="1:14">
      <c r="A145" s="8">
        <f>'FERC Interest Rates'!A143</f>
        <v>45351</v>
      </c>
      <c r="B145" s="121"/>
      <c r="C145" s="121"/>
      <c r="D145" s="1">
        <f>-321146.56-1426424.97</f>
        <v>-1747571.53</v>
      </c>
      <c r="E145" s="121"/>
      <c r="F145" s="1">
        <f t="shared" si="33"/>
        <v>-8949.01</v>
      </c>
      <c r="H145" s="1">
        <f t="shared" si="32"/>
        <v>-3081627.4400000013</v>
      </c>
      <c r="I145" s="127"/>
      <c r="J145" s="1">
        <v>-3081627.44</v>
      </c>
      <c r="K145" s="1">
        <f t="shared" si="27"/>
        <v>0</v>
      </c>
      <c r="L145" s="9" t="s">
        <v>85</v>
      </c>
      <c r="M145" s="10">
        <v>45359</v>
      </c>
    </row>
    <row r="146" spans="1:14">
      <c r="A146" s="8">
        <f>'FERC Interest Rates'!A144</f>
        <v>45382</v>
      </c>
      <c r="B146" s="121"/>
      <c r="C146" s="121"/>
      <c r="D146" s="1">
        <f>-321146.56-320018.97</f>
        <v>-641165.53</v>
      </c>
      <c r="E146" s="121"/>
      <c r="F146" s="1">
        <f t="shared" si="33"/>
        <v>-22246.82</v>
      </c>
      <c r="H146" s="1">
        <f t="shared" si="32"/>
        <v>-3745039.7900000014</v>
      </c>
      <c r="I146" s="127"/>
      <c r="J146" s="1">
        <v>-3745039.79</v>
      </c>
      <c r="K146" s="1">
        <f t="shared" si="27"/>
        <v>0</v>
      </c>
      <c r="L146" s="9" t="s">
        <v>85</v>
      </c>
      <c r="M146" s="10">
        <v>45390</v>
      </c>
    </row>
    <row r="147" spans="1:14">
      <c r="A147" s="8">
        <f>'FERC Interest Rates'!A145</f>
        <v>45412</v>
      </c>
      <c r="B147" s="121"/>
      <c r="C147" s="121"/>
      <c r="D147" s="1">
        <f>-321146.56+815408.72</f>
        <v>494262.16</v>
      </c>
      <c r="E147" s="121"/>
      <c r="F147" s="1">
        <f t="shared" si="33"/>
        <v>-26163.98</v>
      </c>
      <c r="H147" s="1">
        <f t="shared" si="32"/>
        <v>-3276941.6100000013</v>
      </c>
      <c r="I147" s="127"/>
      <c r="J147" s="1">
        <v>-3276941.61</v>
      </c>
      <c r="K147" s="1">
        <f t="shared" si="27"/>
        <v>0</v>
      </c>
      <c r="L147" s="9" t="s">
        <v>85</v>
      </c>
      <c r="M147" s="10">
        <v>45420</v>
      </c>
    </row>
    <row r="148" spans="1:14">
      <c r="A148" s="8">
        <f>'FERC Interest Rates'!A146</f>
        <v>45443</v>
      </c>
      <c r="B148" s="121"/>
      <c r="C148" s="121"/>
      <c r="D148" s="1">
        <f>-321146.56+1699104.24</f>
        <v>1377957.68</v>
      </c>
      <c r="E148" s="121"/>
      <c r="F148" s="1">
        <f t="shared" si="33"/>
        <v>-23656.83</v>
      </c>
      <c r="H148" s="1">
        <f t="shared" si="32"/>
        <v>-1922640.7600000014</v>
      </c>
      <c r="I148" s="127"/>
      <c r="J148" s="1">
        <v>-1922640.76</v>
      </c>
      <c r="K148" s="1">
        <f t="shared" si="27"/>
        <v>0</v>
      </c>
      <c r="L148" s="9" t="s">
        <v>85</v>
      </c>
      <c r="M148" s="10">
        <v>45453</v>
      </c>
    </row>
    <row r="149" spans="1:14">
      <c r="A149" s="8">
        <f>'FERC Interest Rates'!A147</f>
        <v>45473</v>
      </c>
      <c r="B149" s="121"/>
      <c r="C149" s="121"/>
      <c r="D149" s="1">
        <f>-321146.56+2386069.93</f>
        <v>2064923.37</v>
      </c>
      <c r="E149" s="121"/>
      <c r="F149" s="1">
        <f t="shared" si="33"/>
        <v>-13432.15</v>
      </c>
      <c r="H149" s="1">
        <f t="shared" si="32"/>
        <v>128850.4599999988</v>
      </c>
      <c r="I149" s="127"/>
      <c r="J149" s="1">
        <v>128850.46</v>
      </c>
      <c r="K149" s="1">
        <f t="shared" si="27"/>
        <v>-1.2078089639544487E-9</v>
      </c>
      <c r="L149" s="9" t="s">
        <v>85</v>
      </c>
      <c r="M149" s="10">
        <v>45482</v>
      </c>
    </row>
    <row r="150" spans="1:14">
      <c r="A150" s="8">
        <f>'FERC Interest Rates'!A148</f>
        <v>45504</v>
      </c>
      <c r="B150" s="121"/>
      <c r="C150" s="121"/>
      <c r="D150" s="1">
        <f>2697354.11-321146.56</f>
        <v>2376207.5499999998</v>
      </c>
      <c r="E150" s="121"/>
      <c r="F150" s="1">
        <f t="shared" si="33"/>
        <v>930.19</v>
      </c>
      <c r="H150" s="1">
        <f t="shared" si="32"/>
        <v>2505988.1999999983</v>
      </c>
      <c r="I150" s="127"/>
      <c r="J150" s="1">
        <v>2505988.2000000002</v>
      </c>
      <c r="K150" s="1">
        <f t="shared" si="27"/>
        <v>0</v>
      </c>
      <c r="L150" s="9" t="s">
        <v>85</v>
      </c>
      <c r="M150" s="10">
        <v>45516</v>
      </c>
    </row>
    <row r="151" spans="1:14">
      <c r="A151" s="8">
        <f>'FERC Interest Rates'!A149</f>
        <v>45535</v>
      </c>
      <c r="B151" s="121"/>
      <c r="C151" s="121"/>
      <c r="D151" s="1">
        <f>2937706.55-321146.56</f>
        <v>2616559.9899999998</v>
      </c>
      <c r="E151" s="121"/>
      <c r="F151" s="1">
        <f>ROUND(H150*VLOOKUP(A151,FERCINT24,2)/365*VLOOKUP(A151,FERCINT24,3),2)</f>
        <v>18091.18</v>
      </c>
      <c r="H151" s="1">
        <f t="shared" si="32"/>
        <v>5140639.3699999982</v>
      </c>
      <c r="I151" s="127"/>
      <c r="J151" s="1">
        <v>5140639.37</v>
      </c>
      <c r="K151" s="1">
        <f t="shared" si="27"/>
        <v>0</v>
      </c>
      <c r="L151" s="9" t="s">
        <v>94</v>
      </c>
      <c r="M151" s="10">
        <v>45546</v>
      </c>
    </row>
    <row r="152" spans="1:14">
      <c r="A152" s="8">
        <f>'FERC Interest Rates'!A150</f>
        <v>45565</v>
      </c>
      <c r="B152" s="121"/>
      <c r="C152" s="121"/>
      <c r="D152" s="1">
        <f>2491918.95-321146.56</f>
        <v>2170772.39</v>
      </c>
      <c r="E152" s="121"/>
      <c r="F152" s="1">
        <f t="shared" si="33"/>
        <v>35914.06</v>
      </c>
      <c r="H152" s="1">
        <f t="shared" si="32"/>
        <v>7347325.8199999984</v>
      </c>
      <c r="I152" s="127"/>
      <c r="J152" s="1">
        <v>7347325.8200000003</v>
      </c>
      <c r="K152" s="1">
        <f t="shared" si="27"/>
        <v>0</v>
      </c>
      <c r="L152" s="9" t="s">
        <v>94</v>
      </c>
      <c r="M152" s="10">
        <v>45573</v>
      </c>
    </row>
    <row r="153" spans="1:14">
      <c r="A153" s="8">
        <f>'FERC Interest Rates'!A151</f>
        <v>45596</v>
      </c>
      <c r="B153" s="121"/>
      <c r="C153" s="121"/>
      <c r="D153" s="1">
        <f>1039178.19-321146.56</f>
        <v>718031.62999999989</v>
      </c>
      <c r="E153" s="121"/>
      <c r="F153" s="1">
        <f t="shared" si="33"/>
        <v>53041.65</v>
      </c>
      <c r="H153" s="1">
        <f t="shared" si="32"/>
        <v>8118399.0999999987</v>
      </c>
      <c r="I153" s="127"/>
      <c r="J153" s="1">
        <v>8118399.0999999996</v>
      </c>
      <c r="K153" s="1">
        <f t="shared" si="27"/>
        <v>0</v>
      </c>
      <c r="L153" s="9" t="s">
        <v>94</v>
      </c>
      <c r="M153" s="10">
        <v>45608</v>
      </c>
    </row>
    <row r="154" spans="1:14">
      <c r="A154" s="560" t="s">
        <v>89</v>
      </c>
      <c r="B154" s="560"/>
      <c r="C154" s="560"/>
      <c r="D154" s="560"/>
      <c r="E154" s="560"/>
      <c r="F154" s="560"/>
      <c r="G154" s="1">
        <v>-2560062.44</v>
      </c>
      <c r="H154" s="1">
        <f>H153+SUM(G154)</f>
        <v>5558336.6599999983</v>
      </c>
      <c r="I154" s="127"/>
      <c r="M154" s="10"/>
    </row>
    <row r="155" spans="1:14">
      <c r="A155" s="39">
        <v>45626</v>
      </c>
      <c r="B155" s="121"/>
      <c r="C155" s="121"/>
      <c r="D155" s="1">
        <f>-878344.3-320309.65</f>
        <v>-1198653.9500000002</v>
      </c>
      <c r="E155" s="121"/>
      <c r="F155" s="1">
        <f>ROUND(H154*VLOOKUP(A155,FERCINT24,2)/365*VLOOKUP(A155,FERCINT24,3),2)</f>
        <v>38832.22</v>
      </c>
      <c r="H155" s="1">
        <f>H154+SUM(D155:G155)</f>
        <v>4398514.9299999978</v>
      </c>
      <c r="I155" s="127"/>
      <c r="J155" s="1">
        <v>4417256.62</v>
      </c>
      <c r="K155" s="1">
        <f t="shared" ref="K155:K158" si="34">H155-J155</f>
        <v>-18741.690000002272</v>
      </c>
      <c r="L155" s="9" t="str">
        <f>+'DG 1910.01253'!$L$157</f>
        <v>Brian</v>
      </c>
      <c r="M155" s="10">
        <f>+'DG 1910.01253'!$M$157</f>
        <v>45638</v>
      </c>
      <c r="N155" s="1" t="s">
        <v>105</v>
      </c>
    </row>
    <row r="156" spans="1:14">
      <c r="A156" s="39">
        <v>45657</v>
      </c>
      <c r="B156" s="121"/>
      <c r="C156" s="121"/>
      <c r="D156" s="1">
        <f>-1824560.62-320309.65</f>
        <v>-2144870.27</v>
      </c>
      <c r="E156" s="121"/>
      <c r="F156" s="1">
        <f>ROUND(H155*VLOOKUP(A156,FERCINT24,2)/365*VLOOKUP(A156,FERCINT24,3),2)</f>
        <v>31753.66</v>
      </c>
      <c r="H156" s="1">
        <f t="shared" ref="H156:H158" si="35">H155+SUM(D156:G156)</f>
        <v>2285398.319999998</v>
      </c>
      <c r="I156" s="127"/>
      <c r="J156" s="1">
        <v>2285398.3199999998</v>
      </c>
      <c r="K156" s="1">
        <f t="shared" si="34"/>
        <v>0</v>
      </c>
      <c r="L156" s="9" t="str">
        <f>+'DG 1910.01253'!$L$158</f>
        <v>Brian</v>
      </c>
      <c r="M156" s="10">
        <f>+'DG 1910.01253'!$M$158</f>
        <v>45667</v>
      </c>
    </row>
    <row r="157" spans="1:14">
      <c r="A157" s="39">
        <v>45688</v>
      </c>
      <c r="B157" s="121"/>
      <c r="C157" s="121"/>
      <c r="D157" s="1">
        <f>-2499025.84-320309.65</f>
        <v>-2819335.4899999998</v>
      </c>
      <c r="E157" s="121"/>
      <c r="F157" s="1">
        <f t="shared" ref="F157:F158" si="36">ROUND(H156*VLOOKUP(A157,FERCINT25,2)/365*VLOOKUP(A157,FERCINT25,3),2)</f>
        <v>15605.83</v>
      </c>
      <c r="H157" s="1">
        <f t="shared" si="35"/>
        <v>-518331.34000000171</v>
      </c>
      <c r="I157" s="127"/>
      <c r="J157" s="1">
        <v>-518331.34</v>
      </c>
      <c r="K157" s="1">
        <f t="shared" si="34"/>
        <v>-1.6880221664905548E-9</v>
      </c>
      <c r="L157" s="9" t="str">
        <f>+'DG 1910.01253'!$L$159</f>
        <v>Brian</v>
      </c>
      <c r="M157" s="10">
        <f>+'DG 1910.01253'!$M$159</f>
        <v>45699</v>
      </c>
    </row>
    <row r="158" spans="1:14">
      <c r="A158" s="39">
        <v>45716</v>
      </c>
      <c r="B158" s="121"/>
      <c r="C158" s="121"/>
      <c r="D158" s="1">
        <f>+-320309.65-2305032.66</f>
        <v>-2625342.31</v>
      </c>
      <c r="E158" s="121"/>
      <c r="F158" s="1">
        <f t="shared" si="36"/>
        <v>-3196.9</v>
      </c>
      <c r="H158" s="1">
        <f t="shared" si="35"/>
        <v>-3146870.5500000017</v>
      </c>
      <c r="I158" s="127"/>
      <c r="J158" s="1">
        <v>-3146870.55</v>
      </c>
      <c r="K158" s="1">
        <f t="shared" si="34"/>
        <v>0</v>
      </c>
      <c r="L158" s="9" t="str">
        <f>+'DG 1910.01253'!$L$160</f>
        <v>Brian</v>
      </c>
      <c r="M158" s="10">
        <f>+'DG 1910.01253'!$M$160</f>
        <v>45726</v>
      </c>
    </row>
    <row r="159" spans="1:14">
      <c r="A159" s="39"/>
      <c r="B159" s="121"/>
      <c r="C159" s="121"/>
      <c r="E159" s="121"/>
      <c r="I159" s="127"/>
      <c r="M159" s="10"/>
    </row>
    <row r="160" spans="1:14">
      <c r="A160" s="39"/>
      <c r="B160" s="121"/>
      <c r="C160" s="121"/>
      <c r="E160" s="121"/>
      <c r="I160" s="127"/>
      <c r="M160" s="10"/>
    </row>
    <row r="161" spans="1:13">
      <c r="A161" s="39"/>
      <c r="B161" s="121"/>
      <c r="C161" s="121"/>
      <c r="E161" s="121"/>
      <c r="I161" s="127"/>
      <c r="M161" s="10"/>
    </row>
    <row r="162" spans="1:13">
      <c r="A162" s="39"/>
      <c r="B162" s="121"/>
      <c r="C162" s="121"/>
      <c r="E162" s="121"/>
      <c r="I162" s="127"/>
      <c r="M162" s="10"/>
    </row>
    <row r="163" spans="1:13">
      <c r="A163" s="39"/>
      <c r="B163" s="121"/>
      <c r="C163" s="121"/>
      <c r="E163" s="121"/>
      <c r="I163" s="127"/>
      <c r="M163" s="10"/>
    </row>
    <row r="164" spans="1:13">
      <c r="A164" s="39"/>
      <c r="B164" s="121"/>
      <c r="C164" s="121"/>
      <c r="E164" s="121"/>
      <c r="I164" s="127"/>
      <c r="M164" s="10"/>
    </row>
    <row r="165" spans="1:13">
      <c r="A165" s="39"/>
      <c r="B165" s="121"/>
      <c r="C165" s="121"/>
      <c r="E165" s="121"/>
      <c r="I165" s="127"/>
      <c r="M165" s="10"/>
    </row>
    <row r="166" spans="1:13">
      <c r="A166" s="39"/>
      <c r="B166" s="121"/>
      <c r="C166" s="121"/>
      <c r="E166" s="121"/>
      <c r="I166" s="127"/>
      <c r="M166" s="10"/>
    </row>
    <row r="167" spans="1:13">
      <c r="A167" s="560"/>
      <c r="B167" s="560"/>
      <c r="C167" s="560"/>
      <c r="D167" s="560"/>
      <c r="E167" s="560"/>
      <c r="F167" s="560"/>
      <c r="G167" s="140"/>
      <c r="I167" s="127"/>
      <c r="M167" s="10"/>
    </row>
    <row r="168" spans="1:13">
      <c r="A168" s="39"/>
      <c r="M168" s="10"/>
    </row>
    <row r="169" spans="1:13">
      <c r="A169" s="39"/>
      <c r="M169" s="10"/>
    </row>
    <row r="170" spans="1:13">
      <c r="A170" s="39"/>
      <c r="M170" s="10"/>
    </row>
    <row r="171" spans="1:13">
      <c r="A171" s="39"/>
      <c r="M171" s="10"/>
    </row>
    <row r="172" spans="1:13">
      <c r="A172" s="39"/>
      <c r="M172" s="10"/>
    </row>
    <row r="173" spans="1:13">
      <c r="A173" s="39"/>
      <c r="M173" s="10"/>
    </row>
    <row r="174" spans="1:13">
      <c r="A174" s="39"/>
      <c r="M174" s="10"/>
    </row>
    <row r="175" spans="1:13">
      <c r="A175" s="39"/>
      <c r="M175" s="10"/>
    </row>
    <row r="176" spans="1:13">
      <c r="A176" s="39"/>
      <c r="M176" s="10"/>
    </row>
    <row r="177" spans="1:13">
      <c r="A177" s="39"/>
      <c r="M177" s="10"/>
    </row>
    <row r="178" spans="1:13">
      <c r="A178" s="39"/>
      <c r="M178" s="10"/>
    </row>
    <row r="179" spans="1:13">
      <c r="A179" s="39"/>
      <c r="M179" s="10"/>
    </row>
    <row r="180" spans="1:13">
      <c r="A180" s="560"/>
      <c r="B180" s="560"/>
      <c r="C180" s="560"/>
      <c r="D180" s="560"/>
      <c r="E180" s="560"/>
      <c r="F180" s="560"/>
      <c r="G180" s="140"/>
      <c r="M180" s="10"/>
    </row>
    <row r="181" spans="1:13">
      <c r="A181" s="39"/>
      <c r="M181" s="10"/>
    </row>
    <row r="182" spans="1:13">
      <c r="A182" s="39"/>
      <c r="M182" s="10"/>
    </row>
    <row r="183" spans="1:13">
      <c r="M183" s="10"/>
    </row>
    <row r="184" spans="1:13">
      <c r="M184" s="10"/>
    </row>
    <row r="185" spans="1:13">
      <c r="M185" s="10"/>
    </row>
    <row r="186" spans="1:13">
      <c r="M186" s="10"/>
    </row>
  </sheetData>
  <mergeCells count="29">
    <mergeCell ref="A89:F89"/>
    <mergeCell ref="A76:F76"/>
    <mergeCell ref="A63:F63"/>
    <mergeCell ref="C1:H1"/>
    <mergeCell ref="C3:H3"/>
    <mergeCell ref="C4:H4"/>
    <mergeCell ref="C5:H5"/>
    <mergeCell ref="A1:B1"/>
    <mergeCell ref="A2:B2"/>
    <mergeCell ref="C2:H2"/>
    <mergeCell ref="A3:B3"/>
    <mergeCell ref="A5:B5"/>
    <mergeCell ref="A4:B4"/>
    <mergeCell ref="A167:F167"/>
    <mergeCell ref="A180:F180"/>
    <mergeCell ref="A128:F128"/>
    <mergeCell ref="A115:F115"/>
    <mergeCell ref="C6:H6"/>
    <mergeCell ref="D9:F9"/>
    <mergeCell ref="A48:F48"/>
    <mergeCell ref="A35:F35"/>
    <mergeCell ref="A24:F24"/>
    <mergeCell ref="A6:B6"/>
    <mergeCell ref="A11:G11"/>
    <mergeCell ref="A7:B7"/>
    <mergeCell ref="C7:H7"/>
    <mergeCell ref="A154:F154"/>
    <mergeCell ref="A141:F141"/>
    <mergeCell ref="A102:F102"/>
  </mergeCells>
  <phoneticPr fontId="0" type="noConversion"/>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ignoredErrors>
    <ignoredError sqref="H154"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29"/>
  <sheetViews>
    <sheetView tabSelected="1" view="pageBreakPreview" zoomScale="140" zoomScaleNormal="100" zoomScaleSheetLayoutView="140" workbookViewId="0">
      <pane ySplit="7" topLeftCell="A8" activePane="bottomLeft" state="frozen"/>
      <selection pane="bottomLeft" activeCell="Y1" sqref="Y1:Y1048576"/>
      <selection activeCell="D162" sqref="D162"/>
    </sheetView>
  </sheetViews>
  <sheetFormatPr defaultColWidth="8.88671875" defaultRowHeight="12.75"/>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9" bestFit="1" customWidth="1"/>
    <col min="13" max="13" width="10.33203125" style="9" bestFit="1" customWidth="1"/>
    <col min="14" max="14" width="14" style="1" customWidth="1"/>
    <col min="15" max="15" width="12.21875" style="1" customWidth="1"/>
    <col min="16" max="16" width="4.33203125" style="1" customWidth="1"/>
    <col min="17" max="18" width="8.5546875" style="1" bestFit="1" customWidth="1"/>
    <col min="19" max="19" width="8.109375" style="1" bestFit="1" customWidth="1"/>
    <col min="20" max="20" width="7.77734375" style="1" bestFit="1" customWidth="1"/>
    <col min="21" max="22" width="7.33203125" style="1" bestFit="1" customWidth="1"/>
    <col min="23" max="23" width="3.6640625" style="1" customWidth="1"/>
    <col min="24" max="24" width="9.109375" style="1" customWidth="1"/>
    <col min="25" max="25" width="9.21875" style="1" bestFit="1" customWidth="1"/>
    <col min="26" max="16384" width="8.88671875" style="1"/>
  </cols>
  <sheetData>
    <row r="1" spans="1:13">
      <c r="A1" s="567" t="s">
        <v>52</v>
      </c>
      <c r="B1" s="568"/>
      <c r="C1" s="579" t="s">
        <v>53</v>
      </c>
      <c r="D1" s="579"/>
      <c r="E1" s="579"/>
      <c r="F1" s="579"/>
      <c r="G1" s="579"/>
      <c r="H1" s="580"/>
      <c r="I1" s="11"/>
      <c r="J1" s="86"/>
    </row>
    <row r="2" spans="1:13">
      <c r="A2" s="565" t="s">
        <v>54</v>
      </c>
      <c r="B2" s="566"/>
      <c r="C2" s="581" t="s">
        <v>106</v>
      </c>
      <c r="D2" s="581"/>
      <c r="E2" s="581"/>
      <c r="F2" s="581"/>
      <c r="G2" s="581"/>
      <c r="H2" s="582"/>
      <c r="I2" s="11"/>
      <c r="J2" s="86"/>
    </row>
    <row r="3" spans="1:13" ht="14.25">
      <c r="A3" s="565" t="s">
        <v>56</v>
      </c>
      <c r="B3" s="566"/>
      <c r="C3" s="581" t="s">
        <v>107</v>
      </c>
      <c r="D3" s="581"/>
      <c r="E3" s="581"/>
      <c r="F3" s="581"/>
      <c r="G3" s="581"/>
      <c r="H3" s="582"/>
      <c r="I3" s="11"/>
      <c r="J3" s="86"/>
    </row>
    <row r="4" spans="1:13">
      <c r="A4" s="565" t="s">
        <v>58</v>
      </c>
      <c r="B4" s="566"/>
      <c r="C4" s="581" t="s">
        <v>59</v>
      </c>
      <c r="D4" s="581"/>
      <c r="E4" s="581"/>
      <c r="F4" s="581"/>
      <c r="G4" s="581"/>
      <c r="H4" s="582"/>
      <c r="I4" s="11"/>
      <c r="J4" s="206"/>
      <c r="K4" s="206"/>
      <c r="L4" s="206"/>
      <c r="M4" s="206"/>
    </row>
    <row r="5" spans="1:13" ht="12.95" customHeight="1">
      <c r="A5" s="565" t="s">
        <v>60</v>
      </c>
      <c r="B5" s="566"/>
      <c r="C5" s="581" t="s">
        <v>63</v>
      </c>
      <c r="D5" s="581"/>
      <c r="E5" s="581"/>
      <c r="F5" s="581"/>
      <c r="G5" s="581"/>
      <c r="H5" s="582"/>
      <c r="I5" s="11"/>
      <c r="J5" s="206"/>
      <c r="K5" s="206"/>
      <c r="L5" s="206"/>
      <c r="M5" s="206"/>
    </row>
    <row r="6" spans="1:13" ht="13.5" customHeight="1">
      <c r="A6" s="565" t="s">
        <v>62</v>
      </c>
      <c r="B6" s="566"/>
      <c r="C6" s="581" t="str">
        <f>'DG 1910.01253'!C5</f>
        <v>11/01/2024 through 10/31/2025</v>
      </c>
      <c r="D6" s="581"/>
      <c r="E6" s="581"/>
      <c r="F6" s="581"/>
      <c r="G6" s="581"/>
      <c r="H6" s="582"/>
      <c r="I6" s="11"/>
      <c r="J6" s="206"/>
      <c r="K6" s="206"/>
      <c r="L6" s="206"/>
      <c r="M6" s="206"/>
    </row>
    <row r="7" spans="1:13" ht="27.75" customHeight="1" thickBot="1">
      <c r="A7" s="572" t="s">
        <v>64</v>
      </c>
      <c r="B7" s="573"/>
      <c r="C7" s="584" t="s">
        <v>108</v>
      </c>
      <c r="D7" s="584"/>
      <c r="E7" s="584"/>
      <c r="F7" s="584"/>
      <c r="G7" s="584"/>
      <c r="H7" s="585"/>
      <c r="I7" s="125"/>
      <c r="J7" s="81"/>
    </row>
    <row r="8" spans="1:13" ht="14.25" customHeight="1">
      <c r="A8" s="6"/>
      <c r="D8" s="571" t="s">
        <v>67</v>
      </c>
      <c r="E8" s="571"/>
      <c r="F8" s="571"/>
    </row>
    <row r="9" spans="1:13" s="7" customFormat="1">
      <c r="A9" s="7" t="s">
        <v>69</v>
      </c>
      <c r="B9" s="7" t="s">
        <v>70</v>
      </c>
      <c r="C9" s="7" t="s">
        <v>71</v>
      </c>
      <c r="D9" s="7" t="s">
        <v>72</v>
      </c>
      <c r="E9" s="7" t="s">
        <v>73</v>
      </c>
      <c r="F9" s="7" t="s">
        <v>74</v>
      </c>
      <c r="G9" s="7" t="s">
        <v>75</v>
      </c>
      <c r="H9" s="7" t="s">
        <v>76</v>
      </c>
      <c r="I9" s="126"/>
      <c r="J9" s="3" t="s">
        <v>77</v>
      </c>
      <c r="K9" s="3" t="s">
        <v>78</v>
      </c>
      <c r="L9" s="3" t="s">
        <v>79</v>
      </c>
      <c r="M9" s="3" t="s">
        <v>80</v>
      </c>
    </row>
    <row r="10" spans="1:13" hidden="1">
      <c r="A10" s="85"/>
      <c r="B10" s="85"/>
      <c r="C10" s="85"/>
      <c r="D10" s="85"/>
      <c r="E10" s="85"/>
      <c r="F10" s="85"/>
      <c r="G10" s="85"/>
      <c r="H10" s="78"/>
      <c r="I10" s="121"/>
      <c r="J10" s="81"/>
    </row>
    <row r="11" spans="1:13" hidden="1">
      <c r="A11" s="583" t="s">
        <v>109</v>
      </c>
      <c r="B11" s="583"/>
      <c r="C11" s="583"/>
      <c r="D11" s="583"/>
      <c r="E11" s="583"/>
      <c r="F11" s="583"/>
      <c r="G11" s="78">
        <v>-14485606.119999999</v>
      </c>
      <c r="H11" s="78"/>
      <c r="I11" s="121"/>
      <c r="J11" s="43"/>
      <c r="K11" s="40"/>
    </row>
    <row r="12" spans="1:13" hidden="1">
      <c r="A12" s="583" t="s">
        <v>110</v>
      </c>
      <c r="B12" s="583"/>
      <c r="C12" s="583"/>
      <c r="D12" s="583"/>
      <c r="E12" s="583"/>
      <c r="F12" s="583"/>
      <c r="G12" s="78">
        <v>5863063.5199999996</v>
      </c>
      <c r="H12" s="78"/>
      <c r="I12" s="121"/>
      <c r="J12" s="43"/>
      <c r="K12" s="40"/>
    </row>
    <row r="13" spans="1:13" hidden="1">
      <c r="A13" s="583" t="s">
        <v>111</v>
      </c>
      <c r="B13" s="583"/>
      <c r="C13" s="583"/>
      <c r="D13" s="583"/>
      <c r="E13" s="583"/>
      <c r="F13" s="583"/>
      <c r="G13" s="78">
        <v>-504451.07</v>
      </c>
      <c r="H13" s="78"/>
      <c r="I13" s="121"/>
      <c r="J13" s="43"/>
      <c r="K13" s="40"/>
    </row>
    <row r="14" spans="1:13" hidden="1">
      <c r="A14" s="583" t="s">
        <v>112</v>
      </c>
      <c r="B14" s="583"/>
      <c r="C14" s="583"/>
      <c r="D14" s="583"/>
      <c r="E14" s="583"/>
      <c r="F14" s="583"/>
      <c r="G14" s="78">
        <v>-4085.68</v>
      </c>
      <c r="H14" s="78"/>
      <c r="I14" s="121"/>
      <c r="J14" s="43"/>
      <c r="K14" s="40"/>
    </row>
    <row r="15" spans="1:13" hidden="1">
      <c r="A15" s="583" t="s">
        <v>113</v>
      </c>
      <c r="B15" s="583"/>
      <c r="C15" s="583"/>
      <c r="D15" s="583"/>
      <c r="E15" s="583"/>
      <c r="F15" s="583"/>
      <c r="G15" s="84">
        <v>11617.84</v>
      </c>
      <c r="H15" s="78"/>
      <c r="I15" s="121"/>
      <c r="J15" s="81"/>
    </row>
    <row r="16" spans="1:13" hidden="1">
      <c r="A16" s="583"/>
      <c r="B16" s="583"/>
      <c r="C16" s="583"/>
      <c r="D16" s="583"/>
      <c r="E16" s="583"/>
      <c r="F16" s="583"/>
      <c r="G16" s="78"/>
      <c r="H16" s="78">
        <f>SUM(G11:G15)</f>
        <v>-9119461.5099999998</v>
      </c>
      <c r="I16" s="121"/>
      <c r="J16" s="81"/>
    </row>
    <row r="17" spans="1:24" hidden="1">
      <c r="A17" s="80">
        <f>+'FERC Interest Rates'!A54</f>
        <v>42643</v>
      </c>
      <c r="B17" s="78" t="s">
        <v>114</v>
      </c>
      <c r="C17" s="205">
        <f>+'Therm Sales'!I39</f>
        <v>7194580</v>
      </c>
      <c r="D17" s="78"/>
      <c r="E17" s="78">
        <f>SUM(ROUND(4084007*0.00601,2)+ROUND(3110573*0.03537,2))</f>
        <v>134565.85</v>
      </c>
      <c r="F17" s="78">
        <f>ROUND(H16*VLOOKUP(A17,FERCINT16,2)/365*VLOOKUP(A17,FERCINT16,3),2)</f>
        <v>-26234.07</v>
      </c>
      <c r="G17" s="78"/>
      <c r="H17" s="78">
        <f>H16+SUM(E17:G17)</f>
        <v>-9011129.7300000004</v>
      </c>
      <c r="I17" s="121"/>
      <c r="J17" s="43">
        <v>-9011129.7300000004</v>
      </c>
      <c r="K17" s="1">
        <f t="shared" ref="K17:K30" si="0">J17-H17</f>
        <v>0</v>
      </c>
      <c r="L17" s="9" t="s">
        <v>85</v>
      </c>
      <c r="M17" s="124">
        <v>42650</v>
      </c>
    </row>
    <row r="18" spans="1:24" hidden="1">
      <c r="A18" s="80">
        <f>+'FERC Interest Rates'!A55</f>
        <v>42674</v>
      </c>
      <c r="B18" s="79">
        <v>3.5369999999999999E-2</v>
      </c>
      <c r="C18" s="205">
        <f>+'Therm Sales'!I40</f>
        <v>10004553</v>
      </c>
      <c r="D18" s="83"/>
      <c r="E18" s="63">
        <f>ROUND(C18*B18,2)-0.01</f>
        <v>353861.02999999997</v>
      </c>
      <c r="F18" s="78">
        <f>ROUND(H17*VLOOKUP(A18,FERCINT16,2)/365*VLOOKUP(A18,FERCINT16,3),2)</f>
        <v>-26786.51</v>
      </c>
      <c r="G18" s="78"/>
      <c r="H18" s="78">
        <f t="shared" ref="H18:H81" si="1">H17+SUM(D18:G18)</f>
        <v>-8684055.2100000009</v>
      </c>
      <c r="I18" s="121"/>
      <c r="J18" s="43">
        <v>-8684055.2100000009</v>
      </c>
      <c r="K18" s="40">
        <f t="shared" si="0"/>
        <v>0</v>
      </c>
      <c r="L18" s="9" t="s">
        <v>85</v>
      </c>
      <c r="M18" s="124">
        <v>42681</v>
      </c>
    </row>
    <row r="19" spans="1:24" hidden="1">
      <c r="A19" s="80">
        <f>+'FERC Interest Rates'!A56</f>
        <v>42704</v>
      </c>
      <c r="B19" s="79">
        <v>3.5369999999999999E-2</v>
      </c>
      <c r="C19" s="205">
        <f>+'Therm Sales'!I41</f>
        <v>14546209</v>
      </c>
      <c r="D19" s="82"/>
      <c r="E19" s="43">
        <f>ROUND(C19*B19,2)</f>
        <v>514499.41</v>
      </c>
      <c r="F19" s="78">
        <f>ROUND(H18*VLOOKUP(A19,FERCINT16,2)/365*VLOOKUP(A19,FERCINT16,3),2)</f>
        <v>-24981.53</v>
      </c>
      <c r="G19" s="81"/>
      <c r="H19" s="77">
        <f t="shared" si="1"/>
        <v>-8194537.330000001</v>
      </c>
      <c r="I19" s="121"/>
      <c r="J19" s="43">
        <v>-8194537.3300000001</v>
      </c>
      <c r="K19" s="40">
        <f t="shared" si="0"/>
        <v>0</v>
      </c>
      <c r="L19" s="9" t="s">
        <v>85</v>
      </c>
      <c r="M19" s="124">
        <v>42711</v>
      </c>
    </row>
    <row r="20" spans="1:24" hidden="1">
      <c r="A20" s="80">
        <f>+'FERC Interest Rates'!A57</f>
        <v>42735</v>
      </c>
      <c r="B20" s="79">
        <v>3.5369999999999999E-2</v>
      </c>
      <c r="C20" s="205">
        <f>+'Therm Sales'!I42</f>
        <v>29320569</v>
      </c>
      <c r="D20" s="82"/>
      <c r="E20" s="63">
        <f>ROUND(C20*B20,2)-0.02</f>
        <v>1037068.51</v>
      </c>
      <c r="F20" s="78">
        <f>ROUND(H19*VLOOKUP(A20,FERCINT16,2)/365*VLOOKUP(A20,FERCINT16,3),2)</f>
        <v>-24359.1</v>
      </c>
      <c r="G20" s="81"/>
      <c r="H20" s="77">
        <f t="shared" si="1"/>
        <v>-7181827.9200000009</v>
      </c>
      <c r="I20" s="121"/>
      <c r="J20" s="1">
        <v>-7181827.9199999999</v>
      </c>
      <c r="K20" s="40">
        <f t="shared" si="0"/>
        <v>0</v>
      </c>
      <c r="L20" s="9" t="s">
        <v>85</v>
      </c>
      <c r="M20" s="124">
        <v>42744</v>
      </c>
    </row>
    <row r="21" spans="1:24" hidden="1">
      <c r="A21" s="80">
        <f>+'FERC Interest Rates'!A58</f>
        <v>42766</v>
      </c>
      <c r="B21" s="79">
        <v>3.5369999999999999E-2</v>
      </c>
      <c r="C21" s="205">
        <f>+'Therm Sales'!I43</f>
        <v>50070976</v>
      </c>
      <c r="D21" s="82"/>
      <c r="E21" s="63">
        <f>ROUND(C21*B21,2)-0.01</f>
        <v>1771010.41</v>
      </c>
      <c r="F21" s="78">
        <f t="shared" ref="F21:F30" si="2">ROUND(H20*VLOOKUP(A21,FERCINT17,2)/365*VLOOKUP(A21,FERCINT17,3),2)</f>
        <v>-21348.720000000001</v>
      </c>
      <c r="G21" s="81"/>
      <c r="H21" s="77">
        <f t="shared" si="1"/>
        <v>-5432166.2300000004</v>
      </c>
      <c r="I21" s="121"/>
      <c r="J21" s="1">
        <v>-5432166.2300000004</v>
      </c>
      <c r="K21" s="40">
        <f t="shared" si="0"/>
        <v>0</v>
      </c>
      <c r="L21" s="9" t="s">
        <v>85</v>
      </c>
      <c r="M21" s="124">
        <v>42773</v>
      </c>
    </row>
    <row r="22" spans="1:24" hidden="1">
      <c r="A22" s="80">
        <f>+'FERC Interest Rates'!A59</f>
        <v>42794</v>
      </c>
      <c r="B22" s="79">
        <v>3.5369999999999999E-2</v>
      </c>
      <c r="C22" s="205">
        <f>+'Therm Sales'!I44</f>
        <v>39357111</v>
      </c>
      <c r="D22" s="82"/>
      <c r="E22" s="43">
        <f>ROUND(C22*B22,2)</f>
        <v>1392061.02</v>
      </c>
      <c r="F22" s="78">
        <f t="shared" si="2"/>
        <v>-14584.99</v>
      </c>
      <c r="G22" s="81"/>
      <c r="H22" s="77">
        <f t="shared" si="1"/>
        <v>-4054690.2</v>
      </c>
      <c r="I22" s="127"/>
      <c r="J22" s="1">
        <v>-4054690.2</v>
      </c>
      <c r="K22" s="40">
        <f t="shared" si="0"/>
        <v>0</v>
      </c>
      <c r="L22" s="9" t="s">
        <v>85</v>
      </c>
      <c r="M22" s="124">
        <v>42801</v>
      </c>
    </row>
    <row r="23" spans="1:24" hidden="1">
      <c r="A23" s="80">
        <f>+'FERC Interest Rates'!A60</f>
        <v>42825</v>
      </c>
      <c r="B23" s="79">
        <v>3.5369999999999999E-2</v>
      </c>
      <c r="C23" s="205">
        <f>+'Therm Sales'!I45</f>
        <v>35872415</v>
      </c>
      <c r="D23" s="82"/>
      <c r="E23" s="63">
        <f>ROUND(C23*B23,2)-0.01</f>
        <v>1268807.31</v>
      </c>
      <c r="F23" s="78">
        <f t="shared" si="2"/>
        <v>-12052.98</v>
      </c>
      <c r="G23" s="81"/>
      <c r="H23" s="77">
        <f t="shared" si="1"/>
        <v>-2797935.87</v>
      </c>
      <c r="I23" s="127"/>
      <c r="J23" s="1">
        <v>-2797935.87</v>
      </c>
      <c r="K23" s="40">
        <f t="shared" si="0"/>
        <v>0</v>
      </c>
      <c r="L23" s="9" t="s">
        <v>85</v>
      </c>
      <c r="M23" s="124">
        <v>42832</v>
      </c>
    </row>
    <row r="24" spans="1:24" hidden="1">
      <c r="A24" s="80">
        <f>+'FERC Interest Rates'!A61</f>
        <v>42855</v>
      </c>
      <c r="B24" s="79">
        <v>3.5369999999999999E-2</v>
      </c>
      <c r="C24" s="205">
        <f>+'Therm Sales'!I46</f>
        <v>21376214</v>
      </c>
      <c r="D24" s="82"/>
      <c r="E24" s="43">
        <f>ROUND(C24*B24,2)</f>
        <v>756076.69</v>
      </c>
      <c r="F24" s="78">
        <f t="shared" si="2"/>
        <v>-8531.7900000000009</v>
      </c>
      <c r="G24" s="81"/>
      <c r="H24" s="77">
        <f t="shared" si="1"/>
        <v>-2050390.9700000002</v>
      </c>
      <c r="I24" s="127"/>
      <c r="J24" s="1">
        <v>-2050390.97</v>
      </c>
      <c r="K24" s="40">
        <f t="shared" si="0"/>
        <v>0</v>
      </c>
      <c r="L24" s="9" t="s">
        <v>85</v>
      </c>
      <c r="M24" s="124">
        <v>42860</v>
      </c>
    </row>
    <row r="25" spans="1:24" hidden="1">
      <c r="A25" s="80">
        <f>+'FERC Interest Rates'!A62</f>
        <v>42886</v>
      </c>
      <c r="B25" s="79">
        <v>3.5369999999999999E-2</v>
      </c>
      <c r="C25" s="205">
        <f>+'Therm Sales'!I47</f>
        <v>15973162</v>
      </c>
      <c r="D25" s="50"/>
      <c r="E25" s="63">
        <f>ROUND(C25*B25,2)+0.01</f>
        <v>564970.75</v>
      </c>
      <c r="F25" s="78">
        <f t="shared" si="2"/>
        <v>-6460.7</v>
      </c>
      <c r="H25" s="77">
        <f t="shared" si="1"/>
        <v>-1491880.9200000002</v>
      </c>
      <c r="I25" s="127"/>
      <c r="J25" s="1">
        <v>-1491880.92</v>
      </c>
      <c r="K25" s="40">
        <f t="shared" si="0"/>
        <v>0</v>
      </c>
      <c r="L25" s="9" t="s">
        <v>85</v>
      </c>
      <c r="M25" s="124">
        <v>42893</v>
      </c>
    </row>
    <row r="26" spans="1:24" hidden="1">
      <c r="A26" s="80">
        <f>+'FERC Interest Rates'!A63</f>
        <v>42916</v>
      </c>
      <c r="B26" s="79">
        <v>3.5369999999999999E-2</v>
      </c>
      <c r="C26" s="205">
        <f>+'Therm Sales'!I48</f>
        <v>10444773</v>
      </c>
      <c r="D26" s="50"/>
      <c r="E26" s="63">
        <f>ROUND(C26*B26,2)+0.01</f>
        <v>369431.63</v>
      </c>
      <c r="F26" s="78">
        <f t="shared" si="2"/>
        <v>-4549.21</v>
      </c>
      <c r="H26" s="77">
        <f t="shared" si="1"/>
        <v>-1126998.5000000002</v>
      </c>
      <c r="I26" s="127"/>
      <c r="J26" s="1">
        <v>-1126998.5</v>
      </c>
      <c r="K26" s="40">
        <f t="shared" si="0"/>
        <v>0</v>
      </c>
      <c r="L26" s="9" t="s">
        <v>85</v>
      </c>
      <c r="M26" s="124">
        <v>42926</v>
      </c>
    </row>
    <row r="27" spans="1:24" hidden="1">
      <c r="A27" s="80">
        <f>+'FERC Interest Rates'!A64</f>
        <v>42947</v>
      </c>
      <c r="B27" s="79">
        <v>3.5369999999999999E-2</v>
      </c>
      <c r="C27" s="205">
        <f>+'Therm Sales'!I49</f>
        <v>6810348</v>
      </c>
      <c r="D27" s="50"/>
      <c r="E27" s="43">
        <f>ROUND(C27*B27,2)</f>
        <v>240882.01</v>
      </c>
      <c r="F27" s="78">
        <f t="shared" si="2"/>
        <v>-3790.42</v>
      </c>
      <c r="H27" s="77">
        <f t="shared" si="1"/>
        <v>-889906.91000000027</v>
      </c>
      <c r="I27" s="127"/>
      <c r="J27" s="1">
        <v>-889906.91</v>
      </c>
      <c r="K27" s="40">
        <f t="shared" si="0"/>
        <v>0</v>
      </c>
      <c r="L27" s="9" t="s">
        <v>85</v>
      </c>
      <c r="M27" s="124">
        <v>42954</v>
      </c>
    </row>
    <row r="28" spans="1:24" hidden="1">
      <c r="A28" s="80">
        <f>+'FERC Interest Rates'!A65</f>
        <v>42978</v>
      </c>
      <c r="B28" s="79">
        <v>3.5369999999999999E-2</v>
      </c>
      <c r="C28" s="205">
        <f>+'Therm Sales'!I50</f>
        <v>6787724</v>
      </c>
      <c r="D28" s="50"/>
      <c r="E28" s="43">
        <f>ROUND(C28*B28,2)</f>
        <v>240081.8</v>
      </c>
      <c r="F28" s="78">
        <f t="shared" si="2"/>
        <v>-2993.01</v>
      </c>
      <c r="H28" s="77">
        <f t="shared" si="1"/>
        <v>-652818.12000000034</v>
      </c>
      <c r="I28" s="127"/>
      <c r="J28" s="1">
        <v>-652818.12</v>
      </c>
      <c r="K28" s="40">
        <f t="shared" si="0"/>
        <v>0</v>
      </c>
      <c r="L28" s="9" t="s">
        <v>85</v>
      </c>
      <c r="M28" s="124">
        <v>42989</v>
      </c>
    </row>
    <row r="29" spans="1:24" hidden="1">
      <c r="A29" s="80">
        <f>+'FERC Interest Rates'!A66</f>
        <v>43008</v>
      </c>
      <c r="B29" s="79">
        <v>3.5369999999999999E-2</v>
      </c>
      <c r="C29" s="205">
        <f>+'Therm Sales'!I51</f>
        <v>6429137</v>
      </c>
      <c r="D29" s="50"/>
      <c r="E29" s="43">
        <f>ROUND(C29*B29,2)</f>
        <v>227398.58</v>
      </c>
      <c r="F29" s="78">
        <f t="shared" si="2"/>
        <v>-2124.79</v>
      </c>
      <c r="H29" s="77">
        <f t="shared" si="1"/>
        <v>-427544.33000000037</v>
      </c>
      <c r="I29" s="127"/>
      <c r="J29" s="1">
        <v>-427544.33</v>
      </c>
      <c r="K29" s="40">
        <f t="shared" si="0"/>
        <v>0</v>
      </c>
      <c r="L29" s="9" t="s">
        <v>85</v>
      </c>
      <c r="M29" s="124">
        <v>43017</v>
      </c>
      <c r="P29" s="22">
        <v>502</v>
      </c>
      <c r="Q29" s="22">
        <v>503</v>
      </c>
      <c r="R29" s="22">
        <v>504</v>
      </c>
      <c r="S29" s="22">
        <v>505</v>
      </c>
      <c r="T29" s="22">
        <v>511</v>
      </c>
      <c r="U29" s="22">
        <v>512</v>
      </c>
      <c r="V29" s="22">
        <v>570</v>
      </c>
      <c r="W29" s="22">
        <v>577</v>
      </c>
      <c r="X29" s="22" t="s">
        <v>115</v>
      </c>
    </row>
    <row r="30" spans="1:24" hidden="1">
      <c r="A30" s="80">
        <f>+'FERC Interest Rates'!A67</f>
        <v>43039</v>
      </c>
      <c r="B30" s="79">
        <v>3.5369999999999999E-2</v>
      </c>
      <c r="C30" s="205">
        <f>+'Therm Sales'!I52</f>
        <v>11413067</v>
      </c>
      <c r="D30" s="50"/>
      <c r="E30" s="43">
        <f>ROUND(C30*B30,2)</f>
        <v>403680.18</v>
      </c>
      <c r="F30" s="78">
        <f t="shared" si="2"/>
        <v>-1528.73</v>
      </c>
      <c r="H30" s="77">
        <f t="shared" si="1"/>
        <v>-25392.880000000354</v>
      </c>
      <c r="I30" s="127"/>
      <c r="J30" s="1">
        <v>-25392.880000000001</v>
      </c>
      <c r="K30" s="40">
        <f t="shared" si="0"/>
        <v>3.5288394428789616E-10</v>
      </c>
      <c r="L30" s="9" t="s">
        <v>85</v>
      </c>
      <c r="M30" s="124">
        <v>43046</v>
      </c>
      <c r="O30" s="1" t="s">
        <v>116</v>
      </c>
      <c r="P30" s="12">
        <v>21608</v>
      </c>
      <c r="Q30" s="12">
        <v>6713843</v>
      </c>
      <c r="R30" s="12">
        <v>4550202</v>
      </c>
      <c r="S30" s="12">
        <v>687511</v>
      </c>
      <c r="T30" s="12">
        <f>560996+175575</f>
        <v>736571</v>
      </c>
      <c r="U30" s="12">
        <v>2035</v>
      </c>
      <c r="V30" s="12">
        <v>0</v>
      </c>
      <c r="W30" s="12">
        <v>0</v>
      </c>
      <c r="X30" s="12">
        <f>SUM(P30:W30)</f>
        <v>12711770</v>
      </c>
    </row>
    <row r="31" spans="1:24" hidden="1">
      <c r="A31" s="560" t="s">
        <v>117</v>
      </c>
      <c r="B31" s="560"/>
      <c r="C31" s="560"/>
      <c r="D31" s="560"/>
      <c r="E31" s="560"/>
      <c r="F31" s="560"/>
      <c r="G31" s="1">
        <v>12083050.699999999</v>
      </c>
      <c r="H31" s="77">
        <f t="shared" si="1"/>
        <v>12057657.819999998</v>
      </c>
      <c r="I31" s="127"/>
      <c r="K31" s="40"/>
      <c r="M31" s="124"/>
      <c r="O31" s="1" t="s">
        <v>118</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c r="A32" s="80">
        <f>+'FERC Interest Rates'!A68</f>
        <v>43069</v>
      </c>
      <c r="B32" s="78" t="s">
        <v>114</v>
      </c>
      <c r="C32" s="205">
        <f>+'Therm Sales'!I53</f>
        <v>19831096</v>
      </c>
      <c r="D32" s="50"/>
      <c r="E32" s="78">
        <f>SUM(ROUND(7119326*-0.05322,2)+ROUND(12711770*0.03537,2))</f>
        <v>70724.76999999996</v>
      </c>
      <c r="F32" s="78">
        <f>ROUND(H31*VLOOKUP(A32,FERCINT17,2)/365*VLOOKUP(A32,FERCINT17,3),2)</f>
        <v>41722.800000000003</v>
      </c>
      <c r="H32" s="77">
        <f t="shared" si="1"/>
        <v>12170105.389999999</v>
      </c>
      <c r="I32" s="127"/>
      <c r="J32" s="1">
        <v>12170105.390000001</v>
      </c>
      <c r="K32" s="40">
        <f t="shared" ref="K32:K43" si="3">J32-H32</f>
        <v>0</v>
      </c>
      <c r="L32" s="9" t="s">
        <v>85</v>
      </c>
      <c r="M32" s="124">
        <v>43077</v>
      </c>
      <c r="O32" s="1" t="s">
        <v>115</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c r="A33" s="80">
        <f>+'FERC Interest Rates'!A69</f>
        <v>43100</v>
      </c>
      <c r="B33" s="79">
        <v>-5.3220000000000003E-2</v>
      </c>
      <c r="C33" s="205">
        <f>+'Therm Sales'!I54</f>
        <v>29973671</v>
      </c>
      <c r="D33" s="50"/>
      <c r="E33" s="43">
        <f>ROUND(C33*B33,2)</f>
        <v>-1595198.77</v>
      </c>
      <c r="F33" s="78">
        <f>ROUND(H32*VLOOKUP(A33,FERCINT17,2)/365*VLOOKUP(A33,FERCINT17,3),2)</f>
        <v>43515.63</v>
      </c>
      <c r="H33" s="77">
        <f t="shared" si="1"/>
        <v>10618422.249999998</v>
      </c>
      <c r="I33" s="127"/>
      <c r="J33" s="1">
        <v>10618422.25</v>
      </c>
      <c r="K33" s="40">
        <f t="shared" si="3"/>
        <v>0</v>
      </c>
      <c r="L33" s="9" t="s">
        <v>85</v>
      </c>
      <c r="M33" s="124">
        <v>43108</v>
      </c>
    </row>
    <row r="34" spans="1:24" hidden="1">
      <c r="A34" s="80">
        <f>+'FERC Interest Rates'!A70</f>
        <v>43131</v>
      </c>
      <c r="B34" s="79">
        <v>-5.3220000000000003E-2</v>
      </c>
      <c r="C34" s="205">
        <f>+'Therm Sales'!I55</f>
        <v>41563527</v>
      </c>
      <c r="D34" s="50"/>
      <c r="E34" s="43">
        <f>ROUND(C34*B34,2)</f>
        <v>-2212010.91</v>
      </c>
      <c r="F34" s="78">
        <f t="shared" ref="F34:F43" si="5">ROUND(H33*VLOOKUP(A34,FERCINT18,2)/365*VLOOKUP(A34,FERCINT18,3),2)</f>
        <v>38328.14</v>
      </c>
      <c r="H34" s="77">
        <f t="shared" si="1"/>
        <v>8444739.4799999986</v>
      </c>
      <c r="I34" s="127"/>
      <c r="J34" s="1">
        <v>8444739.4800000004</v>
      </c>
      <c r="K34" s="40">
        <f t="shared" si="3"/>
        <v>0</v>
      </c>
      <c r="L34" s="9" t="s">
        <v>85</v>
      </c>
      <c r="M34" s="124">
        <v>43139</v>
      </c>
    </row>
    <row r="35" spans="1:24" hidden="1">
      <c r="A35" s="80">
        <f>+'FERC Interest Rates'!A71</f>
        <v>43159</v>
      </c>
      <c r="B35" s="79">
        <v>-5.3220000000000003E-2</v>
      </c>
      <c r="C35" s="205">
        <f>+'Therm Sales'!I56</f>
        <v>29732218</v>
      </c>
      <c r="D35" s="50"/>
      <c r="E35" s="43">
        <f>ROUND(C35*B35,2)</f>
        <v>-1582348.64</v>
      </c>
      <c r="F35" s="78">
        <f t="shared" si="5"/>
        <v>27532.16</v>
      </c>
      <c r="H35" s="77">
        <f t="shared" si="1"/>
        <v>6889922.9999999981</v>
      </c>
      <c r="I35" s="127"/>
      <c r="J35" s="1">
        <v>6889923</v>
      </c>
      <c r="K35" s="40">
        <f t="shared" si="3"/>
        <v>0</v>
      </c>
      <c r="L35" s="9" t="s">
        <v>85</v>
      </c>
      <c r="M35" s="124">
        <v>43167</v>
      </c>
    </row>
    <row r="36" spans="1:24" hidden="1">
      <c r="A36" s="80">
        <f>+'FERC Interest Rates'!A72</f>
        <v>43190</v>
      </c>
      <c r="B36" s="79">
        <v>-5.3220000000000003E-2</v>
      </c>
      <c r="C36" s="205">
        <f>+'Therm Sales'!I57</f>
        <v>34772590</v>
      </c>
      <c r="D36" s="50"/>
      <c r="E36" s="63">
        <f>ROUND(C36*B36,2)+0.01</f>
        <v>-1850597.23</v>
      </c>
      <c r="F36" s="78">
        <f t="shared" si="5"/>
        <v>24869.79</v>
      </c>
      <c r="H36" s="77">
        <f t="shared" si="1"/>
        <v>5064195.5599999987</v>
      </c>
      <c r="I36" s="127"/>
      <c r="J36" s="1">
        <v>5064195.5599999996</v>
      </c>
      <c r="K36" s="40">
        <f t="shared" si="3"/>
        <v>0</v>
      </c>
      <c r="L36" s="9" t="s">
        <v>85</v>
      </c>
      <c r="M36" s="124">
        <v>43200</v>
      </c>
    </row>
    <row r="37" spans="1:24" hidden="1">
      <c r="A37" s="80">
        <f>+'FERC Interest Rates'!A73</f>
        <v>43220</v>
      </c>
      <c r="B37" s="79">
        <v>-5.3220000000000003E-2</v>
      </c>
      <c r="C37" s="205">
        <f>+'Therm Sales'!I58</f>
        <v>23972789</v>
      </c>
      <c r="D37" s="50"/>
      <c r="E37" s="63">
        <f>ROUND(C37*B37,2)-0.01</f>
        <v>-1275831.8400000001</v>
      </c>
      <c r="F37" s="78">
        <f t="shared" si="5"/>
        <v>18605.72</v>
      </c>
      <c r="H37" s="77">
        <f t="shared" si="1"/>
        <v>3806969.4399999985</v>
      </c>
      <c r="I37" s="127"/>
      <c r="J37" s="1">
        <v>3806969.44</v>
      </c>
      <c r="K37" s="40">
        <f t="shared" si="3"/>
        <v>0</v>
      </c>
      <c r="L37" s="9" t="s">
        <v>85</v>
      </c>
      <c r="M37" s="124">
        <v>43227</v>
      </c>
    </row>
    <row r="38" spans="1:24" hidden="1">
      <c r="A38" s="80">
        <f>+'FERC Interest Rates'!A74</f>
        <v>43251</v>
      </c>
      <c r="B38" s="79">
        <v>-5.3220000000000003E-2</v>
      </c>
      <c r="C38" s="205">
        <f>+'Therm Sales'!I59</f>
        <v>14908800</v>
      </c>
      <c r="D38" s="50"/>
      <c r="E38" s="63">
        <f>ROUND(C38*B38,2)+0.02</f>
        <v>-793446.32</v>
      </c>
      <c r="F38" s="78">
        <f t="shared" si="5"/>
        <v>14452.92</v>
      </c>
      <c r="H38" s="77">
        <f t="shared" si="1"/>
        <v>3027976.0399999986</v>
      </c>
      <c r="I38" s="127"/>
      <c r="J38" s="1">
        <v>3027976.04</v>
      </c>
      <c r="K38" s="40">
        <f t="shared" si="3"/>
        <v>0</v>
      </c>
      <c r="L38" s="9" t="s">
        <v>85</v>
      </c>
      <c r="M38" s="124">
        <v>43258</v>
      </c>
    </row>
    <row r="39" spans="1:24" hidden="1">
      <c r="A39" s="80">
        <f>+'FERC Interest Rates'!A75</f>
        <v>43281</v>
      </c>
      <c r="B39" s="79">
        <v>-5.3220000000000003E-2</v>
      </c>
      <c r="C39" s="205">
        <f>+'Therm Sales'!I60</f>
        <v>8932302</v>
      </c>
      <c r="D39" s="50"/>
      <c r="E39" s="43">
        <f>ROUND(C39*B39,2)</f>
        <v>-475377.11</v>
      </c>
      <c r="F39" s="78">
        <f t="shared" si="5"/>
        <v>11124.7</v>
      </c>
      <c r="H39" s="77">
        <f t="shared" si="1"/>
        <v>2563723.6299999985</v>
      </c>
      <c r="I39" s="127"/>
      <c r="J39" s="1">
        <v>2563723.63</v>
      </c>
      <c r="K39" s="40">
        <f t="shared" si="3"/>
        <v>0</v>
      </c>
      <c r="L39" s="9" t="s">
        <v>85</v>
      </c>
      <c r="M39" s="124">
        <v>43290</v>
      </c>
    </row>
    <row r="40" spans="1:24" hidden="1">
      <c r="A40" s="80">
        <f>+'FERC Interest Rates'!A76</f>
        <v>43312</v>
      </c>
      <c r="B40" s="79">
        <v>-5.3220000000000003E-2</v>
      </c>
      <c r="C40" s="205">
        <f>+'Therm Sales'!I61</f>
        <v>7315304</v>
      </c>
      <c r="D40" s="50"/>
      <c r="E40" s="43">
        <f>ROUND(C40*B40,2)</f>
        <v>-389320.48</v>
      </c>
      <c r="F40" s="78">
        <f t="shared" si="5"/>
        <v>10212.049999999999</v>
      </c>
      <c r="H40" s="77">
        <f t="shared" si="1"/>
        <v>2184615.1999999983</v>
      </c>
      <c r="I40" s="127"/>
      <c r="J40" s="1">
        <v>2184801.2599999998</v>
      </c>
      <c r="K40" s="40">
        <f t="shared" si="3"/>
        <v>186.06000000145286</v>
      </c>
      <c r="L40" s="9" t="s">
        <v>85</v>
      </c>
      <c r="M40" s="124">
        <v>43319</v>
      </c>
    </row>
    <row r="41" spans="1:24" hidden="1">
      <c r="A41" s="80">
        <f>+'FERC Interest Rates'!A77</f>
        <v>43343</v>
      </c>
      <c r="B41" s="79">
        <v>-5.3220000000000003E-2</v>
      </c>
      <c r="C41" s="205">
        <f>+'Therm Sales'!I62</f>
        <v>6809893</v>
      </c>
      <c r="D41" s="50"/>
      <c r="E41" s="43">
        <f>ROUND(C41*B41,2)</f>
        <v>-362422.51</v>
      </c>
      <c r="F41" s="78">
        <f t="shared" si="5"/>
        <v>8701.9500000000007</v>
      </c>
      <c r="H41" s="77">
        <f t="shared" si="1"/>
        <v>1830894.6399999983</v>
      </c>
      <c r="I41" s="127"/>
      <c r="J41" s="1">
        <v>1830894.64</v>
      </c>
      <c r="K41" s="40">
        <f t="shared" si="3"/>
        <v>0</v>
      </c>
      <c r="L41" s="9" t="s">
        <v>85</v>
      </c>
      <c r="M41" s="124">
        <v>43354</v>
      </c>
    </row>
    <row r="42" spans="1:24" hidden="1">
      <c r="A42" s="80">
        <f>+'FERC Interest Rates'!A78</f>
        <v>43373</v>
      </c>
      <c r="B42" s="79">
        <v>-5.3220000000000003E-2</v>
      </c>
      <c r="C42" s="205">
        <f>+'Therm Sales'!I63</f>
        <v>6985938</v>
      </c>
      <c r="D42" s="50"/>
      <c r="E42" s="63">
        <f>ROUND(C42*B42,2)-0.01</f>
        <v>-371791.63</v>
      </c>
      <c r="F42" s="78">
        <f t="shared" si="5"/>
        <v>7057.72</v>
      </c>
      <c r="H42" s="77">
        <f t="shared" si="1"/>
        <v>1466160.7299999981</v>
      </c>
      <c r="I42" s="127"/>
      <c r="J42" s="1">
        <v>1466160.73</v>
      </c>
      <c r="K42" s="40">
        <f t="shared" si="3"/>
        <v>1.862645149230957E-9</v>
      </c>
      <c r="L42" s="9" t="s">
        <v>85</v>
      </c>
      <c r="M42" s="124">
        <v>43381</v>
      </c>
      <c r="P42" s="22">
        <v>502</v>
      </c>
      <c r="Q42" s="22">
        <v>503</v>
      </c>
      <c r="R42" s="22">
        <v>504</v>
      </c>
      <c r="S42" s="22">
        <v>505</v>
      </c>
      <c r="T42" s="22">
        <v>511</v>
      </c>
      <c r="U42" s="22">
        <v>512</v>
      </c>
      <c r="V42" s="22">
        <v>570</v>
      </c>
      <c r="W42" s="22">
        <v>577</v>
      </c>
      <c r="X42" s="22" t="s">
        <v>115</v>
      </c>
    </row>
    <row r="43" spans="1:24" hidden="1">
      <c r="A43" s="80">
        <f>+'FERC Interest Rates'!A79</f>
        <v>43404</v>
      </c>
      <c r="B43" s="79">
        <v>-5.3220000000000003E-2</v>
      </c>
      <c r="C43" s="205">
        <f>+'Therm Sales'!I64</f>
        <v>11920068</v>
      </c>
      <c r="D43" s="50"/>
      <c r="E43" s="43">
        <f>ROUND(C43*B43,2)</f>
        <v>-634386.02</v>
      </c>
      <c r="F43" s="78">
        <f t="shared" si="5"/>
        <v>6176.35</v>
      </c>
      <c r="H43" s="77">
        <f t="shared" si="1"/>
        <v>837951.05999999808</v>
      </c>
      <c r="I43" s="127"/>
      <c r="J43" s="1">
        <v>837951.06</v>
      </c>
      <c r="K43" s="40">
        <f t="shared" si="3"/>
        <v>1.9790604710578918E-9</v>
      </c>
      <c r="L43" s="9" t="s">
        <v>85</v>
      </c>
      <c r="M43" s="124">
        <v>43411</v>
      </c>
      <c r="O43" s="14" t="s">
        <v>119</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c r="A44" s="560" t="s">
        <v>117</v>
      </c>
      <c r="B44" s="560"/>
      <c r="C44" s="560"/>
      <c r="D44" s="560"/>
      <c r="E44" s="560"/>
      <c r="F44" s="560"/>
      <c r="G44" s="1">
        <v>1258996.8999999999</v>
      </c>
      <c r="H44" s="77">
        <f t="shared" si="1"/>
        <v>2096947.9599999981</v>
      </c>
      <c r="I44" s="127"/>
      <c r="K44" s="40"/>
      <c r="M44" s="124"/>
      <c r="O44" s="14" t="s">
        <v>120</v>
      </c>
      <c r="P44" s="12">
        <v>0</v>
      </c>
      <c r="Q44" s="12">
        <v>3233440</v>
      </c>
      <c r="R44" s="12">
        <f>2122532+3464</f>
        <v>2125996</v>
      </c>
      <c r="S44" s="12">
        <f>298083+63</f>
        <v>298146</v>
      </c>
      <c r="T44" s="12">
        <f>331925+77569</f>
        <v>409494</v>
      </c>
      <c r="U44" s="12">
        <v>0</v>
      </c>
      <c r="V44" s="12">
        <v>217688</v>
      </c>
      <c r="W44" s="12">
        <v>0</v>
      </c>
      <c r="X44" s="12">
        <f>SUM(P44:W44)</f>
        <v>6284764</v>
      </c>
    </row>
    <row r="45" spans="1:24" hidden="1">
      <c r="A45" s="80">
        <f>+'FERC Interest Rates'!A80</f>
        <v>43434</v>
      </c>
      <c r="B45" s="78" t="s">
        <v>114</v>
      </c>
      <c r="C45" s="205">
        <f>+'Therm Sales'!I65</f>
        <v>17302158</v>
      </c>
      <c r="D45" s="50"/>
      <c r="E45" s="78">
        <f>SUM(ROUND(X43*-0.05322,2)+ROUND(+X44*-0.0074,2))</f>
        <v>-632852.96</v>
      </c>
      <c r="F45" s="78">
        <f>ROUND(H44*VLOOKUP(A45,FERCINT18,2)/365*VLOOKUP(A45,FERCINT18,3),2)</f>
        <v>8548.65</v>
      </c>
      <c r="H45" s="77">
        <f t="shared" si="1"/>
        <v>1472643.649999998</v>
      </c>
      <c r="I45" s="127"/>
      <c r="J45" s="1">
        <v>1472643.65</v>
      </c>
      <c r="K45" s="40">
        <f t="shared" ref="K45:K56" si="6">J45-H45</f>
        <v>1.862645149230957E-9</v>
      </c>
      <c r="L45" s="9" t="s">
        <v>85</v>
      </c>
      <c r="M45" s="124">
        <v>43444</v>
      </c>
      <c r="O45" s="14" t="s">
        <v>115</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c r="A46" s="80">
        <f>+'FERC Interest Rates'!A81</f>
        <v>43465</v>
      </c>
      <c r="B46" s="79">
        <v>-7.4000000000000003E-3</v>
      </c>
      <c r="C46" s="205">
        <f>+'Therm Sales'!I66</f>
        <v>31921099</v>
      </c>
      <c r="D46" s="50"/>
      <c r="E46" s="43">
        <f>ROUND(C46*B46,2)</f>
        <v>-236216.13</v>
      </c>
      <c r="F46" s="78">
        <f>ROUND(H45*VLOOKUP(A46,FERCINT18,2)/365*VLOOKUP(A46,FERCINT18,3),2)</f>
        <v>6203.66</v>
      </c>
      <c r="H46" s="77">
        <f t="shared" si="1"/>
        <v>1242631.1799999981</v>
      </c>
      <c r="I46" s="127"/>
      <c r="J46" s="1">
        <v>1242631.18</v>
      </c>
      <c r="K46" s="40">
        <f t="shared" si="6"/>
        <v>1.862645149230957E-9</v>
      </c>
      <c r="L46" s="9" t="s">
        <v>85</v>
      </c>
      <c r="M46" s="124">
        <v>43473</v>
      </c>
    </row>
    <row r="47" spans="1:24" hidden="1">
      <c r="A47" s="80">
        <f>+'FERC Interest Rates'!A82</f>
        <v>43496</v>
      </c>
      <c r="B47" s="79">
        <v>-7.4000000000000003E-3</v>
      </c>
      <c r="C47" s="205">
        <f>+'Therm Sales'!I67</f>
        <v>36049301</v>
      </c>
      <c r="D47" s="50"/>
      <c r="E47" s="63">
        <f>ROUND(C47*B47,2)+0.01</f>
        <v>-266764.82</v>
      </c>
      <c r="F47" s="78">
        <f t="shared" ref="F47:F56" si="8">ROUND(H46*VLOOKUP(A47,FERCINT19,2)/365*VLOOKUP(A47,FERCINT19,3),2)</f>
        <v>5466.9</v>
      </c>
      <c r="H47" s="77">
        <f t="shared" si="1"/>
        <v>981333.25999999803</v>
      </c>
      <c r="I47" s="127"/>
      <c r="J47" s="1">
        <v>981333.26</v>
      </c>
      <c r="K47" s="40">
        <f t="shared" si="6"/>
        <v>1.9790604710578918E-9</v>
      </c>
      <c r="L47" s="9" t="s">
        <v>85</v>
      </c>
      <c r="M47" s="124">
        <v>43507</v>
      </c>
    </row>
    <row r="48" spans="1:24" hidden="1">
      <c r="A48" s="80">
        <f>+'FERC Interest Rates'!A83</f>
        <v>43524</v>
      </c>
      <c r="B48" s="79">
        <v>-7.4000000000000003E-3</v>
      </c>
      <c r="C48" s="205">
        <f>+'Therm Sales'!I68</f>
        <v>38560000</v>
      </c>
      <c r="D48" s="50"/>
      <c r="E48" s="43">
        <f t="shared" ref="E48:E55" si="9">ROUND(C48*B48,2)</f>
        <v>-285344</v>
      </c>
      <c r="F48" s="78">
        <f t="shared" si="8"/>
        <v>3899.52</v>
      </c>
      <c r="H48" s="77">
        <f t="shared" si="1"/>
        <v>699888.77999999805</v>
      </c>
      <c r="I48" s="127"/>
      <c r="J48" s="1">
        <v>699888.78</v>
      </c>
      <c r="K48" s="40">
        <f t="shared" si="6"/>
        <v>1.9790604710578918E-9</v>
      </c>
      <c r="L48" s="9" t="s">
        <v>85</v>
      </c>
      <c r="M48" s="124">
        <v>43531</v>
      </c>
    </row>
    <row r="49" spans="1:24" hidden="1">
      <c r="A49" s="80">
        <f>+'FERC Interest Rates'!A84</f>
        <v>43555</v>
      </c>
      <c r="B49" s="79">
        <v>-7.4000000000000003E-3</v>
      </c>
      <c r="C49" s="205">
        <f>+'Therm Sales'!I69</f>
        <v>42389457</v>
      </c>
      <c r="D49" s="50"/>
      <c r="E49" s="43">
        <f t="shared" si="9"/>
        <v>-313681.98</v>
      </c>
      <c r="F49" s="78">
        <f t="shared" si="8"/>
        <v>3079.13</v>
      </c>
      <c r="H49" s="77">
        <f t="shared" si="1"/>
        <v>389285.92999999807</v>
      </c>
      <c r="I49" s="127"/>
      <c r="J49" s="1">
        <v>389285.93</v>
      </c>
      <c r="K49" s="40">
        <f t="shared" si="6"/>
        <v>1.9208528101444244E-9</v>
      </c>
      <c r="L49" s="9" t="s">
        <v>85</v>
      </c>
      <c r="M49" s="124">
        <v>43560</v>
      </c>
    </row>
    <row r="50" spans="1:24" hidden="1">
      <c r="A50" s="80">
        <f>+'FERC Interest Rates'!A85</f>
        <v>43585</v>
      </c>
      <c r="B50" s="79">
        <v>-7.4000000000000003E-3</v>
      </c>
      <c r="C50" s="205">
        <f>+'Therm Sales'!I70</f>
        <v>24251956</v>
      </c>
      <c r="D50" s="50"/>
      <c r="E50" s="43">
        <f t="shared" si="9"/>
        <v>-179464.47</v>
      </c>
      <c r="F50" s="78">
        <f t="shared" si="8"/>
        <v>1743.79</v>
      </c>
      <c r="H50" s="77">
        <f t="shared" si="1"/>
        <v>211565.24999999808</v>
      </c>
      <c r="I50" s="127"/>
      <c r="J50" s="1">
        <v>211478.86</v>
      </c>
      <c r="K50" s="40">
        <f t="shared" si="6"/>
        <v>-86.389999998093117</v>
      </c>
      <c r="L50" s="9" t="s">
        <v>85</v>
      </c>
      <c r="M50" s="124">
        <v>43593</v>
      </c>
    </row>
    <row r="51" spans="1:24" hidden="1">
      <c r="A51" s="80">
        <f>+'FERC Interest Rates'!A86</f>
        <v>43616</v>
      </c>
      <c r="B51" s="79">
        <v>-7.4000000000000003E-3</v>
      </c>
      <c r="C51" s="205">
        <f>+'Therm Sales'!I71</f>
        <v>14672895</v>
      </c>
      <c r="D51" s="50"/>
      <c r="E51" s="63">
        <f>ROUND(C51*B51,2)+0.01</f>
        <v>-108579.41</v>
      </c>
      <c r="F51" s="78">
        <f t="shared" si="8"/>
        <v>979.29</v>
      </c>
      <c r="H51" s="77">
        <f t="shared" si="1"/>
        <v>103965.12999999807</v>
      </c>
      <c r="I51" s="127"/>
      <c r="J51" s="1">
        <v>103965.13</v>
      </c>
      <c r="K51" s="40">
        <f t="shared" si="6"/>
        <v>1.9354047253727913E-9</v>
      </c>
      <c r="L51" s="9" t="s">
        <v>85</v>
      </c>
      <c r="M51" s="124">
        <v>43623</v>
      </c>
    </row>
    <row r="52" spans="1:24" hidden="1">
      <c r="A52" s="80">
        <f>+'FERC Interest Rates'!A87</f>
        <v>43646</v>
      </c>
      <c r="B52" s="79">
        <v>-7.4000000000000003E-3</v>
      </c>
      <c r="C52" s="205">
        <f>+'Therm Sales'!I72</f>
        <v>8957567</v>
      </c>
      <c r="D52" s="50"/>
      <c r="E52" s="43">
        <f t="shared" si="9"/>
        <v>-66286</v>
      </c>
      <c r="F52" s="78">
        <f t="shared" si="8"/>
        <v>465.71</v>
      </c>
      <c r="H52" s="77">
        <f t="shared" si="1"/>
        <v>38144.839999998076</v>
      </c>
      <c r="I52" s="127"/>
      <c r="J52" s="1">
        <v>38144.839999999997</v>
      </c>
      <c r="K52" s="40">
        <f t="shared" si="6"/>
        <v>1.9208528101444244E-9</v>
      </c>
      <c r="L52" s="9" t="s">
        <v>85</v>
      </c>
      <c r="M52" s="124">
        <v>43654</v>
      </c>
    </row>
    <row r="53" spans="1:24" hidden="1">
      <c r="A53" s="80">
        <f>+'FERC Interest Rates'!A88</f>
        <v>43677</v>
      </c>
      <c r="B53" s="79">
        <v>-7.4000000000000003E-3</v>
      </c>
      <c r="C53" s="205">
        <f>+'Therm Sales'!I73</f>
        <v>7650859</v>
      </c>
      <c r="D53" s="50"/>
      <c r="E53" s="63">
        <f>ROUND(C53*B53,2)-0.01</f>
        <v>-56616.37</v>
      </c>
      <c r="F53" s="78">
        <f t="shared" si="8"/>
        <v>178.18</v>
      </c>
      <c r="H53" s="77">
        <f t="shared" si="1"/>
        <v>-18293.350000001927</v>
      </c>
      <c r="I53" s="127"/>
      <c r="J53" s="1">
        <v>-18293.349999999999</v>
      </c>
      <c r="K53" s="40">
        <f t="shared" si="6"/>
        <v>1.9281287677586079E-9</v>
      </c>
      <c r="L53" s="9" t="s">
        <v>85</v>
      </c>
      <c r="M53" s="124">
        <v>43685</v>
      </c>
    </row>
    <row r="54" spans="1:24" hidden="1">
      <c r="A54" s="80">
        <f>+'FERC Interest Rates'!A89</f>
        <v>43708</v>
      </c>
      <c r="B54" s="79">
        <v>-7.4000000000000003E-3</v>
      </c>
      <c r="C54" s="205">
        <f>+'Therm Sales'!I74</f>
        <v>6976774</v>
      </c>
      <c r="D54" s="50"/>
      <c r="E54" s="43">
        <f t="shared" si="9"/>
        <v>-51628.13</v>
      </c>
      <c r="F54" s="78">
        <f t="shared" si="8"/>
        <v>-85.45</v>
      </c>
      <c r="H54" s="77">
        <f t="shared" si="1"/>
        <v>-70006.930000001914</v>
      </c>
      <c r="I54" s="127"/>
      <c r="J54" s="1">
        <v>-70006.929999999993</v>
      </c>
      <c r="K54" s="40">
        <f t="shared" si="6"/>
        <v>1.9208528101444244E-9</v>
      </c>
      <c r="L54" s="9" t="s">
        <v>85</v>
      </c>
      <c r="M54" s="124">
        <v>43717</v>
      </c>
    </row>
    <row r="55" spans="1:24" hidden="1">
      <c r="A55" s="80">
        <f>+'FERC Interest Rates'!A90</f>
        <v>43738</v>
      </c>
      <c r="B55" s="79">
        <v>-7.4000000000000003E-3</v>
      </c>
      <c r="C55" s="205">
        <f>+'Therm Sales'!I75</f>
        <v>6786442</v>
      </c>
      <c r="D55" s="50"/>
      <c r="E55" s="43">
        <f t="shared" si="9"/>
        <v>-50219.67</v>
      </c>
      <c r="F55" s="78">
        <f t="shared" si="8"/>
        <v>-316.47000000000003</v>
      </c>
      <c r="H55" s="77">
        <f t="shared" si="1"/>
        <v>-120543.07000000191</v>
      </c>
      <c r="I55" s="127"/>
      <c r="J55" s="1">
        <v>-120543.07</v>
      </c>
      <c r="K55" s="40">
        <f t="shared" si="6"/>
        <v>1.9063008949160576E-9</v>
      </c>
      <c r="L55" s="9" t="s">
        <v>85</v>
      </c>
      <c r="M55" s="124">
        <v>43745</v>
      </c>
    </row>
    <row r="56" spans="1:24" hidden="1">
      <c r="A56" s="80">
        <f>+'FERC Interest Rates'!A91</f>
        <v>43769</v>
      </c>
      <c r="B56" s="79">
        <v>-7.4000000000000003E-3</v>
      </c>
      <c r="C56" s="205">
        <f>+'Therm Sales'!I76</f>
        <v>15171360</v>
      </c>
      <c r="D56" s="50"/>
      <c r="E56" s="63">
        <f>ROUND(C56*B56,2)-0.01</f>
        <v>-112268.06999999999</v>
      </c>
      <c r="F56" s="78">
        <f t="shared" si="8"/>
        <v>-554.89</v>
      </c>
      <c r="H56" s="77">
        <f t="shared" si="1"/>
        <v>-233366.03000000189</v>
      </c>
      <c r="I56" s="127"/>
      <c r="J56" s="1">
        <v>-233366.03</v>
      </c>
      <c r="K56" s="40">
        <f t="shared" si="6"/>
        <v>1.8917489796876907E-9</v>
      </c>
      <c r="L56" s="9" t="s">
        <v>85</v>
      </c>
      <c r="M56" s="124">
        <v>43777</v>
      </c>
    </row>
    <row r="57" spans="1:24" hidden="1">
      <c r="A57" s="560" t="s">
        <v>121</v>
      </c>
      <c r="B57" s="560"/>
      <c r="C57" s="560"/>
      <c r="D57" s="560"/>
      <c r="E57" s="560"/>
      <c r="F57" s="560"/>
      <c r="G57" s="1">
        <v>233366.03</v>
      </c>
      <c r="H57" s="77">
        <f t="shared" si="1"/>
        <v>-1.8917489796876907E-9</v>
      </c>
      <c r="I57" s="127"/>
      <c r="K57" s="40"/>
      <c r="M57" s="124"/>
    </row>
    <row r="58" spans="1:24" hidden="1">
      <c r="A58" s="14"/>
      <c r="B58" s="14"/>
      <c r="C58" s="14"/>
      <c r="D58" s="14"/>
      <c r="E58" s="14"/>
      <c r="F58" s="14"/>
      <c r="H58" s="77"/>
      <c r="I58" s="127"/>
      <c r="K58" s="40"/>
      <c r="M58" s="124"/>
      <c r="P58" s="22">
        <v>502</v>
      </c>
      <c r="Q58" s="22">
        <v>503</v>
      </c>
      <c r="R58" s="22">
        <v>504</v>
      </c>
      <c r="S58" s="22">
        <v>505</v>
      </c>
      <c r="T58" s="22">
        <v>511</v>
      </c>
      <c r="U58" s="22">
        <v>512</v>
      </c>
      <c r="V58" s="22">
        <v>570</v>
      </c>
      <c r="W58" s="22">
        <v>577</v>
      </c>
      <c r="X58" s="22" t="s">
        <v>115</v>
      </c>
    </row>
    <row r="59" spans="1:24" hidden="1">
      <c r="A59" s="14"/>
      <c r="B59" s="14"/>
      <c r="C59" s="14"/>
      <c r="D59" s="14"/>
      <c r="E59" s="14"/>
      <c r="F59" s="14"/>
      <c r="H59" s="77"/>
      <c r="I59" s="127"/>
      <c r="K59" s="40"/>
      <c r="M59" s="124"/>
      <c r="O59" s="14" t="s">
        <v>119</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c r="A60" s="560" t="s">
        <v>122</v>
      </c>
      <c r="B60" s="560"/>
      <c r="C60" s="560"/>
      <c r="D60" s="560"/>
      <c r="E60" s="560"/>
      <c r="F60" s="560"/>
      <c r="G60" s="1">
        <v>32516337.780000001</v>
      </c>
      <c r="H60" s="77">
        <f>H57+SUM(D60:G60)</f>
        <v>32516337.779999997</v>
      </c>
      <c r="I60" s="127"/>
      <c r="K60" s="40"/>
      <c r="M60" s="124"/>
      <c r="O60" s="14" t="s">
        <v>120</v>
      </c>
      <c r="P60" s="12">
        <v>0</v>
      </c>
      <c r="Q60" s="12">
        <v>3055417</v>
      </c>
      <c r="R60" s="12">
        <f>1834948+5052</f>
        <v>1840000</v>
      </c>
      <c r="S60" s="12">
        <v>0</v>
      </c>
      <c r="T60" s="12">
        <f>233326+98046+241794+80816</f>
        <v>653982</v>
      </c>
      <c r="U60" s="12">
        <v>0</v>
      </c>
      <c r="V60" s="12">
        <v>215369</v>
      </c>
      <c r="W60" s="12">
        <v>0</v>
      </c>
      <c r="X60" s="12">
        <f>SUM(P60:W60)</f>
        <v>5764768</v>
      </c>
    </row>
    <row r="61" spans="1:24" hidden="1">
      <c r="A61" s="80">
        <f>'FERC Interest Rates'!A116</f>
        <v>44530</v>
      </c>
      <c r="B61" s="79" t="s">
        <v>114</v>
      </c>
      <c r="C61" s="205">
        <f>+'Therm Sales'!I101</f>
        <v>18804046</v>
      </c>
      <c r="D61" s="50"/>
      <c r="E61" s="129">
        <f>SUM(ROUND(X59*-0.07006,2)+ROUND(+X60*-0.12954,2))+0.02</f>
        <v>-1660299.85</v>
      </c>
      <c r="F61" s="78">
        <f>ROUND(H60*VLOOKUP(A61,FERCINT21,2)/365*VLOOKUP(A61,FERCINT21,3),2)</f>
        <v>86858.71</v>
      </c>
      <c r="H61" s="77">
        <f t="shared" si="1"/>
        <v>30942896.639999997</v>
      </c>
      <c r="I61" s="127"/>
      <c r="J61" s="1">
        <v>30942896.640000001</v>
      </c>
      <c r="K61" s="40">
        <f t="shared" ref="K61:K98" si="10">J61-H61</f>
        <v>0</v>
      </c>
      <c r="L61" s="9" t="s">
        <v>85</v>
      </c>
      <c r="M61" s="124">
        <v>44539</v>
      </c>
      <c r="O61" s="175" t="s">
        <v>115</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c r="A62" s="80">
        <f>'FERC Interest Rates'!A117</f>
        <v>44561</v>
      </c>
      <c r="B62" s="79">
        <v>-0.12953999999999999</v>
      </c>
      <c r="C62" s="205">
        <f>+'Therm Sales'!I102</f>
        <v>30532105</v>
      </c>
      <c r="D62" s="50"/>
      <c r="E62" s="43">
        <f t="shared" ref="E62:E67" si="12">ROUND(C62*B62,2)</f>
        <v>-3955128.88</v>
      </c>
      <c r="F62" s="78">
        <f>ROUND(H61*VLOOKUP(A62,FERCINT21,2)/365*VLOOKUP(A62,FERCINT21,3),2)</f>
        <v>85410.87</v>
      </c>
      <c r="H62" s="77">
        <f t="shared" si="1"/>
        <v>27073178.629999995</v>
      </c>
      <c r="I62" s="127"/>
      <c r="J62" s="1">
        <v>27073178.629999999</v>
      </c>
      <c r="K62" s="40">
        <f t="shared" si="10"/>
        <v>0</v>
      </c>
      <c r="L62" s="9" t="s">
        <v>85</v>
      </c>
      <c r="M62" s="124">
        <v>44568</v>
      </c>
      <c r="O62" s="13"/>
    </row>
    <row r="63" spans="1:24" hidden="1">
      <c r="A63" s="80">
        <f>'FERC Interest Rates'!A118</f>
        <v>44592</v>
      </c>
      <c r="B63" s="79">
        <v>-0.12953999999999999</v>
      </c>
      <c r="C63" s="205">
        <f>+'Therm Sales'!I103</f>
        <v>47579519</v>
      </c>
      <c r="D63" s="50"/>
      <c r="E63" s="63">
        <f>ROUND(C63*B63,2)-0.01</f>
        <v>-6163450.8999999994</v>
      </c>
      <c r="F63" s="78">
        <f t="shared" ref="F63:F75" si="13">ROUND(H62*VLOOKUP(A63,FERCINT22,2)/365*VLOOKUP(A63,FERCINT22,3),2)</f>
        <v>74729.39</v>
      </c>
      <c r="H63" s="77">
        <f t="shared" si="1"/>
        <v>20984457.119999997</v>
      </c>
      <c r="I63" s="127"/>
      <c r="J63" s="1">
        <v>20984457.120000001</v>
      </c>
      <c r="K63" s="40">
        <f t="shared" si="10"/>
        <v>0</v>
      </c>
      <c r="L63" s="9" t="s">
        <v>85</v>
      </c>
      <c r="M63" s="124">
        <v>44600</v>
      </c>
      <c r="P63" s="578" t="s">
        <v>123</v>
      </c>
      <c r="Q63" s="578"/>
      <c r="R63" s="578"/>
      <c r="S63" s="578"/>
      <c r="T63" s="578"/>
      <c r="U63" s="49"/>
      <c r="V63" s="49"/>
      <c r="W63" s="49"/>
    </row>
    <row r="64" spans="1:24" hidden="1">
      <c r="A64" s="80">
        <f>'FERC Interest Rates'!A119</f>
        <v>44620</v>
      </c>
      <c r="B64" s="79">
        <v>-0.12953999999999999</v>
      </c>
      <c r="C64" s="205">
        <f>+'Therm Sales'!I104</f>
        <v>36808310</v>
      </c>
      <c r="D64" s="50"/>
      <c r="E64" s="63">
        <f>ROUND(C64*B64,2)+0.02</f>
        <v>-4768148.4600000009</v>
      </c>
      <c r="F64" s="78">
        <f t="shared" si="13"/>
        <v>52317.41</v>
      </c>
      <c r="H64" s="77">
        <f t="shared" si="1"/>
        <v>16268626.069999997</v>
      </c>
      <c r="I64" s="127"/>
      <c r="J64" s="1">
        <v>16268626.07</v>
      </c>
      <c r="K64" s="40">
        <f t="shared" si="10"/>
        <v>0</v>
      </c>
      <c r="L64" s="9" t="s">
        <v>85</v>
      </c>
      <c r="M64" s="124">
        <v>44627</v>
      </c>
      <c r="P64" s="578"/>
      <c r="Q64" s="578"/>
      <c r="R64" s="578"/>
      <c r="S64" s="578"/>
      <c r="T64" s="578"/>
    </row>
    <row r="65" spans="1:24" hidden="1">
      <c r="A65" s="80">
        <f>'FERC Interest Rates'!A120</f>
        <v>44651</v>
      </c>
      <c r="B65" s="79">
        <v>-0.12953999999999999</v>
      </c>
      <c r="C65" s="205">
        <f>+'Therm Sales'!I105</f>
        <v>35883551</v>
      </c>
      <c r="D65" s="50"/>
      <c r="E65" s="63">
        <f>ROUND(C65*B65,2)+0.01</f>
        <v>-4648355.1900000004</v>
      </c>
      <c r="F65" s="78">
        <f t="shared" si="13"/>
        <v>44905.87</v>
      </c>
      <c r="H65" s="77">
        <f t="shared" si="1"/>
        <v>11665176.749999996</v>
      </c>
      <c r="I65" s="127"/>
      <c r="J65" s="1">
        <v>11665176.75</v>
      </c>
      <c r="K65" s="40">
        <f t="shared" si="10"/>
        <v>0</v>
      </c>
      <c r="L65" s="9" t="s">
        <v>85</v>
      </c>
      <c r="M65" s="124">
        <v>44658</v>
      </c>
      <c r="P65" s="578"/>
      <c r="Q65" s="578"/>
      <c r="R65" s="578"/>
      <c r="S65" s="578"/>
      <c r="T65" s="578"/>
    </row>
    <row r="66" spans="1:24" hidden="1">
      <c r="A66" s="80">
        <f>'FERC Interest Rates'!A121</f>
        <v>44681</v>
      </c>
      <c r="B66" s="79">
        <v>-0.12953999999999999</v>
      </c>
      <c r="C66" s="205">
        <f>+'Therm Sales'!I106</f>
        <v>23698655</v>
      </c>
      <c r="D66" s="50"/>
      <c r="E66" s="43">
        <f t="shared" si="12"/>
        <v>-3069923.77</v>
      </c>
      <c r="F66" s="78">
        <f t="shared" si="13"/>
        <v>31160.400000000001</v>
      </c>
      <c r="H66" s="77">
        <f t="shared" si="1"/>
        <v>8626413.3799999952</v>
      </c>
      <c r="I66" s="127"/>
      <c r="J66" s="1">
        <v>8626413.3800000008</v>
      </c>
      <c r="K66" s="40">
        <f t="shared" si="10"/>
        <v>0</v>
      </c>
      <c r="L66" s="9" t="s">
        <v>85</v>
      </c>
      <c r="M66" s="124">
        <v>44690</v>
      </c>
    </row>
    <row r="67" spans="1:24" hidden="1">
      <c r="A67" s="80">
        <f>'FERC Interest Rates'!A122</f>
        <v>44712</v>
      </c>
      <c r="B67" s="79">
        <v>-0.12953999999999999</v>
      </c>
      <c r="C67" s="205">
        <f>+'Therm Sales'!I107</f>
        <v>20452192</v>
      </c>
      <c r="D67" s="50"/>
      <c r="E67" s="43">
        <f t="shared" si="12"/>
        <v>-2649376.9500000002</v>
      </c>
      <c r="F67" s="78">
        <f t="shared" si="13"/>
        <v>23811.26</v>
      </c>
      <c r="H67" s="77">
        <f t="shared" si="1"/>
        <v>6000847.6899999948</v>
      </c>
      <c r="I67" s="127"/>
      <c r="J67" s="1">
        <v>6000847.6900000004</v>
      </c>
      <c r="K67" s="40">
        <f t="shared" si="10"/>
        <v>0</v>
      </c>
      <c r="L67" s="9" t="s">
        <v>85</v>
      </c>
      <c r="M67" s="124">
        <v>44720</v>
      </c>
      <c r="O67" s="106"/>
      <c r="P67" s="22">
        <v>502</v>
      </c>
      <c r="Q67" s="22">
        <v>503</v>
      </c>
      <c r="R67" s="22">
        <v>504</v>
      </c>
      <c r="S67" s="22">
        <v>505</v>
      </c>
      <c r="T67" s="22">
        <v>511</v>
      </c>
      <c r="U67" s="22">
        <v>512</v>
      </c>
      <c r="V67" s="22">
        <v>570</v>
      </c>
      <c r="W67" s="22">
        <v>577</v>
      </c>
      <c r="X67" s="22" t="s">
        <v>115</v>
      </c>
    </row>
    <row r="68" spans="1:24" hidden="1">
      <c r="A68" s="80">
        <f>'FERC Interest Rates'!A123</f>
        <v>44742</v>
      </c>
      <c r="B68" s="79">
        <v>-0.12953999999999999</v>
      </c>
      <c r="C68" s="205">
        <f>+'Therm Sales'!I108</f>
        <v>13138561</v>
      </c>
      <c r="D68" s="50"/>
      <c r="E68" s="63">
        <f>ROUND(C68*B68,2)-0.01</f>
        <v>-1701969.2</v>
      </c>
      <c r="F68" s="78">
        <f t="shared" si="13"/>
        <v>16029.66</v>
      </c>
      <c r="H68" s="77">
        <f t="shared" si="1"/>
        <v>4314908.1499999948</v>
      </c>
      <c r="I68" s="127"/>
      <c r="J68" s="1">
        <v>4314908.1500000004</v>
      </c>
      <c r="K68" s="40">
        <f t="shared" si="10"/>
        <v>0</v>
      </c>
      <c r="L68" s="9" t="s">
        <v>85</v>
      </c>
      <c r="M68" s="124">
        <v>44750</v>
      </c>
      <c r="O68" s="1" t="s">
        <v>124</v>
      </c>
      <c r="P68" s="12"/>
      <c r="Q68" s="44">
        <v>5874708</v>
      </c>
      <c r="R68" s="44">
        <f>4156688+3707</f>
        <v>4160395</v>
      </c>
      <c r="S68" s="44">
        <v>562069</v>
      </c>
      <c r="T68" s="44">
        <f>482962+353401+35354</f>
        <v>871717</v>
      </c>
      <c r="U68" s="44"/>
      <c r="V68" s="44">
        <v>168816</v>
      </c>
      <c r="W68" s="44"/>
      <c r="X68" s="44">
        <f>SUM(P68:W68)</f>
        <v>11637705</v>
      </c>
    </row>
    <row r="69" spans="1:24" hidden="1">
      <c r="A69" s="80">
        <f>'FERC Interest Rates'!A124</f>
        <v>44773</v>
      </c>
      <c r="B69" s="79">
        <v>-0.12953999999999999</v>
      </c>
      <c r="C69" s="205">
        <f>+'Therm Sales'!I109+1155568+1121403</f>
        <v>10329831</v>
      </c>
      <c r="D69" s="50"/>
      <c r="E69" s="63">
        <f>ROUND(C69*B69,2)+0.01</f>
        <v>-1338126.3</v>
      </c>
      <c r="F69" s="78">
        <f t="shared" si="13"/>
        <v>13192.98</v>
      </c>
      <c r="H69" s="77">
        <f t="shared" si="1"/>
        <v>2989974.8299999945</v>
      </c>
      <c r="I69" s="127"/>
      <c r="J69" s="1">
        <v>2988692.18</v>
      </c>
      <c r="K69" s="40">
        <f t="shared" si="10"/>
        <v>-1282.6499999943189</v>
      </c>
      <c r="L69" s="9" t="s">
        <v>85</v>
      </c>
      <c r="M69" s="124">
        <v>44791</v>
      </c>
      <c r="O69" s="1" t="s">
        <v>125</v>
      </c>
      <c r="P69" s="12"/>
      <c r="Q69" s="44">
        <v>3463730</v>
      </c>
      <c r="R69" s="44">
        <v>2159639</v>
      </c>
      <c r="S69" s="44">
        <v>302109</v>
      </c>
      <c r="T69" s="44">
        <f>241078+176405</f>
        <v>417483</v>
      </c>
      <c r="U69" s="44"/>
      <c r="V69" s="44"/>
      <c r="W69" s="44"/>
      <c r="X69" s="44">
        <f t="shared" ref="X69:X73" si="14">SUM(P69:W69)</f>
        <v>6342961</v>
      </c>
    </row>
    <row r="70" spans="1:24" hidden="1">
      <c r="A70" s="80">
        <f>'FERC Interest Rates'!A125</f>
        <v>44804</v>
      </c>
      <c r="B70" s="79">
        <v>-0.12953999999999999</v>
      </c>
      <c r="C70" s="205">
        <f>+'Therm Sales'!I110+'Therm Sales'!S110+'Therm Sales'!T110</f>
        <v>7161100</v>
      </c>
      <c r="D70" s="50"/>
      <c r="E70" s="63">
        <f>ROUND(C70*B70,2)-0.01</f>
        <v>-927648.9</v>
      </c>
      <c r="F70" s="78">
        <f t="shared" si="13"/>
        <v>9141.9500000000007</v>
      </c>
      <c r="H70" s="77">
        <f t="shared" si="1"/>
        <v>2071467.8799999943</v>
      </c>
      <c r="I70" s="127"/>
      <c r="J70" s="1">
        <v>2071467.88</v>
      </c>
      <c r="K70" s="40">
        <f t="shared" si="10"/>
        <v>5.5879354476928711E-9</v>
      </c>
      <c r="L70" s="9" t="s">
        <v>85</v>
      </c>
      <c r="M70" s="124">
        <v>44813</v>
      </c>
      <c r="O70" s="1" t="s">
        <v>126</v>
      </c>
      <c r="Q70" s="44"/>
      <c r="R70" s="44">
        <v>-3707</v>
      </c>
      <c r="S70" s="44"/>
      <c r="T70" s="44">
        <v>-35354</v>
      </c>
      <c r="U70" s="44"/>
      <c r="V70" s="44">
        <v>-168816</v>
      </c>
      <c r="W70" s="44"/>
      <c r="X70" s="44">
        <f t="shared" si="14"/>
        <v>-207877</v>
      </c>
    </row>
    <row r="71" spans="1:24" hidden="1">
      <c r="A71" s="80">
        <f>'FERC Interest Rates'!A126</f>
        <v>44834</v>
      </c>
      <c r="B71" s="79">
        <v>-0.12953999999999999</v>
      </c>
      <c r="C71" s="205">
        <f>+'Therm Sales'!I111+'Therm Sales'!S111+'Therm Sales'!T111</f>
        <v>7578691</v>
      </c>
      <c r="D71" s="50"/>
      <c r="E71" s="63">
        <f>ROUND(C71*B71,2)-0.02</f>
        <v>-981743.65</v>
      </c>
      <c r="F71" s="78">
        <f t="shared" si="13"/>
        <v>6129.27</v>
      </c>
      <c r="H71" s="77">
        <f t="shared" si="1"/>
        <v>1095853.4999999944</v>
      </c>
      <c r="I71" s="127"/>
      <c r="J71" s="1">
        <v>1095853.5</v>
      </c>
      <c r="K71" s="40">
        <f t="shared" si="10"/>
        <v>5.5879354476928711E-9</v>
      </c>
      <c r="L71" s="9" t="s">
        <v>85</v>
      </c>
      <c r="M71" s="124">
        <v>44841</v>
      </c>
      <c r="O71" s="1" t="s">
        <v>127</v>
      </c>
      <c r="Q71" s="44"/>
      <c r="R71" s="44">
        <v>8848</v>
      </c>
      <c r="S71" s="44"/>
      <c r="T71" s="44">
        <v>152704</v>
      </c>
      <c r="U71" s="44"/>
      <c r="V71" s="44">
        <v>248692</v>
      </c>
      <c r="W71" s="44"/>
      <c r="X71" s="44">
        <f t="shared" si="14"/>
        <v>410244</v>
      </c>
    </row>
    <row r="72" spans="1:24" hidden="1">
      <c r="A72" s="80">
        <f>'FERC Interest Rates'!A127</f>
        <v>44865</v>
      </c>
      <c r="B72" s="79">
        <v>-0.12953999999999999</v>
      </c>
      <c r="C72" s="205">
        <f>+'Therm Sales'!I112+'Therm Sales'!S112+'Therm Sales'!T112</f>
        <v>13727036</v>
      </c>
      <c r="D72" s="50"/>
      <c r="E72" s="63">
        <f>ROUND(C72*B72,2)+0.01</f>
        <v>-1778200.23</v>
      </c>
      <c r="F72" s="78">
        <f t="shared" si="13"/>
        <v>4569.8599999999997</v>
      </c>
      <c r="H72" s="77">
        <f t="shared" si="1"/>
        <v>-677776.87000000547</v>
      </c>
      <c r="I72" s="127"/>
      <c r="J72" s="1">
        <v>-677776.87</v>
      </c>
      <c r="K72" s="40">
        <f t="shared" si="10"/>
        <v>5.4715201258659363E-9</v>
      </c>
      <c r="L72" s="9" t="s">
        <v>85</v>
      </c>
      <c r="M72" s="124">
        <v>44872</v>
      </c>
      <c r="O72" s="1" t="s">
        <v>128</v>
      </c>
      <c r="Q72" s="44">
        <v>-4288708</v>
      </c>
      <c r="R72" s="44">
        <v>-4485589</v>
      </c>
      <c r="S72" s="44"/>
      <c r="T72" s="44"/>
      <c r="U72" s="44"/>
      <c r="V72" s="44"/>
      <c r="W72" s="44"/>
      <c r="X72" s="44">
        <f t="shared" si="14"/>
        <v>-8774297</v>
      </c>
    </row>
    <row r="73" spans="1:24" hidden="1">
      <c r="A73" s="560" t="s">
        <v>122</v>
      </c>
      <c r="B73" s="560"/>
      <c r="C73" s="560"/>
      <c r="D73" s="560"/>
      <c r="E73" s="560"/>
      <c r="F73" s="560"/>
      <c r="G73" s="1">
        <v>42631346.850000001</v>
      </c>
      <c r="H73" s="77">
        <f t="shared" si="1"/>
        <v>41953569.979999997</v>
      </c>
      <c r="I73" s="127"/>
      <c r="K73" s="40"/>
      <c r="M73" s="124"/>
      <c r="O73" s="1" t="s">
        <v>129</v>
      </c>
      <c r="Q73" s="44">
        <v>15295766</v>
      </c>
      <c r="R73" s="44">
        <v>11435350</v>
      </c>
      <c r="S73" s="44"/>
      <c r="T73" s="44"/>
      <c r="U73" s="44"/>
      <c r="V73" s="44"/>
      <c r="W73" s="44"/>
      <c r="X73" s="44">
        <f t="shared" si="14"/>
        <v>26731116</v>
      </c>
    </row>
    <row r="74" spans="1:24" hidden="1">
      <c r="A74" s="80">
        <f>'FERC Interest Rates'!A128</f>
        <v>44895</v>
      </c>
      <c r="B74" s="79" t="s">
        <v>114</v>
      </c>
      <c r="C74" s="205">
        <f>+'Therm Sales'!I113+'Therm Sales'!S113+'Therm Sales'!T113</f>
        <v>36139852</v>
      </c>
      <c r="D74" s="50"/>
      <c r="E74" s="138">
        <f>SUM(ROUND((X68+X70+X72)*-0.12954,2)+ROUND((X69+X71+X73)*-0.16268,2))</f>
        <v>-5791226.8300000001</v>
      </c>
      <c r="F74" s="78">
        <f t="shared" si="13"/>
        <v>169308.52</v>
      </c>
      <c r="H74" s="77">
        <f t="shared" si="1"/>
        <v>36331651.669999994</v>
      </c>
      <c r="I74" s="127"/>
      <c r="J74" s="1">
        <v>36331651.670000002</v>
      </c>
      <c r="K74" s="40">
        <f t="shared" si="10"/>
        <v>0</v>
      </c>
      <c r="L74" s="9" t="s">
        <v>85</v>
      </c>
      <c r="M74" s="124">
        <v>44903</v>
      </c>
      <c r="O74" s="175" t="s">
        <v>115</v>
      </c>
      <c r="P74" s="64">
        <f>SUM(P68:P73)</f>
        <v>0</v>
      </c>
      <c r="Q74" s="133">
        <f t="shared" ref="Q74:W74" si="15">SUM(Q68:Q73)</f>
        <v>20345496</v>
      </c>
      <c r="R74" s="133">
        <f t="shared" si="15"/>
        <v>13274936</v>
      </c>
      <c r="S74" s="133">
        <f t="shared" si="15"/>
        <v>864178</v>
      </c>
      <c r="T74" s="133">
        <f t="shared" si="15"/>
        <v>1406550</v>
      </c>
      <c r="U74" s="133">
        <f t="shared" si="15"/>
        <v>0</v>
      </c>
      <c r="V74" s="133">
        <f t="shared" si="15"/>
        <v>248692</v>
      </c>
      <c r="W74" s="133">
        <f t="shared" si="15"/>
        <v>0</v>
      </c>
      <c r="X74" s="133">
        <f>SUM(X68:X73)</f>
        <v>36139852</v>
      </c>
    </row>
    <row r="75" spans="1:24" hidden="1">
      <c r="A75" s="80">
        <f>'FERC Interest Rates'!A129</f>
        <v>44926</v>
      </c>
      <c r="B75" s="79">
        <v>-0.16267999999999999</v>
      </c>
      <c r="C75" s="205">
        <f>+'Therm Sales'!I114+'Therm Sales'!S114+'Therm Sales'!T114</f>
        <v>48196275</v>
      </c>
      <c r="D75" s="50"/>
      <c r="E75" s="63">
        <f>ROUND(C75*B75,2)+0.01</f>
        <v>-7840570.0099999998</v>
      </c>
      <c r="F75" s="78">
        <f t="shared" si="13"/>
        <v>151507.96</v>
      </c>
      <c r="H75" s="77">
        <f t="shared" si="1"/>
        <v>28642589.619999994</v>
      </c>
      <c r="I75" s="127"/>
      <c r="J75" s="1">
        <v>28642589.620000001</v>
      </c>
      <c r="K75" s="40">
        <f t="shared" si="10"/>
        <v>0</v>
      </c>
      <c r="L75" s="9" t="s">
        <v>85</v>
      </c>
      <c r="M75" s="124">
        <v>44936</v>
      </c>
      <c r="O75" s="13"/>
    </row>
    <row r="76" spans="1:24" hidden="1">
      <c r="A76" s="80">
        <f>'FERC Interest Rates'!A130</f>
        <v>44957</v>
      </c>
      <c r="B76" s="79">
        <v>-0.16267999999999999</v>
      </c>
      <c r="C76" s="205">
        <f>+'Therm Sales'!I115+'Therm Sales'!S115+'Therm Sales'!T115</f>
        <v>40776960</v>
      </c>
      <c r="D76" s="50"/>
      <c r="E76" s="40">
        <f t="shared" ref="E76:E84" si="16">ROUND(C76*B76,2)</f>
        <v>-6633595.8499999996</v>
      </c>
      <c r="F76" s="78">
        <f t="shared" ref="F76:F88" si="17">ROUND(H75*VLOOKUP(A76,FERCINT23,2)/365*VLOOKUP(A76,FERCINT23,3),2)</f>
        <v>153500.74</v>
      </c>
      <c r="H76" s="77">
        <f t="shared" si="1"/>
        <v>22162494.509999994</v>
      </c>
      <c r="I76" s="127"/>
      <c r="J76" s="1">
        <v>22162494.510000002</v>
      </c>
      <c r="K76" s="40">
        <f t="shared" si="10"/>
        <v>0</v>
      </c>
      <c r="L76" s="9" t="s">
        <v>85</v>
      </c>
      <c r="M76" s="124">
        <v>44967</v>
      </c>
    </row>
    <row r="77" spans="1:24" hidden="1">
      <c r="A77" s="80">
        <f>'FERC Interest Rates'!A131</f>
        <v>44985</v>
      </c>
      <c r="B77" s="79">
        <v>-0.16267999999999999</v>
      </c>
      <c r="C77" s="205">
        <f>+'Therm Sales'!I116+'Therm Sales'!S116+'Therm Sales'!T116</f>
        <v>34828586</v>
      </c>
      <c r="D77" s="50"/>
      <c r="E77" s="40">
        <f t="shared" si="16"/>
        <v>-5665914.3700000001</v>
      </c>
      <c r="F77" s="78">
        <f t="shared" si="17"/>
        <v>107278.62</v>
      </c>
      <c r="H77" s="77">
        <f t="shared" si="1"/>
        <v>16603858.759999994</v>
      </c>
      <c r="I77" s="127"/>
      <c r="J77" s="1">
        <v>16603858.76</v>
      </c>
      <c r="K77" s="40">
        <f t="shared" si="10"/>
        <v>0</v>
      </c>
      <c r="L77" s="9" t="s">
        <v>85</v>
      </c>
      <c r="M77" s="124">
        <v>44993</v>
      </c>
    </row>
    <row r="78" spans="1:24" hidden="1">
      <c r="A78" s="80">
        <f>'FERC Interest Rates'!A132</f>
        <v>45016</v>
      </c>
      <c r="B78" s="79">
        <v>-0.16267999999999999</v>
      </c>
      <c r="C78" s="205">
        <f>+'Therm Sales'!I117+'Therm Sales'!S117+'Therm Sales'!T117</f>
        <v>31399405</v>
      </c>
      <c r="D78" s="50"/>
      <c r="E78" s="40">
        <f t="shared" si="16"/>
        <v>-5108055.21</v>
      </c>
      <c r="F78" s="78">
        <f t="shared" si="17"/>
        <v>88983.039999999994</v>
      </c>
      <c r="H78" s="77">
        <f t="shared" si="1"/>
        <v>11584786.589999994</v>
      </c>
      <c r="I78" s="127"/>
      <c r="J78" s="1">
        <v>11584786.59</v>
      </c>
      <c r="K78" s="40">
        <f t="shared" si="10"/>
        <v>0</v>
      </c>
      <c r="L78" s="9" t="s">
        <v>85</v>
      </c>
      <c r="M78" s="124">
        <v>45026</v>
      </c>
    </row>
    <row r="79" spans="1:24" hidden="1">
      <c r="A79" s="80">
        <f>'FERC Interest Rates'!A133</f>
        <v>45046</v>
      </c>
      <c r="B79" s="79">
        <v>-0.16267999999999999</v>
      </c>
      <c r="C79" s="205">
        <f>+'Therm Sales'!I118+'Therm Sales'!S118+'Therm Sales'!T118</f>
        <v>20012227</v>
      </c>
      <c r="D79" s="50"/>
      <c r="E79" s="40">
        <f t="shared" si="16"/>
        <v>-3255589.09</v>
      </c>
      <c r="F79" s="78">
        <f t="shared" si="17"/>
        <v>71413.070000000007</v>
      </c>
      <c r="H79" s="77">
        <f t="shared" si="1"/>
        <v>8400610.5699999947</v>
      </c>
      <c r="I79" s="127"/>
      <c r="J79" s="1">
        <v>8400610.5700000003</v>
      </c>
      <c r="K79" s="40">
        <f t="shared" si="10"/>
        <v>0</v>
      </c>
      <c r="L79" s="9" t="s">
        <v>85</v>
      </c>
      <c r="M79" s="124">
        <v>45054</v>
      </c>
    </row>
    <row r="80" spans="1:24" hidden="1">
      <c r="A80" s="80">
        <f>'FERC Interest Rates'!A134</f>
        <v>45077</v>
      </c>
      <c r="B80" s="79">
        <v>-0.16267999999999999</v>
      </c>
      <c r="C80" s="205">
        <f>+'Therm Sales'!I119+'Therm Sales'!S119+'Therm Sales'!T119</f>
        <v>10577875</v>
      </c>
      <c r="D80" s="50"/>
      <c r="E80" s="63">
        <f>ROUND(C80*B80,2)+0.01</f>
        <v>-1720808.7</v>
      </c>
      <c r="F80" s="78">
        <f t="shared" si="17"/>
        <v>53510.74</v>
      </c>
      <c r="H80" s="77">
        <f t="shared" si="1"/>
        <v>6733312.6099999947</v>
      </c>
      <c r="I80" s="127"/>
      <c r="J80" s="1">
        <v>6733312.6100000003</v>
      </c>
      <c r="K80" s="40">
        <f t="shared" si="10"/>
        <v>0</v>
      </c>
      <c r="L80" s="9" t="s">
        <v>85</v>
      </c>
      <c r="M80" s="124">
        <v>45091</v>
      </c>
      <c r="P80" s="22">
        <v>502</v>
      </c>
      <c r="Q80" s="22">
        <v>503</v>
      </c>
      <c r="R80" s="22">
        <v>504</v>
      </c>
      <c r="S80" s="22">
        <v>505</v>
      </c>
      <c r="T80" s="22">
        <v>511</v>
      </c>
      <c r="U80" s="22">
        <v>512</v>
      </c>
      <c r="V80" s="22">
        <v>570</v>
      </c>
      <c r="W80" s="22">
        <v>577</v>
      </c>
      <c r="X80" s="22" t="s">
        <v>115</v>
      </c>
    </row>
    <row r="81" spans="1:24" hidden="1">
      <c r="A81" s="80">
        <f>'FERC Interest Rates'!A135</f>
        <v>45107</v>
      </c>
      <c r="B81" s="79">
        <v>-0.16267999999999999</v>
      </c>
      <c r="C81" s="205">
        <f>+'Therm Sales'!I120+'Therm Sales'!S120+'Therm Sales'!T120</f>
        <v>8466269</v>
      </c>
      <c r="D81" s="50"/>
      <c r="E81" s="63">
        <f>ROUND(C81*B81,2)+0.01</f>
        <v>-1377292.63</v>
      </c>
      <c r="F81" s="78">
        <f t="shared" si="17"/>
        <v>41506.720000000001</v>
      </c>
      <c r="H81" s="77">
        <f t="shared" si="1"/>
        <v>5397526.6999999946</v>
      </c>
      <c r="I81" s="127"/>
      <c r="J81" s="1">
        <v>5397526.7000000002</v>
      </c>
      <c r="K81" s="40">
        <f t="shared" si="10"/>
        <v>0</v>
      </c>
      <c r="L81" s="9" t="s">
        <v>85</v>
      </c>
      <c r="M81" s="124">
        <v>45118</v>
      </c>
      <c r="O81" s="13" t="s">
        <v>124</v>
      </c>
      <c r="P81" s="12"/>
      <c r="Q81" s="44">
        <v>6106672</v>
      </c>
      <c r="R81" s="44">
        <f>6015+4472302</f>
        <v>4478317</v>
      </c>
      <c r="S81" s="44">
        <v>642618</v>
      </c>
      <c r="T81" s="44">
        <f>446328+52254+177722</f>
        <v>676304</v>
      </c>
      <c r="U81" s="44"/>
      <c r="V81" s="44">
        <v>169608</v>
      </c>
      <c r="W81" s="44"/>
      <c r="X81" s="44">
        <f>SUM(P81:W81)</f>
        <v>12073519</v>
      </c>
    </row>
    <row r="82" spans="1:24" hidden="1">
      <c r="A82" s="80">
        <f>'FERC Interest Rates'!A136</f>
        <v>45138</v>
      </c>
      <c r="B82" s="79">
        <v>-0.16267999999999999</v>
      </c>
      <c r="C82" s="205">
        <f>+'Therm Sales'!I121+'Therm Sales'!S121+'Therm Sales'!T121</f>
        <v>4994343</v>
      </c>
      <c r="D82" s="50"/>
      <c r="E82" s="63">
        <f>ROUND(C82*B82,2)+0.01</f>
        <v>-812479.71</v>
      </c>
      <c r="F82" s="78">
        <f t="shared" si="17"/>
        <v>36765.29</v>
      </c>
      <c r="H82" s="77">
        <f t="shared" ref="H82:H85" si="18">H81+SUM(D82:G82)</f>
        <v>4621812.2799999947</v>
      </c>
      <c r="I82" s="127"/>
      <c r="J82" s="1">
        <v>4621812.28</v>
      </c>
      <c r="K82" s="40">
        <f t="shared" si="10"/>
        <v>0</v>
      </c>
      <c r="L82" s="9" t="s">
        <v>85</v>
      </c>
      <c r="M82" s="124">
        <v>45146</v>
      </c>
      <c r="O82" s="1" t="s">
        <v>125</v>
      </c>
      <c r="P82" s="12"/>
      <c r="Q82" s="44">
        <v>3374620</v>
      </c>
      <c r="R82" s="44">
        <v>2152700</v>
      </c>
      <c r="S82" s="44">
        <v>346787</v>
      </c>
      <c r="T82" s="44">
        <f>278505+110896</f>
        <v>389401</v>
      </c>
      <c r="U82" s="44"/>
      <c r="V82" s="44"/>
      <c r="W82" s="44"/>
      <c r="X82" s="44">
        <f t="shared" ref="X82:X86" si="19">SUM(P82:W82)</f>
        <v>6263508</v>
      </c>
    </row>
    <row r="83" spans="1:24" hidden="1">
      <c r="A83" s="80">
        <f>'FERC Interest Rates'!A137</f>
        <v>45169</v>
      </c>
      <c r="B83" s="79">
        <v>-0.16267999999999999</v>
      </c>
      <c r="C83" s="205">
        <f>+'Therm Sales'!I122+'Therm Sales'!S122+'Therm Sales'!T122</f>
        <v>6672317</v>
      </c>
      <c r="D83" s="50"/>
      <c r="E83" s="40">
        <f t="shared" si="16"/>
        <v>-1085452.53</v>
      </c>
      <c r="F83" s="78">
        <f t="shared" si="17"/>
        <v>31481.51</v>
      </c>
      <c r="H83" s="77">
        <f t="shared" si="18"/>
        <v>3567841.2599999947</v>
      </c>
      <c r="I83" s="127"/>
      <c r="J83" s="1">
        <v>3567841.26</v>
      </c>
      <c r="K83" s="40">
        <f t="shared" si="10"/>
        <v>5.1222741603851318E-9</v>
      </c>
      <c r="L83" s="9" t="s">
        <v>85</v>
      </c>
      <c r="M83" s="124">
        <v>45180</v>
      </c>
      <c r="O83" s="1" t="s">
        <v>126</v>
      </c>
      <c r="Q83" s="44"/>
      <c r="R83" s="44">
        <v>-6015</v>
      </c>
      <c r="S83" s="44"/>
      <c r="T83" s="44">
        <v>-52254</v>
      </c>
      <c r="U83" s="44"/>
      <c r="V83" s="44">
        <v>-169608</v>
      </c>
      <c r="W83" s="44"/>
      <c r="X83" s="44">
        <f t="shared" si="19"/>
        <v>-227877</v>
      </c>
    </row>
    <row r="84" spans="1:24" hidden="1">
      <c r="A84" s="80">
        <f>'FERC Interest Rates'!A138</f>
        <v>45199</v>
      </c>
      <c r="B84" s="79">
        <v>-0.16267999999999999</v>
      </c>
      <c r="C84" s="205">
        <f>+'Therm Sales'!I123+'Therm Sales'!S123+'Therm Sales'!T123</f>
        <v>9051506</v>
      </c>
      <c r="D84" s="50"/>
      <c r="E84" s="40">
        <f t="shared" si="16"/>
        <v>-1472499</v>
      </c>
      <c r="F84" s="78">
        <f t="shared" si="17"/>
        <v>23518.43</v>
      </c>
      <c r="H84" s="77">
        <f t="shared" si="18"/>
        <v>2118860.6899999948</v>
      </c>
      <c r="I84" s="127"/>
      <c r="J84" s="1">
        <v>2118860.69</v>
      </c>
      <c r="K84" s="40">
        <f t="shared" si="10"/>
        <v>5.1222741603851318E-9</v>
      </c>
      <c r="L84" s="9" t="s">
        <v>85</v>
      </c>
      <c r="M84" s="124">
        <v>45208</v>
      </c>
      <c r="O84" s="1" t="s">
        <v>127</v>
      </c>
      <c r="Q84" s="44"/>
      <c r="R84" s="44">
        <v>6637</v>
      </c>
      <c r="S84" s="44"/>
      <c r="T84" s="44">
        <v>120295</v>
      </c>
      <c r="U84" s="44"/>
      <c r="V84" s="44">
        <v>236897</v>
      </c>
      <c r="W84" s="44"/>
      <c r="X84" s="44">
        <f t="shared" si="19"/>
        <v>363829</v>
      </c>
    </row>
    <row r="85" spans="1:24" hidden="1">
      <c r="A85" s="80">
        <f>'FERC Interest Rates'!A139</f>
        <v>45230</v>
      </c>
      <c r="B85" s="79">
        <v>-0.16267999999999999</v>
      </c>
      <c r="C85" s="205">
        <f>+'Therm Sales'!I124+'Therm Sales'!S124+'Therm Sales'!T124</f>
        <v>17152528</v>
      </c>
      <c r="D85" s="50"/>
      <c r="E85" s="40">
        <f>ROUND(C85*B85,2)+0.02</f>
        <v>-2790373.2399999998</v>
      </c>
      <c r="F85" s="78">
        <f t="shared" si="17"/>
        <v>15026.5</v>
      </c>
      <c r="H85" s="77">
        <f t="shared" si="18"/>
        <v>-656486.05000000494</v>
      </c>
      <c r="I85" s="127"/>
      <c r="J85" s="1">
        <v>-656486.05000000005</v>
      </c>
      <c r="K85" s="40">
        <f t="shared" si="10"/>
        <v>4.8894435167312622E-9</v>
      </c>
      <c r="L85" s="9" t="s">
        <v>85</v>
      </c>
      <c r="M85" s="124">
        <v>45238</v>
      </c>
      <c r="O85" s="1" t="s">
        <v>128</v>
      </c>
      <c r="Q85" s="44">
        <v>-6349296</v>
      </c>
      <c r="R85" s="44">
        <v>-5245841</v>
      </c>
      <c r="S85" s="44"/>
      <c r="T85" s="44">
        <v>-620847</v>
      </c>
      <c r="U85" s="44"/>
      <c r="V85" s="44"/>
      <c r="W85" s="44"/>
      <c r="X85" s="44">
        <f t="shared" si="19"/>
        <v>-12215984</v>
      </c>
    </row>
    <row r="86" spans="1:24" hidden="1">
      <c r="A86" s="560" t="s">
        <v>130</v>
      </c>
      <c r="B86" s="560"/>
      <c r="C86" s="560"/>
      <c r="D86" s="560"/>
      <c r="E86" s="560"/>
      <c r="F86" s="560"/>
      <c r="G86" s="1">
        <v>-14421064.25</v>
      </c>
      <c r="H86" s="77">
        <f t="shared" ref="H86:H97" si="20">H85+SUM(D86:G86)</f>
        <v>-15077550.300000004</v>
      </c>
      <c r="I86" s="127"/>
      <c r="K86" s="40"/>
      <c r="M86" s="124"/>
      <c r="O86" s="1" t="s">
        <v>129</v>
      </c>
      <c r="Q86" s="44">
        <v>13431914</v>
      </c>
      <c r="R86" s="44">
        <v>9375665</v>
      </c>
      <c r="S86" s="44"/>
      <c r="T86" s="44">
        <v>1032585</v>
      </c>
      <c r="U86" s="44"/>
      <c r="V86" s="44"/>
      <c r="W86" s="44"/>
      <c r="X86" s="44">
        <f t="shared" si="19"/>
        <v>23840164</v>
      </c>
    </row>
    <row r="87" spans="1:24">
      <c r="A87" s="80">
        <f>'FERC Interest Rates'!A140</f>
        <v>45260</v>
      </c>
      <c r="B87" s="79" t="s">
        <v>114</v>
      </c>
      <c r="C87" s="205">
        <f>+'Therm Sales'!I125+'Therm Sales'!S125+'Therm Sales'!T125</f>
        <v>30097159</v>
      </c>
      <c r="D87" s="50"/>
      <c r="E87" s="129">
        <f>SUM(ROUND((X81+X83+X85)*-0.16268,2)+ROUND((X82+X84+X86)*0.06131,2))-0.01</f>
        <v>1928209.72</v>
      </c>
      <c r="F87" s="78">
        <f>ROUND(H86*VLOOKUP(A87,FERCINT23,2)/365*VLOOKUP(A87,FERCINT23,3),2)</f>
        <v>-103477.43</v>
      </c>
      <c r="H87" s="77">
        <f t="shared" si="20"/>
        <v>-13252818.010000005</v>
      </c>
      <c r="I87" s="127"/>
      <c r="J87" s="1">
        <v>-13252818.01</v>
      </c>
      <c r="K87" s="40">
        <f t="shared" si="10"/>
        <v>0</v>
      </c>
      <c r="L87" s="9" t="s">
        <v>85</v>
      </c>
      <c r="M87" s="124">
        <v>45271</v>
      </c>
      <c r="O87" s="175" t="s">
        <v>115</v>
      </c>
      <c r="P87" s="64">
        <f>SUM(P81:P86)</f>
        <v>0</v>
      </c>
      <c r="Q87" s="133">
        <f t="shared" ref="Q87:W87" si="21">SUM(Q81:Q86)</f>
        <v>16563910</v>
      </c>
      <c r="R87" s="133">
        <f t="shared" si="21"/>
        <v>10761463</v>
      </c>
      <c r="S87" s="133">
        <f t="shared" si="21"/>
        <v>989405</v>
      </c>
      <c r="T87" s="133">
        <f t="shared" si="21"/>
        <v>1545484</v>
      </c>
      <c r="U87" s="133">
        <f t="shared" si="21"/>
        <v>0</v>
      </c>
      <c r="V87" s="133">
        <f t="shared" si="21"/>
        <v>236897</v>
      </c>
      <c r="W87" s="133">
        <f t="shared" si="21"/>
        <v>0</v>
      </c>
      <c r="X87" s="133">
        <f>SUM(X81:X86)</f>
        <v>30097159</v>
      </c>
    </row>
    <row r="88" spans="1:24">
      <c r="A88" s="80">
        <f>'FERC Interest Rates'!A141</f>
        <v>45291</v>
      </c>
      <c r="B88" s="79">
        <v>6.1310000000000003E-2</v>
      </c>
      <c r="C88" s="205">
        <f>+'Therm Sales'!I126+'Therm Sales'!S126+'Therm Sales'!T126</f>
        <v>33487259</v>
      </c>
      <c r="D88" s="50"/>
      <c r="E88" s="40">
        <f>ROUND(C88*B88,2)</f>
        <v>2053103.85</v>
      </c>
      <c r="F88" s="78">
        <f t="shared" si="17"/>
        <v>-93986.08</v>
      </c>
      <c r="H88" s="77">
        <f t="shared" si="20"/>
        <v>-11293700.240000006</v>
      </c>
      <c r="I88" s="127"/>
      <c r="J88" s="1">
        <v>-11293700.24</v>
      </c>
      <c r="K88" s="40">
        <f t="shared" si="10"/>
        <v>0</v>
      </c>
      <c r="L88" s="9" t="s">
        <v>85</v>
      </c>
      <c r="M88" s="124">
        <v>45300</v>
      </c>
      <c r="O88" s="13"/>
    </row>
    <row r="89" spans="1:24">
      <c r="A89" s="80">
        <f>'FERC Interest Rates'!A142</f>
        <v>45322</v>
      </c>
      <c r="B89" s="79">
        <v>6.1310000000000003E-2</v>
      </c>
      <c r="C89" s="205">
        <f>+'Therm Sales'!I127+'Therm Sales'!S127+'Therm Sales'!T127</f>
        <v>42566487</v>
      </c>
      <c r="D89" s="50"/>
      <c r="E89" s="63">
        <f>ROUND(C89*B89,2)-0.01</f>
        <v>2609751.31</v>
      </c>
      <c r="F89" s="78">
        <f t="shared" ref="F89:F98" si="22">ROUND(H88*VLOOKUP(A89,FERCINT24,2)/365*VLOOKUP(A89,FERCINT24,3),2)</f>
        <v>-81531.23</v>
      </c>
      <c r="H89" s="77">
        <f t="shared" si="20"/>
        <v>-8765480.1600000057</v>
      </c>
      <c r="I89" s="127"/>
      <c r="J89" s="1">
        <v>-8765480.1600000001</v>
      </c>
      <c r="K89" s="40">
        <f t="shared" si="10"/>
        <v>0</v>
      </c>
      <c r="L89" s="9" t="s">
        <v>85</v>
      </c>
      <c r="M89" s="124">
        <v>45334</v>
      </c>
    </row>
    <row r="90" spans="1:24">
      <c r="A90" s="80">
        <f>'FERC Interest Rates'!A143</f>
        <v>45351</v>
      </c>
      <c r="B90" s="79">
        <v>6.1310000000000003E-2</v>
      </c>
      <c r="C90" s="205">
        <f>+'Therm Sales'!I128+'Therm Sales'!S128+'Therm Sales'!T128</f>
        <v>31719911</v>
      </c>
      <c r="D90" s="50"/>
      <c r="E90" s="40">
        <f t="shared" ref="E90:E96" si="23">ROUND(C90*B90,2)</f>
        <v>1944747.74</v>
      </c>
      <c r="F90" s="78">
        <f t="shared" si="22"/>
        <v>-59197.01</v>
      </c>
      <c r="H90" s="77">
        <f t="shared" si="20"/>
        <v>-6879929.4300000053</v>
      </c>
      <c r="I90" s="127"/>
      <c r="J90" s="1">
        <v>-6879929.4299999997</v>
      </c>
      <c r="K90" s="40">
        <f t="shared" si="10"/>
        <v>0</v>
      </c>
      <c r="L90" s="9" t="s">
        <v>85</v>
      </c>
      <c r="M90" s="124">
        <v>45359</v>
      </c>
    </row>
    <row r="91" spans="1:24">
      <c r="A91" s="80">
        <f>'FERC Interest Rates'!A144</f>
        <v>45382</v>
      </c>
      <c r="B91" s="79">
        <v>6.1310000000000003E-2</v>
      </c>
      <c r="C91" s="205">
        <f>+'Therm Sales'!I129+'Therm Sales'!S129+'Therm Sales'!T129</f>
        <v>26810182</v>
      </c>
      <c r="D91" s="50"/>
      <c r="E91" s="63">
        <f>ROUND(C91*B91,2)+0.01</f>
        <v>1643732.27</v>
      </c>
      <c r="F91" s="78">
        <f t="shared" si="22"/>
        <v>-49667.44</v>
      </c>
      <c r="H91" s="77">
        <f t="shared" si="20"/>
        <v>-5285864.6000000052</v>
      </c>
      <c r="I91" s="127"/>
      <c r="J91" s="1">
        <v>-5285864.5999999996</v>
      </c>
      <c r="K91" s="40">
        <f t="shared" si="10"/>
        <v>0</v>
      </c>
      <c r="L91" s="9" t="s">
        <v>85</v>
      </c>
      <c r="M91" s="124">
        <v>45390</v>
      </c>
    </row>
    <row r="92" spans="1:24">
      <c r="A92" s="80">
        <f>'FERC Interest Rates'!A145</f>
        <v>45412</v>
      </c>
      <c r="B92" s="79">
        <v>6.1310000000000003E-2</v>
      </c>
      <c r="C92" s="205">
        <f>+'Therm Sales'!I130+'Therm Sales'!S130+'Therm Sales'!T130</f>
        <v>17828454</v>
      </c>
      <c r="D92" s="50"/>
      <c r="E92" s="40">
        <f t="shared" si="23"/>
        <v>1093062.51</v>
      </c>
      <c r="F92" s="78">
        <f t="shared" si="22"/>
        <v>-36928.639999999999</v>
      </c>
      <c r="H92" s="77">
        <f t="shared" si="20"/>
        <v>-4229730.7300000051</v>
      </c>
      <c r="I92" s="127"/>
      <c r="J92" s="1">
        <v>-4229730.7300000004</v>
      </c>
      <c r="K92" s="40">
        <f t="shared" si="10"/>
        <v>0</v>
      </c>
      <c r="L92" s="9" t="s">
        <v>85</v>
      </c>
      <c r="M92" s="124">
        <v>45420</v>
      </c>
      <c r="P92" s="22">
        <v>502</v>
      </c>
      <c r="Q92" s="22">
        <v>503</v>
      </c>
      <c r="R92" s="22">
        <v>504</v>
      </c>
      <c r="S92" s="22">
        <v>505</v>
      </c>
      <c r="T92" s="22">
        <v>511</v>
      </c>
      <c r="U92" s="22">
        <v>512</v>
      </c>
      <c r="V92" s="22">
        <v>570</v>
      </c>
      <c r="W92" s="22">
        <v>577</v>
      </c>
      <c r="X92" s="22" t="s">
        <v>115</v>
      </c>
    </row>
    <row r="93" spans="1:24">
      <c r="A93" s="80">
        <f>'FERC Interest Rates'!A146</f>
        <v>45443</v>
      </c>
      <c r="B93" s="79">
        <v>6.1310000000000003E-2</v>
      </c>
      <c r="C93" s="205">
        <f>+'Therm Sales'!I131+'Therm Sales'!S131+'Therm Sales'!T131</f>
        <v>12862894</v>
      </c>
      <c r="D93" s="50"/>
      <c r="E93" s="63">
        <f>ROUND(C93*B93,2)-0.01</f>
        <v>788624.02</v>
      </c>
      <c r="F93" s="78">
        <f t="shared" si="22"/>
        <v>-30535.18</v>
      </c>
      <c r="H93" s="77">
        <f t="shared" si="20"/>
        <v>-3471641.8900000053</v>
      </c>
      <c r="I93" s="127"/>
      <c r="J93" s="1">
        <v>-3471641.89</v>
      </c>
      <c r="K93" s="40">
        <f t="shared" si="10"/>
        <v>5.1222741603851318E-9</v>
      </c>
      <c r="L93" s="9" t="s">
        <v>85</v>
      </c>
      <c r="M93" s="124">
        <v>45453</v>
      </c>
      <c r="O93" s="13" t="s">
        <v>124</v>
      </c>
      <c r="P93" s="12"/>
      <c r="Q93" s="180">
        <v>5618427</v>
      </c>
      <c r="R93" s="180">
        <f>2850+4186679</f>
        <v>4189529</v>
      </c>
      <c r="S93" s="180">
        <v>610805</v>
      </c>
      <c r="T93" s="180">
        <f>496298+46412+212990</f>
        <v>755700</v>
      </c>
      <c r="U93" s="180"/>
      <c r="V93" s="180">
        <v>65711</v>
      </c>
      <c r="W93" s="178"/>
      <c r="X93" s="44">
        <f>SUM(P93:W93)</f>
        <v>11240172</v>
      </c>
    </row>
    <row r="94" spans="1:24">
      <c r="A94" s="80">
        <f>'FERC Interest Rates'!A147</f>
        <v>45473</v>
      </c>
      <c r="B94" s="79">
        <v>6.1310000000000003E-2</v>
      </c>
      <c r="C94" s="205">
        <f>+'Therm Sales'!I132+'Therm Sales'!S132+'Therm Sales'!T132</f>
        <v>7606025</v>
      </c>
      <c r="D94" s="50"/>
      <c r="E94" s="63">
        <f>ROUND(C94*B94,2)+0.02</f>
        <v>466325.41000000003</v>
      </c>
      <c r="F94" s="78">
        <f t="shared" si="22"/>
        <v>-24253.94</v>
      </c>
      <c r="H94" s="77">
        <f t="shared" si="20"/>
        <v>-3029570.420000005</v>
      </c>
      <c r="I94" s="127"/>
      <c r="J94" s="1">
        <v>-3029570.42</v>
      </c>
      <c r="K94" s="40">
        <f t="shared" si="10"/>
        <v>5.1222741603851318E-9</v>
      </c>
      <c r="L94" s="9" t="s">
        <v>85</v>
      </c>
      <c r="M94" s="124">
        <v>45482</v>
      </c>
      <c r="O94" s="1" t="s">
        <v>125</v>
      </c>
      <c r="P94" s="12"/>
      <c r="Q94" s="180">
        <v>3525931</v>
      </c>
      <c r="R94" s="180">
        <v>2182935</v>
      </c>
      <c r="S94" s="180">
        <v>314697</v>
      </c>
      <c r="T94" s="180">
        <f>285482+122516</f>
        <v>407998</v>
      </c>
      <c r="U94" s="180"/>
      <c r="V94" s="180"/>
      <c r="W94" s="178"/>
      <c r="X94" s="44">
        <f t="shared" ref="X94:X98" si="24">SUM(P94:W94)</f>
        <v>6431561</v>
      </c>
    </row>
    <row r="95" spans="1:24">
      <c r="A95" s="80">
        <f>'FERC Interest Rates'!A148</f>
        <v>45504</v>
      </c>
      <c r="B95" s="79">
        <v>6.1310000000000003E-2</v>
      </c>
      <c r="C95" s="205">
        <f>+'Therm Sales'!I133+'Therm Sales'!S133+'Therm Sales'!T133</f>
        <v>6146458</v>
      </c>
      <c r="D95" s="50"/>
      <c r="E95" s="63">
        <f>ROUND(C95*B95,2)+0.01</f>
        <v>376839.35000000003</v>
      </c>
      <c r="F95" s="78">
        <f t="shared" si="22"/>
        <v>-21871.01</v>
      </c>
      <c r="H95" s="77">
        <f t="shared" si="20"/>
        <v>-2674602.0800000052</v>
      </c>
      <c r="I95" s="127"/>
      <c r="J95" s="1">
        <v>-2674602.08</v>
      </c>
      <c r="K95" s="40">
        <f t="shared" si="10"/>
        <v>5.1222741603851318E-9</v>
      </c>
      <c r="L95" s="9" t="s">
        <v>85</v>
      </c>
      <c r="M95" s="124">
        <v>45516</v>
      </c>
      <c r="O95" s="1" t="s">
        <v>126</v>
      </c>
      <c r="Q95" s="178"/>
      <c r="R95" s="180">
        <v>-2850</v>
      </c>
      <c r="S95" s="180"/>
      <c r="T95" s="180">
        <v>-46412</v>
      </c>
      <c r="U95" s="180"/>
      <c r="V95" s="180">
        <v>-65711</v>
      </c>
      <c r="W95" s="178"/>
      <c r="X95" s="44">
        <f t="shared" si="24"/>
        <v>-114973</v>
      </c>
    </row>
    <row r="96" spans="1:24">
      <c r="A96" s="80">
        <f>'FERC Interest Rates'!A149</f>
        <v>45535</v>
      </c>
      <c r="B96" s="79">
        <v>6.1310000000000003E-2</v>
      </c>
      <c r="C96" s="205">
        <f>+'Therm Sales'!I134+'Therm Sales'!S134+'Therm Sales'!T134</f>
        <v>5630149</v>
      </c>
      <c r="D96" s="50"/>
      <c r="E96" s="40">
        <f t="shared" si="23"/>
        <v>345184.44</v>
      </c>
      <c r="F96" s="78">
        <f t="shared" si="22"/>
        <v>-19308.43</v>
      </c>
      <c r="H96" s="77">
        <f t="shared" si="20"/>
        <v>-2348726.070000005</v>
      </c>
      <c r="I96" s="127"/>
      <c r="J96" s="1">
        <v>-2348726.0699999998</v>
      </c>
      <c r="K96" s="40">
        <f t="shared" si="10"/>
        <v>5.1222741603851318E-9</v>
      </c>
      <c r="L96" s="9" t="s">
        <v>94</v>
      </c>
      <c r="M96" s="10">
        <v>45546</v>
      </c>
      <c r="O96" s="1" t="s">
        <v>127</v>
      </c>
      <c r="Q96" s="178"/>
      <c r="R96" s="180">
        <v>7214</v>
      </c>
      <c r="S96" s="180">
        <v>0</v>
      </c>
      <c r="T96" s="180">
        <v>103951</v>
      </c>
      <c r="U96" s="178"/>
      <c r="V96" s="180">
        <v>84258</v>
      </c>
      <c r="W96" s="178"/>
      <c r="X96" s="44">
        <f t="shared" si="24"/>
        <v>195423</v>
      </c>
    </row>
    <row r="97" spans="1:24">
      <c r="A97" s="80">
        <f>'FERC Interest Rates'!A150</f>
        <v>45565</v>
      </c>
      <c r="B97" s="79">
        <v>6.1310000000000003E-2</v>
      </c>
      <c r="C97" s="205">
        <f>+'Therm Sales'!I135+'Therm Sales'!S135+'Therm Sales'!T135</f>
        <v>7678253</v>
      </c>
      <c r="D97" s="50"/>
      <c r="E97" s="63">
        <f>ROUND(C97*B97,2)-0.02</f>
        <v>470753.67</v>
      </c>
      <c r="F97" s="78">
        <f t="shared" si="22"/>
        <v>-16408.91</v>
      </c>
      <c r="H97" s="77">
        <f t="shared" si="20"/>
        <v>-1894381.3100000049</v>
      </c>
      <c r="I97" s="127"/>
      <c r="J97" s="1">
        <v>-1894381.31</v>
      </c>
      <c r="K97" s="40">
        <f t="shared" si="10"/>
        <v>4.8894435167312622E-9</v>
      </c>
      <c r="L97" s="9" t="s">
        <v>94</v>
      </c>
      <c r="M97" s="10">
        <v>45573</v>
      </c>
      <c r="O97" s="1" t="s">
        <v>128</v>
      </c>
      <c r="Q97" s="180">
        <v>-4719218</v>
      </c>
      <c r="R97" s="180">
        <v>-3810712</v>
      </c>
      <c r="S97" s="180"/>
      <c r="T97" s="180">
        <v>-509058</v>
      </c>
      <c r="U97" s="178"/>
      <c r="V97" s="178"/>
      <c r="W97" s="178"/>
      <c r="X97" s="44">
        <f t="shared" si="24"/>
        <v>-9038988</v>
      </c>
    </row>
    <row r="98" spans="1:24">
      <c r="A98" s="80">
        <f>'FERC Interest Rates'!A151</f>
        <v>45596</v>
      </c>
      <c r="B98" s="79">
        <v>6.1310000000000003E-2</v>
      </c>
      <c r="C98" s="205">
        <f>+'Therm Sales'!I136+'Therm Sales'!S136+'Therm Sales'!T136</f>
        <v>16552003</v>
      </c>
      <c r="D98" s="50"/>
      <c r="E98" s="63">
        <f>ROUND(C98*B98,2)+0.01</f>
        <v>1014803.31</v>
      </c>
      <c r="F98" s="78">
        <f t="shared" si="22"/>
        <v>-13675.88</v>
      </c>
      <c r="H98" s="77">
        <f>H97+SUM(D98:G98)</f>
        <v>-893253.88000000489</v>
      </c>
      <c r="I98" s="127"/>
      <c r="J98" s="1">
        <v>-893253.88</v>
      </c>
      <c r="K98" s="40">
        <f t="shared" si="10"/>
        <v>4.8894435167312622E-9</v>
      </c>
      <c r="L98" s="9" t="s">
        <v>94</v>
      </c>
      <c r="M98" s="10">
        <v>45608</v>
      </c>
      <c r="O98" s="1" t="s">
        <v>129</v>
      </c>
      <c r="Q98" s="180">
        <v>11829807</v>
      </c>
      <c r="R98" s="180">
        <v>8251068</v>
      </c>
      <c r="S98" s="180"/>
      <c r="T98" s="180">
        <v>1012702</v>
      </c>
      <c r="U98" s="178"/>
      <c r="V98" s="178"/>
      <c r="W98" s="178"/>
      <c r="X98" s="44">
        <f t="shared" si="24"/>
        <v>21093577</v>
      </c>
    </row>
    <row r="99" spans="1:24">
      <c r="A99" s="560" t="s">
        <v>130</v>
      </c>
      <c r="B99" s="560"/>
      <c r="C99" s="560"/>
      <c r="D99" s="560"/>
      <c r="E99" s="560"/>
      <c r="F99" s="560"/>
      <c r="G99" s="1">
        <v>21905420.239999998</v>
      </c>
      <c r="H99" s="77">
        <f t="shared" ref="H99" si="25">H98+SUM(D99:G99)</f>
        <v>21012166.359999992</v>
      </c>
      <c r="I99" s="127"/>
      <c r="K99" s="40"/>
      <c r="M99" s="124"/>
      <c r="O99" s="177" t="s">
        <v>115</v>
      </c>
      <c r="P99" s="64">
        <f>SUM(P93:P98)</f>
        <v>0</v>
      </c>
      <c r="Q99" s="133">
        <f t="shared" ref="Q99:W99" si="26">SUM(Q93:Q98)</f>
        <v>16254947</v>
      </c>
      <c r="R99" s="133">
        <f t="shared" si="26"/>
        <v>10817184</v>
      </c>
      <c r="S99" s="133">
        <f t="shared" si="26"/>
        <v>925502</v>
      </c>
      <c r="T99" s="133">
        <f t="shared" si="26"/>
        <v>1724881</v>
      </c>
      <c r="U99" s="133">
        <f t="shared" si="26"/>
        <v>0</v>
      </c>
      <c r="V99" s="133">
        <f t="shared" si="26"/>
        <v>84258</v>
      </c>
      <c r="W99" s="133">
        <f t="shared" si="26"/>
        <v>0</v>
      </c>
      <c r="X99" s="133">
        <f>SUM(X93:X98)</f>
        <v>29806772</v>
      </c>
    </row>
    <row r="100" spans="1:24">
      <c r="A100" s="39">
        <v>45626</v>
      </c>
      <c r="B100" s="79">
        <v>-7.986E-2</v>
      </c>
      <c r="C100" s="205">
        <f>+'Therm Sales'!I137+'Therm Sales'!S137+'Therm Sales'!T137</f>
        <v>29806772</v>
      </c>
      <c r="D100" s="50"/>
      <c r="E100" s="129">
        <f>SUM(ROUND((X100)*0.06131,2)-ROUND((X101)*0.07986,2))-0.01</f>
        <v>-2085858.41</v>
      </c>
      <c r="F100" s="78">
        <f>ROUND(H99*VLOOKUP(A100,FERCINT24,2)/365*VLOOKUP(A100,FERCINT24,3),2)</f>
        <v>146797.32999999999</v>
      </c>
      <c r="H100" s="77">
        <f>H99+SUM(D100:G100)</f>
        <v>19073105.279999994</v>
      </c>
      <c r="I100" s="127"/>
      <c r="J100" s="1">
        <v>18920067.41</v>
      </c>
      <c r="K100" s="40">
        <f t="shared" ref="K100:K103" si="27">J100-H100</f>
        <v>-153037.86999999359</v>
      </c>
      <c r="L100" s="9" t="str">
        <f>+'DG 1910.01253'!$L$157</f>
        <v>Brian</v>
      </c>
      <c r="M100" s="10">
        <f>+'DG 1910.01253'!$M$157</f>
        <v>45638</v>
      </c>
      <c r="N100" s="1" t="s">
        <v>131</v>
      </c>
      <c r="O100" s="1" t="s">
        <v>128</v>
      </c>
      <c r="Q100" s="139"/>
      <c r="R100" s="139"/>
      <c r="S100" s="139"/>
      <c r="T100" s="139"/>
      <c r="V100" s="187">
        <f>+B98</f>
        <v>6.1310000000000003E-2</v>
      </c>
      <c r="W100" s="139"/>
      <c r="X100" s="44">
        <f>+X93+X95+X97</f>
        <v>2086211</v>
      </c>
    </row>
    <row r="101" spans="1:24">
      <c r="A101" s="39">
        <v>45657</v>
      </c>
      <c r="B101" s="79">
        <v>-7.986E-2</v>
      </c>
      <c r="C101" s="205">
        <f>+'Therm Sales'!I138+'Therm Sales'!S138+'Therm Sales'!T138</f>
        <v>36748481</v>
      </c>
      <c r="D101" s="50"/>
      <c r="E101" s="63">
        <f>ROUND(C101*B101,2)+0.01</f>
        <v>-2934733.68</v>
      </c>
      <c r="F101" s="78">
        <f t="shared" ref="F101" si="28">ROUND(H100*VLOOKUP(A101,FERCINT24,2)/365*VLOOKUP(A101,FERCINT24,3),2)</f>
        <v>137692.14000000001</v>
      </c>
      <c r="H101" s="77">
        <f t="shared" ref="H101:H103" si="29">H100+SUM(D101:G101)</f>
        <v>16276063.739999995</v>
      </c>
      <c r="I101" s="127"/>
      <c r="J101" s="1">
        <v>16276063.74</v>
      </c>
      <c r="K101" s="40">
        <f t="shared" si="27"/>
        <v>0</v>
      </c>
      <c r="L101" s="9" t="str">
        <f>+'DG 1910.01253'!$L$158</f>
        <v>Brian</v>
      </c>
      <c r="M101" s="10">
        <f>+'DG 1910.01253'!$M$158</f>
        <v>45667</v>
      </c>
      <c r="O101" s="106" t="s">
        <v>129</v>
      </c>
      <c r="P101" s="106"/>
      <c r="Q101" s="12"/>
      <c r="R101" s="12"/>
      <c r="S101" s="12"/>
      <c r="T101" s="12"/>
      <c r="V101" s="187">
        <f>+B100</f>
        <v>-7.986E-2</v>
      </c>
      <c r="W101" s="164"/>
      <c r="X101" s="12">
        <f>+X94+X96+X98</f>
        <v>27720561</v>
      </c>
    </row>
    <row r="102" spans="1:24">
      <c r="A102" s="39">
        <v>45688</v>
      </c>
      <c r="B102" s="79">
        <v>-7.986E-2</v>
      </c>
      <c r="C102" s="205">
        <f>+'Therm Sales'!I139+'Therm Sales'!S139+'Therm Sales'!T139</f>
        <v>41223238</v>
      </c>
      <c r="D102" s="50"/>
      <c r="E102" s="63">
        <f>ROUND(C102*B102,2)-0.01</f>
        <v>-3292087.8</v>
      </c>
      <c r="F102" s="78">
        <f t="shared" ref="F102:F103" si="30">ROUND(H101*VLOOKUP(A102,FERCINT25,2)/365*VLOOKUP(A102,FERCINT25,3),2)</f>
        <v>111140.99</v>
      </c>
      <c r="H102" s="77">
        <f t="shared" si="29"/>
        <v>13095116.929999996</v>
      </c>
      <c r="I102" s="127"/>
      <c r="J102" s="1">
        <v>13095116.93</v>
      </c>
      <c r="K102" s="40">
        <f t="shared" si="27"/>
        <v>0</v>
      </c>
      <c r="L102" s="9" t="str">
        <f>+'DG 1910.01253'!$L$159</f>
        <v>Brian</v>
      </c>
      <c r="M102" s="10">
        <f>+'DG 1910.01253'!$M$159</f>
        <v>45699</v>
      </c>
      <c r="O102" s="13" t="s">
        <v>115</v>
      </c>
      <c r="P102" s="13"/>
      <c r="Q102" s="185"/>
      <c r="R102" s="185"/>
      <c r="S102" s="185"/>
      <c r="T102" s="185"/>
      <c r="U102" s="185"/>
      <c r="V102" s="13"/>
      <c r="X102" s="186">
        <f>+X100+X101</f>
        <v>29806772</v>
      </c>
    </row>
    <row r="103" spans="1:24">
      <c r="A103" s="39">
        <v>45716</v>
      </c>
      <c r="B103" s="79">
        <v>-7.986E-2</v>
      </c>
      <c r="C103" s="205">
        <f>+'Therm Sales'!I140+'Therm Sales'!S140+'Therm Sales'!T140</f>
        <v>37570997</v>
      </c>
      <c r="D103" s="50"/>
      <c r="E103" s="63">
        <f>ROUND(C103*B103,2)+0.01</f>
        <v>-3000419.81</v>
      </c>
      <c r="F103" s="78">
        <f t="shared" si="30"/>
        <v>80766.38</v>
      </c>
      <c r="H103" s="77">
        <f t="shared" si="29"/>
        <v>10175463.499999996</v>
      </c>
      <c r="I103" s="127"/>
      <c r="J103" s="1">
        <v>10175463.5</v>
      </c>
      <c r="K103" s="40">
        <f t="shared" si="27"/>
        <v>0</v>
      </c>
      <c r="L103" s="9" t="str">
        <f>+'DG 1910.01253'!$L$160</f>
        <v>Brian</v>
      </c>
      <c r="M103" s="10">
        <f>+'DG 1910.01253'!$M$160</f>
        <v>45726</v>
      </c>
    </row>
    <row r="104" spans="1:24">
      <c r="A104" s="39"/>
      <c r="B104" s="79"/>
      <c r="C104" s="205"/>
      <c r="D104" s="50"/>
      <c r="E104" s="40"/>
      <c r="F104" s="78"/>
      <c r="H104" s="77"/>
      <c r="I104" s="127"/>
      <c r="K104" s="40"/>
      <c r="M104" s="10"/>
    </row>
    <row r="105" spans="1:24">
      <c r="A105" s="39"/>
      <c r="B105" s="79"/>
      <c r="C105" s="205"/>
      <c r="D105" s="50"/>
      <c r="E105" s="40"/>
      <c r="F105" s="78"/>
      <c r="H105" s="77"/>
      <c r="I105" s="127"/>
      <c r="K105" s="40"/>
      <c r="M105" s="10"/>
    </row>
    <row r="106" spans="1:24">
      <c r="A106" s="39"/>
      <c r="B106" s="79"/>
      <c r="C106" s="205"/>
      <c r="D106" s="50"/>
      <c r="E106" s="40"/>
      <c r="F106" s="78"/>
      <c r="H106" s="77"/>
      <c r="I106" s="127"/>
      <c r="K106" s="40"/>
      <c r="M106" s="10"/>
    </row>
    <row r="107" spans="1:24">
      <c r="A107" s="39"/>
      <c r="B107" s="79"/>
      <c r="C107" s="205"/>
      <c r="D107" s="50"/>
      <c r="E107" s="40"/>
      <c r="F107" s="78"/>
      <c r="H107" s="77"/>
      <c r="I107" s="127"/>
      <c r="K107" s="40"/>
      <c r="M107" s="10"/>
    </row>
    <row r="108" spans="1:24">
      <c r="A108" s="39"/>
      <c r="B108" s="79"/>
      <c r="C108" s="205"/>
      <c r="D108" s="50"/>
      <c r="E108" s="40"/>
      <c r="F108" s="78"/>
      <c r="H108" s="77"/>
      <c r="I108" s="127"/>
      <c r="K108" s="40"/>
      <c r="M108" s="10"/>
    </row>
    <row r="109" spans="1:24">
      <c r="A109" s="39"/>
      <c r="B109" s="79"/>
      <c r="C109" s="205"/>
      <c r="D109" s="50"/>
      <c r="E109" s="40"/>
      <c r="F109" s="78"/>
      <c r="H109" s="77"/>
      <c r="I109" s="127"/>
      <c r="K109" s="40"/>
      <c r="M109" s="10"/>
    </row>
    <row r="110" spans="1:24">
      <c r="A110" s="39"/>
      <c r="B110" s="79"/>
      <c r="C110" s="205"/>
      <c r="D110" s="50"/>
      <c r="E110" s="40"/>
      <c r="F110" s="78"/>
      <c r="H110" s="77"/>
      <c r="I110" s="127"/>
      <c r="K110" s="40"/>
      <c r="M110" s="10"/>
    </row>
    <row r="111" spans="1:24">
      <c r="A111" s="39"/>
      <c r="B111" s="79"/>
      <c r="C111" s="205"/>
      <c r="D111" s="50"/>
      <c r="E111" s="40"/>
      <c r="F111" s="78"/>
      <c r="H111" s="77"/>
      <c r="I111" s="127"/>
      <c r="K111" s="40"/>
      <c r="M111" s="10"/>
    </row>
    <row r="112" spans="1:24">
      <c r="A112" s="560"/>
      <c r="B112" s="560"/>
      <c r="C112" s="560"/>
      <c r="D112" s="560"/>
      <c r="E112" s="560"/>
      <c r="F112" s="560"/>
      <c r="G112" s="140"/>
      <c r="H112" s="77"/>
      <c r="I112" s="138"/>
      <c r="K112" s="40"/>
      <c r="M112" s="10"/>
    </row>
    <row r="113" spans="1:13">
      <c r="A113" s="39"/>
      <c r="F113" s="78"/>
      <c r="H113" s="77"/>
      <c r="I113" s="138"/>
      <c r="K113" s="40"/>
      <c r="M113" s="10"/>
    </row>
    <row r="114" spans="1:13">
      <c r="A114" s="39"/>
      <c r="F114" s="78"/>
      <c r="H114" s="77"/>
      <c r="I114" s="138"/>
      <c r="K114" s="40"/>
      <c r="M114" s="10"/>
    </row>
    <row r="115" spans="1:13">
      <c r="A115" s="39"/>
      <c r="F115" s="78"/>
      <c r="H115" s="77"/>
      <c r="I115" s="138"/>
      <c r="K115" s="40"/>
      <c r="M115" s="10"/>
    </row>
    <row r="116" spans="1:13">
      <c r="A116" s="39"/>
      <c r="F116" s="78"/>
      <c r="H116" s="77"/>
      <c r="K116" s="40"/>
      <c r="M116" s="10"/>
    </row>
    <row r="117" spans="1:13">
      <c r="A117" s="39"/>
      <c r="F117" s="78"/>
      <c r="H117" s="77"/>
      <c r="K117" s="40"/>
      <c r="M117" s="10"/>
    </row>
    <row r="118" spans="1:13">
      <c r="A118" s="39"/>
      <c r="F118" s="78"/>
      <c r="H118" s="77"/>
      <c r="K118" s="40"/>
      <c r="M118" s="10"/>
    </row>
    <row r="119" spans="1:13">
      <c r="A119" s="39"/>
      <c r="F119" s="78"/>
      <c r="H119" s="77"/>
      <c r="K119" s="40"/>
      <c r="M119" s="10"/>
    </row>
    <row r="120" spans="1:13">
      <c r="A120" s="39"/>
      <c r="F120" s="78"/>
      <c r="H120" s="77"/>
      <c r="K120" s="40"/>
      <c r="M120" s="10"/>
    </row>
    <row r="121" spans="1:13">
      <c r="A121" s="39"/>
      <c r="F121" s="78"/>
      <c r="H121" s="77"/>
      <c r="K121" s="40"/>
      <c r="M121" s="10"/>
    </row>
    <row r="122" spans="1:13">
      <c r="A122" s="39"/>
      <c r="F122" s="78"/>
      <c r="H122" s="77"/>
      <c r="K122" s="40"/>
      <c r="M122" s="10"/>
    </row>
    <row r="123" spans="1:13">
      <c r="A123" s="39"/>
      <c r="F123" s="78"/>
      <c r="H123" s="77"/>
      <c r="K123" s="40"/>
      <c r="M123" s="10"/>
    </row>
    <row r="124" spans="1:13">
      <c r="A124" s="39"/>
      <c r="F124" s="78"/>
      <c r="H124" s="77"/>
      <c r="K124" s="40"/>
      <c r="M124" s="10"/>
    </row>
    <row r="125" spans="1:13">
      <c r="A125" s="560"/>
      <c r="B125" s="560"/>
      <c r="C125" s="560"/>
      <c r="D125" s="560"/>
      <c r="E125" s="560"/>
      <c r="F125" s="560"/>
      <c r="G125" s="140"/>
      <c r="H125" s="77"/>
      <c r="K125" s="40"/>
      <c r="M125" s="10"/>
    </row>
    <row r="126" spans="1:13">
      <c r="A126" s="39"/>
      <c r="F126" s="78"/>
      <c r="H126" s="77"/>
      <c r="K126" s="40"/>
      <c r="M126" s="10"/>
    </row>
    <row r="127" spans="1:13">
      <c r="A127" s="39"/>
      <c r="F127" s="78"/>
      <c r="H127" s="77"/>
      <c r="K127" s="40"/>
      <c r="M127" s="10"/>
    </row>
    <row r="129" spans="5:5" ht="20.25">
      <c r="E129" s="188"/>
    </row>
  </sheetData>
  <mergeCells count="31">
    <mergeCell ref="A112:F112"/>
    <mergeCell ref="A125:F125"/>
    <mergeCell ref="A99:F99"/>
    <mergeCell ref="A86:F86"/>
    <mergeCell ref="A73:F73"/>
    <mergeCell ref="A7:B7"/>
    <mergeCell ref="C7:H7"/>
    <mergeCell ref="A16:F16"/>
    <mergeCell ref="A31:F31"/>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74" orientation="landscape" r:id="rId1"/>
  <headerFooter scaleWithDoc="0" alignWithMargins="0">
    <oddFooter>&amp;L&amp;"-,Bold"&amp;10Cascade Natural Gas Corporation&amp;C&amp;"-,Bold"&amp;10&amp;P of &amp;N&amp;R&amp;"-,Bold"&amp;10Washington Deferral Accounts</oddFooter>
  </headerFooter>
  <ignoredErrors>
    <ignoredError sqref="P99:Q99 P87:Q87 P74:Q74 S74:X74 S87:X87 S99:X99" formulaRange="1"/>
    <ignoredError sqref="E89:E9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85"/>
  <sheetViews>
    <sheetView view="pageBreakPreview" topLeftCell="F1" zoomScale="130" zoomScaleNormal="100" zoomScaleSheetLayoutView="130" workbookViewId="0">
      <pane ySplit="7" topLeftCell="A8" activePane="bottomLeft" state="frozen"/>
      <selection pane="bottomLeft" activeCell="V1" sqref="V1:V1048576"/>
      <selection activeCell="D162" sqref="D162"/>
    </sheetView>
  </sheetViews>
  <sheetFormatPr defaultColWidth="8.88671875" defaultRowHeight="12.75"/>
  <cols>
    <col min="1" max="2" width="8.88671875" style="1"/>
    <col min="3" max="3" width="10.109375" style="1" customWidth="1"/>
    <col min="4" max="4" width="9.6640625" style="1" bestFit="1" customWidth="1"/>
    <col min="5" max="5" width="11.44140625" style="1" customWidth="1"/>
    <col min="6" max="6" width="11.21875" style="1" customWidth="1"/>
    <col min="7" max="7" width="10.77734375" style="1" bestFit="1" customWidth="1"/>
    <col min="8" max="8" width="11.6640625" style="1" customWidth="1"/>
    <col min="9" max="9" width="1.21875" style="1" customWidth="1"/>
    <col min="10" max="10" width="11.33203125" style="1" customWidth="1"/>
    <col min="11" max="11" width="13.44140625" style="1" customWidth="1"/>
    <col min="12" max="12" width="11.88671875" style="9" customWidth="1"/>
    <col min="13" max="13" width="10.33203125" style="9" bestFit="1" customWidth="1"/>
    <col min="14" max="14" width="3.21875" style="1" customWidth="1"/>
    <col min="15" max="15" width="8.88671875" style="1"/>
    <col min="16" max="16" width="10.109375" style="1" bestFit="1" customWidth="1"/>
    <col min="17" max="17" width="8.21875" style="1" bestFit="1" customWidth="1"/>
    <col min="18" max="18" width="7.33203125" style="1" bestFit="1" customWidth="1"/>
    <col min="19" max="19" width="8.21875" style="1" bestFit="1" customWidth="1"/>
    <col min="20" max="20" width="7.109375" style="1" bestFit="1" customWidth="1"/>
    <col min="21" max="21" width="10" style="1" bestFit="1" customWidth="1"/>
    <col min="22" max="22" width="9.6640625" style="1" bestFit="1" customWidth="1"/>
    <col min="23" max="16384" width="8.88671875" style="1"/>
  </cols>
  <sheetData>
    <row r="1" spans="1:21">
      <c r="A1" s="567" t="s">
        <v>52</v>
      </c>
      <c r="B1" s="568"/>
      <c r="C1" s="579" t="s">
        <v>53</v>
      </c>
      <c r="D1" s="579"/>
      <c r="E1" s="579"/>
      <c r="F1" s="579"/>
      <c r="G1" s="579"/>
      <c r="H1" s="580"/>
      <c r="I1" s="11"/>
      <c r="J1" s="128"/>
    </row>
    <row r="2" spans="1:21">
      <c r="A2" s="565" t="s">
        <v>54</v>
      </c>
      <c r="B2" s="566"/>
      <c r="C2" s="561" t="s">
        <v>132</v>
      </c>
      <c r="D2" s="561"/>
      <c r="E2" s="561"/>
      <c r="F2" s="561"/>
      <c r="G2" s="561"/>
      <c r="H2" s="562"/>
      <c r="I2" s="11"/>
      <c r="J2" s="128"/>
    </row>
    <row r="3" spans="1:21" ht="14.25">
      <c r="A3" s="565" t="s">
        <v>56</v>
      </c>
      <c r="B3" s="566"/>
      <c r="C3" s="586" t="s">
        <v>9</v>
      </c>
      <c r="D3" s="586"/>
      <c r="E3" s="586"/>
      <c r="F3" s="586"/>
      <c r="G3" s="586"/>
      <c r="H3" s="587"/>
      <c r="I3" s="11"/>
      <c r="J3" s="128"/>
    </row>
    <row r="4" spans="1:21">
      <c r="A4" s="565" t="s">
        <v>58</v>
      </c>
      <c r="B4" s="566"/>
      <c r="C4" s="581" t="s">
        <v>133</v>
      </c>
      <c r="D4" s="581"/>
      <c r="E4" s="581"/>
      <c r="F4" s="581"/>
      <c r="G4" s="581"/>
      <c r="H4" s="582"/>
      <c r="I4" s="11"/>
      <c r="J4" s="128"/>
    </row>
    <row r="5" spans="1:21">
      <c r="A5" s="565" t="s">
        <v>60</v>
      </c>
      <c r="B5" s="566"/>
      <c r="C5" s="581" t="s">
        <v>63</v>
      </c>
      <c r="D5" s="581"/>
      <c r="E5" s="581"/>
      <c r="F5" s="581"/>
      <c r="G5" s="581"/>
      <c r="H5" s="582"/>
      <c r="I5" s="11"/>
      <c r="J5" s="128"/>
    </row>
    <row r="6" spans="1:21">
      <c r="A6" s="565" t="s">
        <v>62</v>
      </c>
      <c r="B6" s="566"/>
      <c r="C6" s="581" t="s">
        <v>134</v>
      </c>
      <c r="D6" s="581"/>
      <c r="E6" s="581"/>
      <c r="F6" s="581"/>
      <c r="G6" s="581"/>
      <c r="H6" s="582"/>
      <c r="I6" s="11"/>
      <c r="J6" s="128"/>
    </row>
    <row r="7" spans="1:21" ht="28.5" customHeight="1" thickBot="1">
      <c r="A7" s="572" t="s">
        <v>64</v>
      </c>
      <c r="B7" s="573"/>
      <c r="C7" s="584" t="s">
        <v>135</v>
      </c>
      <c r="D7" s="584"/>
      <c r="E7" s="584"/>
      <c r="F7" s="584"/>
      <c r="G7" s="584"/>
      <c r="H7" s="585"/>
      <c r="I7" s="125"/>
      <c r="J7" s="45"/>
    </row>
    <row r="8" spans="1:21">
      <c r="A8" s="6"/>
      <c r="D8" s="571" t="s">
        <v>67</v>
      </c>
      <c r="E8" s="571"/>
      <c r="F8" s="571"/>
    </row>
    <row r="9" spans="1:21" s="98" customFormat="1" ht="28.5" customHeight="1">
      <c r="A9" s="7" t="s">
        <v>69</v>
      </c>
      <c r="B9" s="7" t="s">
        <v>70</v>
      </c>
      <c r="C9" s="7" t="s">
        <v>71</v>
      </c>
      <c r="D9" s="7" t="s">
        <v>72</v>
      </c>
      <c r="E9" s="7" t="s">
        <v>73</v>
      </c>
      <c r="F9" s="7" t="s">
        <v>74</v>
      </c>
      <c r="G9" s="7" t="s">
        <v>75</v>
      </c>
      <c r="H9" s="7" t="s">
        <v>76</v>
      </c>
      <c r="I9" s="126"/>
      <c r="J9" s="7" t="s">
        <v>77</v>
      </c>
      <c r="K9" s="7" t="s">
        <v>78</v>
      </c>
      <c r="L9" s="3" t="s">
        <v>79</v>
      </c>
      <c r="M9" s="3" t="s">
        <v>80</v>
      </c>
      <c r="N9" s="75"/>
    </row>
    <row r="10" spans="1:21" hidden="1">
      <c r="A10" s="47"/>
      <c r="B10" s="47"/>
      <c r="C10" s="47"/>
      <c r="D10" s="47"/>
      <c r="E10" s="47"/>
      <c r="F10" s="47"/>
      <c r="G10" s="47"/>
      <c r="H10" s="42"/>
      <c r="I10" s="121"/>
      <c r="J10" s="45"/>
      <c r="P10" s="22">
        <v>503</v>
      </c>
      <c r="Q10" s="22">
        <v>504</v>
      </c>
      <c r="R10" s="22">
        <v>505</v>
      </c>
      <c r="S10" s="22">
        <v>511</v>
      </c>
      <c r="T10" s="22">
        <v>570</v>
      </c>
      <c r="U10" s="22" t="s">
        <v>115</v>
      </c>
    </row>
    <row r="11" spans="1:21" hidden="1">
      <c r="A11" s="588" t="s">
        <v>136</v>
      </c>
      <c r="B11" s="588"/>
      <c r="C11" s="588"/>
      <c r="D11" s="588"/>
      <c r="E11" s="588"/>
      <c r="F11" s="588"/>
      <c r="G11" s="42">
        <v>46723924.869999997</v>
      </c>
      <c r="H11" s="42"/>
      <c r="I11" s="121"/>
      <c r="J11" s="43"/>
      <c r="K11" s="40"/>
      <c r="O11" s="1" t="s">
        <v>116</v>
      </c>
      <c r="P11" s="12">
        <v>7622134</v>
      </c>
      <c r="Q11" s="12">
        <f>5319138+2955</f>
        <v>5322093</v>
      </c>
      <c r="R11" s="12">
        <f>806453+317</f>
        <v>806770</v>
      </c>
      <c r="S11" s="12">
        <f>626870+1347361+292270</f>
        <v>2266501</v>
      </c>
      <c r="T11" s="12">
        <v>232820</v>
      </c>
      <c r="U11" s="12">
        <f>SUM(P11:T11)</f>
        <v>16250318</v>
      </c>
    </row>
    <row r="12" spans="1:21" hidden="1">
      <c r="A12" s="588" t="s">
        <v>137</v>
      </c>
      <c r="B12" s="588"/>
      <c r="C12" s="588"/>
      <c r="D12" s="588"/>
      <c r="E12" s="588"/>
      <c r="F12" s="588"/>
      <c r="G12" s="42">
        <v>-7685675.8799999999</v>
      </c>
      <c r="H12" s="42"/>
      <c r="I12" s="121"/>
      <c r="J12" s="43"/>
      <c r="K12" s="40"/>
      <c r="O12" s="1" t="s">
        <v>138</v>
      </c>
      <c r="P12" s="44">
        <v>0</v>
      </c>
      <c r="Q12" s="44">
        <v>-2955</v>
      </c>
      <c r="R12" s="44">
        <v>-317</v>
      </c>
      <c r="S12" s="44">
        <v>-1347361</v>
      </c>
      <c r="T12" s="44">
        <v>-232820</v>
      </c>
      <c r="U12" s="44">
        <f>SUM(P12:T12)</f>
        <v>-1583453</v>
      </c>
    </row>
    <row r="13" spans="1:21" hidden="1">
      <c r="A13" s="588" t="s">
        <v>139</v>
      </c>
      <c r="B13" s="588"/>
      <c r="C13" s="588"/>
      <c r="D13" s="588"/>
      <c r="E13" s="588"/>
      <c r="F13" s="588"/>
      <c r="G13" s="42">
        <v>-233366.03</v>
      </c>
      <c r="H13" s="42"/>
      <c r="I13" s="121"/>
      <c r="J13" s="43"/>
      <c r="K13" s="40"/>
      <c r="O13" s="1" t="s">
        <v>118</v>
      </c>
      <c r="P13" s="12">
        <v>4006834</v>
      </c>
      <c r="Q13" s="12">
        <v>2589532</v>
      </c>
      <c r="R13" s="12">
        <v>352170</v>
      </c>
      <c r="S13" s="12">
        <f>410158+192646</f>
        <v>602804</v>
      </c>
      <c r="T13" s="12">
        <v>0</v>
      </c>
      <c r="U13" s="12">
        <f>SUM(P13:T13)</f>
        <v>7551340</v>
      </c>
    </row>
    <row r="14" spans="1:21" hidden="1">
      <c r="A14" s="588"/>
      <c r="B14" s="588"/>
      <c r="C14" s="588"/>
      <c r="D14" s="588"/>
      <c r="E14" s="588"/>
      <c r="F14" s="588"/>
      <c r="G14" s="42"/>
      <c r="H14" s="42">
        <f>SUM(G11:G13)</f>
        <v>38804882.959999993</v>
      </c>
      <c r="I14" s="121"/>
      <c r="J14" s="123"/>
      <c r="K14" s="9"/>
      <c r="O14" s="1" t="s">
        <v>140</v>
      </c>
      <c r="P14" s="44">
        <v>0</v>
      </c>
      <c r="Q14" s="44">
        <v>3958</v>
      </c>
      <c r="R14" s="44">
        <v>491</v>
      </c>
      <c r="S14" s="44">
        <v>1498743</v>
      </c>
      <c r="T14" s="44">
        <v>230233</v>
      </c>
      <c r="U14" s="44">
        <f>SUM(P14:T14)</f>
        <v>1733425</v>
      </c>
    </row>
    <row r="15" spans="1:21" hidden="1">
      <c r="A15" s="41">
        <f>'FERC Interest Rates'!A92</f>
        <v>43799</v>
      </c>
      <c r="B15" s="42" t="s">
        <v>114</v>
      </c>
      <c r="C15" s="87">
        <f>+U15</f>
        <v>23951630</v>
      </c>
      <c r="D15" s="52"/>
      <c r="E15" s="42">
        <f>SUM(ROUND((U11+U12)*-0.0074,2)+ROUND((U13+U14)*-0.05671,2))</f>
        <v>-635073.82000000007</v>
      </c>
      <c r="F15" s="42">
        <f>ROUND(H14*VLOOKUP(A15,FERCINT19,2)/365*VLOOKUP(A15,FERCINT19,3),2)</f>
        <v>172867.78</v>
      </c>
      <c r="G15" s="42"/>
      <c r="H15" s="42">
        <f>H14+SUM(E15:G15)</f>
        <v>38342676.919999994</v>
      </c>
      <c r="I15" s="121"/>
      <c r="J15" s="43">
        <v>38342676.920000002</v>
      </c>
      <c r="K15" s="1">
        <f>J15-H15</f>
        <v>0</v>
      </c>
      <c r="L15" s="9" t="s">
        <v>85</v>
      </c>
      <c r="M15" s="124">
        <v>43809</v>
      </c>
      <c r="N15" s="46"/>
      <c r="O15" s="1" t="s">
        <v>115</v>
      </c>
      <c r="P15" s="64">
        <f t="shared" ref="P15:U15" si="0">SUM(P11:P14)</f>
        <v>11628968</v>
      </c>
      <c r="Q15" s="64">
        <f t="shared" si="0"/>
        <v>7912628</v>
      </c>
      <c r="R15" s="64">
        <f t="shared" si="0"/>
        <v>1159114</v>
      </c>
      <c r="S15" s="64">
        <f t="shared" si="0"/>
        <v>3020687</v>
      </c>
      <c r="T15" s="64">
        <f t="shared" si="0"/>
        <v>230233</v>
      </c>
      <c r="U15" s="64">
        <f t="shared" si="0"/>
        <v>23951630</v>
      </c>
    </row>
    <row r="16" spans="1:21" hidden="1">
      <c r="A16" s="41">
        <f>'FERC Interest Rates'!A93</f>
        <v>43830</v>
      </c>
      <c r="B16" s="88">
        <v>-5.6710000000000003E-2</v>
      </c>
      <c r="C16" s="87">
        <f>+'Therm Sales'!I78</f>
        <v>34636501</v>
      </c>
      <c r="D16" s="52"/>
      <c r="E16" s="63">
        <f>ROUND(C16*B16,2)-0.01</f>
        <v>-1964235.98</v>
      </c>
      <c r="F16" s="42">
        <f t="shared" ref="F16" si="1">ROUND(H15*VLOOKUP(A16,FERCINT19,2)/365*VLOOKUP(A16,FERCINT19,3),2)</f>
        <v>176502.37</v>
      </c>
      <c r="G16" s="42"/>
      <c r="H16" s="42">
        <f>H15+SUM(D16:G16)</f>
        <v>36554943.309999995</v>
      </c>
      <c r="I16" s="121"/>
      <c r="J16" s="43">
        <v>36554943.310000002</v>
      </c>
      <c r="K16" s="40">
        <f>J16-H16</f>
        <v>0</v>
      </c>
      <c r="L16" s="9" t="s">
        <v>85</v>
      </c>
      <c r="M16" s="124">
        <v>43838</v>
      </c>
      <c r="N16" s="46"/>
    </row>
    <row r="17" spans="1:21" hidden="1">
      <c r="A17" s="41">
        <f>'FERC Interest Rates'!A94</f>
        <v>43861</v>
      </c>
      <c r="B17" s="88">
        <v>-5.6710000000000003E-2</v>
      </c>
      <c r="C17" s="87">
        <f>+'Therm Sales'!I79</f>
        <v>41447011</v>
      </c>
      <c r="D17" s="51"/>
      <c r="E17" s="40">
        <f>ROUND(C17*B17,2)</f>
        <v>-2350459.9900000002</v>
      </c>
      <c r="F17" s="42">
        <f t="shared" ref="F17:F29" si="2">ROUND(H16*VLOOKUP(A17,FERCINT20,2)/365*VLOOKUP(A17,FERCINT20,3),2)</f>
        <v>153991.45000000001</v>
      </c>
      <c r="G17" s="45"/>
      <c r="H17" s="48">
        <f>H16+SUM(D17:G17)</f>
        <v>34358474.769999996</v>
      </c>
      <c r="I17" s="121"/>
      <c r="J17" s="43">
        <v>34358474.770000003</v>
      </c>
      <c r="K17" s="40">
        <f t="shared" ref="K17:K40" si="3">J17-H17</f>
        <v>0</v>
      </c>
      <c r="L17" s="9" t="s">
        <v>85</v>
      </c>
      <c r="M17" s="124">
        <v>43871</v>
      </c>
      <c r="N17" s="46"/>
    </row>
    <row r="18" spans="1:21" hidden="1">
      <c r="A18" s="41">
        <f>'FERC Interest Rates'!A95</f>
        <v>43890</v>
      </c>
      <c r="B18" s="88">
        <v>-5.6710000000000003E-2</v>
      </c>
      <c r="C18" s="87">
        <f>+'Therm Sales'!I80</f>
        <v>34316998</v>
      </c>
      <c r="D18" s="51"/>
      <c r="E18" s="40">
        <f>ROUND(C18*B18,2)</f>
        <v>-1946116.96</v>
      </c>
      <c r="F18" s="42">
        <f t="shared" si="2"/>
        <v>135400.63</v>
      </c>
      <c r="G18" s="45"/>
      <c r="H18" s="48">
        <f t="shared" ref="H18:H23" si="4">H17+SUM(D18:G18)</f>
        <v>32547758.439999998</v>
      </c>
      <c r="I18" s="121"/>
      <c r="J18" s="1">
        <v>32547758.440000001</v>
      </c>
      <c r="K18" s="40">
        <f t="shared" si="3"/>
        <v>0</v>
      </c>
      <c r="L18" s="9" t="s">
        <v>85</v>
      </c>
      <c r="M18" s="124">
        <v>43899</v>
      </c>
      <c r="N18" s="46"/>
    </row>
    <row r="19" spans="1:21" hidden="1">
      <c r="A19" s="41">
        <f>'FERC Interest Rates'!A96</f>
        <v>43921</v>
      </c>
      <c r="B19" s="88">
        <v>-5.6710000000000003E-2</v>
      </c>
      <c r="C19" s="87">
        <f>+'Therm Sales'!I81</f>
        <v>34370665</v>
      </c>
      <c r="D19" s="51"/>
      <c r="E19" s="63">
        <f>ROUND(C19*B19,2)-0.01</f>
        <v>-1949160.42</v>
      </c>
      <c r="F19" s="42">
        <f t="shared" si="2"/>
        <v>137110.78</v>
      </c>
      <c r="G19" s="45"/>
      <c r="H19" s="48">
        <f t="shared" si="4"/>
        <v>30735708.799999997</v>
      </c>
      <c r="I19" s="121"/>
      <c r="J19" s="1">
        <v>30735708.800000001</v>
      </c>
      <c r="K19" s="40">
        <f t="shared" si="3"/>
        <v>0</v>
      </c>
      <c r="L19" s="9" t="s">
        <v>85</v>
      </c>
      <c r="M19" s="124">
        <v>43929</v>
      </c>
      <c r="N19" s="46"/>
    </row>
    <row r="20" spans="1:21" hidden="1">
      <c r="A20" s="41">
        <f>'FERC Interest Rates'!A97</f>
        <v>43951</v>
      </c>
      <c r="B20" s="88">
        <v>-5.6710000000000003E-2</v>
      </c>
      <c r="C20" s="87">
        <f>+'Therm Sales'!I82</f>
        <v>26722621</v>
      </c>
      <c r="D20" s="51"/>
      <c r="E20" s="63">
        <f>ROUND(C20*B20,2)-0.01</f>
        <v>-1515439.85</v>
      </c>
      <c r="F20" s="42">
        <f t="shared" si="2"/>
        <v>119995.58</v>
      </c>
      <c r="G20" s="45"/>
      <c r="H20" s="48">
        <f t="shared" si="4"/>
        <v>29340264.529999997</v>
      </c>
      <c r="I20" s="121"/>
      <c r="J20" s="1">
        <v>29340264.530000001</v>
      </c>
      <c r="K20" s="40">
        <f t="shared" si="3"/>
        <v>0</v>
      </c>
      <c r="L20" s="9" t="s">
        <v>85</v>
      </c>
      <c r="M20" s="124">
        <v>43963</v>
      </c>
      <c r="N20" s="46"/>
    </row>
    <row r="21" spans="1:21" hidden="1">
      <c r="A21" s="41">
        <f>'FERC Interest Rates'!A98</f>
        <v>43982</v>
      </c>
      <c r="B21" s="88">
        <v>-5.6710000000000003E-2</v>
      </c>
      <c r="C21" s="87">
        <f>+'Therm Sales'!I83</f>
        <v>13504949</v>
      </c>
      <c r="D21" s="51"/>
      <c r="E21" s="40">
        <f>ROUND(C21*B21,2)</f>
        <v>-765865.66</v>
      </c>
      <c r="F21" s="42">
        <f t="shared" si="2"/>
        <v>118365.86</v>
      </c>
      <c r="G21" s="45"/>
      <c r="H21" s="48">
        <f t="shared" si="4"/>
        <v>28692764.729999997</v>
      </c>
      <c r="I21" s="121"/>
      <c r="J21" s="1">
        <v>28692764.73</v>
      </c>
      <c r="K21" s="40">
        <f t="shared" si="3"/>
        <v>0</v>
      </c>
      <c r="L21" s="9" t="s">
        <v>85</v>
      </c>
      <c r="M21" s="124">
        <v>43990</v>
      </c>
      <c r="N21" s="46"/>
    </row>
    <row r="22" spans="1:21" hidden="1">
      <c r="A22" s="41">
        <f>'FERC Interest Rates'!A99</f>
        <v>44012</v>
      </c>
      <c r="B22" s="88">
        <v>-5.6710000000000003E-2</v>
      </c>
      <c r="C22" s="87">
        <f>+'Therm Sales'!I84</f>
        <v>10562993</v>
      </c>
      <c r="D22" s="51"/>
      <c r="E22" s="40">
        <f t="shared" ref="E22" si="5">ROUND(C22*B22,2)</f>
        <v>-599027.32999999996</v>
      </c>
      <c r="F22" s="42">
        <f t="shared" si="2"/>
        <v>112019.7</v>
      </c>
      <c r="G22" s="45"/>
      <c r="H22" s="48">
        <f t="shared" si="4"/>
        <v>28205757.099999998</v>
      </c>
      <c r="I22" s="127"/>
      <c r="J22" s="1">
        <v>28205757.100000001</v>
      </c>
      <c r="K22" s="40">
        <f t="shared" si="3"/>
        <v>0</v>
      </c>
      <c r="L22" s="9" t="s">
        <v>85</v>
      </c>
      <c r="M22" s="124">
        <v>44020</v>
      </c>
      <c r="N22" s="46"/>
    </row>
    <row r="23" spans="1:21" hidden="1">
      <c r="A23" s="41">
        <f>'FERC Interest Rates'!A100</f>
        <v>44043</v>
      </c>
      <c r="B23" s="88">
        <v>-5.6710000000000003E-2</v>
      </c>
      <c r="C23" s="87">
        <f>+'Therm Sales'!I85</f>
        <v>9083808</v>
      </c>
      <c r="D23" s="50"/>
      <c r="E23" s="63">
        <f>ROUND(C23*B23,2)-0.01</f>
        <v>-515142.76</v>
      </c>
      <c r="F23" s="42">
        <f t="shared" si="2"/>
        <v>82167.62</v>
      </c>
      <c r="H23" s="48">
        <f t="shared" si="4"/>
        <v>27772781.959999997</v>
      </c>
      <c r="I23" s="127"/>
      <c r="J23" s="1">
        <v>27772781.960000001</v>
      </c>
      <c r="K23" s="40">
        <f t="shared" si="3"/>
        <v>0</v>
      </c>
      <c r="L23" s="9" t="s">
        <v>85</v>
      </c>
      <c r="M23" s="124">
        <v>44053</v>
      </c>
      <c r="N23" s="46"/>
      <c r="P23" s="22">
        <v>503</v>
      </c>
      <c r="Q23" s="22">
        <v>504</v>
      </c>
      <c r="R23" s="22">
        <v>505</v>
      </c>
      <c r="S23" s="22">
        <v>511</v>
      </c>
      <c r="T23" s="22">
        <v>570</v>
      </c>
      <c r="U23" s="22" t="s">
        <v>115</v>
      </c>
    </row>
    <row r="24" spans="1:21" hidden="1">
      <c r="A24" s="41">
        <f>'FERC Interest Rates'!A101</f>
        <v>44074</v>
      </c>
      <c r="B24" s="88">
        <v>-5.6710000000000003E-2</v>
      </c>
      <c r="C24" s="87">
        <f>+'Therm Sales'!I86</f>
        <v>6752494</v>
      </c>
      <c r="D24" s="50"/>
      <c r="E24" s="63">
        <f>ROUND(C24*B24,2)-0.02</f>
        <v>-382933.95</v>
      </c>
      <c r="F24" s="42">
        <f t="shared" si="2"/>
        <v>80906.3</v>
      </c>
      <c r="H24" s="48">
        <f t="shared" ref="H24:H39" si="6">H23+SUM(D24:G24)</f>
        <v>27470754.309999999</v>
      </c>
      <c r="I24" s="127"/>
      <c r="J24" s="1">
        <v>27470754.309999999</v>
      </c>
      <c r="K24" s="40">
        <f t="shared" si="3"/>
        <v>0</v>
      </c>
      <c r="L24" s="9" t="s">
        <v>85</v>
      </c>
      <c r="M24" s="124">
        <v>44084</v>
      </c>
      <c r="N24" s="46"/>
      <c r="O24" s="1" t="s">
        <v>116</v>
      </c>
      <c r="P24" s="12">
        <v>6886950</v>
      </c>
      <c r="Q24" s="12">
        <f>4428383+3290</f>
        <v>4431673</v>
      </c>
      <c r="R24" s="12">
        <v>615235</v>
      </c>
      <c r="S24" s="12">
        <f>570674+33943+224068</f>
        <v>828685</v>
      </c>
      <c r="T24" s="12">
        <v>178840</v>
      </c>
      <c r="U24" s="12">
        <f>SUM(P24:T24)</f>
        <v>12941383</v>
      </c>
    </row>
    <row r="25" spans="1:21" hidden="1">
      <c r="A25" s="41">
        <f>'FERC Interest Rates'!A102</f>
        <v>44104</v>
      </c>
      <c r="B25" s="88">
        <v>-5.6710000000000003E-2</v>
      </c>
      <c r="C25" s="87">
        <f>+'Therm Sales'!I87</f>
        <v>7390192</v>
      </c>
      <c r="D25" s="50"/>
      <c r="E25" s="40">
        <f t="shared" ref="E25:E38" si="7">ROUND(C25*B25,2)</f>
        <v>-419097.79</v>
      </c>
      <c r="F25" s="42">
        <f t="shared" si="2"/>
        <v>77444.95</v>
      </c>
      <c r="H25" s="48">
        <f t="shared" si="6"/>
        <v>27129101.469999999</v>
      </c>
      <c r="I25" s="127"/>
      <c r="J25" s="1">
        <v>27129101.469999999</v>
      </c>
      <c r="K25" s="40">
        <f t="shared" si="3"/>
        <v>0</v>
      </c>
      <c r="L25" s="9" t="s">
        <v>85</v>
      </c>
      <c r="M25" s="124">
        <v>44111</v>
      </c>
      <c r="N25" s="46"/>
      <c r="O25" s="1" t="s">
        <v>138</v>
      </c>
      <c r="P25" s="44">
        <v>0</v>
      </c>
      <c r="Q25" s="44">
        <v>-3290</v>
      </c>
      <c r="R25" s="44">
        <v>0</v>
      </c>
      <c r="S25" s="44">
        <v>-33943</v>
      </c>
      <c r="T25" s="44">
        <v>-178840</v>
      </c>
      <c r="U25" s="44">
        <f>SUM(P25:T25)</f>
        <v>-216073</v>
      </c>
    </row>
    <row r="26" spans="1:21" hidden="1">
      <c r="A26" s="41">
        <f>'FERC Interest Rates'!A103</f>
        <v>44135</v>
      </c>
      <c r="B26" s="88">
        <v>-5.6710000000000003E-2</v>
      </c>
      <c r="C26" s="87">
        <f>+'Therm Sales'!I88</f>
        <v>9479391</v>
      </c>
      <c r="D26" s="50"/>
      <c r="E26" s="63">
        <f>ROUND(C26*B26,2)-0.01</f>
        <v>-537576.27</v>
      </c>
      <c r="F26" s="42">
        <f t="shared" si="2"/>
        <v>74883.75</v>
      </c>
      <c r="H26" s="48">
        <f t="shared" si="6"/>
        <v>26666408.949999999</v>
      </c>
      <c r="I26" s="127"/>
      <c r="J26" s="1">
        <v>26666408.949999999</v>
      </c>
      <c r="K26" s="40">
        <f t="shared" si="3"/>
        <v>0</v>
      </c>
      <c r="L26" s="9" t="s">
        <v>85</v>
      </c>
      <c r="M26" s="124">
        <v>44141</v>
      </c>
      <c r="N26" s="46"/>
      <c r="O26" s="1" t="s">
        <v>118</v>
      </c>
      <c r="P26" s="12">
        <v>3564962</v>
      </c>
      <c r="Q26" s="12">
        <v>2059842</v>
      </c>
      <c r="R26" s="12">
        <v>255052</v>
      </c>
      <c r="S26" s="12">
        <f>268370+108414</f>
        <v>376784</v>
      </c>
      <c r="T26" s="40">
        <v>0</v>
      </c>
      <c r="U26" s="12">
        <f>SUM(P26:T26)</f>
        <v>6256640</v>
      </c>
    </row>
    <row r="27" spans="1:21" hidden="1">
      <c r="A27" s="588" t="s">
        <v>141</v>
      </c>
      <c r="B27" s="588"/>
      <c r="C27" s="588"/>
      <c r="D27" s="588"/>
      <c r="E27" s="588"/>
      <c r="F27" s="588"/>
      <c r="G27" s="1">
        <f>9515894.87+277480.27</f>
        <v>9793375.1399999987</v>
      </c>
      <c r="H27" s="48">
        <f t="shared" si="6"/>
        <v>36459784.089999996</v>
      </c>
      <c r="I27" s="127"/>
      <c r="K27" s="40"/>
      <c r="M27" s="124"/>
      <c r="N27" s="46"/>
      <c r="O27" s="1" t="s">
        <v>140</v>
      </c>
      <c r="P27" s="44">
        <v>0</v>
      </c>
      <c r="Q27" s="44">
        <v>5658</v>
      </c>
      <c r="R27" s="44">
        <v>0</v>
      </c>
      <c r="S27" s="44">
        <v>72965</v>
      </c>
      <c r="T27" s="44">
        <v>220318</v>
      </c>
      <c r="U27" s="44">
        <f>SUM(P27:T27)</f>
        <v>298941</v>
      </c>
    </row>
    <row r="28" spans="1:21" hidden="1">
      <c r="A28" s="41">
        <f>'FERC Interest Rates'!A104</f>
        <v>44165</v>
      </c>
      <c r="B28" s="42" t="s">
        <v>114</v>
      </c>
      <c r="C28" s="87">
        <f>+'Therm Sales'!I89</f>
        <v>19280891</v>
      </c>
      <c r="D28" s="50"/>
      <c r="E28" s="42">
        <f>SUM(ROUND((U24+U25)*-0.05671,2)+ROUND((U26+U27)*-0.07006,2))</f>
        <v>-1180936.33</v>
      </c>
      <c r="F28" s="42">
        <f t="shared" si="2"/>
        <v>97392.57</v>
      </c>
      <c r="H28" s="48">
        <f t="shared" si="6"/>
        <v>35376240.329999998</v>
      </c>
      <c r="I28" s="127"/>
      <c r="J28" s="1">
        <v>35375499.119999997</v>
      </c>
      <c r="K28" s="40">
        <f t="shared" si="3"/>
        <v>-741.21000000089407</v>
      </c>
      <c r="L28" s="9" t="s">
        <v>85</v>
      </c>
      <c r="M28" s="124">
        <v>44173</v>
      </c>
      <c r="N28" s="46"/>
      <c r="O28" s="1" t="s">
        <v>115</v>
      </c>
      <c r="P28" s="64">
        <f t="shared" ref="P28:U28" si="8">SUM(P24:P27)</f>
        <v>10451912</v>
      </c>
      <c r="Q28" s="64">
        <f t="shared" si="8"/>
        <v>6493883</v>
      </c>
      <c r="R28" s="64">
        <f t="shared" si="8"/>
        <v>870287</v>
      </c>
      <c r="S28" s="64">
        <f t="shared" si="8"/>
        <v>1244491</v>
      </c>
      <c r="T28" s="64">
        <f>SUM(T24:T27)</f>
        <v>220318</v>
      </c>
      <c r="U28" s="64">
        <f t="shared" si="8"/>
        <v>19280891</v>
      </c>
    </row>
    <row r="29" spans="1:21" hidden="1">
      <c r="A29" s="41">
        <f>'FERC Interest Rates'!A105</f>
        <v>44196</v>
      </c>
      <c r="B29" s="88">
        <v>-7.0059999999999997E-2</v>
      </c>
      <c r="C29" s="87">
        <f>+'Therm Sales'!I90</f>
        <v>34057490</v>
      </c>
      <c r="D29" s="50"/>
      <c r="E29" s="40">
        <f t="shared" si="7"/>
        <v>-2386067.75</v>
      </c>
      <c r="F29" s="42">
        <f t="shared" si="2"/>
        <v>97648.12</v>
      </c>
      <c r="H29" s="48">
        <f t="shared" si="6"/>
        <v>33087820.699999999</v>
      </c>
      <c r="I29" s="127"/>
      <c r="J29" s="1">
        <f>33087079.49+741.21</f>
        <v>33087820.699999999</v>
      </c>
      <c r="K29" s="40">
        <f t="shared" si="3"/>
        <v>0</v>
      </c>
      <c r="L29" s="9" t="s">
        <v>85</v>
      </c>
      <c r="M29" s="124">
        <v>44204</v>
      </c>
      <c r="N29" s="46"/>
    </row>
    <row r="30" spans="1:21" hidden="1">
      <c r="A30" s="41">
        <f>'FERC Interest Rates'!A106</f>
        <v>44227</v>
      </c>
      <c r="B30" s="88">
        <v>-7.0059999999999997E-2</v>
      </c>
      <c r="C30" s="87">
        <f>+'Therm Sales'!I91</f>
        <v>35952500</v>
      </c>
      <c r="D30" s="50"/>
      <c r="E30" s="40">
        <f t="shared" si="7"/>
        <v>-2518832.15</v>
      </c>
      <c r="F30" s="42">
        <f t="shared" ref="F30:F39" si="9">ROUND(H29*VLOOKUP(A30,FERCINT21,2)/365*VLOOKUP(A30,FERCINT21,3),2)</f>
        <v>91331.45</v>
      </c>
      <c r="H30" s="48">
        <f t="shared" si="6"/>
        <v>30660320</v>
      </c>
      <c r="I30" s="127"/>
      <c r="J30" s="1">
        <v>30660320</v>
      </c>
      <c r="K30" s="40">
        <f t="shared" si="3"/>
        <v>0</v>
      </c>
      <c r="L30" s="9" t="s">
        <v>85</v>
      </c>
      <c r="M30" s="124">
        <v>44236</v>
      </c>
    </row>
    <row r="31" spans="1:21" hidden="1">
      <c r="A31" s="41">
        <f>'FERC Interest Rates'!A107</f>
        <v>44255</v>
      </c>
      <c r="B31" s="88">
        <v>-7.0059999999999997E-2</v>
      </c>
      <c r="C31" s="87">
        <f>+'Therm Sales'!I92</f>
        <v>33909523</v>
      </c>
      <c r="D31" s="50"/>
      <c r="E31" s="40">
        <f t="shared" si="7"/>
        <v>-2375701.1800000002</v>
      </c>
      <c r="F31" s="42">
        <f t="shared" si="9"/>
        <v>76440.800000000003</v>
      </c>
      <c r="H31" s="48">
        <f t="shared" si="6"/>
        <v>28361059.620000001</v>
      </c>
      <c r="I31" s="127"/>
      <c r="J31" s="1">
        <v>28361059.620000001</v>
      </c>
      <c r="K31" s="40">
        <f t="shared" si="3"/>
        <v>0</v>
      </c>
      <c r="L31" s="9" t="s">
        <v>85</v>
      </c>
      <c r="M31" s="124">
        <v>44263</v>
      </c>
      <c r="P31" s="12"/>
      <c r="Q31" s="12"/>
      <c r="R31" s="12"/>
      <c r="S31" s="12"/>
      <c r="T31" s="12"/>
      <c r="U31" s="12"/>
    </row>
    <row r="32" spans="1:21" hidden="1">
      <c r="A32" s="41">
        <f>'FERC Interest Rates'!A108</f>
        <v>44286</v>
      </c>
      <c r="B32" s="88">
        <v>-7.0059999999999997E-2</v>
      </c>
      <c r="C32" s="87">
        <f>+'Therm Sales'!I93</f>
        <v>36377608</v>
      </c>
      <c r="D32" s="50"/>
      <c r="E32" s="63">
        <f>ROUND(C32*B32,2)-0.01</f>
        <v>-2548615.23</v>
      </c>
      <c r="F32" s="42">
        <f t="shared" si="9"/>
        <v>78284.289999999994</v>
      </c>
      <c r="H32" s="48">
        <f t="shared" si="6"/>
        <v>25890728.68</v>
      </c>
      <c r="I32" s="127"/>
      <c r="J32" s="1">
        <v>25890728.68</v>
      </c>
      <c r="K32" s="40">
        <f t="shared" si="3"/>
        <v>0</v>
      </c>
      <c r="L32" s="9" t="s">
        <v>85</v>
      </c>
      <c r="M32" s="124">
        <v>44293</v>
      </c>
      <c r="P32" s="12"/>
      <c r="Q32" s="12"/>
      <c r="R32" s="12"/>
      <c r="S32" s="12"/>
      <c r="T32" s="12"/>
      <c r="U32" s="12"/>
    </row>
    <row r="33" spans="1:21" hidden="1">
      <c r="A33" s="41">
        <f>'FERC Interest Rates'!A109</f>
        <v>44316</v>
      </c>
      <c r="B33" s="88">
        <v>-7.0059999999999997E-2</v>
      </c>
      <c r="C33" s="87">
        <f>+'Therm Sales'!I94</f>
        <v>25532431</v>
      </c>
      <c r="D33" s="50"/>
      <c r="E33" s="63">
        <f>ROUND(C33*B33,2)+0.01</f>
        <v>-1788802.11</v>
      </c>
      <c r="F33" s="42">
        <f t="shared" si="9"/>
        <v>69160.17</v>
      </c>
      <c r="H33" s="48">
        <f t="shared" si="6"/>
        <v>24171086.739999998</v>
      </c>
      <c r="I33" s="127"/>
      <c r="J33" s="1">
        <v>24171086.739999998</v>
      </c>
      <c r="K33" s="40">
        <f t="shared" si="3"/>
        <v>0</v>
      </c>
      <c r="L33" s="9" t="s">
        <v>85</v>
      </c>
      <c r="M33" s="124">
        <v>44326</v>
      </c>
      <c r="P33" s="12"/>
      <c r="Q33" s="12"/>
      <c r="R33" s="12"/>
      <c r="S33" s="12"/>
      <c r="T33" s="12"/>
      <c r="U33" s="12"/>
    </row>
    <row r="34" spans="1:21" hidden="1">
      <c r="A34" s="41">
        <f>'FERC Interest Rates'!A110</f>
        <v>44347</v>
      </c>
      <c r="B34" s="88">
        <v>-7.0059999999999997E-2</v>
      </c>
      <c r="C34" s="87">
        <f>+'Therm Sales'!I95</f>
        <v>13309390</v>
      </c>
      <c r="D34" s="50"/>
      <c r="E34" s="63">
        <f>ROUND(C34*B34,2)-0.01</f>
        <v>-932455.87</v>
      </c>
      <c r="F34" s="42">
        <f t="shared" si="9"/>
        <v>66718.820000000007</v>
      </c>
      <c r="H34" s="48">
        <f t="shared" si="6"/>
        <v>23305349.689999998</v>
      </c>
      <c r="I34" s="127"/>
      <c r="J34" s="1">
        <v>23305349.690000001</v>
      </c>
      <c r="K34" s="40">
        <f t="shared" si="3"/>
        <v>0</v>
      </c>
      <c r="L34" s="9" t="s">
        <v>85</v>
      </c>
      <c r="M34" s="124">
        <v>44355</v>
      </c>
    </row>
    <row r="35" spans="1:21" hidden="1">
      <c r="A35" s="41">
        <f>'FERC Interest Rates'!A111</f>
        <v>44377</v>
      </c>
      <c r="B35" s="88">
        <v>-7.0059999999999997E-2</v>
      </c>
      <c r="C35" s="87">
        <f>+'Therm Sales'!I96</f>
        <v>10832413</v>
      </c>
      <c r="D35" s="50"/>
      <c r="E35" s="63">
        <f>ROUND(C35*B35,2)-0.01</f>
        <v>-758918.86</v>
      </c>
      <c r="F35" s="42">
        <f t="shared" si="9"/>
        <v>62254.02</v>
      </c>
      <c r="H35" s="48">
        <f t="shared" si="6"/>
        <v>22608684.849999998</v>
      </c>
      <c r="I35" s="127"/>
      <c r="J35" s="1">
        <v>22608684.850000001</v>
      </c>
      <c r="K35" s="40">
        <f t="shared" si="3"/>
        <v>0</v>
      </c>
      <c r="L35" s="9" t="s">
        <v>85</v>
      </c>
      <c r="M35" s="124">
        <v>44386</v>
      </c>
    </row>
    <row r="36" spans="1:21" hidden="1">
      <c r="A36" s="41">
        <f>'FERC Interest Rates'!A112</f>
        <v>44408</v>
      </c>
      <c r="B36" s="88">
        <v>-7.0059999999999997E-2</v>
      </c>
      <c r="C36" s="87">
        <f>+'Therm Sales'!I97</f>
        <v>6955024</v>
      </c>
      <c r="D36" s="50"/>
      <c r="E36" s="63">
        <f>ROUND(C36*B36,2)+0.01</f>
        <v>-487268.97</v>
      </c>
      <c r="F36" s="42">
        <f t="shared" si="9"/>
        <v>62406.16</v>
      </c>
      <c r="H36" s="48">
        <f t="shared" si="6"/>
        <v>22183822.039999999</v>
      </c>
      <c r="I36" s="127"/>
      <c r="J36" s="1">
        <v>22183822.039999999</v>
      </c>
      <c r="K36" s="40">
        <f t="shared" si="3"/>
        <v>0</v>
      </c>
      <c r="L36" s="9" t="s">
        <v>85</v>
      </c>
      <c r="M36" s="124">
        <v>44417</v>
      </c>
    </row>
    <row r="37" spans="1:21" hidden="1">
      <c r="A37" s="41">
        <f>'FERC Interest Rates'!A113</f>
        <v>44439</v>
      </c>
      <c r="B37" s="88">
        <v>-7.0059999999999997E-2</v>
      </c>
      <c r="C37" s="87">
        <f>+'Therm Sales'!I98</f>
        <v>6421769</v>
      </c>
      <c r="D37" s="50"/>
      <c r="E37" s="63">
        <f>ROUND(C37*B37,2)+0.01</f>
        <v>-449909.13</v>
      </c>
      <c r="F37" s="42">
        <f t="shared" si="9"/>
        <v>61233.43</v>
      </c>
      <c r="H37" s="48">
        <f t="shared" si="6"/>
        <v>21795146.34</v>
      </c>
      <c r="I37" s="127"/>
      <c r="J37" s="1">
        <v>21795146.34</v>
      </c>
      <c r="K37" s="40">
        <f t="shared" si="3"/>
        <v>0</v>
      </c>
      <c r="L37" s="9" t="s">
        <v>85</v>
      </c>
      <c r="M37" s="124">
        <v>44448</v>
      </c>
    </row>
    <row r="38" spans="1:21" hidden="1">
      <c r="A38" s="41">
        <f>'FERC Interest Rates'!A114</f>
        <v>44469</v>
      </c>
      <c r="B38" s="88">
        <v>-7.0059999999999997E-2</v>
      </c>
      <c r="C38" s="87">
        <f>+'Therm Sales'!I99</f>
        <v>7139967</v>
      </c>
      <c r="D38" s="50"/>
      <c r="E38" s="40">
        <f t="shared" si="7"/>
        <v>-500226.09</v>
      </c>
      <c r="F38" s="42">
        <f t="shared" si="9"/>
        <v>58219.91</v>
      </c>
      <c r="H38" s="48">
        <f t="shared" si="6"/>
        <v>21353140.16</v>
      </c>
      <c r="I38" s="127"/>
      <c r="J38" s="1">
        <v>21353140.16</v>
      </c>
      <c r="K38" s="40">
        <f t="shared" si="3"/>
        <v>0</v>
      </c>
      <c r="L38" s="9" t="s">
        <v>85</v>
      </c>
      <c r="M38" s="124">
        <v>44476</v>
      </c>
    </row>
    <row r="39" spans="1:21" hidden="1">
      <c r="A39" s="41">
        <f>'FERC Interest Rates'!A115</f>
        <v>44500</v>
      </c>
      <c r="B39" s="88">
        <v>-7.0059999999999997E-2</v>
      </c>
      <c r="C39" s="87">
        <f>+'Therm Sales'!I100</f>
        <v>11546479</v>
      </c>
      <c r="D39" s="50"/>
      <c r="E39" s="63">
        <f>ROUND(C39*B39,2)+0.01</f>
        <v>-808946.30999999994</v>
      </c>
      <c r="F39" s="42">
        <f t="shared" si="9"/>
        <v>58940.52</v>
      </c>
      <c r="H39" s="48">
        <f t="shared" si="6"/>
        <v>20603134.370000001</v>
      </c>
      <c r="I39" s="127"/>
      <c r="J39" s="1">
        <v>20603134.370000001</v>
      </c>
      <c r="K39" s="40">
        <f t="shared" si="3"/>
        <v>0</v>
      </c>
      <c r="L39" s="9" t="s">
        <v>85</v>
      </c>
      <c r="M39" s="124">
        <v>44505</v>
      </c>
    </row>
    <row r="40" spans="1:21" hidden="1">
      <c r="A40" s="588" t="s">
        <v>141</v>
      </c>
      <c r="B40" s="588"/>
      <c r="C40" s="588"/>
      <c r="D40" s="588"/>
      <c r="E40" s="588"/>
      <c r="F40" s="588"/>
      <c r="G40" s="1">
        <v>-20603134.370000001</v>
      </c>
      <c r="H40" s="48">
        <f t="shared" ref="H40" si="10">H39+SUM(D40:G40)</f>
        <v>0</v>
      </c>
      <c r="I40" s="127"/>
      <c r="J40" s="1">
        <v>0</v>
      </c>
      <c r="K40" s="40">
        <f t="shared" si="3"/>
        <v>0</v>
      </c>
      <c r="L40" s="9" t="s">
        <v>85</v>
      </c>
      <c r="M40" s="124">
        <v>44539</v>
      </c>
    </row>
    <row r="41" spans="1:21" hidden="1">
      <c r="A41" s="141"/>
      <c r="B41" s="141"/>
      <c r="C41" s="141"/>
      <c r="D41" s="141"/>
      <c r="E41" s="141"/>
      <c r="F41" s="141"/>
      <c r="H41" s="48"/>
      <c r="I41" s="127"/>
      <c r="K41" s="40"/>
      <c r="M41" s="124"/>
    </row>
    <row r="42" spans="1:21" hidden="1">
      <c r="A42" s="141"/>
      <c r="B42" s="141"/>
      <c r="C42" s="141"/>
      <c r="D42" s="141"/>
      <c r="E42" s="141"/>
      <c r="F42" s="141"/>
      <c r="H42" s="48"/>
      <c r="I42" s="127"/>
      <c r="K42" s="40"/>
      <c r="M42" s="124"/>
    </row>
    <row r="43" spans="1:21" hidden="1">
      <c r="A43" s="588" t="s">
        <v>136</v>
      </c>
      <c r="B43" s="588"/>
      <c r="C43" s="588"/>
      <c r="D43" s="588"/>
      <c r="E43" s="588"/>
      <c r="F43" s="588"/>
      <c r="G43" s="1">
        <v>154162528.74000001</v>
      </c>
      <c r="H43" s="48">
        <f>H40+SUM(D43:G43)</f>
        <v>154162528.74000001</v>
      </c>
      <c r="I43" s="127"/>
      <c r="K43" s="40"/>
      <c r="M43" s="124"/>
      <c r="P43" s="22">
        <v>503</v>
      </c>
      <c r="Q43" s="22">
        <v>504</v>
      </c>
      <c r="R43" s="22">
        <v>505</v>
      </c>
      <c r="S43" s="22">
        <v>511</v>
      </c>
      <c r="T43" s="22">
        <v>570</v>
      </c>
      <c r="U43" s="22" t="s">
        <v>115</v>
      </c>
    </row>
    <row r="44" spans="1:21">
      <c r="A44" s="41">
        <f>'FERC Interest Rates'!A140</f>
        <v>45260</v>
      </c>
      <c r="B44" s="88">
        <v>-0.31866</v>
      </c>
      <c r="C44" s="87">
        <f>+U47+U48+U49</f>
        <v>30467501</v>
      </c>
      <c r="D44" s="50"/>
      <c r="E44" s="122">
        <f>SUM(ROUND((U44+U45)*0,2)+ROUND((U47+U48+U49)*-0.31866,2))-0.01</f>
        <v>-9708773.879999999</v>
      </c>
      <c r="F44" s="42">
        <f>ROUND(H43*VLOOKUP(A44,FERCINT23,2)/365*VLOOKUP(A44,FERCINT23,3),2)</f>
        <v>1058019.55</v>
      </c>
      <c r="H44" s="48">
        <f t="shared" ref="H44:H55" si="11">H43+SUM(D44:G44)</f>
        <v>145511774.41000003</v>
      </c>
      <c r="I44" s="127"/>
      <c r="J44" s="1">
        <v>145511774.41</v>
      </c>
      <c r="K44" s="40">
        <f t="shared" ref="K44:K55" si="12">J44-H44</f>
        <v>0</v>
      </c>
      <c r="L44" s="9" t="s">
        <v>85</v>
      </c>
      <c r="M44" s="142">
        <v>45271</v>
      </c>
      <c r="O44" s="13" t="s">
        <v>116</v>
      </c>
      <c r="P44" s="12">
        <v>6106672</v>
      </c>
      <c r="Q44" s="12">
        <f>6015+4472302</f>
        <v>4478317</v>
      </c>
      <c r="R44" s="12">
        <v>642618</v>
      </c>
      <c r="S44" s="12">
        <f>446328+52254+177722</f>
        <v>676304</v>
      </c>
      <c r="T44" s="12">
        <v>169608</v>
      </c>
      <c r="U44" s="12">
        <f t="shared" ref="U44:U49" si="13">SUM(P44:T44)</f>
        <v>12073519</v>
      </c>
    </row>
    <row r="45" spans="1:21">
      <c r="A45" s="41">
        <f>'FERC Interest Rates'!A141</f>
        <v>45291</v>
      </c>
      <c r="B45" s="88">
        <v>-0.31866</v>
      </c>
      <c r="C45" s="87">
        <f>+'Therm Sales'!J126</f>
        <v>33487259</v>
      </c>
      <c r="D45" s="50"/>
      <c r="E45" s="63">
        <f>ROUND(C45*B45,2)-0.01</f>
        <v>-10671049.959999999</v>
      </c>
      <c r="F45" s="42">
        <f>ROUND(H44*VLOOKUP(A45,FERCINT23,2)/365*VLOOKUP(A45,FERCINT23,3),2)</f>
        <v>1031937.61</v>
      </c>
      <c r="H45" s="48">
        <f t="shared" si="11"/>
        <v>135872662.06000003</v>
      </c>
      <c r="I45" s="127"/>
      <c r="J45" s="1">
        <v>135872662.06</v>
      </c>
      <c r="K45" s="40">
        <f t="shared" si="12"/>
        <v>0</v>
      </c>
      <c r="L45" s="9" t="s">
        <v>85</v>
      </c>
      <c r="M45" s="142">
        <v>45300</v>
      </c>
      <c r="O45" s="1" t="s">
        <v>138</v>
      </c>
      <c r="P45" s="44"/>
      <c r="Q45" s="44">
        <v>-6015</v>
      </c>
      <c r="R45" s="44"/>
      <c r="S45" s="44">
        <v>-52254</v>
      </c>
      <c r="T45" s="44">
        <v>-169608</v>
      </c>
      <c r="U45" s="44">
        <f t="shared" si="13"/>
        <v>-227877</v>
      </c>
    </row>
    <row r="46" spans="1:21">
      <c r="A46" s="41">
        <f>'FERC Interest Rates'!A142</f>
        <v>45322</v>
      </c>
      <c r="B46" s="88">
        <v>-0.31866</v>
      </c>
      <c r="C46" s="87">
        <f>+'Therm Sales'!J127</f>
        <v>42566487</v>
      </c>
      <c r="D46" s="50"/>
      <c r="E46" s="63">
        <f>ROUND(C46*B46,2)+0.01</f>
        <v>-13564236.74</v>
      </c>
      <c r="F46" s="42">
        <f t="shared" ref="F46:F55" si="14">ROUND(H45*VLOOKUP(A46,FERCINT24,2)/365*VLOOKUP(A46,FERCINT24,3),2)</f>
        <v>980888.94</v>
      </c>
      <c r="H46" s="48">
        <f t="shared" si="11"/>
        <v>123289314.26000004</v>
      </c>
      <c r="I46" s="127"/>
      <c r="J46" s="1">
        <v>123289314.26000001</v>
      </c>
      <c r="K46" s="40">
        <f t="shared" si="12"/>
        <v>0</v>
      </c>
      <c r="L46" s="9" t="s">
        <v>85</v>
      </c>
      <c r="M46" s="142">
        <v>45334</v>
      </c>
      <c r="O46" s="1" t="s">
        <v>128</v>
      </c>
      <c r="U46" s="1">
        <f t="shared" si="13"/>
        <v>0</v>
      </c>
    </row>
    <row r="47" spans="1:21">
      <c r="A47" s="41">
        <f>'FERC Interest Rates'!A143</f>
        <v>45351</v>
      </c>
      <c r="B47" s="88">
        <v>-0.31866</v>
      </c>
      <c r="C47" s="87">
        <f>+'Therm Sales'!J128</f>
        <v>31719911</v>
      </c>
      <c r="D47" s="50"/>
      <c r="E47" s="40">
        <f t="shared" ref="E47:E54" si="15">ROUND(C47*B47,2)</f>
        <v>-10107866.84</v>
      </c>
      <c r="F47" s="42">
        <f t="shared" si="14"/>
        <v>832625.09</v>
      </c>
      <c r="H47" s="48">
        <f t="shared" si="11"/>
        <v>114014072.51000004</v>
      </c>
      <c r="I47" s="127"/>
      <c r="J47" s="1">
        <v>114014072.51000001</v>
      </c>
      <c r="K47" s="40">
        <f t="shared" si="12"/>
        <v>0</v>
      </c>
      <c r="L47" s="9" t="s">
        <v>85</v>
      </c>
      <c r="M47" s="142">
        <v>45359</v>
      </c>
      <c r="O47" s="1" t="s">
        <v>118</v>
      </c>
      <c r="P47" s="12">
        <v>3374620</v>
      </c>
      <c r="Q47" s="12">
        <v>2152700</v>
      </c>
      <c r="R47" s="12">
        <v>346787</v>
      </c>
      <c r="S47" s="12">
        <f>278505+110896</f>
        <v>389401</v>
      </c>
      <c r="T47" s="40"/>
      <c r="U47" s="12">
        <f t="shared" si="13"/>
        <v>6263508</v>
      </c>
    </row>
    <row r="48" spans="1:21">
      <c r="A48" s="41">
        <f>'FERC Interest Rates'!A144</f>
        <v>45382</v>
      </c>
      <c r="B48" s="88">
        <v>-0.31866</v>
      </c>
      <c r="C48" s="87">
        <f>+'Therm Sales'!J129</f>
        <v>26810182</v>
      </c>
      <c r="D48" s="50"/>
      <c r="E48" s="63">
        <f>ROUND(C48*B48,2)+0.03</f>
        <v>-8543332.5700000003</v>
      </c>
      <c r="F48" s="42">
        <f t="shared" si="14"/>
        <v>823087.89</v>
      </c>
      <c r="H48" s="48">
        <f t="shared" si="11"/>
        <v>106293827.83000003</v>
      </c>
      <c r="I48" s="127"/>
      <c r="J48" s="1">
        <v>106293827.83</v>
      </c>
      <c r="K48" s="40">
        <f t="shared" si="12"/>
        <v>0</v>
      </c>
      <c r="L48" s="9" t="s">
        <v>85</v>
      </c>
      <c r="M48" s="142">
        <v>45390</v>
      </c>
      <c r="O48" s="1" t="s">
        <v>140</v>
      </c>
      <c r="P48" s="44"/>
      <c r="Q48" s="44">
        <v>6637</v>
      </c>
      <c r="R48" s="44"/>
      <c r="S48" s="44">
        <v>120295</v>
      </c>
      <c r="T48" s="44">
        <v>236897</v>
      </c>
      <c r="U48" s="44">
        <f t="shared" si="13"/>
        <v>363829</v>
      </c>
    </row>
    <row r="49" spans="1:21">
      <c r="A49" s="41">
        <f>'FERC Interest Rates'!A145</f>
        <v>45412</v>
      </c>
      <c r="B49" s="88">
        <v>-0.31866</v>
      </c>
      <c r="C49" s="87">
        <f>+'Therm Sales'!J130</f>
        <v>17828454</v>
      </c>
      <c r="D49" s="50"/>
      <c r="E49" s="63">
        <f>ROUND(C49*B49,2)+0.01</f>
        <v>-5681215.1400000006</v>
      </c>
      <c r="F49" s="42">
        <f t="shared" si="14"/>
        <v>742600.71</v>
      </c>
      <c r="H49" s="48">
        <f t="shared" si="11"/>
        <v>101355213.40000002</v>
      </c>
      <c r="I49" s="127"/>
      <c r="J49" s="1">
        <v>101355213.40000001</v>
      </c>
      <c r="K49" s="40">
        <f t="shared" si="12"/>
        <v>0</v>
      </c>
      <c r="L49" s="9" t="s">
        <v>85</v>
      </c>
      <c r="M49" s="142">
        <v>45420</v>
      </c>
      <c r="O49" s="106" t="s">
        <v>129</v>
      </c>
      <c r="P49" s="12">
        <v>13431914</v>
      </c>
      <c r="Q49" s="12">
        <v>9375665</v>
      </c>
      <c r="R49" s="12"/>
      <c r="S49" s="12">
        <v>1032585</v>
      </c>
      <c r="T49" s="12"/>
      <c r="U49" s="12">
        <f t="shared" si="13"/>
        <v>23840164</v>
      </c>
    </row>
    <row r="50" spans="1:21">
      <c r="A50" s="41">
        <f>'FERC Interest Rates'!A146</f>
        <v>45443</v>
      </c>
      <c r="B50" s="88">
        <v>-0.31866</v>
      </c>
      <c r="C50" s="87">
        <f>+'Therm Sales'!J131</f>
        <v>12862894</v>
      </c>
      <c r="D50" s="50"/>
      <c r="E50" s="40">
        <f>ROUND(C50*B50,2)</f>
        <v>-4098889.8</v>
      </c>
      <c r="F50" s="42">
        <f t="shared" si="14"/>
        <v>731701.34</v>
      </c>
      <c r="H50" s="48">
        <f t="shared" si="11"/>
        <v>97988024.940000027</v>
      </c>
      <c r="I50" s="127"/>
      <c r="J50" s="1">
        <v>97988024.939999998</v>
      </c>
      <c r="K50" s="40">
        <f t="shared" si="12"/>
        <v>0</v>
      </c>
      <c r="L50" s="9" t="s">
        <v>85</v>
      </c>
      <c r="M50" s="142">
        <v>45453</v>
      </c>
      <c r="O50" s="176" t="s">
        <v>115</v>
      </c>
      <c r="P50" s="64">
        <f>SUM(P44:P49)</f>
        <v>22913206</v>
      </c>
      <c r="Q50" s="64">
        <f t="shared" ref="Q50:U50" si="16">SUM(Q44:Q49)</f>
        <v>16007304</v>
      </c>
      <c r="R50" s="64">
        <f t="shared" si="16"/>
        <v>989405</v>
      </c>
      <c r="S50" s="64">
        <f t="shared" si="16"/>
        <v>2166331</v>
      </c>
      <c r="T50" s="64">
        <f t="shared" si="16"/>
        <v>236897</v>
      </c>
      <c r="U50" s="64">
        <f t="shared" si="16"/>
        <v>42313143</v>
      </c>
    </row>
    <row r="51" spans="1:21">
      <c r="A51" s="41">
        <f>'FERC Interest Rates'!A147</f>
        <v>45473</v>
      </c>
      <c r="B51" s="88">
        <v>-0.31866</v>
      </c>
      <c r="C51" s="87">
        <f>+'Therm Sales'!J132</f>
        <v>7606025</v>
      </c>
      <c r="D51" s="50"/>
      <c r="E51" s="63">
        <f>ROUND(C51*B51,2)+0.01</f>
        <v>-2423735.9200000004</v>
      </c>
      <c r="F51" s="42">
        <f t="shared" si="14"/>
        <v>684573.87</v>
      </c>
      <c r="H51" s="48">
        <f t="shared" si="11"/>
        <v>96248862.89000003</v>
      </c>
      <c r="I51" s="127"/>
      <c r="J51" s="1">
        <v>96248862.890000001</v>
      </c>
      <c r="K51" s="40">
        <f t="shared" si="12"/>
        <v>0</v>
      </c>
      <c r="L51" s="9" t="s">
        <v>85</v>
      </c>
      <c r="M51" s="142">
        <v>45482</v>
      </c>
    </row>
    <row r="52" spans="1:21">
      <c r="A52" s="41">
        <f>'FERC Interest Rates'!A148</f>
        <v>45504</v>
      </c>
      <c r="B52" s="88">
        <v>-0.31866</v>
      </c>
      <c r="C52" s="87">
        <f>+'Therm Sales'!J133</f>
        <v>6146458</v>
      </c>
      <c r="D52" s="50"/>
      <c r="E52" s="63">
        <f>ROUND(C52*B52,2)+0.02</f>
        <v>-1958630.29</v>
      </c>
      <c r="F52" s="42">
        <f t="shared" si="14"/>
        <v>694837.68</v>
      </c>
      <c r="H52" s="48">
        <f t="shared" si="11"/>
        <v>94985070.280000031</v>
      </c>
      <c r="I52" s="127"/>
      <c r="J52" s="1">
        <v>94985070.280000001</v>
      </c>
      <c r="K52" s="40">
        <f t="shared" si="12"/>
        <v>0</v>
      </c>
      <c r="L52" s="9" t="s">
        <v>85</v>
      </c>
      <c r="M52" s="142">
        <v>45516</v>
      </c>
    </row>
    <row r="53" spans="1:21">
      <c r="A53" s="41">
        <f>'FERC Interest Rates'!A149</f>
        <v>45535</v>
      </c>
      <c r="B53" s="88">
        <v>-0.31866</v>
      </c>
      <c r="C53" s="87">
        <f>+'Therm Sales'!J134</f>
        <v>5630149</v>
      </c>
      <c r="D53" s="50"/>
      <c r="E53" s="63">
        <f>ROUND(C53*B53,2)-0.01</f>
        <v>-1794103.29</v>
      </c>
      <c r="F53" s="42">
        <f t="shared" si="14"/>
        <v>685714.14</v>
      </c>
      <c r="H53" s="48">
        <f t="shared" si="11"/>
        <v>93876681.130000025</v>
      </c>
      <c r="I53" s="127"/>
      <c r="J53" s="1">
        <v>93876681.129999995</v>
      </c>
      <c r="K53" s="40">
        <f t="shared" si="12"/>
        <v>0</v>
      </c>
      <c r="L53" s="9" t="s">
        <v>94</v>
      </c>
      <c r="M53" s="10">
        <v>45546</v>
      </c>
      <c r="P53" s="22">
        <v>503</v>
      </c>
      <c r="Q53" s="22">
        <v>504</v>
      </c>
      <c r="R53" s="22">
        <v>505</v>
      </c>
      <c r="S53" s="22">
        <v>511</v>
      </c>
      <c r="T53" s="22">
        <v>570</v>
      </c>
      <c r="U53" s="22" t="s">
        <v>115</v>
      </c>
    </row>
    <row r="54" spans="1:21">
      <c r="A54" s="41">
        <f>'FERC Interest Rates'!A150</f>
        <v>45565</v>
      </c>
      <c r="B54" s="88">
        <v>-0.31866</v>
      </c>
      <c r="C54" s="87">
        <f>+'Therm Sales'!J135</f>
        <v>7678253</v>
      </c>
      <c r="D54" s="50"/>
      <c r="E54" s="40">
        <f t="shared" si="15"/>
        <v>-2446752.1</v>
      </c>
      <c r="F54" s="42">
        <f t="shared" si="14"/>
        <v>655850.79</v>
      </c>
      <c r="H54" s="48">
        <f t="shared" si="11"/>
        <v>92085779.820000023</v>
      </c>
      <c r="I54" s="127"/>
      <c r="J54" s="1">
        <v>92085779.819999993</v>
      </c>
      <c r="K54" s="40">
        <f t="shared" si="12"/>
        <v>0</v>
      </c>
      <c r="L54" s="9" t="s">
        <v>94</v>
      </c>
      <c r="M54" s="10">
        <v>45573</v>
      </c>
      <c r="O54" s="13" t="s">
        <v>124</v>
      </c>
      <c r="P54" s="181">
        <v>5618427</v>
      </c>
      <c r="Q54" s="181">
        <v>4189529</v>
      </c>
      <c r="R54" s="181">
        <v>610805</v>
      </c>
      <c r="S54" s="181">
        <v>755700</v>
      </c>
      <c r="T54" s="181">
        <v>65711</v>
      </c>
      <c r="U54" s="12">
        <f t="shared" ref="U54:U55" si="17">SUM(P54:T54)</f>
        <v>11240172</v>
      </c>
    </row>
    <row r="55" spans="1:21">
      <c r="A55" s="41">
        <f>'FERC Interest Rates'!A151</f>
        <v>45596</v>
      </c>
      <c r="B55" s="88">
        <v>-0.31866</v>
      </c>
      <c r="C55" s="87">
        <f>+'Therm Sales'!J136</f>
        <v>16552003</v>
      </c>
      <c r="D55" s="50"/>
      <c r="E55" s="63">
        <f>ROUND(C55*B55,2)-0.01</f>
        <v>-5274461.29</v>
      </c>
      <c r="F55" s="42">
        <f t="shared" si="14"/>
        <v>664783.64</v>
      </c>
      <c r="H55" s="48">
        <f t="shared" si="11"/>
        <v>87476102.170000017</v>
      </c>
      <c r="I55" s="127"/>
      <c r="J55" s="1">
        <v>87476102.170000002</v>
      </c>
      <c r="K55" s="40">
        <f t="shared" si="12"/>
        <v>0</v>
      </c>
      <c r="L55" s="9" t="s">
        <v>94</v>
      </c>
      <c r="M55" s="10">
        <v>45608</v>
      </c>
      <c r="O55" s="1" t="s">
        <v>125</v>
      </c>
      <c r="P55" s="178">
        <v>3525931</v>
      </c>
      <c r="Q55" s="178">
        <v>2182935</v>
      </c>
      <c r="R55" s="178">
        <v>314697</v>
      </c>
      <c r="S55" s="178">
        <v>407998</v>
      </c>
      <c r="T55" s="178"/>
      <c r="U55" s="44">
        <f t="shared" si="17"/>
        <v>6431561</v>
      </c>
    </row>
    <row r="56" spans="1:21">
      <c r="A56" s="588" t="s">
        <v>136</v>
      </c>
      <c r="B56" s="588"/>
      <c r="C56" s="588"/>
      <c r="D56" s="588"/>
      <c r="E56" s="588"/>
      <c r="F56" s="588"/>
      <c r="G56" s="1">
        <v>0</v>
      </c>
      <c r="H56" s="48">
        <f>H55+SUM(G56)</f>
        <v>87476102.170000017</v>
      </c>
      <c r="I56" s="127"/>
      <c r="K56" s="40"/>
      <c r="M56" s="10"/>
      <c r="O56" s="1" t="s">
        <v>126</v>
      </c>
      <c r="P56" s="140"/>
      <c r="Q56" s="179">
        <v>-2850</v>
      </c>
      <c r="R56" s="140"/>
      <c r="S56" s="179">
        <v>-46412</v>
      </c>
      <c r="T56" s="179">
        <v>-65711</v>
      </c>
      <c r="U56" s="12">
        <f>SUM(P56:T56)</f>
        <v>-114973</v>
      </c>
    </row>
    <row r="57" spans="1:21">
      <c r="A57" s="41">
        <f>'FERC Interest Rates'!A152</f>
        <v>45626</v>
      </c>
      <c r="B57" s="88">
        <v>-0.31866</v>
      </c>
      <c r="C57" s="87">
        <f>+'Therm Sales'!J137</f>
        <v>29806772</v>
      </c>
      <c r="D57" s="50"/>
      <c r="E57" s="122">
        <f>SUM(ROUND((U60)*-0.31866,2))+0.01</f>
        <v>-9498225.9600000009</v>
      </c>
      <c r="F57" s="42">
        <f>ROUND(H56*VLOOKUP(A57,FERCINT24,2)/365*VLOOKUP(A57,FERCINT24,3),2)</f>
        <v>611134.41</v>
      </c>
      <c r="H57" s="48">
        <f>H56+SUM(D57:G57)</f>
        <v>78589010.62000002</v>
      </c>
      <c r="I57" s="127"/>
      <c r="J57" s="1">
        <v>78589010.620000005</v>
      </c>
      <c r="K57" s="40">
        <f t="shared" ref="K57:K60" si="18">J57-H57</f>
        <v>0</v>
      </c>
      <c r="L57" s="9" t="str">
        <f>+'DG 1910.01253'!$L$157</f>
        <v>Brian</v>
      </c>
      <c r="M57" s="10">
        <f>+'DG 1910.01253'!$M$157</f>
        <v>45638</v>
      </c>
      <c r="O57" s="1" t="s">
        <v>127</v>
      </c>
      <c r="P57" s="181"/>
      <c r="Q57" s="181">
        <v>7214</v>
      </c>
      <c r="R57" s="181">
        <v>0</v>
      </c>
      <c r="S57" s="181">
        <v>103951</v>
      </c>
      <c r="T57" s="178">
        <v>84258</v>
      </c>
      <c r="U57" s="12">
        <f>SUM(P57:T57)</f>
        <v>195423</v>
      </c>
    </row>
    <row r="58" spans="1:21">
      <c r="A58" s="39">
        <v>45657</v>
      </c>
      <c r="B58" s="88">
        <v>-0.31866</v>
      </c>
      <c r="C58" s="87">
        <f>+'Therm Sales'!J138</f>
        <v>36748481</v>
      </c>
      <c r="D58" s="50"/>
      <c r="E58" s="40">
        <f t="shared" ref="E58:E59" si="19">ROUND(C58*B58,2)</f>
        <v>-11710270.960000001</v>
      </c>
      <c r="F58" s="42">
        <f t="shared" ref="F58" si="20">ROUND(H57*VLOOKUP(A58,FERCINT24,2)/365*VLOOKUP(A58,FERCINT24,3),2)</f>
        <v>567348.06000000006</v>
      </c>
      <c r="H58" s="48">
        <f t="shared" ref="H58:H60" si="21">H57+SUM(D58:G58)</f>
        <v>67446087.720000014</v>
      </c>
      <c r="I58" s="127"/>
      <c r="J58" s="1">
        <v>67446087.719999999</v>
      </c>
      <c r="K58" s="40">
        <f t="shared" si="18"/>
        <v>0</v>
      </c>
      <c r="L58" s="9" t="str">
        <f>+'DG 1910.01253'!$L$158</f>
        <v>Brian</v>
      </c>
      <c r="M58" s="10">
        <f>+'DG 1910.01253'!$M$158</f>
        <v>45667</v>
      </c>
      <c r="O58" s="1" t="s">
        <v>128</v>
      </c>
      <c r="P58" s="178">
        <v>-4719218</v>
      </c>
      <c r="Q58" s="178">
        <v>-3810712</v>
      </c>
      <c r="R58" s="178"/>
      <c r="S58" s="178">
        <v>-509058</v>
      </c>
      <c r="T58" s="178"/>
      <c r="U58" s="44">
        <f>SUM(P58:T58)</f>
        <v>-9038988</v>
      </c>
    </row>
    <row r="59" spans="1:21">
      <c r="A59" s="39">
        <v>45688</v>
      </c>
      <c r="B59" s="88">
        <v>-0.31866</v>
      </c>
      <c r="C59" s="87">
        <f>+'Therm Sales'!J139</f>
        <v>41223238</v>
      </c>
      <c r="D59" s="50"/>
      <c r="E59" s="40">
        <f t="shared" si="19"/>
        <v>-13136197.02</v>
      </c>
      <c r="F59" s="42">
        <f t="shared" ref="F59:F60" si="22">ROUND(H58*VLOOKUP(A59,FERCINT25,2)/365*VLOOKUP(A59,FERCINT25,3),2)</f>
        <v>460555.15</v>
      </c>
      <c r="H59" s="48">
        <f t="shared" si="21"/>
        <v>54770445.850000016</v>
      </c>
      <c r="I59" s="127"/>
      <c r="J59" s="1">
        <v>54770445.850000001</v>
      </c>
      <c r="K59" s="40">
        <f t="shared" si="18"/>
        <v>0</v>
      </c>
      <c r="L59" s="9" t="str">
        <f>+'DG 1910.01253'!$L$159</f>
        <v>Brian</v>
      </c>
      <c r="M59" s="10">
        <f>+'DG 1910.01253'!$M$159</f>
        <v>45699</v>
      </c>
      <c r="O59" s="106" t="s">
        <v>129</v>
      </c>
      <c r="P59" s="179">
        <v>11829807</v>
      </c>
      <c r="Q59" s="179">
        <v>8251068</v>
      </c>
      <c r="R59" s="179"/>
      <c r="S59" s="179">
        <v>1012702</v>
      </c>
      <c r="T59" s="179"/>
      <c r="U59" s="12">
        <f>SUM(P59:T59)</f>
        <v>21093577</v>
      </c>
    </row>
    <row r="60" spans="1:21">
      <c r="A60" s="39">
        <v>45716</v>
      </c>
      <c r="B60" s="88">
        <v>-0.31866</v>
      </c>
      <c r="C60" s="87">
        <f>+'Therm Sales'!J140</f>
        <v>37570997</v>
      </c>
      <c r="D60" s="50"/>
      <c r="E60" s="122">
        <f>ROUND(C60*B60,2)-0.02</f>
        <v>-11972373.92</v>
      </c>
      <c r="F60" s="42">
        <f t="shared" si="22"/>
        <v>337806.1</v>
      </c>
      <c r="H60" s="48">
        <f t="shared" si="21"/>
        <v>43135878.030000016</v>
      </c>
      <c r="I60" s="127"/>
      <c r="J60" s="1">
        <v>43135878.030000001</v>
      </c>
      <c r="K60" s="40">
        <f t="shared" si="18"/>
        <v>0</v>
      </c>
      <c r="L60" s="9" t="str">
        <f>+'DG 1910.01253'!$L$160</f>
        <v>Brian</v>
      </c>
      <c r="M60" s="10">
        <f>+'DG 1910.01253'!$M$160</f>
        <v>45726</v>
      </c>
      <c r="O60" s="176" t="s">
        <v>115</v>
      </c>
      <c r="P60" s="64">
        <f t="shared" ref="P60:U60" si="23">SUM(P54:P59)</f>
        <v>16254947</v>
      </c>
      <c r="Q60" s="64">
        <f t="shared" si="23"/>
        <v>10817184</v>
      </c>
      <c r="R60" s="64">
        <f t="shared" si="23"/>
        <v>925502</v>
      </c>
      <c r="S60" s="64">
        <f t="shared" si="23"/>
        <v>1724881</v>
      </c>
      <c r="T60" s="64">
        <f t="shared" si="23"/>
        <v>84258</v>
      </c>
      <c r="U60" s="64">
        <f t="shared" si="23"/>
        <v>29806772</v>
      </c>
    </row>
    <row r="61" spans="1:21">
      <c r="A61" s="39"/>
      <c r="B61" s="88"/>
      <c r="C61" s="87"/>
      <c r="D61" s="50"/>
      <c r="E61" s="40"/>
      <c r="F61" s="42"/>
      <c r="H61" s="48"/>
      <c r="I61" s="127"/>
      <c r="K61" s="40"/>
      <c r="M61" s="10"/>
      <c r="O61" s="1" t="s">
        <v>142</v>
      </c>
      <c r="Q61" s="139"/>
      <c r="R61" s="139"/>
      <c r="S61" s="187">
        <f>+B59</f>
        <v>-0.31866</v>
      </c>
      <c r="T61" s="139"/>
      <c r="U61" s="1">
        <f>+U54+U56+U58</f>
        <v>2086211</v>
      </c>
    </row>
    <row r="62" spans="1:21">
      <c r="A62" s="39"/>
      <c r="B62" s="88"/>
      <c r="C62" s="87"/>
      <c r="D62" s="50"/>
      <c r="E62" s="40"/>
      <c r="F62" s="42"/>
      <c r="H62" s="48"/>
      <c r="I62" s="127"/>
      <c r="K62" s="40"/>
      <c r="M62" s="10"/>
      <c r="O62" s="106" t="s">
        <v>143</v>
      </c>
      <c r="P62" s="106"/>
      <c r="Q62" s="12"/>
      <c r="R62" s="12"/>
      <c r="S62" s="187">
        <f>+B61</f>
        <v>0</v>
      </c>
      <c r="T62" s="12"/>
      <c r="U62" s="1">
        <f>+U55+U57+U59</f>
        <v>27720561</v>
      </c>
    </row>
    <row r="63" spans="1:21">
      <c r="A63" s="39"/>
      <c r="B63" s="88"/>
      <c r="C63" s="87"/>
      <c r="D63" s="50"/>
      <c r="E63" s="40"/>
      <c r="F63" s="42"/>
      <c r="H63" s="48"/>
      <c r="I63" s="127"/>
      <c r="K63" s="40"/>
      <c r="M63" s="10"/>
      <c r="O63" s="13" t="s">
        <v>115</v>
      </c>
      <c r="P63" s="13"/>
      <c r="Q63" s="185"/>
      <c r="R63" s="185"/>
      <c r="S63" s="185"/>
      <c r="T63" s="185"/>
      <c r="U63" s="185">
        <f>+U61+U62</f>
        <v>29806772</v>
      </c>
    </row>
    <row r="64" spans="1:21">
      <c r="A64" s="39"/>
      <c r="B64" s="88"/>
      <c r="C64" s="87"/>
      <c r="D64" s="50"/>
      <c r="E64" s="40"/>
      <c r="F64" s="42"/>
      <c r="H64" s="48"/>
      <c r="I64" s="127"/>
      <c r="K64" s="40"/>
      <c r="M64" s="10"/>
    </row>
    <row r="65" spans="1:13">
      <c r="A65" s="39"/>
      <c r="B65" s="88"/>
      <c r="C65" s="87"/>
      <c r="D65" s="50"/>
      <c r="E65" s="40"/>
      <c r="F65" s="42"/>
      <c r="H65" s="48"/>
      <c r="I65" s="127"/>
      <c r="K65" s="40"/>
      <c r="M65" s="10"/>
    </row>
    <row r="66" spans="1:13">
      <c r="A66" s="39"/>
      <c r="B66" s="88"/>
      <c r="C66" s="87"/>
      <c r="D66" s="50"/>
      <c r="E66" s="40"/>
      <c r="F66" s="42"/>
      <c r="H66" s="48"/>
      <c r="I66" s="127"/>
      <c r="K66" s="40"/>
      <c r="M66" s="10"/>
    </row>
    <row r="67" spans="1:13">
      <c r="A67" s="39"/>
      <c r="B67" s="88"/>
      <c r="C67" s="87"/>
      <c r="D67" s="50"/>
      <c r="E67" s="40"/>
      <c r="F67" s="42"/>
      <c r="H67" s="48"/>
      <c r="I67" s="127"/>
      <c r="K67" s="40"/>
      <c r="M67" s="10"/>
    </row>
    <row r="68" spans="1:13">
      <c r="A68" s="39"/>
      <c r="B68" s="88"/>
      <c r="C68" s="87"/>
      <c r="D68" s="50"/>
      <c r="E68" s="40"/>
      <c r="F68" s="42"/>
      <c r="H68" s="48"/>
      <c r="I68" s="127"/>
      <c r="K68" s="40"/>
      <c r="M68" s="10"/>
    </row>
    <row r="69" spans="1:13">
      <c r="A69" s="588"/>
      <c r="B69" s="588"/>
      <c r="C69" s="588"/>
      <c r="D69" s="588"/>
      <c r="E69" s="588"/>
      <c r="F69" s="588"/>
      <c r="G69" s="140"/>
      <c r="H69" s="48"/>
      <c r="K69" s="40"/>
      <c r="M69" s="10"/>
    </row>
    <row r="70" spans="1:13">
      <c r="A70" s="39"/>
      <c r="F70" s="42"/>
      <c r="H70" s="48"/>
      <c r="K70" s="40"/>
      <c r="M70" s="10"/>
    </row>
    <row r="71" spans="1:13">
      <c r="A71" s="39"/>
      <c r="F71" s="42"/>
      <c r="H71" s="48"/>
      <c r="K71" s="40"/>
      <c r="M71" s="10"/>
    </row>
    <row r="72" spans="1:13">
      <c r="A72" s="39"/>
      <c r="F72" s="42"/>
      <c r="H72" s="48"/>
      <c r="K72" s="40"/>
      <c r="M72" s="10"/>
    </row>
    <row r="73" spans="1:13">
      <c r="A73" s="39"/>
      <c r="F73" s="42"/>
      <c r="H73" s="48"/>
      <c r="K73" s="40"/>
      <c r="M73" s="10"/>
    </row>
    <row r="74" spans="1:13">
      <c r="A74" s="39"/>
      <c r="F74" s="42"/>
      <c r="H74" s="48"/>
      <c r="K74" s="40"/>
      <c r="M74" s="10"/>
    </row>
    <row r="75" spans="1:13">
      <c r="A75" s="39"/>
      <c r="F75" s="42"/>
      <c r="H75" s="48"/>
      <c r="K75" s="40"/>
      <c r="M75" s="10"/>
    </row>
    <row r="76" spans="1:13">
      <c r="A76" s="39"/>
      <c r="F76" s="42"/>
      <c r="H76" s="48"/>
      <c r="K76" s="40"/>
      <c r="M76" s="10"/>
    </row>
    <row r="77" spans="1:13">
      <c r="A77" s="39"/>
      <c r="F77" s="42"/>
      <c r="H77" s="48"/>
      <c r="K77" s="40"/>
      <c r="M77" s="10"/>
    </row>
    <row r="78" spans="1:13">
      <c r="A78" s="39"/>
      <c r="F78" s="42"/>
      <c r="H78" s="48"/>
      <c r="K78" s="40"/>
      <c r="M78" s="10"/>
    </row>
    <row r="79" spans="1:13">
      <c r="A79" s="39"/>
      <c r="F79" s="42"/>
      <c r="H79" s="48"/>
      <c r="K79" s="40"/>
      <c r="M79" s="10"/>
    </row>
    <row r="80" spans="1:13">
      <c r="A80" s="39"/>
      <c r="F80" s="42"/>
      <c r="H80" s="48"/>
      <c r="K80" s="40"/>
      <c r="M80" s="10"/>
    </row>
    <row r="81" spans="1:13">
      <c r="A81" s="39"/>
      <c r="F81" s="42"/>
      <c r="H81" s="48"/>
      <c r="K81" s="40"/>
      <c r="M81" s="10"/>
    </row>
    <row r="82" spans="1:13">
      <c r="A82" s="588"/>
      <c r="B82" s="588"/>
      <c r="C82" s="588"/>
      <c r="D82" s="588"/>
      <c r="E82" s="588"/>
      <c r="F82" s="588"/>
      <c r="G82" s="140"/>
      <c r="H82" s="48"/>
      <c r="K82" s="40"/>
      <c r="M82" s="10"/>
    </row>
    <row r="83" spans="1:13">
      <c r="A83" s="39"/>
      <c r="F83" s="42"/>
      <c r="H83" s="48"/>
      <c r="K83" s="40"/>
      <c r="M83" s="10"/>
    </row>
    <row r="84" spans="1:13">
      <c r="A84" s="39"/>
      <c r="F84" s="42"/>
      <c r="H84" s="48"/>
      <c r="K84" s="40"/>
      <c r="M84" s="10"/>
    </row>
    <row r="85" spans="1:13" ht="20.25">
      <c r="E85" s="188">
        <v>2</v>
      </c>
    </row>
  </sheetData>
  <mergeCells count="25">
    <mergeCell ref="A69:F69"/>
    <mergeCell ref="A82:F82"/>
    <mergeCell ref="A56:F56"/>
    <mergeCell ref="A43:F43"/>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A485-A256-4E78-91F2-C4363D824799}">
  <sheetPr>
    <pageSetUpPr fitToPage="1"/>
  </sheetPr>
  <dimension ref="A1:I20"/>
  <sheetViews>
    <sheetView showGridLines="0" view="pageBreakPreview" zoomScale="115" zoomScaleNormal="115" zoomScaleSheetLayoutView="115" workbookViewId="0">
      <selection activeCell="D162" sqref="D162"/>
    </sheetView>
  </sheetViews>
  <sheetFormatPr defaultRowHeight="12.75"/>
  <cols>
    <col min="1" max="1" width="1.6640625" style="2" customWidth="1"/>
    <col min="2" max="2" width="9.77734375" style="2" customWidth="1"/>
    <col min="3" max="3" width="23.6640625" style="2" customWidth="1"/>
    <col min="4" max="4" width="15.33203125" style="2" bestFit="1" customWidth="1"/>
    <col min="5" max="5" width="17.44140625" style="2" customWidth="1"/>
    <col min="6" max="6" width="15.77734375" style="2" customWidth="1"/>
    <col min="7" max="7" width="13.77734375" style="2" bestFit="1" customWidth="1"/>
    <col min="8" max="8" width="1.6640625" style="2" customWidth="1"/>
    <col min="9" max="9" width="22" style="2" customWidth="1"/>
    <col min="10" max="10" width="8.33203125" style="2" customWidth="1"/>
    <col min="11" max="11" width="13.77734375" style="2" bestFit="1" customWidth="1"/>
    <col min="12" max="12" width="12.88671875" style="2" bestFit="1" customWidth="1"/>
    <col min="13" max="13" width="6.21875" style="2" bestFit="1" customWidth="1"/>
    <col min="14" max="14" width="10.88671875" style="2" bestFit="1" customWidth="1"/>
    <col min="15" max="16384" width="8.88671875" style="2"/>
  </cols>
  <sheetData>
    <row r="1" spans="1:9" ht="21" customHeight="1">
      <c r="B1" s="207" t="s">
        <v>144</v>
      </c>
      <c r="C1" s="208">
        <f>'Core Cost Incurred'!B3</f>
        <v>45716</v>
      </c>
      <c r="D1" s="209"/>
      <c r="E1" s="209"/>
      <c r="F1" s="209"/>
      <c r="G1" s="210"/>
      <c r="H1" s="211"/>
    </row>
    <row r="2" spans="1:9" ht="15">
      <c r="D2" s="212"/>
      <c r="E2" s="212"/>
      <c r="F2" s="212"/>
      <c r="G2" s="212"/>
    </row>
    <row r="3" spans="1:9" ht="15.75" thickBot="1">
      <c r="B3" s="213" t="s">
        <v>145</v>
      </c>
      <c r="C3" s="62"/>
      <c r="D3" s="62"/>
      <c r="E3" s="62"/>
      <c r="F3" s="62"/>
      <c r="G3" s="62"/>
    </row>
    <row r="4" spans="1:9" ht="18.75" customHeight="1">
      <c r="A4" s="214"/>
      <c r="B4" s="215" t="s">
        <v>146</v>
      </c>
      <c r="C4" s="216"/>
      <c r="D4" s="217" t="s">
        <v>147</v>
      </c>
      <c r="E4" s="217" t="s">
        <v>148</v>
      </c>
      <c r="F4" s="218" t="s">
        <v>73</v>
      </c>
      <c r="G4" s="219" t="s">
        <v>115</v>
      </c>
    </row>
    <row r="5" spans="1:9" ht="15" hidden="1" customHeight="1">
      <c r="A5" s="214"/>
      <c r="B5" s="647" t="s">
        <v>149</v>
      </c>
      <c r="C5" s="647"/>
      <c r="D5" s="220"/>
      <c r="E5" s="220"/>
      <c r="F5" s="221"/>
      <c r="G5" s="222">
        <f>SUM(D5:F5)</f>
        <v>0</v>
      </c>
    </row>
    <row r="6" spans="1:9" ht="15" customHeight="1">
      <c r="A6" s="214"/>
      <c r="B6" s="589" t="s">
        <v>150</v>
      </c>
      <c r="C6" s="589"/>
      <c r="D6" s="527">
        <f>+'WA Rates'!J35</f>
        <v>17734605.609999999</v>
      </c>
      <c r="E6" s="527">
        <f>+'WA Rates'!K35</f>
        <v>6076991.8200000012</v>
      </c>
      <c r="F6" s="223">
        <f>+'WA Rates'!L35</f>
        <v>14972793.73</v>
      </c>
      <c r="G6" s="224">
        <f>SUM(D6:F6)</f>
        <v>38784391.159999996</v>
      </c>
    </row>
    <row r="7" spans="1:9" ht="15" customHeight="1">
      <c r="A7" s="214"/>
      <c r="B7" s="143" t="s">
        <v>151</v>
      </c>
      <c r="C7" s="143"/>
      <c r="D7" s="220">
        <f>SUM(D5:D6)</f>
        <v>17734605.609999999</v>
      </c>
      <c r="E7" s="220">
        <f>SUM(E5:E6)</f>
        <v>6076991.8200000012</v>
      </c>
      <c r="F7" s="221">
        <f>SUM(F5:F6)</f>
        <v>14972793.73</v>
      </c>
      <c r="G7" s="222">
        <f>SUM(D7:F7)</f>
        <v>38784391.159999996</v>
      </c>
      <c r="I7" s="225"/>
    </row>
    <row r="8" spans="1:9" ht="15" customHeight="1">
      <c r="A8" s="214"/>
      <c r="B8" s="144" t="s">
        <v>152</v>
      </c>
      <c r="C8" s="144"/>
      <c r="D8" s="314">
        <f>'Core Cost Incurred'!K40</f>
        <v>18691799.218210001</v>
      </c>
      <c r="E8" s="314">
        <f>'Core Cost Incurred'!K41</f>
        <v>3771959.16</v>
      </c>
      <c r="F8" s="226"/>
      <c r="G8" s="224">
        <f>SUM(D8:E8)</f>
        <v>22463758.378210001</v>
      </c>
      <c r="I8" s="227"/>
    </row>
    <row r="9" spans="1:9" ht="16.5" customHeight="1">
      <c r="A9" s="214"/>
      <c r="B9" s="228" t="s">
        <v>153</v>
      </c>
      <c r="C9" s="228"/>
      <c r="D9" s="528">
        <f>D7-D8</f>
        <v>-957193.60821000114</v>
      </c>
      <c r="E9" s="529">
        <f>E7-E8</f>
        <v>2305032.6600000011</v>
      </c>
      <c r="F9" s="229">
        <f>F7</f>
        <v>14972793.73</v>
      </c>
      <c r="G9" s="230">
        <f>SUM(D9:F9)</f>
        <v>16320632.781789999</v>
      </c>
      <c r="I9" s="227"/>
    </row>
    <row r="10" spans="1:9" ht="15.75" customHeight="1">
      <c r="A10" s="214"/>
      <c r="B10" s="143"/>
      <c r="C10" s="143"/>
      <c r="D10" s="143"/>
      <c r="E10" s="530"/>
      <c r="F10" s="231"/>
      <c r="G10" s="222"/>
      <c r="I10" s="232"/>
    </row>
    <row r="11" spans="1:9" ht="15.75" customHeight="1">
      <c r="A11" s="214"/>
      <c r="B11" s="143" t="s">
        <v>154</v>
      </c>
      <c r="C11" s="143"/>
      <c r="D11" s="535">
        <f>-(-122086.56-92.37-188.06+188.06)</f>
        <v>122178.93</v>
      </c>
      <c r="E11" s="531"/>
      <c r="F11" s="233"/>
      <c r="G11" s="222">
        <f>+D11</f>
        <v>122178.93</v>
      </c>
    </row>
    <row r="12" spans="1:9" ht="15.75" customHeight="1">
      <c r="A12" s="214"/>
      <c r="B12" s="196" t="s">
        <v>155</v>
      </c>
      <c r="C12" s="143"/>
      <c r="D12" s="234"/>
      <c r="E12" s="234">
        <v>320309.65000000002</v>
      </c>
      <c r="F12" s="235"/>
      <c r="G12" s="222">
        <f>E12</f>
        <v>320309.65000000002</v>
      </c>
    </row>
    <row r="13" spans="1:9" ht="15" customHeight="1" thickBot="1">
      <c r="A13" s="214"/>
      <c r="B13" s="236" t="s">
        <v>156</v>
      </c>
      <c r="C13" s="237"/>
      <c r="D13" s="238">
        <f>+D9+D11</f>
        <v>-835014.67821000121</v>
      </c>
      <c r="E13" s="238">
        <f>+E9+E12</f>
        <v>2625342.310000001</v>
      </c>
      <c r="F13" s="239">
        <f>+F7-F8</f>
        <v>14972793.73</v>
      </c>
      <c r="G13" s="240">
        <f>G9+G12+G11</f>
        <v>16763121.36179</v>
      </c>
    </row>
    <row r="14" spans="1:9" ht="14.25" customHeight="1">
      <c r="D14" s="143"/>
      <c r="E14" s="204"/>
      <c r="F14" s="241"/>
    </row>
    <row r="15" spans="1:9" ht="14.25" customHeight="1">
      <c r="D15" s="245"/>
      <c r="E15" s="245"/>
      <c r="F15" s="143"/>
      <c r="G15" s="143"/>
    </row>
    <row r="16" spans="1:9" ht="14.25" customHeight="1">
      <c r="B16" s="242" t="s">
        <v>157</v>
      </c>
      <c r="C16" s="242"/>
      <c r="D16" s="220" t="s">
        <v>4</v>
      </c>
      <c r="E16" s="525" t="s">
        <v>4</v>
      </c>
      <c r="F16" s="526"/>
      <c r="G16" s="243"/>
    </row>
    <row r="17" spans="2:7" ht="14.25" customHeight="1">
      <c r="D17" s="244"/>
      <c r="E17" s="244"/>
      <c r="F17" s="244"/>
      <c r="G17" s="143"/>
    </row>
    <row r="18" spans="2:7" ht="14.25" customHeight="1">
      <c r="D18" s="245">
        <f>-D13</f>
        <v>835014.67821000121</v>
      </c>
      <c r="E18" s="245">
        <f>-E9-E12</f>
        <v>-2625342.310000001</v>
      </c>
      <c r="F18" s="245">
        <f>-F13</f>
        <v>-14972793.73</v>
      </c>
      <c r="G18" s="245">
        <f>SUM(D18:F18)</f>
        <v>-16763121.36179</v>
      </c>
    </row>
    <row r="19" spans="2:7" ht="14.25" customHeight="1">
      <c r="B19" s="242" t="s">
        <v>158</v>
      </c>
      <c r="C19" s="242"/>
      <c r="D19" s="246" t="s">
        <v>6</v>
      </c>
      <c r="E19" s="247" t="s">
        <v>7</v>
      </c>
      <c r="F19" s="247" t="s">
        <v>8</v>
      </c>
      <c r="G19" s="243"/>
    </row>
    <row r="20" spans="2:7" ht="14.25">
      <c r="F20" s="247" t="s">
        <v>9</v>
      </c>
    </row>
  </sheetData>
  <mergeCells count="2">
    <mergeCell ref="B5:C5"/>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F165"/>
  <sheetViews>
    <sheetView showGridLines="0" view="pageBreakPreview" zoomScaleNormal="115" zoomScaleSheetLayoutView="100" workbookViewId="0">
      <selection activeCell="D162" sqref="D162"/>
    </sheetView>
  </sheetViews>
  <sheetFormatPr defaultColWidth="12.77734375" defaultRowHeight="12.75"/>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c r="A1" s="20" t="s">
        <v>159</v>
      </c>
      <c r="B1" s="20"/>
      <c r="C1" s="20"/>
      <c r="D1" s="20"/>
    </row>
    <row r="2" spans="1:5" s="16" customFormat="1" ht="15.75">
      <c r="A2" s="20" t="s">
        <v>160</v>
      </c>
      <c r="B2" s="20"/>
      <c r="C2" s="20"/>
      <c r="D2" s="20"/>
    </row>
    <row r="3" spans="1:5" s="16" customFormat="1" ht="15.75">
      <c r="A3" s="20" t="s">
        <v>161</v>
      </c>
      <c r="B3" s="20"/>
      <c r="C3" s="20"/>
      <c r="D3" s="20"/>
    </row>
    <row r="4" spans="1:5">
      <c r="A4" s="6"/>
      <c r="B4" s="6"/>
      <c r="C4" s="6"/>
      <c r="D4" s="6"/>
    </row>
    <row r="5" spans="1:5" ht="15.75" customHeight="1">
      <c r="A5" s="6" t="s">
        <v>162</v>
      </c>
      <c r="B5" s="6"/>
      <c r="C5" s="6"/>
      <c r="D5" s="6"/>
    </row>
    <row r="6" spans="1:5" ht="15.75" customHeight="1">
      <c r="A6" s="6" t="s">
        <v>163</v>
      </c>
      <c r="B6" s="6"/>
      <c r="C6" s="6"/>
      <c r="D6" s="6"/>
    </row>
    <row r="7" spans="1:5" ht="15.75" customHeight="1">
      <c r="A7" s="57" t="s">
        <v>164</v>
      </c>
      <c r="B7" s="21"/>
      <c r="C7" s="21"/>
      <c r="D7" s="21"/>
    </row>
    <row r="8" spans="1:5">
      <c r="A8" s="6"/>
      <c r="B8" s="6"/>
      <c r="C8" s="6"/>
      <c r="D8" s="6"/>
    </row>
    <row r="9" spans="1:5">
      <c r="A9" s="7" t="s">
        <v>69</v>
      </c>
      <c r="B9" s="7" t="s">
        <v>165</v>
      </c>
      <c r="C9" s="7" t="s">
        <v>166</v>
      </c>
      <c r="D9" s="7"/>
      <c r="E9" s="14"/>
    </row>
    <row r="10" spans="1:5" hidden="1">
      <c r="A10" s="58">
        <v>41305</v>
      </c>
      <c r="B10" s="17">
        <v>3.2500000000000001E-2</v>
      </c>
      <c r="C10" s="24">
        <v>31</v>
      </c>
      <c r="D10" s="590" t="s">
        <v>167</v>
      </c>
    </row>
    <row r="11" spans="1:5" hidden="1">
      <c r="A11" s="59">
        <v>41333</v>
      </c>
      <c r="B11" s="18">
        <f>B10</f>
        <v>3.2500000000000001E-2</v>
      </c>
      <c r="C11" s="23">
        <v>28</v>
      </c>
      <c r="D11" s="591"/>
    </row>
    <row r="12" spans="1:5" hidden="1">
      <c r="A12" s="59">
        <v>41364</v>
      </c>
      <c r="B12" s="18">
        <f>B11</f>
        <v>3.2500000000000001E-2</v>
      </c>
      <c r="C12" s="23">
        <v>31</v>
      </c>
      <c r="D12" s="591"/>
    </row>
    <row r="13" spans="1:5" hidden="1">
      <c r="A13" s="59">
        <v>41394</v>
      </c>
      <c r="B13" s="18">
        <f t="shared" ref="B13:B33" si="0">B12</f>
        <v>3.2500000000000001E-2</v>
      </c>
      <c r="C13" s="23">
        <v>30</v>
      </c>
      <c r="D13" s="591"/>
    </row>
    <row r="14" spans="1:5" hidden="1">
      <c r="A14" s="59">
        <v>41425</v>
      </c>
      <c r="B14" s="18">
        <f t="shared" si="0"/>
        <v>3.2500000000000001E-2</v>
      </c>
      <c r="C14" s="23">
        <v>31</v>
      </c>
      <c r="D14" s="591"/>
    </row>
    <row r="15" spans="1:5" hidden="1">
      <c r="A15" s="59">
        <v>41455</v>
      </c>
      <c r="B15" s="18">
        <f t="shared" si="0"/>
        <v>3.2500000000000001E-2</v>
      </c>
      <c r="C15" s="23">
        <v>30</v>
      </c>
      <c r="D15" s="591"/>
    </row>
    <row r="16" spans="1:5" hidden="1">
      <c r="A16" s="59">
        <v>41486</v>
      </c>
      <c r="B16" s="18">
        <f t="shared" si="0"/>
        <v>3.2500000000000001E-2</v>
      </c>
      <c r="C16" s="23">
        <v>31</v>
      </c>
      <c r="D16" s="591"/>
    </row>
    <row r="17" spans="1:4" hidden="1">
      <c r="A17" s="59">
        <v>41517</v>
      </c>
      <c r="B17" s="18">
        <f t="shared" si="0"/>
        <v>3.2500000000000001E-2</v>
      </c>
      <c r="C17" s="23">
        <v>31</v>
      </c>
      <c r="D17" s="591"/>
    </row>
    <row r="18" spans="1:4" hidden="1">
      <c r="A18" s="59">
        <v>41547</v>
      </c>
      <c r="B18" s="18">
        <f t="shared" si="0"/>
        <v>3.2500000000000001E-2</v>
      </c>
      <c r="C18" s="23">
        <v>30</v>
      </c>
      <c r="D18" s="591"/>
    </row>
    <row r="19" spans="1:4" hidden="1">
      <c r="A19" s="59">
        <v>41578</v>
      </c>
      <c r="B19" s="18">
        <f t="shared" si="0"/>
        <v>3.2500000000000001E-2</v>
      </c>
      <c r="C19" s="23">
        <v>31</v>
      </c>
      <c r="D19" s="591"/>
    </row>
    <row r="20" spans="1:4" hidden="1">
      <c r="A20" s="59">
        <v>41608</v>
      </c>
      <c r="B20" s="18">
        <f t="shared" si="0"/>
        <v>3.2500000000000001E-2</v>
      </c>
      <c r="C20" s="23">
        <v>30</v>
      </c>
      <c r="D20" s="591"/>
    </row>
    <row r="21" spans="1:4" hidden="1">
      <c r="A21" s="60">
        <v>41639</v>
      </c>
      <c r="B21" s="19">
        <f t="shared" si="0"/>
        <v>3.2500000000000001E-2</v>
      </c>
      <c r="C21" s="22">
        <v>31</v>
      </c>
      <c r="D21" s="592"/>
    </row>
    <row r="22" spans="1:4" ht="12.95" hidden="1" customHeight="1">
      <c r="A22" s="58">
        <v>41670</v>
      </c>
      <c r="B22" s="18">
        <f t="shared" si="0"/>
        <v>3.2500000000000001E-2</v>
      </c>
      <c r="C22" s="24">
        <v>31</v>
      </c>
      <c r="D22" s="590" t="s">
        <v>168</v>
      </c>
    </row>
    <row r="23" spans="1:4" hidden="1">
      <c r="A23" s="59">
        <v>41698</v>
      </c>
      <c r="B23" s="18">
        <f t="shared" si="0"/>
        <v>3.2500000000000001E-2</v>
      </c>
      <c r="C23" s="23">
        <v>28</v>
      </c>
      <c r="D23" s="591"/>
    </row>
    <row r="24" spans="1:4" hidden="1">
      <c r="A24" s="59">
        <v>41729</v>
      </c>
      <c r="B24" s="18">
        <f t="shared" si="0"/>
        <v>3.2500000000000001E-2</v>
      </c>
      <c r="C24" s="23">
        <v>31</v>
      </c>
      <c r="D24" s="591"/>
    </row>
    <row r="25" spans="1:4" hidden="1">
      <c r="A25" s="59">
        <v>41759</v>
      </c>
      <c r="B25" s="18">
        <f t="shared" si="0"/>
        <v>3.2500000000000001E-2</v>
      </c>
      <c r="C25" s="23">
        <v>30</v>
      </c>
      <c r="D25" s="591"/>
    </row>
    <row r="26" spans="1:4" hidden="1">
      <c r="A26" s="59">
        <v>41790</v>
      </c>
      <c r="B26" s="18">
        <f t="shared" si="0"/>
        <v>3.2500000000000001E-2</v>
      </c>
      <c r="C26" s="23">
        <v>31</v>
      </c>
      <c r="D26" s="591"/>
    </row>
    <row r="27" spans="1:4" hidden="1">
      <c r="A27" s="59">
        <v>41820</v>
      </c>
      <c r="B27" s="18">
        <f t="shared" si="0"/>
        <v>3.2500000000000001E-2</v>
      </c>
      <c r="C27" s="23">
        <v>30</v>
      </c>
      <c r="D27" s="591"/>
    </row>
    <row r="28" spans="1:4" hidden="1">
      <c r="A28" s="59">
        <v>41851</v>
      </c>
      <c r="B28" s="18">
        <f t="shared" si="0"/>
        <v>3.2500000000000001E-2</v>
      </c>
      <c r="C28" s="23">
        <v>31</v>
      </c>
      <c r="D28" s="591"/>
    </row>
    <row r="29" spans="1:4" hidden="1">
      <c r="A29" s="59">
        <v>41882</v>
      </c>
      <c r="B29" s="18">
        <f t="shared" si="0"/>
        <v>3.2500000000000001E-2</v>
      </c>
      <c r="C29" s="23">
        <v>31</v>
      </c>
      <c r="D29" s="591"/>
    </row>
    <row r="30" spans="1:4" hidden="1">
      <c r="A30" s="59">
        <v>41912</v>
      </c>
      <c r="B30" s="18">
        <f t="shared" si="0"/>
        <v>3.2500000000000001E-2</v>
      </c>
      <c r="C30" s="23">
        <v>30</v>
      </c>
      <c r="D30" s="591"/>
    </row>
    <row r="31" spans="1:4" hidden="1">
      <c r="A31" s="59">
        <v>41943</v>
      </c>
      <c r="B31" s="18">
        <f t="shared" si="0"/>
        <v>3.2500000000000001E-2</v>
      </c>
      <c r="C31" s="23">
        <v>31</v>
      </c>
      <c r="D31" s="591"/>
    </row>
    <row r="32" spans="1:4" hidden="1">
      <c r="A32" s="59">
        <v>41973</v>
      </c>
      <c r="B32" s="18">
        <f t="shared" si="0"/>
        <v>3.2500000000000001E-2</v>
      </c>
      <c r="C32" s="23">
        <v>30</v>
      </c>
      <c r="D32" s="591"/>
    </row>
    <row r="33" spans="1:4" hidden="1">
      <c r="A33" s="60">
        <v>42004</v>
      </c>
      <c r="B33" s="19">
        <f t="shared" si="0"/>
        <v>3.2500000000000001E-2</v>
      </c>
      <c r="C33" s="22">
        <v>31</v>
      </c>
      <c r="D33" s="592"/>
    </row>
    <row r="34" spans="1:4" ht="12.95" hidden="1" customHeight="1">
      <c r="A34" s="58">
        <v>42035</v>
      </c>
      <c r="B34" s="18">
        <f>B33</f>
        <v>3.2500000000000001E-2</v>
      </c>
      <c r="C34" s="24">
        <v>31</v>
      </c>
      <c r="D34" s="590" t="s">
        <v>169</v>
      </c>
    </row>
    <row r="35" spans="1:4" hidden="1">
      <c r="A35" s="59">
        <v>42063</v>
      </c>
      <c r="B35" s="18">
        <f t="shared" ref="B35:B93" si="1">B34</f>
        <v>3.2500000000000001E-2</v>
      </c>
      <c r="C35" s="23">
        <v>28</v>
      </c>
      <c r="D35" s="591"/>
    </row>
    <row r="36" spans="1:4" hidden="1">
      <c r="A36" s="59">
        <v>42094</v>
      </c>
      <c r="B36" s="18">
        <f t="shared" si="1"/>
        <v>3.2500000000000001E-2</v>
      </c>
      <c r="C36" s="23">
        <v>31</v>
      </c>
      <c r="D36" s="591"/>
    </row>
    <row r="37" spans="1:4" hidden="1">
      <c r="A37" s="59">
        <v>42124</v>
      </c>
      <c r="B37" s="18">
        <f t="shared" si="1"/>
        <v>3.2500000000000001E-2</v>
      </c>
      <c r="C37" s="23">
        <v>30</v>
      </c>
      <c r="D37" s="591"/>
    </row>
    <row r="38" spans="1:4" hidden="1">
      <c r="A38" s="59">
        <v>42155</v>
      </c>
      <c r="B38" s="18">
        <f t="shared" si="1"/>
        <v>3.2500000000000001E-2</v>
      </c>
      <c r="C38" s="23">
        <v>31</v>
      </c>
      <c r="D38" s="591"/>
    </row>
    <row r="39" spans="1:4" hidden="1">
      <c r="A39" s="59">
        <v>42185</v>
      </c>
      <c r="B39" s="18">
        <f t="shared" si="1"/>
        <v>3.2500000000000001E-2</v>
      </c>
      <c r="C39" s="23">
        <v>30</v>
      </c>
      <c r="D39" s="591"/>
    </row>
    <row r="40" spans="1:4" hidden="1">
      <c r="A40" s="59">
        <v>42216</v>
      </c>
      <c r="B40" s="18">
        <f t="shared" si="1"/>
        <v>3.2500000000000001E-2</v>
      </c>
      <c r="C40" s="23">
        <v>31</v>
      </c>
      <c r="D40" s="591"/>
    </row>
    <row r="41" spans="1:4" hidden="1">
      <c r="A41" s="59">
        <v>42247</v>
      </c>
      <c r="B41" s="18">
        <f t="shared" si="1"/>
        <v>3.2500000000000001E-2</v>
      </c>
      <c r="C41" s="23">
        <v>31</v>
      </c>
      <c r="D41" s="591"/>
    </row>
    <row r="42" spans="1:4" hidden="1">
      <c r="A42" s="59">
        <v>42277</v>
      </c>
      <c r="B42" s="18">
        <f t="shared" si="1"/>
        <v>3.2500000000000001E-2</v>
      </c>
      <c r="C42" s="23">
        <v>30</v>
      </c>
      <c r="D42" s="591"/>
    </row>
    <row r="43" spans="1:4" hidden="1">
      <c r="A43" s="59">
        <v>42308</v>
      </c>
      <c r="B43" s="18">
        <f t="shared" si="1"/>
        <v>3.2500000000000001E-2</v>
      </c>
      <c r="C43" s="23">
        <v>31</v>
      </c>
      <c r="D43" s="591"/>
    </row>
    <row r="44" spans="1:4" hidden="1">
      <c r="A44" s="59">
        <v>42338</v>
      </c>
      <c r="B44" s="18">
        <f t="shared" si="1"/>
        <v>3.2500000000000001E-2</v>
      </c>
      <c r="C44" s="23">
        <v>30</v>
      </c>
      <c r="D44" s="591"/>
    </row>
    <row r="45" spans="1:4" hidden="1">
      <c r="A45" s="60">
        <v>42369</v>
      </c>
      <c r="B45" s="19">
        <f t="shared" si="1"/>
        <v>3.2500000000000001E-2</v>
      </c>
      <c r="C45" s="22">
        <v>31</v>
      </c>
      <c r="D45" s="592"/>
    </row>
    <row r="46" spans="1:4" ht="12.95" hidden="1" customHeight="1">
      <c r="A46" s="59">
        <v>42400</v>
      </c>
      <c r="B46" s="18">
        <f t="shared" si="1"/>
        <v>3.2500000000000001E-2</v>
      </c>
      <c r="C46" s="24">
        <v>31</v>
      </c>
      <c r="D46" s="590" t="s">
        <v>170</v>
      </c>
    </row>
    <row r="47" spans="1:4" hidden="1">
      <c r="A47" s="59">
        <v>42429</v>
      </c>
      <c r="B47" s="18">
        <f t="shared" si="1"/>
        <v>3.2500000000000001E-2</v>
      </c>
      <c r="C47" s="23">
        <v>29</v>
      </c>
      <c r="D47" s="591"/>
    </row>
    <row r="48" spans="1:4" hidden="1">
      <c r="A48" s="59">
        <v>42460</v>
      </c>
      <c r="B48" s="18">
        <f t="shared" si="1"/>
        <v>3.2500000000000001E-2</v>
      </c>
      <c r="C48" s="23">
        <v>31</v>
      </c>
      <c r="D48" s="591"/>
    </row>
    <row r="49" spans="1:4" hidden="1">
      <c r="A49" s="59">
        <v>42490</v>
      </c>
      <c r="B49" s="18">
        <v>3.4599999999999999E-2</v>
      </c>
      <c r="C49" s="23">
        <v>30</v>
      </c>
      <c r="D49" s="591"/>
    </row>
    <row r="50" spans="1:4" hidden="1">
      <c r="A50" s="59">
        <v>42521</v>
      </c>
      <c r="B50" s="18">
        <f t="shared" si="1"/>
        <v>3.4599999999999999E-2</v>
      </c>
      <c r="C50" s="23">
        <v>31</v>
      </c>
      <c r="D50" s="591"/>
    </row>
    <row r="51" spans="1:4" hidden="1">
      <c r="A51" s="59">
        <v>42551</v>
      </c>
      <c r="B51" s="18">
        <f t="shared" si="1"/>
        <v>3.4599999999999999E-2</v>
      </c>
      <c r="C51" s="23">
        <v>30</v>
      </c>
      <c r="D51" s="591"/>
    </row>
    <row r="52" spans="1:4" hidden="1">
      <c r="A52" s="59">
        <v>42582</v>
      </c>
      <c r="B52" s="18">
        <v>3.5000000000000003E-2</v>
      </c>
      <c r="C52" s="23">
        <v>31</v>
      </c>
      <c r="D52" s="591"/>
    </row>
    <row r="53" spans="1:4" hidden="1">
      <c r="A53" s="59">
        <v>42613</v>
      </c>
      <c r="B53" s="18">
        <f t="shared" si="1"/>
        <v>3.5000000000000003E-2</v>
      </c>
      <c r="C53" s="23">
        <v>31</v>
      </c>
      <c r="D53" s="591"/>
    </row>
    <row r="54" spans="1:4" hidden="1">
      <c r="A54" s="59">
        <v>42643</v>
      </c>
      <c r="B54" s="18">
        <f t="shared" si="1"/>
        <v>3.5000000000000003E-2</v>
      </c>
      <c r="C54" s="23">
        <v>30</v>
      </c>
      <c r="D54" s="591"/>
    </row>
    <row r="55" spans="1:4" hidden="1">
      <c r="A55" s="59">
        <v>42674</v>
      </c>
      <c r="B55" s="18">
        <f t="shared" si="1"/>
        <v>3.5000000000000003E-2</v>
      </c>
      <c r="C55" s="23">
        <v>31</v>
      </c>
      <c r="D55" s="591"/>
    </row>
    <row r="56" spans="1:4" hidden="1">
      <c r="A56" s="59">
        <v>42704</v>
      </c>
      <c r="B56" s="18">
        <f t="shared" si="1"/>
        <v>3.5000000000000003E-2</v>
      </c>
      <c r="C56" s="23">
        <v>30</v>
      </c>
      <c r="D56" s="591"/>
    </row>
    <row r="57" spans="1:4" hidden="1">
      <c r="A57" s="60">
        <v>42735</v>
      </c>
      <c r="B57" s="19">
        <f t="shared" si="1"/>
        <v>3.5000000000000003E-2</v>
      </c>
      <c r="C57" s="22">
        <v>31</v>
      </c>
      <c r="D57" s="592"/>
    </row>
    <row r="58" spans="1:4" ht="12.95" hidden="1" customHeight="1">
      <c r="A58" s="59">
        <v>42766</v>
      </c>
      <c r="B58" s="18">
        <f t="shared" si="1"/>
        <v>3.5000000000000003E-2</v>
      </c>
      <c r="C58" s="24">
        <v>31</v>
      </c>
      <c r="D58" s="590" t="s">
        <v>171</v>
      </c>
    </row>
    <row r="59" spans="1:4" hidden="1">
      <c r="A59" s="59">
        <v>42794</v>
      </c>
      <c r="B59" s="18">
        <f t="shared" si="1"/>
        <v>3.5000000000000003E-2</v>
      </c>
      <c r="C59" s="23">
        <v>28</v>
      </c>
      <c r="D59" s="591"/>
    </row>
    <row r="60" spans="1:4" hidden="1">
      <c r="A60" s="59">
        <v>42825</v>
      </c>
      <c r="B60" s="18">
        <f t="shared" si="1"/>
        <v>3.5000000000000003E-2</v>
      </c>
      <c r="C60" s="23">
        <v>31</v>
      </c>
      <c r="D60" s="591"/>
    </row>
    <row r="61" spans="1:4" hidden="1">
      <c r="A61" s="59">
        <v>42855</v>
      </c>
      <c r="B61" s="18">
        <v>3.7100000000000001E-2</v>
      </c>
      <c r="C61" s="23">
        <v>30</v>
      </c>
      <c r="D61" s="591"/>
    </row>
    <row r="62" spans="1:4" hidden="1">
      <c r="A62" s="59">
        <v>42886</v>
      </c>
      <c r="B62" s="18">
        <f t="shared" si="1"/>
        <v>3.7100000000000001E-2</v>
      </c>
      <c r="C62" s="23">
        <v>31</v>
      </c>
      <c r="D62" s="591"/>
    </row>
    <row r="63" spans="1:4" hidden="1">
      <c r="A63" s="59">
        <v>42916</v>
      </c>
      <c r="B63" s="18">
        <f t="shared" si="1"/>
        <v>3.7100000000000001E-2</v>
      </c>
      <c r="C63" s="23">
        <v>30</v>
      </c>
      <c r="D63" s="591"/>
    </row>
    <row r="64" spans="1:4" hidden="1">
      <c r="A64" s="59">
        <v>42947</v>
      </c>
      <c r="B64" s="18">
        <v>3.9600000000000003E-2</v>
      </c>
      <c r="C64" s="23">
        <v>31</v>
      </c>
      <c r="D64" s="591"/>
    </row>
    <row r="65" spans="1:4" hidden="1">
      <c r="A65" s="59">
        <v>42978</v>
      </c>
      <c r="B65" s="18">
        <f t="shared" si="1"/>
        <v>3.9600000000000003E-2</v>
      </c>
      <c r="C65" s="23">
        <v>31</v>
      </c>
      <c r="D65" s="591"/>
    </row>
    <row r="66" spans="1:4" hidden="1">
      <c r="A66" s="59">
        <v>43008</v>
      </c>
      <c r="B66" s="18">
        <f t="shared" si="1"/>
        <v>3.9600000000000003E-2</v>
      </c>
      <c r="C66" s="23">
        <v>30</v>
      </c>
      <c r="D66" s="591"/>
    </row>
    <row r="67" spans="1:4" hidden="1">
      <c r="A67" s="59">
        <v>43039</v>
      </c>
      <c r="B67" s="18">
        <v>4.2099999999999999E-2</v>
      </c>
      <c r="C67" s="23">
        <v>31</v>
      </c>
      <c r="D67" s="591"/>
    </row>
    <row r="68" spans="1:4" hidden="1">
      <c r="A68" s="59">
        <v>43069</v>
      </c>
      <c r="B68" s="18">
        <f t="shared" si="1"/>
        <v>4.2099999999999999E-2</v>
      </c>
      <c r="C68" s="23">
        <v>30</v>
      </c>
      <c r="D68" s="591"/>
    </row>
    <row r="69" spans="1:4" hidden="1">
      <c r="A69" s="60">
        <v>43100</v>
      </c>
      <c r="B69" s="19">
        <f t="shared" si="1"/>
        <v>4.2099999999999999E-2</v>
      </c>
      <c r="C69" s="22">
        <v>31</v>
      </c>
      <c r="D69" s="592"/>
    </row>
    <row r="70" spans="1:4" ht="12.95" hidden="1" customHeight="1">
      <c r="A70" s="59">
        <v>43131</v>
      </c>
      <c r="B70" s="18">
        <v>4.2500000000000003E-2</v>
      </c>
      <c r="C70" s="24">
        <v>31</v>
      </c>
      <c r="D70" s="590" t="s">
        <v>172</v>
      </c>
    </row>
    <row r="71" spans="1:4" hidden="1">
      <c r="A71" s="59">
        <v>43159</v>
      </c>
      <c r="B71" s="18">
        <f t="shared" si="1"/>
        <v>4.2500000000000003E-2</v>
      </c>
      <c r="C71" s="23">
        <v>28</v>
      </c>
      <c r="D71" s="591"/>
    </row>
    <row r="72" spans="1:4" hidden="1">
      <c r="A72" s="59">
        <v>43190</v>
      </c>
      <c r="B72" s="18">
        <f t="shared" si="1"/>
        <v>4.2500000000000003E-2</v>
      </c>
      <c r="C72" s="23">
        <v>31</v>
      </c>
      <c r="D72" s="591"/>
    </row>
    <row r="73" spans="1:4" hidden="1">
      <c r="A73" s="59">
        <v>43220</v>
      </c>
      <c r="B73" s="18">
        <v>4.4699999999999997E-2</v>
      </c>
      <c r="C73" s="23">
        <v>30</v>
      </c>
      <c r="D73" s="591"/>
    </row>
    <row r="74" spans="1:4" hidden="1">
      <c r="A74" s="59">
        <v>43251</v>
      </c>
      <c r="B74" s="18">
        <f t="shared" si="1"/>
        <v>4.4699999999999997E-2</v>
      </c>
      <c r="C74" s="23">
        <v>31</v>
      </c>
      <c r="D74" s="591"/>
    </row>
    <row r="75" spans="1:4" hidden="1">
      <c r="A75" s="59">
        <v>43281</v>
      </c>
      <c r="B75" s="18">
        <f t="shared" si="1"/>
        <v>4.4699999999999997E-2</v>
      </c>
      <c r="C75" s="23">
        <v>30</v>
      </c>
      <c r="D75" s="591"/>
    </row>
    <row r="76" spans="1:4" hidden="1">
      <c r="A76" s="59">
        <v>43312</v>
      </c>
      <c r="B76" s="18">
        <v>4.6899999999999997E-2</v>
      </c>
      <c r="C76" s="23">
        <v>31</v>
      </c>
      <c r="D76" s="591"/>
    </row>
    <row r="77" spans="1:4" hidden="1">
      <c r="A77" s="59">
        <v>43343</v>
      </c>
      <c r="B77" s="18">
        <f t="shared" si="1"/>
        <v>4.6899999999999997E-2</v>
      </c>
      <c r="C77" s="23">
        <v>31</v>
      </c>
      <c r="D77" s="591"/>
    </row>
    <row r="78" spans="1:4" hidden="1">
      <c r="A78" s="59">
        <v>43373</v>
      </c>
      <c r="B78" s="18">
        <f t="shared" si="1"/>
        <v>4.6899999999999997E-2</v>
      </c>
      <c r="C78" s="23">
        <v>30</v>
      </c>
      <c r="D78" s="591"/>
    </row>
    <row r="79" spans="1:4" hidden="1">
      <c r="A79" s="59">
        <v>43404</v>
      </c>
      <c r="B79" s="18">
        <v>4.9599999999999998E-2</v>
      </c>
      <c r="C79" s="23">
        <v>31</v>
      </c>
      <c r="D79" s="591"/>
    </row>
    <row r="80" spans="1:4" hidden="1">
      <c r="A80" s="59">
        <v>43434</v>
      </c>
      <c r="B80" s="18">
        <f t="shared" si="1"/>
        <v>4.9599999999999998E-2</v>
      </c>
      <c r="C80" s="23">
        <v>30</v>
      </c>
      <c r="D80" s="591"/>
    </row>
    <row r="81" spans="1:4" hidden="1">
      <c r="A81" s="60">
        <v>43465</v>
      </c>
      <c r="B81" s="19">
        <f t="shared" si="1"/>
        <v>4.9599999999999998E-2</v>
      </c>
      <c r="C81" s="22">
        <v>31</v>
      </c>
      <c r="D81" s="592"/>
    </row>
    <row r="82" spans="1:4" hidden="1">
      <c r="A82" s="58">
        <v>43496</v>
      </c>
      <c r="B82" s="17">
        <v>5.1799999999999999E-2</v>
      </c>
      <c r="C82" s="114">
        <v>31</v>
      </c>
      <c r="D82" s="590" t="s">
        <v>173</v>
      </c>
    </row>
    <row r="83" spans="1:4" hidden="1">
      <c r="A83" s="59">
        <v>43524</v>
      </c>
      <c r="B83" s="115">
        <f t="shared" si="1"/>
        <v>5.1799999999999999E-2</v>
      </c>
      <c r="C83" s="116">
        <v>28</v>
      </c>
      <c r="D83" s="591"/>
    </row>
    <row r="84" spans="1:4" hidden="1">
      <c r="A84" s="59">
        <v>43555</v>
      </c>
      <c r="B84" s="115">
        <f t="shared" si="1"/>
        <v>5.1799999999999999E-2</v>
      </c>
      <c r="C84" s="116">
        <v>31</v>
      </c>
      <c r="D84" s="591"/>
    </row>
    <row r="85" spans="1:4" hidden="1">
      <c r="A85" s="59">
        <v>43585</v>
      </c>
      <c r="B85" s="115">
        <v>5.45E-2</v>
      </c>
      <c r="C85" s="116">
        <v>30</v>
      </c>
      <c r="D85" s="591"/>
    </row>
    <row r="86" spans="1:4" hidden="1">
      <c r="A86" s="59">
        <v>43616</v>
      </c>
      <c r="B86" s="115">
        <f t="shared" si="1"/>
        <v>5.45E-2</v>
      </c>
      <c r="C86" s="116">
        <v>31</v>
      </c>
      <c r="D86" s="591"/>
    </row>
    <row r="87" spans="1:4" hidden="1">
      <c r="A87" s="59">
        <v>43646</v>
      </c>
      <c r="B87" s="115">
        <f t="shared" si="1"/>
        <v>5.45E-2</v>
      </c>
      <c r="C87" s="116">
        <v>30</v>
      </c>
      <c r="D87" s="591"/>
    </row>
    <row r="88" spans="1:4" hidden="1">
      <c r="A88" s="59">
        <v>43677</v>
      </c>
      <c r="B88" s="115">
        <v>5.5E-2</v>
      </c>
      <c r="C88" s="116">
        <v>31</v>
      </c>
      <c r="D88" s="591"/>
    </row>
    <row r="89" spans="1:4" hidden="1">
      <c r="A89" s="59">
        <v>43708</v>
      </c>
      <c r="B89" s="115">
        <f t="shared" si="1"/>
        <v>5.5E-2</v>
      </c>
      <c r="C89" s="116">
        <v>31</v>
      </c>
      <c r="D89" s="591"/>
    </row>
    <row r="90" spans="1:4" hidden="1">
      <c r="A90" s="59">
        <v>43738</v>
      </c>
      <c r="B90" s="115">
        <f t="shared" si="1"/>
        <v>5.5E-2</v>
      </c>
      <c r="C90" s="116">
        <v>30</v>
      </c>
      <c r="D90" s="591"/>
    </row>
    <row r="91" spans="1:4" hidden="1">
      <c r="A91" s="59">
        <v>43769</v>
      </c>
      <c r="B91" s="115">
        <v>5.4199999999999998E-2</v>
      </c>
      <c r="C91" s="116">
        <v>31</v>
      </c>
      <c r="D91" s="591"/>
    </row>
    <row r="92" spans="1:4" hidden="1">
      <c r="A92" s="59">
        <v>43799</v>
      </c>
      <c r="B92" s="115">
        <f t="shared" si="1"/>
        <v>5.4199999999999998E-2</v>
      </c>
      <c r="C92" s="116">
        <v>30</v>
      </c>
      <c r="D92" s="591"/>
    </row>
    <row r="93" spans="1:4" hidden="1">
      <c r="A93" s="60">
        <v>43830</v>
      </c>
      <c r="B93" s="19">
        <f t="shared" si="1"/>
        <v>5.4199999999999998E-2</v>
      </c>
      <c r="C93" s="117">
        <v>31</v>
      </c>
      <c r="D93" s="592"/>
    </row>
    <row r="94" spans="1:4" hidden="1">
      <c r="A94" s="59">
        <v>43861</v>
      </c>
      <c r="B94" s="18">
        <v>4.9599999999999998E-2</v>
      </c>
      <c r="C94" s="116">
        <v>31</v>
      </c>
      <c r="D94" s="590" t="s">
        <v>174</v>
      </c>
    </row>
    <row r="95" spans="1:4" hidden="1">
      <c r="A95" s="59">
        <v>43890</v>
      </c>
      <c r="B95" s="18">
        <f>B94</f>
        <v>4.9599999999999998E-2</v>
      </c>
      <c r="C95" s="119">
        <v>29</v>
      </c>
      <c r="D95" s="591"/>
    </row>
    <row r="96" spans="1:4" hidden="1">
      <c r="A96" s="59">
        <v>43921</v>
      </c>
      <c r="B96" s="18">
        <f>B95</f>
        <v>4.9599999999999998E-2</v>
      </c>
      <c r="C96" s="116">
        <v>31</v>
      </c>
      <c r="D96" s="591"/>
    </row>
    <row r="97" spans="1:4" hidden="1">
      <c r="A97" s="59">
        <v>43951</v>
      </c>
      <c r="B97" s="18">
        <v>4.7500000000000001E-2</v>
      </c>
      <c r="C97" s="116">
        <v>30</v>
      </c>
      <c r="D97" s="591"/>
    </row>
    <row r="98" spans="1:4" hidden="1">
      <c r="A98" s="59">
        <v>43982</v>
      </c>
      <c r="B98" s="18">
        <f t="shared" ref="B98:B151" si="2">B97</f>
        <v>4.7500000000000001E-2</v>
      </c>
      <c r="C98" s="116">
        <v>31</v>
      </c>
      <c r="D98" s="591"/>
    </row>
    <row r="99" spans="1:4" hidden="1">
      <c r="A99" s="59">
        <v>44012</v>
      </c>
      <c r="B99" s="18">
        <f t="shared" si="2"/>
        <v>4.7500000000000001E-2</v>
      </c>
      <c r="C99" s="116">
        <v>30</v>
      </c>
      <c r="D99" s="591"/>
    </row>
    <row r="100" spans="1:4" hidden="1">
      <c r="A100" s="59">
        <v>44043</v>
      </c>
      <c r="B100" s="18">
        <v>3.4299999999999997E-2</v>
      </c>
      <c r="C100" s="116">
        <v>31</v>
      </c>
      <c r="D100" s="591"/>
    </row>
    <row r="101" spans="1:4" hidden="1">
      <c r="A101" s="59">
        <v>44074</v>
      </c>
      <c r="B101" s="18">
        <f t="shared" si="2"/>
        <v>3.4299999999999997E-2</v>
      </c>
      <c r="C101" s="116">
        <v>31</v>
      </c>
      <c r="D101" s="591"/>
    </row>
    <row r="102" spans="1:4" hidden="1">
      <c r="A102" s="59">
        <v>44104</v>
      </c>
      <c r="B102" s="18">
        <f t="shared" si="2"/>
        <v>3.4299999999999997E-2</v>
      </c>
      <c r="C102" s="116">
        <v>30</v>
      </c>
      <c r="D102" s="591"/>
    </row>
    <row r="103" spans="1:4" hidden="1">
      <c r="A103" s="59">
        <v>44135</v>
      </c>
      <c r="B103" s="18">
        <v>3.2500000000000001E-2</v>
      </c>
      <c r="C103" s="116">
        <v>31</v>
      </c>
      <c r="D103" s="591"/>
    </row>
    <row r="104" spans="1:4" hidden="1">
      <c r="A104" s="59">
        <v>44165</v>
      </c>
      <c r="B104" s="115">
        <f t="shared" si="2"/>
        <v>3.2500000000000001E-2</v>
      </c>
      <c r="C104" s="116">
        <v>30</v>
      </c>
      <c r="D104" s="591"/>
    </row>
    <row r="105" spans="1:4" hidden="1">
      <c r="A105" s="60">
        <v>44196</v>
      </c>
      <c r="B105" s="19">
        <f t="shared" si="2"/>
        <v>3.2500000000000001E-2</v>
      </c>
      <c r="C105" s="117">
        <v>31</v>
      </c>
      <c r="D105" s="592"/>
    </row>
    <row r="106" spans="1:4" hidden="1">
      <c r="A106" s="59">
        <v>44227</v>
      </c>
      <c r="B106" s="18">
        <f t="shared" si="2"/>
        <v>3.2500000000000001E-2</v>
      </c>
      <c r="C106" s="116">
        <v>31</v>
      </c>
      <c r="D106" s="590" t="s">
        <v>175</v>
      </c>
    </row>
    <row r="107" spans="1:4" hidden="1">
      <c r="A107" s="59">
        <v>44255</v>
      </c>
      <c r="B107" s="18">
        <f t="shared" si="2"/>
        <v>3.2500000000000001E-2</v>
      </c>
      <c r="C107" s="116">
        <v>28</v>
      </c>
      <c r="D107" s="591"/>
    </row>
    <row r="108" spans="1:4" hidden="1">
      <c r="A108" s="120">
        <v>44286</v>
      </c>
      <c r="B108" s="18">
        <f t="shared" si="2"/>
        <v>3.2500000000000001E-2</v>
      </c>
      <c r="C108" s="116">
        <v>31</v>
      </c>
      <c r="D108" s="591"/>
    </row>
    <row r="109" spans="1:4" hidden="1">
      <c r="A109" s="120">
        <v>44316</v>
      </c>
      <c r="B109" s="18">
        <f t="shared" si="2"/>
        <v>3.2500000000000001E-2</v>
      </c>
      <c r="C109" s="116">
        <v>30</v>
      </c>
      <c r="D109" s="591"/>
    </row>
    <row r="110" spans="1:4" hidden="1">
      <c r="A110" s="120">
        <v>44347</v>
      </c>
      <c r="B110" s="18">
        <f t="shared" si="2"/>
        <v>3.2500000000000001E-2</v>
      </c>
      <c r="C110" s="116">
        <v>31</v>
      </c>
      <c r="D110" s="591"/>
    </row>
    <row r="111" spans="1:4" hidden="1">
      <c r="A111" s="120">
        <v>44377</v>
      </c>
      <c r="B111" s="18">
        <f t="shared" si="2"/>
        <v>3.2500000000000001E-2</v>
      </c>
      <c r="C111" s="116">
        <v>30</v>
      </c>
      <c r="D111" s="591"/>
    </row>
    <row r="112" spans="1:4" hidden="1">
      <c r="A112" s="120">
        <v>44408</v>
      </c>
      <c r="B112" s="18">
        <f t="shared" si="2"/>
        <v>3.2500000000000001E-2</v>
      </c>
      <c r="C112" s="116">
        <v>31</v>
      </c>
      <c r="D112" s="591"/>
    </row>
    <row r="113" spans="1:4" hidden="1">
      <c r="A113" s="120">
        <v>44439</v>
      </c>
      <c r="B113" s="18">
        <f t="shared" si="2"/>
        <v>3.2500000000000001E-2</v>
      </c>
      <c r="C113" s="116">
        <v>31</v>
      </c>
      <c r="D113" s="591"/>
    </row>
    <row r="114" spans="1:4" hidden="1">
      <c r="A114" s="120">
        <v>44469</v>
      </c>
      <c r="B114" s="18">
        <f t="shared" si="2"/>
        <v>3.2500000000000001E-2</v>
      </c>
      <c r="C114" s="116">
        <v>30</v>
      </c>
      <c r="D114" s="591"/>
    </row>
    <row r="115" spans="1:4" hidden="1">
      <c r="A115" s="120">
        <v>44500</v>
      </c>
      <c r="B115" s="18">
        <f t="shared" si="2"/>
        <v>3.2500000000000001E-2</v>
      </c>
      <c r="C115" s="116">
        <v>31</v>
      </c>
      <c r="D115" s="591"/>
    </row>
    <row r="116" spans="1:4" hidden="1">
      <c r="A116" s="59">
        <v>44530</v>
      </c>
      <c r="B116" s="18">
        <f t="shared" si="2"/>
        <v>3.2500000000000001E-2</v>
      </c>
      <c r="C116" s="116">
        <v>30</v>
      </c>
      <c r="D116" s="591"/>
    </row>
    <row r="117" spans="1:4" hidden="1">
      <c r="A117" s="60">
        <v>44561</v>
      </c>
      <c r="B117" s="19">
        <f t="shared" si="2"/>
        <v>3.2500000000000001E-2</v>
      </c>
      <c r="C117" s="117">
        <v>31</v>
      </c>
      <c r="D117" s="592"/>
    </row>
    <row r="118" spans="1:4" hidden="1">
      <c r="A118" s="59">
        <v>44592</v>
      </c>
      <c r="B118" s="18">
        <f t="shared" si="2"/>
        <v>3.2500000000000001E-2</v>
      </c>
      <c r="C118" s="116">
        <v>31</v>
      </c>
      <c r="D118" s="590" t="s">
        <v>176</v>
      </c>
    </row>
    <row r="119" spans="1:4" hidden="1">
      <c r="A119" s="59">
        <v>44620</v>
      </c>
      <c r="B119" s="18">
        <f t="shared" si="2"/>
        <v>3.2500000000000001E-2</v>
      </c>
      <c r="C119" s="116">
        <v>28</v>
      </c>
      <c r="D119" s="591"/>
    </row>
    <row r="120" spans="1:4" hidden="1">
      <c r="A120" s="120">
        <v>44651</v>
      </c>
      <c r="B120" s="18">
        <f t="shared" si="2"/>
        <v>3.2500000000000001E-2</v>
      </c>
      <c r="C120" s="116">
        <v>31</v>
      </c>
      <c r="D120" s="591"/>
    </row>
    <row r="121" spans="1:4" hidden="1">
      <c r="A121" s="120">
        <v>44681</v>
      </c>
      <c r="B121" s="18">
        <f t="shared" si="2"/>
        <v>3.2500000000000001E-2</v>
      </c>
      <c r="C121" s="116">
        <v>30</v>
      </c>
      <c r="D121" s="591"/>
    </row>
    <row r="122" spans="1:4" hidden="1">
      <c r="A122" s="120">
        <v>44712</v>
      </c>
      <c r="B122" s="18">
        <f t="shared" si="2"/>
        <v>3.2500000000000001E-2</v>
      </c>
      <c r="C122" s="116">
        <v>31</v>
      </c>
      <c r="D122" s="591"/>
    </row>
    <row r="123" spans="1:4" hidden="1">
      <c r="A123" s="120">
        <v>44742</v>
      </c>
      <c r="B123" s="18">
        <f t="shared" si="2"/>
        <v>3.2500000000000001E-2</v>
      </c>
      <c r="C123" s="116">
        <v>30</v>
      </c>
      <c r="D123" s="591"/>
    </row>
    <row r="124" spans="1:4" hidden="1">
      <c r="A124" s="120">
        <v>44773</v>
      </c>
      <c r="B124" s="136">
        <v>3.5999999999999997E-2</v>
      </c>
      <c r="C124" s="116">
        <v>31</v>
      </c>
      <c r="D124" s="591"/>
    </row>
    <row r="125" spans="1:4" hidden="1">
      <c r="A125" s="120">
        <v>44804</v>
      </c>
      <c r="B125" s="18">
        <f t="shared" si="2"/>
        <v>3.5999999999999997E-2</v>
      </c>
      <c r="C125" s="116">
        <v>31</v>
      </c>
      <c r="D125" s="591"/>
    </row>
    <row r="126" spans="1:4" hidden="1">
      <c r="A126" s="120">
        <v>44834</v>
      </c>
      <c r="B126" s="18">
        <f t="shared" si="2"/>
        <v>3.5999999999999997E-2</v>
      </c>
      <c r="C126" s="116">
        <v>30</v>
      </c>
      <c r="D126" s="591"/>
    </row>
    <row r="127" spans="1:4" hidden="1">
      <c r="A127" s="120">
        <v>44865</v>
      </c>
      <c r="B127" s="18">
        <v>4.9099999999999998E-2</v>
      </c>
      <c r="C127" s="116">
        <v>31</v>
      </c>
      <c r="D127" s="591"/>
    </row>
    <row r="128" spans="1:4" hidden="1">
      <c r="A128" s="59">
        <v>44895</v>
      </c>
      <c r="B128" s="18">
        <f t="shared" si="2"/>
        <v>4.9099999999999998E-2</v>
      </c>
      <c r="C128" s="116">
        <v>30</v>
      </c>
      <c r="D128" s="591"/>
    </row>
    <row r="129" spans="1:4" hidden="1">
      <c r="A129" s="60">
        <v>44926</v>
      </c>
      <c r="B129" s="19">
        <f t="shared" si="2"/>
        <v>4.9099999999999998E-2</v>
      </c>
      <c r="C129" s="117">
        <v>31</v>
      </c>
      <c r="D129" s="592"/>
    </row>
    <row r="130" spans="1:4" hidden="1">
      <c r="A130" s="120">
        <v>44957</v>
      </c>
      <c r="B130" s="18">
        <v>6.3100000000000003E-2</v>
      </c>
      <c r="C130" s="116">
        <v>31</v>
      </c>
      <c r="D130" s="590" t="s">
        <v>177</v>
      </c>
    </row>
    <row r="131" spans="1:4" hidden="1">
      <c r="A131" s="120">
        <v>44985</v>
      </c>
      <c r="B131" s="18">
        <f t="shared" si="2"/>
        <v>6.3100000000000003E-2</v>
      </c>
      <c r="C131" s="116">
        <v>28</v>
      </c>
      <c r="D131" s="591"/>
    </row>
    <row r="132" spans="1:4" hidden="1">
      <c r="A132" s="120">
        <v>45016</v>
      </c>
      <c r="B132" s="115">
        <f t="shared" si="2"/>
        <v>6.3100000000000003E-2</v>
      </c>
      <c r="C132" s="116">
        <v>31</v>
      </c>
      <c r="D132" s="591"/>
    </row>
    <row r="133" spans="1:4" hidden="1">
      <c r="A133" s="120">
        <v>45046</v>
      </c>
      <c r="B133" s="115">
        <v>7.4999999999999997E-2</v>
      </c>
      <c r="C133" s="116">
        <v>30</v>
      </c>
      <c r="D133" s="591"/>
    </row>
    <row r="134" spans="1:4" hidden="1">
      <c r="A134" s="120">
        <v>45077</v>
      </c>
      <c r="B134" s="115">
        <f t="shared" si="2"/>
        <v>7.4999999999999997E-2</v>
      </c>
      <c r="C134" s="116">
        <v>31</v>
      </c>
      <c r="D134" s="591"/>
    </row>
    <row r="135" spans="1:4" hidden="1">
      <c r="A135" s="120">
        <v>45107</v>
      </c>
      <c r="B135" s="115">
        <f t="shared" si="2"/>
        <v>7.4999999999999997E-2</v>
      </c>
      <c r="C135" s="116">
        <v>30</v>
      </c>
      <c r="D135" s="591"/>
    </row>
    <row r="136" spans="1:4" hidden="1">
      <c r="A136" s="120">
        <v>45138</v>
      </c>
      <c r="B136" s="115">
        <v>8.0199999999999994E-2</v>
      </c>
      <c r="C136" s="116">
        <v>31</v>
      </c>
      <c r="D136" s="591"/>
    </row>
    <row r="137" spans="1:4" hidden="1">
      <c r="A137" s="120">
        <v>45169</v>
      </c>
      <c r="B137" s="115">
        <f t="shared" si="2"/>
        <v>8.0199999999999994E-2</v>
      </c>
      <c r="C137" s="116">
        <v>31</v>
      </c>
      <c r="D137" s="591"/>
    </row>
    <row r="138" spans="1:4" hidden="1">
      <c r="A138" s="120">
        <v>45199</v>
      </c>
      <c r="B138" s="115">
        <f t="shared" si="2"/>
        <v>8.0199999999999994E-2</v>
      </c>
      <c r="C138" s="116">
        <v>30</v>
      </c>
      <c r="D138" s="591"/>
    </row>
    <row r="139" spans="1:4" hidden="1">
      <c r="A139" s="120">
        <v>45230</v>
      </c>
      <c r="B139" s="115">
        <v>8.3500000000000005E-2</v>
      </c>
      <c r="C139" s="116">
        <v>31</v>
      </c>
      <c r="D139" s="591"/>
    </row>
    <row r="140" spans="1:4">
      <c r="A140" s="58">
        <v>45260</v>
      </c>
      <c r="B140" s="17">
        <f t="shared" si="2"/>
        <v>8.3500000000000005E-2</v>
      </c>
      <c r="C140" s="114">
        <v>30</v>
      </c>
      <c r="D140" s="591"/>
    </row>
    <row r="141" spans="1:4">
      <c r="A141" s="60">
        <v>45291</v>
      </c>
      <c r="B141" s="19">
        <f t="shared" si="2"/>
        <v>8.3500000000000005E-2</v>
      </c>
      <c r="C141" s="117">
        <v>31</v>
      </c>
      <c r="D141" s="592"/>
    </row>
    <row r="142" spans="1:4">
      <c r="A142" s="59">
        <v>45322</v>
      </c>
      <c r="B142" s="115">
        <v>8.5000000000000006E-2</v>
      </c>
      <c r="C142" s="116">
        <v>31</v>
      </c>
      <c r="D142" s="590" t="s">
        <v>178</v>
      </c>
    </row>
    <row r="143" spans="1:4">
      <c r="A143" s="59">
        <v>45351</v>
      </c>
      <c r="B143" s="115">
        <f t="shared" si="2"/>
        <v>8.5000000000000006E-2</v>
      </c>
      <c r="C143" s="116">
        <v>29</v>
      </c>
      <c r="D143" s="591"/>
    </row>
    <row r="144" spans="1:4">
      <c r="A144" s="59">
        <v>45382</v>
      </c>
      <c r="B144" s="115">
        <f t="shared" si="2"/>
        <v>8.5000000000000006E-2</v>
      </c>
      <c r="C144" s="116">
        <v>31</v>
      </c>
      <c r="D144" s="591"/>
    </row>
    <row r="145" spans="1:6">
      <c r="A145" s="59">
        <v>45412</v>
      </c>
      <c r="B145" s="115">
        <f t="shared" si="2"/>
        <v>8.5000000000000006E-2</v>
      </c>
      <c r="C145" s="116">
        <v>30</v>
      </c>
      <c r="D145" s="591"/>
    </row>
    <row r="146" spans="1:6">
      <c r="A146" s="59">
        <v>45443</v>
      </c>
      <c r="B146" s="115">
        <f t="shared" si="2"/>
        <v>8.5000000000000006E-2</v>
      </c>
      <c r="C146" s="116">
        <v>31</v>
      </c>
      <c r="D146" s="591"/>
    </row>
    <row r="147" spans="1:6">
      <c r="A147" s="59">
        <v>45473</v>
      </c>
      <c r="B147" s="115">
        <f t="shared" si="2"/>
        <v>8.5000000000000006E-2</v>
      </c>
      <c r="C147" s="116">
        <v>30</v>
      </c>
      <c r="D147" s="591"/>
    </row>
    <row r="148" spans="1:6">
      <c r="A148" s="59">
        <v>45504</v>
      </c>
      <c r="B148" s="115">
        <f t="shared" si="2"/>
        <v>8.5000000000000006E-2</v>
      </c>
      <c r="C148" s="116">
        <v>31</v>
      </c>
      <c r="D148" s="591"/>
    </row>
    <row r="149" spans="1:6">
      <c r="A149" s="59">
        <v>45535</v>
      </c>
      <c r="B149" s="115">
        <f t="shared" si="2"/>
        <v>8.5000000000000006E-2</v>
      </c>
      <c r="C149" s="116">
        <v>31</v>
      </c>
      <c r="D149" s="591"/>
    </row>
    <row r="150" spans="1:6">
      <c r="A150" s="59">
        <v>45565</v>
      </c>
      <c r="B150" s="115">
        <f t="shared" si="2"/>
        <v>8.5000000000000006E-2</v>
      </c>
      <c r="C150" s="116">
        <v>30</v>
      </c>
      <c r="D150" s="591"/>
    </row>
    <row r="151" spans="1:6">
      <c r="A151" s="59">
        <v>45596</v>
      </c>
      <c r="B151" s="115">
        <f t="shared" si="2"/>
        <v>8.5000000000000006E-2</v>
      </c>
      <c r="C151" s="116">
        <v>31</v>
      </c>
      <c r="D151" s="591"/>
    </row>
    <row r="152" spans="1:6">
      <c r="A152" s="59">
        <v>45626</v>
      </c>
      <c r="B152" s="115">
        <v>8.5000000000000006E-2</v>
      </c>
      <c r="C152" s="116">
        <v>30</v>
      </c>
      <c r="D152" s="591"/>
    </row>
    <row r="153" spans="1:6">
      <c r="A153" s="60">
        <v>45657</v>
      </c>
      <c r="B153" s="19">
        <v>8.5000000000000006E-2</v>
      </c>
      <c r="C153" s="117">
        <v>31</v>
      </c>
      <c r="D153" s="592"/>
    </row>
    <row r="154" spans="1:6">
      <c r="A154" s="59">
        <v>45688</v>
      </c>
      <c r="B154" s="115">
        <v>8.0399999999999999E-2</v>
      </c>
      <c r="C154" s="116">
        <v>31</v>
      </c>
      <c r="D154" s="590" t="s">
        <v>179</v>
      </c>
    </row>
    <row r="155" spans="1:6" ht="15.75">
      <c r="A155" s="59">
        <v>45716</v>
      </c>
      <c r="B155" s="115">
        <f t="shared" ref="B155:B156" si="3">B154</f>
        <v>8.0399999999999999E-2</v>
      </c>
      <c r="C155" s="116">
        <v>28</v>
      </c>
      <c r="D155" s="591"/>
      <c r="F155"/>
    </row>
    <row r="156" spans="1:6">
      <c r="A156" s="59">
        <v>45747</v>
      </c>
      <c r="B156" s="115">
        <f t="shared" si="3"/>
        <v>8.0399999999999999E-2</v>
      </c>
      <c r="C156" s="116">
        <v>31</v>
      </c>
      <c r="D156" s="591"/>
    </row>
    <row r="157" spans="1:6">
      <c r="A157" s="59">
        <v>45777</v>
      </c>
      <c r="B157" s="115"/>
      <c r="C157" s="116">
        <v>30</v>
      </c>
      <c r="D157" s="591"/>
    </row>
    <row r="158" spans="1:6">
      <c r="A158" s="59">
        <v>45808</v>
      </c>
      <c r="B158" s="115"/>
      <c r="C158" s="116">
        <v>31</v>
      </c>
      <c r="D158" s="591"/>
    </row>
    <row r="159" spans="1:6">
      <c r="A159" s="59">
        <v>45838</v>
      </c>
      <c r="B159" s="115"/>
      <c r="C159" s="116">
        <v>30</v>
      </c>
      <c r="D159" s="591"/>
    </row>
    <row r="160" spans="1:6">
      <c r="A160" s="59">
        <v>45869</v>
      </c>
      <c r="B160" s="115"/>
      <c r="C160" s="116">
        <v>31</v>
      </c>
      <c r="D160" s="591"/>
    </row>
    <row r="161" spans="1:4">
      <c r="A161" s="59">
        <v>45900</v>
      </c>
      <c r="B161" s="115"/>
      <c r="C161" s="116">
        <v>31</v>
      </c>
      <c r="D161" s="591"/>
    </row>
    <row r="162" spans="1:4">
      <c r="A162" s="59">
        <v>45930</v>
      </c>
      <c r="B162" s="115"/>
      <c r="C162" s="116">
        <v>30</v>
      </c>
      <c r="D162" s="591"/>
    </row>
    <row r="163" spans="1:4">
      <c r="A163" s="59">
        <v>45961</v>
      </c>
      <c r="B163" s="115"/>
      <c r="C163" s="116">
        <v>31</v>
      </c>
      <c r="D163" s="591"/>
    </row>
    <row r="164" spans="1:4">
      <c r="A164" s="59">
        <v>45991</v>
      </c>
      <c r="B164" s="115"/>
      <c r="C164" s="116">
        <v>30</v>
      </c>
      <c r="D164" s="591"/>
    </row>
    <row r="165" spans="1:4">
      <c r="A165" s="60">
        <v>46022</v>
      </c>
      <c r="B165" s="19"/>
      <c r="C165" s="117">
        <v>31</v>
      </c>
      <c r="D165" s="592"/>
    </row>
  </sheetData>
  <mergeCells count="13">
    <mergeCell ref="D154:D165"/>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rowBreaks count="1" manualBreakCount="1">
    <brk id="57"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42"/>
  <sheetViews>
    <sheetView showGridLines="0" view="pageBreakPreview" zoomScale="130" zoomScaleNormal="60" zoomScaleSheetLayoutView="130" workbookViewId="0">
      <pane xSplit="1" ySplit="4" topLeftCell="B124" activePane="bottomRight" state="frozen"/>
      <selection pane="bottomRight" activeCell="D162" sqref="D162"/>
      <selection pane="bottomLeft" activeCell="D162" sqref="D162"/>
      <selection pane="topRight" activeCell="D162" sqref="D162"/>
    </sheetView>
  </sheetViews>
  <sheetFormatPr defaultColWidth="8.88671875" defaultRowHeight="12.75"/>
  <cols>
    <col min="1" max="1" width="6.44140625" style="1" customWidth="1"/>
    <col min="2" max="2" width="9.44140625" style="33" customWidth="1"/>
    <col min="3" max="3" width="8.6640625" style="33" customWidth="1"/>
    <col min="4" max="4" width="8" style="33" customWidth="1"/>
    <col min="5" max="5" width="8.5546875" style="28" customWidth="1"/>
    <col min="6" max="6" width="8" style="33" bestFit="1" customWidth="1"/>
    <col min="7" max="7" width="8.44140625" style="33" customWidth="1"/>
    <col min="8" max="8" width="8.77734375" style="28" bestFit="1" customWidth="1"/>
    <col min="9" max="10" width="9.21875" style="28" customWidth="1"/>
    <col min="11" max="11" width="10" style="35" customWidth="1"/>
    <col min="12" max="12" width="9.33203125" style="28" customWidth="1"/>
    <col min="13" max="13" width="5.5546875" style="31" customWidth="1"/>
    <col min="14" max="14" width="10" style="35" bestFit="1" customWidth="1"/>
    <col min="15" max="15" width="9.109375" style="28" customWidth="1"/>
    <col min="16" max="16" width="9.33203125" style="28" customWidth="1"/>
    <col min="17" max="17" width="9.21875" style="28" customWidth="1"/>
    <col min="18" max="18" width="6.6640625" style="35" customWidth="1"/>
    <col min="19" max="20" width="9.33203125" style="1" customWidth="1"/>
    <col min="21" max="21" width="8.109375" style="1" bestFit="1" customWidth="1"/>
    <col min="22" max="22" width="9.33203125" style="1" customWidth="1"/>
    <col min="23" max="23" width="13.77734375" style="1" customWidth="1"/>
    <col min="24" max="24" width="12.77734375" style="1" customWidth="1"/>
    <col min="25" max="16384" width="8.88671875" style="1"/>
  </cols>
  <sheetData>
    <row r="1" spans="1:22" ht="15.75">
      <c r="A1" s="598" t="s">
        <v>180</v>
      </c>
      <c r="B1" s="599"/>
      <c r="C1" s="599"/>
      <c r="D1" s="599"/>
      <c r="E1" s="599"/>
      <c r="F1" s="599"/>
      <c r="G1" s="599"/>
      <c r="H1" s="599"/>
      <c r="I1" s="599"/>
      <c r="J1" s="599"/>
      <c r="K1" s="599"/>
      <c r="L1" s="599"/>
      <c r="M1" s="599"/>
      <c r="N1" s="599"/>
      <c r="O1" s="599"/>
      <c r="P1" s="599"/>
      <c r="Q1" s="599"/>
      <c r="R1" s="599"/>
      <c r="S1" s="599"/>
      <c r="T1" s="599"/>
      <c r="U1" s="599"/>
      <c r="V1" s="600"/>
    </row>
    <row r="2" spans="1:22" ht="15.75">
      <c r="A2" s="595" t="s">
        <v>181</v>
      </c>
      <c r="B2" s="596"/>
      <c r="C2" s="596"/>
      <c r="D2" s="596"/>
      <c r="E2" s="596"/>
      <c r="F2" s="596"/>
      <c r="G2" s="596"/>
      <c r="H2" s="596"/>
      <c r="I2" s="596"/>
      <c r="J2" s="596"/>
      <c r="K2" s="596"/>
      <c r="L2" s="596"/>
      <c r="M2" s="596"/>
      <c r="N2" s="596"/>
      <c r="O2" s="596"/>
      <c r="P2" s="596"/>
      <c r="Q2" s="596"/>
      <c r="R2" s="596"/>
      <c r="S2" s="596"/>
      <c r="T2" s="596"/>
      <c r="U2" s="596"/>
      <c r="V2" s="597"/>
    </row>
    <row r="3" spans="1:22" s="100" customFormat="1" ht="39.75" customHeight="1">
      <c r="A3" s="608" t="s">
        <v>182</v>
      </c>
      <c r="B3" s="610" t="s">
        <v>183</v>
      </c>
      <c r="C3" s="611"/>
      <c r="D3" s="611"/>
      <c r="E3" s="612"/>
      <c r="F3" s="610" t="s">
        <v>184</v>
      </c>
      <c r="G3" s="611"/>
      <c r="H3" s="612"/>
      <c r="I3" s="613" t="s">
        <v>185</v>
      </c>
      <c r="J3" s="603" t="s">
        <v>186</v>
      </c>
      <c r="K3" s="615" t="s">
        <v>187</v>
      </c>
      <c r="L3" s="617" t="s">
        <v>188</v>
      </c>
      <c r="M3" s="619" t="s">
        <v>189</v>
      </c>
      <c r="N3" s="620"/>
      <c r="O3" s="621"/>
      <c r="P3" s="603" t="s">
        <v>190</v>
      </c>
      <c r="Q3" s="601" t="s">
        <v>191</v>
      </c>
      <c r="R3" s="606" t="s">
        <v>192</v>
      </c>
      <c r="S3" s="593" t="s">
        <v>193</v>
      </c>
      <c r="T3" s="605"/>
      <c r="U3" s="593" t="s">
        <v>194</v>
      </c>
      <c r="V3" s="594"/>
    </row>
    <row r="4" spans="1:22" s="26" customFormat="1" ht="53.25" customHeight="1">
      <c r="A4" s="609"/>
      <c r="B4" s="198" t="s">
        <v>195</v>
      </c>
      <c r="C4" s="198" t="s">
        <v>196</v>
      </c>
      <c r="D4" s="198" t="s">
        <v>197</v>
      </c>
      <c r="E4" s="99" t="s">
        <v>198</v>
      </c>
      <c r="F4" s="199" t="s">
        <v>199</v>
      </c>
      <c r="G4" s="198" t="s">
        <v>200</v>
      </c>
      <c r="H4" s="99" t="s">
        <v>201</v>
      </c>
      <c r="I4" s="614"/>
      <c r="J4" s="604"/>
      <c r="K4" s="616"/>
      <c r="L4" s="618"/>
      <c r="M4" s="99" t="s">
        <v>202</v>
      </c>
      <c r="N4" s="7" t="s">
        <v>71</v>
      </c>
      <c r="O4" s="130" t="s">
        <v>203</v>
      </c>
      <c r="P4" s="604"/>
      <c r="Q4" s="602"/>
      <c r="R4" s="607"/>
      <c r="S4" s="131" t="s">
        <v>204</v>
      </c>
      <c r="T4" s="65" t="s">
        <v>205</v>
      </c>
      <c r="U4" s="131" t="s">
        <v>204</v>
      </c>
      <c r="V4" s="65" t="s">
        <v>205</v>
      </c>
    </row>
    <row r="5" spans="1:22" hidden="1">
      <c r="A5" s="38">
        <f>'FERC Interest Rates'!A20</f>
        <v>41608</v>
      </c>
      <c r="B5" s="33">
        <v>8981544</v>
      </c>
      <c r="C5" s="33">
        <v>6245512</v>
      </c>
      <c r="D5" s="33">
        <v>1246219</v>
      </c>
      <c r="E5" s="53">
        <f t="shared" ref="E5:E28" si="0">SUM(B5:D5)</f>
        <v>16473275</v>
      </c>
      <c r="F5" s="74">
        <f>-3562+4052+1032</f>
        <v>1522</v>
      </c>
      <c r="G5" s="33">
        <f>-391811+391811+473546</f>
        <v>473546</v>
      </c>
      <c r="H5" s="53">
        <f t="shared" ref="H5:H18" si="1">SUM(F5:G5)</f>
        <v>475068</v>
      </c>
      <c r="I5" s="101">
        <f t="shared" ref="I5:I18" si="2">E5+H5</f>
        <v>16948343</v>
      </c>
      <c r="J5" s="53"/>
      <c r="K5" s="33">
        <f>-42876225-32657013+42877182+32657503+39204659+27378417</f>
        <v>66584523</v>
      </c>
      <c r="L5" s="104">
        <f t="shared" ref="L5" si="3">I5+K5</f>
        <v>83532866</v>
      </c>
      <c r="M5" s="29" t="s">
        <v>206</v>
      </c>
      <c r="N5" s="32">
        <f>6694156+496393+160011+2427804+415916+1440127+893391+560544+1022722+273455-(6694156+496393+160011+2427804+415916+1440127+893391+560544+1022722+273455)+6877899+554962+2079912+3071618+306266+1422327+784739+529710+1054644+278549</f>
        <v>16960626</v>
      </c>
      <c r="O5" s="53">
        <f t="shared" ref="O5:O36" si="4">K5-N5</f>
        <v>49623897</v>
      </c>
      <c r="P5" s="53">
        <f t="shared" ref="P5:P36" si="5">L5-N5</f>
        <v>66572240</v>
      </c>
      <c r="Q5" s="53"/>
      <c r="R5" s="33">
        <f>-496393+496393+554962</f>
        <v>554962</v>
      </c>
      <c r="T5" s="66"/>
    </row>
    <row r="6" spans="1:22" hidden="1">
      <c r="A6" s="38">
        <f>'FERC Interest Rates'!A21</f>
        <v>41639</v>
      </c>
      <c r="B6" s="33">
        <v>18320588</v>
      </c>
      <c r="C6" s="33">
        <v>11226493</v>
      </c>
      <c r="D6" s="33">
        <v>3079194</v>
      </c>
      <c r="E6" s="53">
        <f t="shared" si="0"/>
        <v>32626275</v>
      </c>
      <c r="F6" s="74">
        <f>-1032+1032+9420</f>
        <v>9420</v>
      </c>
      <c r="G6" s="33">
        <f>-473546+473546+594027</f>
        <v>594027</v>
      </c>
      <c r="H6" s="53">
        <f t="shared" si="1"/>
        <v>603447</v>
      </c>
      <c r="I6" s="101">
        <f t="shared" si="2"/>
        <v>33229722</v>
      </c>
      <c r="J6" s="53"/>
      <c r="K6" s="33">
        <f>-39204659-27378417+39042548+27378417+42249626+40077801</f>
        <v>82165316</v>
      </c>
      <c r="L6" s="104">
        <f>I6+K6</f>
        <v>115395038</v>
      </c>
      <c r="M6" s="29" t="s">
        <v>206</v>
      </c>
      <c r="N6" s="32">
        <f>6877899+554962+2079912+2904516+306266+1422327+784739+529710+1054644+278549-(6877899+554962+2079912+3071618+306266+1422327+784739+529710+1054644+278549)+7483576+646377+5363751+3070454+401145+2035761+871026+432080+1151260+295911</f>
        <v>21584239</v>
      </c>
      <c r="O6" s="53">
        <f t="shared" si="4"/>
        <v>60581077</v>
      </c>
      <c r="P6" s="53">
        <f t="shared" si="5"/>
        <v>93810799</v>
      </c>
      <c r="Q6" s="53"/>
      <c r="R6" s="33">
        <f>-554962+554962+646377</f>
        <v>646377</v>
      </c>
      <c r="T6" s="66"/>
    </row>
    <row r="7" spans="1:22" hidden="1">
      <c r="A7" s="38">
        <f>'FERC Interest Rates'!A22</f>
        <v>41670</v>
      </c>
      <c r="B7" s="33">
        <v>20899551</v>
      </c>
      <c r="C7" s="33">
        <v>15807954</v>
      </c>
      <c r="D7" s="33">
        <v>1390372</v>
      </c>
      <c r="E7" s="53">
        <f t="shared" si="0"/>
        <v>38097877</v>
      </c>
      <c r="F7" s="74">
        <f>-9420+9420+8828</f>
        <v>8828</v>
      </c>
      <c r="G7" s="33">
        <f>-594027+594027+549498</f>
        <v>549498</v>
      </c>
      <c r="H7" s="53">
        <f t="shared" si="1"/>
        <v>558326</v>
      </c>
      <c r="I7" s="101">
        <f t="shared" si="2"/>
        <v>38656203</v>
      </c>
      <c r="J7" s="53"/>
      <c r="K7" s="33">
        <f>-42249626-40077801+42261388+40077801+43482656+31005941</f>
        <v>74500359</v>
      </c>
      <c r="L7" s="104">
        <f t="shared" ref="L7:L18" si="6">I7+K7</f>
        <v>113156562</v>
      </c>
      <c r="M7" s="29" t="s">
        <v>206</v>
      </c>
      <c r="N7" s="32">
        <f>7483576+650345+5363751+3070454+401145+2035761+871026+432080+1151260+295911-(7483576+646377+5363751+3070454+401145+2035761+871026+432080+1151260+295911)+7924631+591555+530261+2952608+274556+1903119+968198+560606+1168015+296681</f>
        <v>17174198</v>
      </c>
      <c r="O7" s="53">
        <f t="shared" si="4"/>
        <v>57326161</v>
      </c>
      <c r="P7" s="53">
        <f t="shared" si="5"/>
        <v>95982364</v>
      </c>
      <c r="Q7" s="53"/>
      <c r="R7" s="33">
        <f>-646377+650345+591555</f>
        <v>595523</v>
      </c>
      <c r="T7" s="66"/>
    </row>
    <row r="8" spans="1:22" hidden="1">
      <c r="A8" s="38">
        <f>'FERC Interest Rates'!A23</f>
        <v>41698</v>
      </c>
      <c r="B8" s="33">
        <v>18728366</v>
      </c>
      <c r="C8" s="33">
        <v>13972473</v>
      </c>
      <c r="D8" s="33">
        <v>1430555</v>
      </c>
      <c r="E8" s="53">
        <f t="shared" si="0"/>
        <v>34131394</v>
      </c>
      <c r="F8" s="74">
        <f>-8828+8828+14228</f>
        <v>14228</v>
      </c>
      <c r="G8" s="33">
        <f>-549498+549498+509515</f>
        <v>509515</v>
      </c>
      <c r="H8" s="53">
        <f t="shared" si="1"/>
        <v>523743</v>
      </c>
      <c r="I8" s="101">
        <f t="shared" si="2"/>
        <v>34655137</v>
      </c>
      <c r="J8" s="53"/>
      <c r="K8" s="33">
        <f>-43482656-31005941+43519263+31240262+37914010+26420186</f>
        <v>64605124</v>
      </c>
      <c r="L8" s="104">
        <f t="shared" si="6"/>
        <v>99260261</v>
      </c>
      <c r="M8" s="29" t="s">
        <v>206</v>
      </c>
      <c r="N8" s="32">
        <f>7924631+591555+764582+2952608+274556+1903119+968198+560606+1168015+296681-(7924631+591555+530261+2952608+274556+1903119+968198+560606+1168015+296681)+7052079+530616+2340924+3093441+320341+1568449+697252+430841+1002529+285932</f>
        <v>17556725</v>
      </c>
      <c r="O8" s="53">
        <f t="shared" si="4"/>
        <v>47048399</v>
      </c>
      <c r="P8" s="53">
        <f t="shared" si="5"/>
        <v>81703536</v>
      </c>
      <c r="Q8" s="53"/>
      <c r="R8" s="33">
        <f>-591555+591555+530616</f>
        <v>530616</v>
      </c>
      <c r="T8" s="66"/>
    </row>
    <row r="9" spans="1:22" hidden="1">
      <c r="A9" s="38">
        <f>'FERC Interest Rates'!A24</f>
        <v>41729</v>
      </c>
      <c r="B9" s="33">
        <v>16273150</v>
      </c>
      <c r="C9" s="33">
        <v>12143699</v>
      </c>
      <c r="D9" s="33">
        <v>1316970</v>
      </c>
      <c r="E9" s="53">
        <f t="shared" si="0"/>
        <v>29733819</v>
      </c>
      <c r="F9" s="74">
        <f>-14228+14228+13441</f>
        <v>13441</v>
      </c>
      <c r="G9" s="33">
        <f>-509515+509515+447136</f>
        <v>447136</v>
      </c>
      <c r="H9" s="53">
        <f t="shared" si="1"/>
        <v>460577</v>
      </c>
      <c r="I9" s="101">
        <f t="shared" si="2"/>
        <v>30194396</v>
      </c>
      <c r="J9" s="53"/>
      <c r="K9" s="33">
        <f>-37914010-26420186+37923911+26420186+38417588+12622035</f>
        <v>51049524</v>
      </c>
      <c r="L9" s="104">
        <f t="shared" si="6"/>
        <v>81243920</v>
      </c>
      <c r="M9" s="29" t="s">
        <v>206</v>
      </c>
      <c r="N9" s="32">
        <f>7052079+530616+2340924+3093441+320341+1568449+697252+430841+1002529+285932-(7052079+530616+2340924+3093441+320341+1568449+697252+430841+1002529+285932)+10350347+506888+358742+3325061+664366+1689724+886841+442692+1067268+298497</f>
        <v>19590426</v>
      </c>
      <c r="O9" s="53">
        <f t="shared" si="4"/>
        <v>31459098</v>
      </c>
      <c r="P9" s="53">
        <f t="shared" si="5"/>
        <v>61653494</v>
      </c>
      <c r="Q9" s="53"/>
      <c r="R9" s="33">
        <f>-530616+530616+506888</f>
        <v>506888</v>
      </c>
      <c r="T9" s="66"/>
    </row>
    <row r="10" spans="1:22" hidden="1">
      <c r="A10" s="38">
        <f>'FERC Interest Rates'!A25</f>
        <v>41759</v>
      </c>
      <c r="B10" s="33">
        <v>10535035</v>
      </c>
      <c r="C10" s="33">
        <v>6890795</v>
      </c>
      <c r="D10" s="33">
        <v>1792618</v>
      </c>
      <c r="E10" s="53">
        <f t="shared" si="0"/>
        <v>19218448</v>
      </c>
      <c r="F10" s="74">
        <f>-13441+13441+13712</f>
        <v>13712</v>
      </c>
      <c r="G10" s="33">
        <f>-447136+447136+369197</f>
        <v>369197</v>
      </c>
      <c r="H10" s="53">
        <f t="shared" si="1"/>
        <v>382909</v>
      </c>
      <c r="I10" s="101">
        <f t="shared" si="2"/>
        <v>19601357</v>
      </c>
      <c r="J10" s="53"/>
      <c r="K10" s="33">
        <f>-38417588-12622035+38424653+12622035+35791910-1689724+12474229</f>
        <v>46583480</v>
      </c>
      <c r="L10" s="104">
        <f t="shared" si="6"/>
        <v>66184837</v>
      </c>
      <c r="M10" s="29" t="s">
        <v>206</v>
      </c>
      <c r="N10" s="32">
        <f>10350347+499489+358742+3325061+664366+1698951+886841+442692+1067268+298497-(10350347+506888+358742+3325061+664366+1689724+886841+442692+1067268+298497)+9796313+429432+80912+2379064+880319+1657442+751000+321536+1050993+291110</f>
        <v>17639949</v>
      </c>
      <c r="O10" s="53">
        <f t="shared" si="4"/>
        <v>28943531</v>
      </c>
      <c r="P10" s="53">
        <f t="shared" si="5"/>
        <v>48544888</v>
      </c>
      <c r="Q10" s="53"/>
      <c r="R10" s="33">
        <f>-506888+499489+429432</f>
        <v>422033</v>
      </c>
      <c r="T10" s="66"/>
    </row>
    <row r="11" spans="1:22" hidden="1">
      <c r="A11" s="38">
        <f>'FERC Interest Rates'!A26</f>
        <v>41790</v>
      </c>
      <c r="B11" s="33">
        <v>6529687</v>
      </c>
      <c r="C11" s="33">
        <v>5039544</v>
      </c>
      <c r="D11" s="33">
        <v>730395</v>
      </c>
      <c r="E11" s="53">
        <f t="shared" si="0"/>
        <v>12299626</v>
      </c>
      <c r="F11" s="74">
        <f>-13712+13712+7236</f>
        <v>7236</v>
      </c>
      <c r="G11" s="33">
        <f>-369197+369197+280289</f>
        <v>280289</v>
      </c>
      <c r="H11" s="53">
        <f t="shared" si="1"/>
        <v>287525</v>
      </c>
      <c r="I11" s="101">
        <f t="shared" si="2"/>
        <v>12587151</v>
      </c>
      <c r="J11" s="53"/>
      <c r="K11" s="33">
        <f>-35791910+1689724-12474229+34110077+12473803+33859025+11641045</f>
        <v>45507535</v>
      </c>
      <c r="L11" s="104">
        <f t="shared" si="6"/>
        <v>58094686</v>
      </c>
      <c r="M11" s="29" t="s">
        <v>206</v>
      </c>
      <c r="N11" s="32">
        <f>9796313+429432+80912+2379064+880319+1657442+751000+321536+1050993+291110-(9796313+429432+80912+2379064+880319+1657442+751000+321536+1050993+291110)+6382262+410029+544843+2415879+816156+1521158+508591+363130+1076119+289404</f>
        <v>14327571</v>
      </c>
      <c r="O11" s="53">
        <f t="shared" si="4"/>
        <v>31179964</v>
      </c>
      <c r="P11" s="53">
        <f t="shared" si="5"/>
        <v>43767115</v>
      </c>
      <c r="Q11" s="53"/>
      <c r="R11" s="33">
        <f>-429432+429432+410029</f>
        <v>410029</v>
      </c>
      <c r="T11" s="66"/>
    </row>
    <row r="12" spans="1:22" hidden="1">
      <c r="A12" s="38">
        <f>'FERC Interest Rates'!A27</f>
        <v>41820</v>
      </c>
      <c r="B12" s="33">
        <v>3836089</v>
      </c>
      <c r="C12" s="33">
        <v>3473639</v>
      </c>
      <c r="D12" s="33">
        <v>585889</v>
      </c>
      <c r="E12" s="53">
        <f t="shared" si="0"/>
        <v>7895617</v>
      </c>
      <c r="F12" s="74">
        <f>-7236+7236+12495</f>
        <v>12495</v>
      </c>
      <c r="G12" s="33">
        <f>-280289+280289+236982</f>
        <v>236982</v>
      </c>
      <c r="H12" s="53">
        <f t="shared" si="1"/>
        <v>249477</v>
      </c>
      <c r="I12" s="101">
        <f t="shared" si="2"/>
        <v>8145094</v>
      </c>
      <c r="J12" s="53"/>
      <c r="K12" s="33">
        <f>-33859025-11641045+33861261+11641045+33441588+9166991</f>
        <v>42610815</v>
      </c>
      <c r="L12" s="104">
        <f t="shared" si="6"/>
        <v>50755909</v>
      </c>
      <c r="M12" s="29" t="s">
        <v>206</v>
      </c>
      <c r="N12" s="32">
        <f>6382262+410029+544843+2415879+816156+1521158+508591+363130+1076119+289404-(6382262+410029+544843+2415879+816156+1521158+508591+363130+1076119+289404)+5496890+368800+100442+2601535+574764+1429307+631237+325924+1072958+266055</f>
        <v>12867912</v>
      </c>
      <c r="O12" s="53">
        <f t="shared" si="4"/>
        <v>29742903</v>
      </c>
      <c r="P12" s="53">
        <f t="shared" si="5"/>
        <v>37887997</v>
      </c>
      <c r="Q12" s="53"/>
      <c r="R12" s="33">
        <f>-410029+410029+368800</f>
        <v>368800</v>
      </c>
      <c r="T12" s="66"/>
    </row>
    <row r="13" spans="1:22" hidden="1">
      <c r="A13" s="38">
        <f>'FERC Interest Rates'!A28</f>
        <v>41851</v>
      </c>
      <c r="B13" s="33">
        <v>3200841</v>
      </c>
      <c r="C13" s="33">
        <v>3132555</v>
      </c>
      <c r="D13" s="33">
        <v>589225</v>
      </c>
      <c r="E13" s="53">
        <f t="shared" si="0"/>
        <v>6922621</v>
      </c>
      <c r="F13" s="74">
        <f>-12495+12495+9729</f>
        <v>9729</v>
      </c>
      <c r="G13" s="33">
        <f>-236982+236982+230095</f>
        <v>230095</v>
      </c>
      <c r="H13" s="53">
        <f t="shared" si="1"/>
        <v>239824</v>
      </c>
      <c r="I13" s="101">
        <f t="shared" si="2"/>
        <v>7162445</v>
      </c>
      <c r="J13" s="53"/>
      <c r="K13" s="33">
        <f>-33441588-9166991+33447225+9166991+34241270+26302235</f>
        <v>60549142</v>
      </c>
      <c r="L13" s="104">
        <f t="shared" si="6"/>
        <v>67711587</v>
      </c>
      <c r="M13" s="29" t="s">
        <v>206</v>
      </c>
      <c r="N13" s="32">
        <f>5496890+371579+100442+2601535+574764+1429307+631237+325924+1072958+266055-(5496890+368800+100442+2601535+574764+1429307+631237+325924+1072958+266055)+6437743+362338+2115355+2428151+719594+1420571+430483+210238+1083197+270305</f>
        <v>15480754</v>
      </c>
      <c r="O13" s="53">
        <f t="shared" si="4"/>
        <v>45068388</v>
      </c>
      <c r="P13" s="53">
        <f t="shared" si="5"/>
        <v>52230833</v>
      </c>
      <c r="Q13" s="53"/>
      <c r="R13" s="33">
        <f>-368800+371579+362338</f>
        <v>365117</v>
      </c>
      <c r="T13" s="66"/>
    </row>
    <row r="14" spans="1:22" hidden="1">
      <c r="A14" s="38">
        <f>'FERC Interest Rates'!A29</f>
        <v>41882</v>
      </c>
      <c r="B14" s="33">
        <v>2405032</v>
      </c>
      <c r="C14" s="33">
        <v>2624238</v>
      </c>
      <c r="D14" s="33">
        <v>469407</v>
      </c>
      <c r="E14" s="53">
        <f t="shared" si="0"/>
        <v>5498677</v>
      </c>
      <c r="F14" s="74">
        <f>-9729+9729+11012</f>
        <v>11012</v>
      </c>
      <c r="G14" s="33">
        <f>-230095+230095+209217</f>
        <v>209217</v>
      </c>
      <c r="H14" s="53">
        <f t="shared" si="1"/>
        <v>220229</v>
      </c>
      <c r="I14" s="101">
        <f t="shared" si="2"/>
        <v>5718906</v>
      </c>
      <c r="J14" s="53"/>
      <c r="K14" s="33">
        <f>-34241270-26302235+34190840+26302235+35905732+41041046</f>
        <v>76896348</v>
      </c>
      <c r="L14" s="104">
        <f t="shared" si="6"/>
        <v>82615254</v>
      </c>
      <c r="M14" s="29" t="s">
        <v>206</v>
      </c>
      <c r="N14" s="32">
        <f>6437743+362338+2115355+2428151+719594+1420571+430483+210238+1083197+270305-(6437743+362338+2115355+2428151+719594+1420571+430483+210238+1083197+270305)+6468590+386762+5042350+2333053+500625+1378732+767133+428981+1079807+270265</f>
        <v>18656298</v>
      </c>
      <c r="O14" s="53">
        <f t="shared" si="4"/>
        <v>58240050</v>
      </c>
      <c r="P14" s="53">
        <f t="shared" si="5"/>
        <v>63958956</v>
      </c>
      <c r="Q14" s="53"/>
      <c r="R14" s="33">
        <f>-362338+362338+386762</f>
        <v>386762</v>
      </c>
      <c r="T14" s="66"/>
    </row>
    <row r="15" spans="1:22" hidden="1">
      <c r="A15" s="38">
        <f>'FERC Interest Rates'!A30</f>
        <v>41912</v>
      </c>
      <c r="B15" s="33">
        <v>2661734</v>
      </c>
      <c r="C15" s="33">
        <v>2810250</v>
      </c>
      <c r="D15" s="33">
        <v>633602</v>
      </c>
      <c r="E15" s="53">
        <f t="shared" si="0"/>
        <v>6105586</v>
      </c>
      <c r="F15" s="74">
        <f>-11012+11012+12365</f>
        <v>12365</v>
      </c>
      <c r="G15" s="33">
        <f>-209217+209217+251364</f>
        <v>251364</v>
      </c>
      <c r="H15" s="53">
        <f t="shared" si="1"/>
        <v>263729</v>
      </c>
      <c r="I15" s="101">
        <f t="shared" si="2"/>
        <v>6369315</v>
      </c>
      <c r="J15" s="53"/>
      <c r="K15" s="33">
        <f>-35905732-41041046+35905963+41041046+37015948+38913065</f>
        <v>75929244</v>
      </c>
      <c r="L15" s="104">
        <f t="shared" si="6"/>
        <v>82298559</v>
      </c>
      <c r="M15" s="29" t="s">
        <v>206</v>
      </c>
      <c r="N15" s="32">
        <f>6468590+386762+5042350+2333053+500625+1378732+767133+428981+1079807+270265-(6468590+386762+5042350+2333053+500625+1378732+767133+428981+1079807+270265)+6768259+397090+4746980+2796281+172941+1499626+782947+412733+1044404+257076</f>
        <v>18878337</v>
      </c>
      <c r="O15" s="53">
        <f t="shared" si="4"/>
        <v>57050907</v>
      </c>
      <c r="P15" s="53">
        <f t="shared" si="5"/>
        <v>63420222</v>
      </c>
      <c r="Q15" s="53"/>
      <c r="R15" s="33">
        <f>-386762+386762+397090</f>
        <v>397090</v>
      </c>
      <c r="T15" s="66"/>
    </row>
    <row r="16" spans="1:22" hidden="1">
      <c r="A16" s="27">
        <f>'FERC Interest Rates'!A31</f>
        <v>41943</v>
      </c>
      <c r="B16" s="36">
        <v>3641361</v>
      </c>
      <c r="C16" s="36">
        <v>3597412</v>
      </c>
      <c r="D16" s="36">
        <v>1455055</v>
      </c>
      <c r="E16" s="54">
        <f t="shared" si="0"/>
        <v>8693828</v>
      </c>
      <c r="F16" s="74">
        <f>-12365+12365+12119</f>
        <v>12119</v>
      </c>
      <c r="G16" s="36">
        <f>-251364+251364+300915</f>
        <v>300915</v>
      </c>
      <c r="H16" s="54">
        <f t="shared" si="1"/>
        <v>313034</v>
      </c>
      <c r="I16" s="102">
        <f t="shared" si="2"/>
        <v>9006862</v>
      </c>
      <c r="J16" s="53"/>
      <c r="K16" s="33">
        <f>-37015948-38913065+37019829+38913065+41711206+26835958</f>
        <v>68551045</v>
      </c>
      <c r="L16" s="105">
        <f t="shared" si="6"/>
        <v>77557907</v>
      </c>
      <c r="M16" s="30" t="s">
        <v>206</v>
      </c>
      <c r="N16" s="36">
        <f>6768259+400820+4746980+2796281+172941+1499626+782947+412733+1044404+257076-(6768259+397090+4746980+2796281+172941+1499626+782947+412733+1044404+257076)+7053573+428038+602341+2997600+38078+1574772+801305+400565+1128241+282568</f>
        <v>15310811</v>
      </c>
      <c r="O16" s="54">
        <f t="shared" si="4"/>
        <v>53240234</v>
      </c>
      <c r="P16" s="53">
        <f t="shared" si="5"/>
        <v>62247096</v>
      </c>
      <c r="Q16" s="53"/>
      <c r="R16" s="33">
        <f>-397090+400820+428038</f>
        <v>431768</v>
      </c>
      <c r="T16" s="66"/>
    </row>
    <row r="17" spans="1:20" hidden="1">
      <c r="A17" s="38">
        <f>'FERC Interest Rates'!A32</f>
        <v>41973</v>
      </c>
      <c r="B17" s="33">
        <v>6851471</v>
      </c>
      <c r="C17" s="33">
        <v>4831845</v>
      </c>
      <c r="D17" s="33">
        <v>977303</v>
      </c>
      <c r="E17" s="53">
        <f t="shared" si="0"/>
        <v>12660619</v>
      </c>
      <c r="F17" s="74">
        <f>-12119+12119+11804</f>
        <v>11804</v>
      </c>
      <c r="G17" s="33">
        <f>-300915+300915+461069</f>
        <v>461069</v>
      </c>
      <c r="H17" s="53">
        <f t="shared" si="1"/>
        <v>472873</v>
      </c>
      <c r="I17" s="101">
        <f t="shared" si="2"/>
        <v>13133492</v>
      </c>
      <c r="J17" s="53"/>
      <c r="K17" s="33">
        <f>-41711206-26835958+41710039+26835958+42244606+21309993</f>
        <v>63553432</v>
      </c>
      <c r="L17" s="104">
        <f t="shared" si="6"/>
        <v>76686924</v>
      </c>
      <c r="M17" s="29" t="s">
        <v>206</v>
      </c>
      <c r="N17" s="32">
        <f>7053573+428038+602341+2997600+38078+1574772+801305+400565+1128241+282568-(7053573+428038+602341+2997600+38078+1574772+801305+400565+1128241+282568)+7251568+535558+2317939+3141571+362918+1926299+824310+457802+1171801+290801</f>
        <v>18280567</v>
      </c>
      <c r="O17" s="53">
        <f t="shared" si="4"/>
        <v>45272865</v>
      </c>
      <c r="P17" s="53">
        <f t="shared" si="5"/>
        <v>58406357</v>
      </c>
      <c r="Q17" s="53"/>
      <c r="R17" s="33">
        <f>-428038+428038+535558</f>
        <v>535558</v>
      </c>
      <c r="S17" s="13"/>
      <c r="T17" s="68"/>
    </row>
    <row r="18" spans="1:20" hidden="1">
      <c r="A18" s="38">
        <f>'FERC Interest Rates'!A33</f>
        <v>42004</v>
      </c>
      <c r="B18" s="33">
        <v>16768304</v>
      </c>
      <c r="C18" s="33">
        <v>12223769</v>
      </c>
      <c r="D18" s="33">
        <v>1506794</v>
      </c>
      <c r="E18" s="53">
        <f t="shared" si="0"/>
        <v>30498867</v>
      </c>
      <c r="F18" s="74">
        <f>-11804+11804+11017</f>
        <v>11017</v>
      </c>
      <c r="G18" s="33">
        <f>-461069+461069+527921</f>
        <v>527921</v>
      </c>
      <c r="H18" s="53">
        <f t="shared" si="1"/>
        <v>538938</v>
      </c>
      <c r="I18" s="101">
        <f t="shared" si="2"/>
        <v>31037805</v>
      </c>
      <c r="J18" s="53"/>
      <c r="K18" s="33">
        <f>-42244606-21309993+42268246+21245123+42259375+20530964</f>
        <v>62749109</v>
      </c>
      <c r="L18" s="104">
        <f t="shared" si="6"/>
        <v>93786914</v>
      </c>
      <c r="M18" s="29" t="s">
        <v>206</v>
      </c>
      <c r="N18" s="32">
        <f>7251568+535558+2317939+3141571+298048+1926299+824310+457802+1171801+290801-(7251568+535558+2317939+3141571+362918+1926299+824310+457802+1171801+290801)+7671976+596910+1235157+3610898+362819+2082095+831536+448199+1199625+297405</f>
        <v>18271750</v>
      </c>
      <c r="O18" s="53">
        <f t="shared" si="4"/>
        <v>44477359</v>
      </c>
      <c r="P18" s="53">
        <f t="shared" si="5"/>
        <v>75515164</v>
      </c>
      <c r="Q18" s="53"/>
      <c r="R18" s="33">
        <f>-535558+535558+596910</f>
        <v>596910</v>
      </c>
      <c r="T18" s="66"/>
    </row>
    <row r="19" spans="1:20" hidden="1">
      <c r="A19" s="38">
        <f>'FERC Interest Rates'!A34</f>
        <v>42035</v>
      </c>
      <c r="B19" s="33">
        <v>17578866</v>
      </c>
      <c r="C19" s="33">
        <v>12961800</v>
      </c>
      <c r="D19" s="33">
        <v>1412476</v>
      </c>
      <c r="E19" s="53">
        <f t="shared" si="0"/>
        <v>31953142</v>
      </c>
      <c r="F19" s="74">
        <f>-11017+11017+12204</f>
        <v>12204</v>
      </c>
      <c r="G19" s="33">
        <f>-527921+527921+529386</f>
        <v>529386</v>
      </c>
      <c r="H19" s="53">
        <f t="shared" ref="H19:H28" si="7">SUM(F19:G19)</f>
        <v>541590</v>
      </c>
      <c r="I19" s="101">
        <f t="shared" ref="I19:I30" si="8">E19+H19</f>
        <v>32494732</v>
      </c>
      <c r="J19" s="53"/>
      <c r="K19" s="33">
        <f>-42259375-20530964+42269854+20530964+41276535+19117684</f>
        <v>60404698</v>
      </c>
      <c r="L19" s="104">
        <f t="shared" ref="L19:L30" si="9">I19+K19</f>
        <v>92899430</v>
      </c>
      <c r="M19" s="29" t="s">
        <v>206</v>
      </c>
      <c r="N19" s="32">
        <f>7671976+601614+1235157+3610898+362819+2082095+831536+448199+1199625+297405-(7671976+596910+1235157+3610898+362819+2082095+831536+448199+1199625+297405)+7775240+628657+261306+2998359+565275+2128262+1002064+552389+1164723+315674</f>
        <v>17396653</v>
      </c>
      <c r="O19" s="53">
        <f t="shared" si="4"/>
        <v>43008045</v>
      </c>
      <c r="P19" s="53">
        <f t="shared" si="5"/>
        <v>75502777</v>
      </c>
      <c r="Q19" s="53"/>
      <c r="R19" s="33">
        <f>-596910+601614+628657</f>
        <v>633361</v>
      </c>
      <c r="T19" s="66"/>
    </row>
    <row r="20" spans="1:20" hidden="1">
      <c r="A20" s="38">
        <f>'FERC Interest Rates'!A35</f>
        <v>42063</v>
      </c>
      <c r="B20" s="33">
        <v>14997100</v>
      </c>
      <c r="C20" s="33">
        <v>11518730</v>
      </c>
      <c r="D20" s="33">
        <v>1613976</v>
      </c>
      <c r="E20" s="53">
        <f t="shared" si="0"/>
        <v>28129806</v>
      </c>
      <c r="F20" s="74">
        <v>14542</v>
      </c>
      <c r="G20" s="33">
        <f>-529386+529366+405270</f>
        <v>405250</v>
      </c>
      <c r="H20" s="53">
        <f t="shared" si="7"/>
        <v>419792</v>
      </c>
      <c r="I20" s="101">
        <f t="shared" si="8"/>
        <v>28549598</v>
      </c>
      <c r="J20" s="53"/>
      <c r="K20" s="33">
        <f>-41276535-19117684+41280723+19117539+34347690+12512992</f>
        <v>46864725</v>
      </c>
      <c r="L20" s="104">
        <f t="shared" si="9"/>
        <v>75414323</v>
      </c>
      <c r="M20" s="29" t="s">
        <v>206</v>
      </c>
      <c r="N20" s="32">
        <f>7775240+628657+261306+2998359+565275+2128262+1002064+552389+1164723+315674-(7775240+628657+261306+2998359+565275+2128262+1002064+552389+1164723+315674)+5552771+509140+113871+2075909+864722+1967544+801800+470618+1096799+284521</f>
        <v>13737695</v>
      </c>
      <c r="O20" s="53">
        <f t="shared" si="4"/>
        <v>33127030</v>
      </c>
      <c r="P20" s="53">
        <f t="shared" si="5"/>
        <v>61676628</v>
      </c>
      <c r="Q20" s="53"/>
      <c r="R20" s="33">
        <f>-628657+628657+509140</f>
        <v>509140</v>
      </c>
      <c r="T20" s="66"/>
    </row>
    <row r="21" spans="1:20" hidden="1">
      <c r="A21" s="38">
        <f>'FERC Interest Rates'!A36</f>
        <v>42094</v>
      </c>
      <c r="B21" s="33">
        <v>12686420</v>
      </c>
      <c r="C21" s="33">
        <v>9397664</v>
      </c>
      <c r="D21" s="33">
        <v>1284186</v>
      </c>
      <c r="E21" s="53">
        <f t="shared" si="0"/>
        <v>23368270</v>
      </c>
      <c r="F21" s="74">
        <f>-14542+14415+9557</f>
        <v>9430</v>
      </c>
      <c r="G21" s="33">
        <f>-405270+405270+394245</f>
        <v>394245</v>
      </c>
      <c r="H21" s="53">
        <f t="shared" si="7"/>
        <v>403675</v>
      </c>
      <c r="I21" s="101">
        <f t="shared" si="8"/>
        <v>23771945</v>
      </c>
      <c r="J21" s="53"/>
      <c r="K21" s="33">
        <f>-34347690-12512992+34352010+12512992+38005282+20640594</f>
        <v>58650196</v>
      </c>
      <c r="L21" s="104">
        <f t="shared" si="9"/>
        <v>82422141</v>
      </c>
      <c r="M21" s="29" t="s">
        <v>206</v>
      </c>
      <c r="N21" s="32">
        <f>5552771+509140+113871+2075909+864722+1967544+801800+470618+1096799+284521-(5552771+509140+113871+2075909+864722+1967544+801800+470618+1096799+284521)+7235152+531599+201239+2265435+683468+2369837+650095+383330+1085376+314698</f>
        <v>15720229</v>
      </c>
      <c r="O21" s="53">
        <f t="shared" si="4"/>
        <v>42929967</v>
      </c>
      <c r="P21" s="53">
        <f t="shared" si="5"/>
        <v>66701912</v>
      </c>
      <c r="Q21" s="53"/>
      <c r="R21" s="33">
        <f>-509140+509140+531599</f>
        <v>531599</v>
      </c>
      <c r="T21" s="66"/>
    </row>
    <row r="22" spans="1:20" hidden="1">
      <c r="A22" s="38">
        <f>'FERC Interest Rates'!A37</f>
        <v>42124</v>
      </c>
      <c r="B22" s="33">
        <v>9059678</v>
      </c>
      <c r="C22" s="33">
        <v>6918371</v>
      </c>
      <c r="D22" s="33">
        <v>935256</v>
      </c>
      <c r="E22" s="53">
        <f t="shared" si="0"/>
        <v>16913305</v>
      </c>
      <c r="F22" s="74">
        <f>-9557+9254+12199</f>
        <v>11896</v>
      </c>
      <c r="G22" s="33">
        <f>-394245+394245+361119</f>
        <v>361119</v>
      </c>
      <c r="H22" s="53">
        <f t="shared" si="7"/>
        <v>373015</v>
      </c>
      <c r="I22" s="101">
        <f t="shared" si="8"/>
        <v>17286320</v>
      </c>
      <c r="J22" s="53"/>
      <c r="K22" s="33">
        <f>-38005282-20640594+38009615+20640594+33858981+20115722</f>
        <v>53979036</v>
      </c>
      <c r="L22" s="104">
        <f t="shared" si="9"/>
        <v>71265356</v>
      </c>
      <c r="M22" s="29" t="s">
        <v>206</v>
      </c>
      <c r="N22" s="32">
        <f>7235152+533473+201239+2265435+683468+2369837+650095+383330+1085376+314698-(7235152+531599+201239+2265435+683468+2369837+650095+383330+1085376+314698)+6684964+463039+552050+2607855+93873+1702162+890245+361162+1107762+342282</f>
        <v>14807268</v>
      </c>
      <c r="O22" s="53">
        <f t="shared" si="4"/>
        <v>39171768</v>
      </c>
      <c r="P22" s="53">
        <f t="shared" si="5"/>
        <v>56458088</v>
      </c>
      <c r="Q22" s="53"/>
      <c r="R22" s="33">
        <f>-531599+533473+463039</f>
        <v>464913</v>
      </c>
      <c r="T22" s="66"/>
    </row>
    <row r="23" spans="1:20" hidden="1">
      <c r="A23" s="38">
        <f>'FERC Interest Rates'!A38</f>
        <v>42155</v>
      </c>
      <c r="B23" s="33">
        <v>6136917</v>
      </c>
      <c r="C23" s="33">
        <v>4971568</v>
      </c>
      <c r="D23" s="33">
        <v>856194</v>
      </c>
      <c r="E23" s="53">
        <f t="shared" si="0"/>
        <v>11964679</v>
      </c>
      <c r="F23" s="74">
        <f>-12199+12199+14905</f>
        <v>14905</v>
      </c>
      <c r="G23" s="33">
        <f>-361119+361119+268036</f>
        <v>268036</v>
      </c>
      <c r="H23" s="53">
        <f t="shared" si="7"/>
        <v>282941</v>
      </c>
      <c r="I23" s="101">
        <f t="shared" si="8"/>
        <v>12247620</v>
      </c>
      <c r="J23" s="53"/>
      <c r="K23" s="33">
        <f>-33858981-20115722+33860743+20115722+33470121+27542200</f>
        <v>61014083</v>
      </c>
      <c r="L23" s="104">
        <f t="shared" si="9"/>
        <v>73261703</v>
      </c>
      <c r="M23" s="29" t="s">
        <v>206</v>
      </c>
      <c r="N23" s="32">
        <f>6684964+463039+552050+2609617+93873+1702162+890245+361162+1107762+342282-(6684964+463039+552050+2607855+93873+1702162+890245+361162+1107762+342282)+7000246+456023+1621381+2652137+524882+1621847+374191+391728+1106384+340345</f>
        <v>16090926</v>
      </c>
      <c r="O23" s="53">
        <f t="shared" si="4"/>
        <v>44923157</v>
      </c>
      <c r="P23" s="53">
        <f t="shared" si="5"/>
        <v>57170777</v>
      </c>
      <c r="Q23" s="53"/>
      <c r="R23" s="33">
        <f>-463039+463039+456023</f>
        <v>456023</v>
      </c>
      <c r="T23" s="66"/>
    </row>
    <row r="24" spans="1:20" hidden="1">
      <c r="A24" s="38">
        <f>'FERC Interest Rates'!A39</f>
        <v>42185</v>
      </c>
      <c r="B24" s="33">
        <v>3875649</v>
      </c>
      <c r="C24" s="33">
        <v>3719322</v>
      </c>
      <c r="D24" s="33">
        <v>678441</v>
      </c>
      <c r="E24" s="53">
        <f t="shared" si="0"/>
        <v>8273412</v>
      </c>
      <c r="F24" s="74">
        <f>-14905+14905+16538</f>
        <v>16538</v>
      </c>
      <c r="G24" s="33">
        <f>-268036+268036+223986</f>
        <v>223986</v>
      </c>
      <c r="H24" s="53">
        <f t="shared" si="7"/>
        <v>240524</v>
      </c>
      <c r="I24" s="101">
        <f t="shared" si="8"/>
        <v>8513936</v>
      </c>
      <c r="J24" s="53"/>
      <c r="K24" s="33">
        <f>-33470121-27542200+33471024+27542200+32081827+26900425</f>
        <v>58983155</v>
      </c>
      <c r="L24" s="104">
        <f t="shared" si="9"/>
        <v>67497091</v>
      </c>
      <c r="M24" s="29" t="s">
        <v>206</v>
      </c>
      <c r="N24" s="32">
        <f>7000246+456023+1621381+2652137+524882+1621847+374191+391728+1106384+340345-(7000246+456023+1621381+2652137+524882+1621847+374191+391728+1106384+340345)+3937653+391055+5658892+2168854+1382635+1646732+737859+425098+1015536+329092</f>
        <v>17693406</v>
      </c>
      <c r="O24" s="53">
        <f t="shared" si="4"/>
        <v>41289749</v>
      </c>
      <c r="P24" s="53">
        <f t="shared" si="5"/>
        <v>49803685</v>
      </c>
      <c r="Q24" s="53"/>
      <c r="R24" s="33">
        <f>-456023+456023+391055</f>
        <v>391055</v>
      </c>
      <c r="T24" s="66"/>
    </row>
    <row r="25" spans="1:20" hidden="1">
      <c r="A25" s="38">
        <f>'FERC Interest Rates'!A40</f>
        <v>42216</v>
      </c>
      <c r="B25" s="33">
        <v>2480569</v>
      </c>
      <c r="C25" s="33">
        <v>2695667</v>
      </c>
      <c r="D25" s="33">
        <v>589631</v>
      </c>
      <c r="E25" s="53">
        <f t="shared" si="0"/>
        <v>5765867</v>
      </c>
      <c r="F25" s="74">
        <f>-16538+16538+8369</f>
        <v>8369</v>
      </c>
      <c r="G25" s="33">
        <f>-223986+223986+197044</f>
        <v>197044</v>
      </c>
      <c r="H25" s="53">
        <f t="shared" si="7"/>
        <v>205413</v>
      </c>
      <c r="I25" s="101">
        <f t="shared" si="8"/>
        <v>5971280</v>
      </c>
      <c r="J25" s="53"/>
      <c r="K25" s="33">
        <f>-32081827-26900425+32083570+26898912+29865378+40621369</f>
        <v>70486977</v>
      </c>
      <c r="L25" s="104">
        <f>I25+K25</f>
        <v>76458257</v>
      </c>
      <c r="M25" s="29" t="s">
        <v>206</v>
      </c>
      <c r="N25" s="32">
        <f>3937653+392798+5658892+2168854+1382635+1646732+737859+425098+1015536+329092-(3937653+391055+5658892+2168854+1382635+1646732+737859+425098+1015536+329092)+7284221+382367+5999621+2253453+469138+1673592+658284+325589+1103993+323435</f>
        <v>20475436</v>
      </c>
      <c r="O25" s="53">
        <f t="shared" si="4"/>
        <v>50011541</v>
      </c>
      <c r="P25" s="53">
        <f t="shared" si="5"/>
        <v>55982821</v>
      </c>
      <c r="Q25" s="53"/>
      <c r="R25" s="33">
        <f>-391055+392798+382367</f>
        <v>384110</v>
      </c>
      <c r="T25" s="66"/>
    </row>
    <row r="26" spans="1:20" hidden="1">
      <c r="A26" s="38">
        <f>'FERC Interest Rates'!A41</f>
        <v>42247</v>
      </c>
      <c r="B26" s="33">
        <v>2474134</v>
      </c>
      <c r="C26" s="33">
        <v>2789182</v>
      </c>
      <c r="D26" s="33">
        <v>586174</v>
      </c>
      <c r="E26" s="53">
        <f t="shared" si="0"/>
        <v>5849490</v>
      </c>
      <c r="F26" s="74">
        <f>-8369+8369+11302</f>
        <v>11302</v>
      </c>
      <c r="G26" s="33">
        <f>-197044+197044+188629</f>
        <v>188629</v>
      </c>
      <c r="H26" s="53">
        <f t="shared" si="7"/>
        <v>199931</v>
      </c>
      <c r="I26" s="101">
        <f t="shared" si="8"/>
        <v>6049421</v>
      </c>
      <c r="J26" s="53"/>
      <c r="K26" s="33">
        <f>-29865378-40621369+29865378+40621369+31792227+36774894</f>
        <v>68567121</v>
      </c>
      <c r="L26" s="104">
        <f t="shared" si="9"/>
        <v>74616542</v>
      </c>
      <c r="M26" s="29" t="s">
        <v>206</v>
      </c>
      <c r="N26" s="32">
        <f>7284221+382367+5999621+2253453+469138+1673592+658284+325589+1103993+323435-(7284221+382367+5999621+2253453+469138+1673592+658284+325589+1103993+323435)+5979173+397888+4103554+1975935+1000277+1584845+784690+404637+1090094+324857</f>
        <v>17645950</v>
      </c>
      <c r="O26" s="53">
        <f t="shared" si="4"/>
        <v>50921171</v>
      </c>
      <c r="P26" s="53">
        <f t="shared" si="5"/>
        <v>56970592</v>
      </c>
      <c r="Q26" s="53"/>
      <c r="R26" s="33">
        <f>-382367+382367+397888</f>
        <v>397888</v>
      </c>
      <c r="T26" s="66"/>
    </row>
    <row r="27" spans="1:20" hidden="1">
      <c r="A27" s="38">
        <f>'FERC Interest Rates'!A42</f>
        <v>42277</v>
      </c>
      <c r="B27" s="33">
        <v>2883443</v>
      </c>
      <c r="C27" s="33">
        <f>2956283+10810</f>
        <v>2967093</v>
      </c>
      <c r="D27" s="33">
        <f>1097150+10275</f>
        <v>1107425</v>
      </c>
      <c r="E27" s="53">
        <f t="shared" si="0"/>
        <v>6957961</v>
      </c>
      <c r="F27" s="74">
        <f>-11302+11302+10868</f>
        <v>10868</v>
      </c>
      <c r="G27" s="33">
        <f>-188629+188629+238237</f>
        <v>238237</v>
      </c>
      <c r="H27" s="53">
        <f t="shared" si="7"/>
        <v>249105</v>
      </c>
      <c r="I27" s="101">
        <f t="shared" si="8"/>
        <v>7207066</v>
      </c>
      <c r="J27" s="53"/>
      <c r="K27" s="33">
        <f>-31792227-36774894+31792227+36774894+33527440+33218245</f>
        <v>66745685</v>
      </c>
      <c r="L27" s="104">
        <f t="shared" si="9"/>
        <v>73952751</v>
      </c>
      <c r="M27" s="29" t="s">
        <v>206</v>
      </c>
      <c r="N27" s="32">
        <f>5979173+397888+4103554+1975935+1000277+1584845+784690+404637+1090094+324857-(5979173+397888+4103554+1975935+1000277+1584845+784690+404637+1090094+324857)+6663969+400700+2529166+1980304+859837+1282479+714718+417143+1052339+327569</f>
        <v>16228224</v>
      </c>
      <c r="O27" s="53">
        <f t="shared" si="4"/>
        <v>50517461</v>
      </c>
      <c r="P27" s="53">
        <f t="shared" si="5"/>
        <v>57724527</v>
      </c>
      <c r="Q27" s="53"/>
      <c r="R27" s="33">
        <f>-397888+397888+400700</f>
        <v>400700</v>
      </c>
      <c r="T27" s="66"/>
    </row>
    <row r="28" spans="1:20" hidden="1">
      <c r="A28" s="27">
        <f>'FERC Interest Rates'!A43</f>
        <v>42308</v>
      </c>
      <c r="B28" s="33">
        <v>4297977</v>
      </c>
      <c r="C28" s="33">
        <f>-10810+3997908</f>
        <v>3987098</v>
      </c>
      <c r="D28" s="33">
        <f>-10275+1402526</f>
        <v>1392251</v>
      </c>
      <c r="E28" s="53">
        <f t="shared" si="0"/>
        <v>9677326</v>
      </c>
      <c r="F28" s="74">
        <f>-10868+10868+11066</f>
        <v>11066</v>
      </c>
      <c r="G28" s="33">
        <f>-238237+238237+286826</f>
        <v>286826</v>
      </c>
      <c r="H28" s="53">
        <f t="shared" si="7"/>
        <v>297892</v>
      </c>
      <c r="I28" s="101">
        <f t="shared" si="8"/>
        <v>9975218</v>
      </c>
      <c r="J28" s="53"/>
      <c r="K28" s="33">
        <f>-33527440-33218245+33530455+33218245+38814601+32479005</f>
        <v>71296621</v>
      </c>
      <c r="L28" s="104">
        <f t="shared" si="9"/>
        <v>81271839</v>
      </c>
      <c r="M28" s="108" t="s">
        <v>206</v>
      </c>
      <c r="N28" s="109">
        <f>6663969+403715+2529166+1980304+859837+1282479+714718+417143+1052339+327569-(6663969+400700+2529166+1980304+859837+1282479+714718+417143+1052339+327569)+7576528+445697+1221919+2731712+275052+1875869+854414+417872+1105719+323839</f>
        <v>16831636</v>
      </c>
      <c r="O28" s="53">
        <f t="shared" si="4"/>
        <v>54464985</v>
      </c>
      <c r="P28" s="53">
        <f t="shared" si="5"/>
        <v>64440203</v>
      </c>
      <c r="Q28" s="53"/>
      <c r="R28" s="33">
        <f>-400700+403715+445697</f>
        <v>448712</v>
      </c>
      <c r="T28" s="66"/>
    </row>
    <row r="29" spans="1:20" hidden="1">
      <c r="A29" s="38">
        <f>'FERC Interest Rates'!A44</f>
        <v>42338</v>
      </c>
      <c r="B29" s="92">
        <v>7123102</v>
      </c>
      <c r="C29" s="90">
        <v>5044532</v>
      </c>
      <c r="D29" s="90">
        <v>935529</v>
      </c>
      <c r="E29" s="91">
        <f t="shared" ref="E29:E40" si="10">SUM(B29:D29)</f>
        <v>13103163</v>
      </c>
      <c r="F29" s="93">
        <f>-11066+11066+15659</f>
        <v>15659</v>
      </c>
      <c r="G29" s="90">
        <f>-286826+286826+424322</f>
        <v>424322</v>
      </c>
      <c r="H29" s="91">
        <f t="shared" ref="H29:H30" si="11">SUM(F29:G29)</f>
        <v>439981</v>
      </c>
      <c r="I29" s="103">
        <f t="shared" si="8"/>
        <v>13543144</v>
      </c>
      <c r="J29" s="103"/>
      <c r="K29" s="93">
        <f>-38814601-32479005+38810516+32637068+38536211+36698347</f>
        <v>75388536</v>
      </c>
      <c r="L29" s="110">
        <f t="shared" si="9"/>
        <v>88931680</v>
      </c>
      <c r="M29" s="111" t="s">
        <v>206</v>
      </c>
      <c r="N29" s="112">
        <f>7576528+445697+1379982+2731712+275052+1875869+854414+417872+1105719+323839-(7576528+445697+1221919+2731712+275052+1875869+854414+417872+1105719+323839)+7257509+535022+4079051+3147933+331951+2441091+854240+492348+1032222+332415</f>
        <v>20661845</v>
      </c>
      <c r="O29" s="91">
        <f t="shared" si="4"/>
        <v>54726691</v>
      </c>
      <c r="P29" s="103">
        <f t="shared" si="5"/>
        <v>68269835</v>
      </c>
      <c r="Q29" s="103"/>
      <c r="R29" s="93">
        <f>-445697+445697+535022</f>
        <v>535022</v>
      </c>
      <c r="S29" s="13"/>
      <c r="T29" s="68"/>
    </row>
    <row r="30" spans="1:20" hidden="1">
      <c r="A30" s="38">
        <f>'FERC Interest Rates'!A45</f>
        <v>42369</v>
      </c>
      <c r="B30" s="34">
        <v>16299312</v>
      </c>
      <c r="C30" s="33">
        <v>11530090</v>
      </c>
      <c r="D30" s="33">
        <v>1360411</v>
      </c>
      <c r="E30" s="53">
        <f t="shared" si="10"/>
        <v>29189813</v>
      </c>
      <c r="F30" s="74">
        <f>-15659+406+272</f>
        <v>-14981</v>
      </c>
      <c r="G30" s="33">
        <f>-424322+424322+491485</f>
        <v>491485</v>
      </c>
      <c r="H30" s="53">
        <f t="shared" si="11"/>
        <v>476504</v>
      </c>
      <c r="I30" s="101">
        <f t="shared" si="8"/>
        <v>29666317</v>
      </c>
      <c r="J30" s="101"/>
      <c r="K30" s="74">
        <f>-38536211-36698347+38694815+36698347+41166774+28548549</f>
        <v>69873927</v>
      </c>
      <c r="L30" s="104">
        <f t="shared" si="9"/>
        <v>99540244</v>
      </c>
      <c r="M30" s="108" t="s">
        <v>206</v>
      </c>
      <c r="N30" s="113">
        <f>7257509+535022+4079051+3147933+331951+2441091+854240+492348+1032222+332415-(7257509+535022+4079051+3147933+331951+2441091+854240+492348+1032222+332415)+7799801+310029+617027+3019366+119111+2902368+743768+421378+1099518+385043</f>
        <v>17417409</v>
      </c>
      <c r="O30" s="53">
        <f t="shared" si="4"/>
        <v>52456518</v>
      </c>
      <c r="P30" s="101">
        <f t="shared" si="5"/>
        <v>82122835</v>
      </c>
      <c r="Q30" s="101"/>
      <c r="R30" s="74">
        <f>-535022+535022+310029</f>
        <v>310029</v>
      </c>
      <c r="T30" s="66"/>
    </row>
    <row r="31" spans="1:20" hidden="1">
      <c r="A31" s="38">
        <f>'FERC Interest Rates'!A46</f>
        <v>42400</v>
      </c>
      <c r="B31" s="34">
        <v>21787927</v>
      </c>
      <c r="C31" s="33">
        <v>15916106</v>
      </c>
      <c r="D31" s="33">
        <v>1722828</v>
      </c>
      <c r="E31" s="53">
        <f t="shared" si="10"/>
        <v>39426861</v>
      </c>
      <c r="F31" s="74">
        <f>-272+272+430</f>
        <v>430</v>
      </c>
      <c r="G31" s="33">
        <f>-491485+493418+490011</f>
        <v>491944</v>
      </c>
      <c r="H31" s="53">
        <f t="shared" ref="H31:H40" si="12">SUM(F31:G31)</f>
        <v>492374</v>
      </c>
      <c r="I31" s="101">
        <f t="shared" ref="I31:I40" si="13">E31+H31</f>
        <v>39919235</v>
      </c>
      <c r="J31" s="101"/>
      <c r="K31" s="74">
        <f>-41166774-28548549+41165336+28548549+43905259+29123439</f>
        <v>73027260</v>
      </c>
      <c r="L31" s="104">
        <f t="shared" ref="L31:L36" si="14">I31+K31</f>
        <v>112946495</v>
      </c>
      <c r="M31" s="108" t="s">
        <v>206</v>
      </c>
      <c r="N31" s="113">
        <f>7799801+308591+617027+3019366+119111+2902368+743768+421378+1099518+385043-(7799801+310029+617027+3019366+119111+2902368+743768+421378+1099518+385043)+7443944+50651+1174934+3482503+527289+2988622+931500+534420+1182912+385329</f>
        <v>18700666</v>
      </c>
      <c r="O31" s="53">
        <f t="shared" si="4"/>
        <v>54326594</v>
      </c>
      <c r="P31" s="101">
        <f t="shared" si="5"/>
        <v>94245829</v>
      </c>
      <c r="Q31" s="101"/>
      <c r="R31" s="74">
        <f>-310029+308591+50651</f>
        <v>49213</v>
      </c>
      <c r="T31" s="66"/>
    </row>
    <row r="32" spans="1:20" hidden="1">
      <c r="A32" s="38">
        <f>'FERC Interest Rates'!A47</f>
        <v>42429</v>
      </c>
      <c r="B32" s="34">
        <v>15744661</v>
      </c>
      <c r="C32" s="33">
        <v>11885158</v>
      </c>
      <c r="D32" s="33">
        <v>1421652</v>
      </c>
      <c r="E32" s="53">
        <f t="shared" si="10"/>
        <v>29051471</v>
      </c>
      <c r="F32" s="74">
        <f>-430+430+342</f>
        <v>342</v>
      </c>
      <c r="G32" s="33">
        <f>-490011+490011+401220</f>
        <v>401220</v>
      </c>
      <c r="H32" s="53">
        <f t="shared" si="12"/>
        <v>401562</v>
      </c>
      <c r="I32" s="101">
        <f t="shared" si="13"/>
        <v>29453033</v>
      </c>
      <c r="J32" s="101"/>
      <c r="K32" s="74">
        <f>-43905259-29123439+43905259+29123439+37699124+25310382</f>
        <v>63009506</v>
      </c>
      <c r="L32" s="104">
        <f t="shared" si="14"/>
        <v>92462539</v>
      </c>
      <c r="M32" s="108" t="s">
        <v>206</v>
      </c>
      <c r="N32" s="113">
        <f>7443944+50651+1174934+3482503+527289+2988622+931500+534420+1182912+385329-(7443944+50651+1174934+3482503+527289+2988622+931500+534420+1182912+385329)+7867966+120221+2999775+431729+2308672+804013+515788+1073794+353753</f>
        <v>16475711</v>
      </c>
      <c r="O32" s="53">
        <f t="shared" si="4"/>
        <v>46533795</v>
      </c>
      <c r="P32" s="101">
        <f t="shared" si="5"/>
        <v>75986828</v>
      </c>
      <c r="Q32" s="101"/>
      <c r="R32" s="74">
        <f>-50651+50651</f>
        <v>0</v>
      </c>
      <c r="T32" s="66"/>
    </row>
    <row r="33" spans="1:20" hidden="1">
      <c r="A33" s="38">
        <f>'FERC Interest Rates'!A48</f>
        <v>42460</v>
      </c>
      <c r="B33" s="34">
        <v>14256698</v>
      </c>
      <c r="C33" s="33">
        <v>10571037</v>
      </c>
      <c r="D33" s="33">
        <v>1579035</v>
      </c>
      <c r="E33" s="53">
        <f t="shared" si="10"/>
        <v>26406770</v>
      </c>
      <c r="F33" s="74">
        <f>-342+342+256</f>
        <v>256</v>
      </c>
      <c r="G33" s="33">
        <f>-401220+401220+399311</f>
        <v>399311</v>
      </c>
      <c r="H33" s="53">
        <f t="shared" si="12"/>
        <v>399567</v>
      </c>
      <c r="I33" s="101">
        <f t="shared" si="13"/>
        <v>26806337</v>
      </c>
      <c r="J33" s="101"/>
      <c r="K33" s="74">
        <f>-37699124-25310382+37699124+25310382+34622082+12205754</f>
        <v>46827836</v>
      </c>
      <c r="L33" s="104">
        <f t="shared" si="14"/>
        <v>73634173</v>
      </c>
      <c r="M33" s="108" t="s">
        <v>206</v>
      </c>
      <c r="N33" s="113">
        <f>7867966+120221+2999775+431729+2308672+804013+515788+1073794+353753-(7867966+120221+2999775+431729+2308672+804013+515788+1073794+353753)+7271606+2914865+491690+2651138+639600+343195+1169931+479974</f>
        <v>15961999</v>
      </c>
      <c r="O33" s="53">
        <f t="shared" si="4"/>
        <v>30865837</v>
      </c>
      <c r="P33" s="101">
        <f t="shared" si="5"/>
        <v>57672174</v>
      </c>
      <c r="Q33" s="101"/>
      <c r="R33" s="74">
        <v>0</v>
      </c>
      <c r="T33" s="66"/>
    </row>
    <row r="34" spans="1:20" hidden="1">
      <c r="A34" s="38">
        <f>'FERC Interest Rates'!A49</f>
        <v>42490</v>
      </c>
      <c r="B34" s="34">
        <v>9205504</v>
      </c>
      <c r="C34" s="33">
        <v>7116368</v>
      </c>
      <c r="D34" s="33">
        <v>1060027</v>
      </c>
      <c r="E34" s="53">
        <f t="shared" si="10"/>
        <v>17381899</v>
      </c>
      <c r="F34" s="74">
        <f>-256+256+238</f>
        <v>238</v>
      </c>
      <c r="G34" s="33">
        <f>-399311+399311+287800</f>
        <v>287800</v>
      </c>
      <c r="H34" s="53">
        <f t="shared" si="12"/>
        <v>288038</v>
      </c>
      <c r="I34" s="101">
        <f t="shared" si="13"/>
        <v>17669937</v>
      </c>
      <c r="J34" s="101"/>
      <c r="K34" s="74">
        <f>-34622082-12205754+34629307+12205567+31673334+11051053</f>
        <v>42731425</v>
      </c>
      <c r="L34" s="104">
        <f t="shared" si="14"/>
        <v>60401362</v>
      </c>
      <c r="M34" s="108" t="s">
        <v>206</v>
      </c>
      <c r="N34" s="113">
        <f>7271606+-771+2914865+491690+2651138+639600+343195+1169931+479974-(7271606+2914865+491690+2651138+639600+343195+1169931+479974)+6851907+1935645+819902+2547720+180699+421534+1090163+487333</f>
        <v>14334132</v>
      </c>
      <c r="O34" s="53">
        <f t="shared" si="4"/>
        <v>28397293</v>
      </c>
      <c r="P34" s="101">
        <f t="shared" si="5"/>
        <v>46067230</v>
      </c>
      <c r="Q34" s="101"/>
      <c r="R34" s="74">
        <f>-771</f>
        <v>-771</v>
      </c>
      <c r="T34" s="66"/>
    </row>
    <row r="35" spans="1:20" hidden="1">
      <c r="A35" s="38">
        <f>'FERC Interest Rates'!A50</f>
        <v>42521</v>
      </c>
      <c r="B35" s="34">
        <v>4937819</v>
      </c>
      <c r="C35" s="33">
        <v>4184525</v>
      </c>
      <c r="D35" s="33">
        <v>766236</v>
      </c>
      <c r="E35" s="53">
        <f t="shared" si="10"/>
        <v>9888580</v>
      </c>
      <c r="F35" s="74">
        <f>-238+238+223</f>
        <v>223</v>
      </c>
      <c r="G35" s="33">
        <f>-287800+287800+239257</f>
        <v>239257</v>
      </c>
      <c r="H35" s="53">
        <f t="shared" si="12"/>
        <v>239480</v>
      </c>
      <c r="I35" s="101">
        <f t="shared" si="13"/>
        <v>10128060</v>
      </c>
      <c r="J35" s="101"/>
      <c r="K35" s="74">
        <f>-31673334-11051053+31673334+11051053+31280506+19976596</f>
        <v>51257102</v>
      </c>
      <c r="L35" s="104">
        <f t="shared" si="14"/>
        <v>61385162</v>
      </c>
      <c r="M35" s="108" t="s">
        <v>206</v>
      </c>
      <c r="N35" s="113">
        <f>6851907+1935645+819902+2547720+180699+421534+1090163+487333-(6851907+1935645+819902+2547720+180699+421534+1090163+487333)+6282405+121588+2358901+281708+2419712+391675+447431+1085521+483899</f>
        <v>13872840</v>
      </c>
      <c r="O35" s="53">
        <f t="shared" si="4"/>
        <v>37384262</v>
      </c>
      <c r="P35" s="55">
        <f t="shared" si="5"/>
        <v>47512322</v>
      </c>
      <c r="Q35" s="55"/>
      <c r="R35" s="74">
        <v>0</v>
      </c>
      <c r="T35" s="66"/>
    </row>
    <row r="36" spans="1:20" hidden="1">
      <c r="A36" s="38">
        <f>'FERC Interest Rates'!A51</f>
        <v>42551</v>
      </c>
      <c r="B36" s="34">
        <v>4130248</v>
      </c>
      <c r="C36" s="33">
        <v>3716222</v>
      </c>
      <c r="D36" s="33">
        <v>829383</v>
      </c>
      <c r="E36" s="53">
        <f t="shared" si="10"/>
        <v>8675853</v>
      </c>
      <c r="F36" s="74">
        <f>-223+223+392</f>
        <v>392</v>
      </c>
      <c r="G36" s="33">
        <f>-239257+239257+195115</f>
        <v>195115</v>
      </c>
      <c r="H36" s="53">
        <f t="shared" si="12"/>
        <v>195507</v>
      </c>
      <c r="I36" s="101">
        <f t="shared" si="13"/>
        <v>8871360</v>
      </c>
      <c r="J36" s="101"/>
      <c r="K36" s="74">
        <f>-31280506-19976596+31281578+19976409+31848110+24240240</f>
        <v>56089235</v>
      </c>
      <c r="L36" s="104">
        <f t="shared" si="14"/>
        <v>64960595</v>
      </c>
      <c r="M36" s="108" t="s">
        <v>206</v>
      </c>
      <c r="N36" s="113">
        <f>6282405+121588+2358901+281708+2419712+391675+447431+1085521+483899-(6282405+121588+2358901+281708+2419712+391675+447431+1085521+483899)+4670317+1494038+2250693+475886+2087130+443762+423575+1040712+263095</f>
        <v>13149208</v>
      </c>
      <c r="O36" s="53">
        <f t="shared" si="4"/>
        <v>42940027</v>
      </c>
      <c r="P36" s="55">
        <f t="shared" si="5"/>
        <v>51811387</v>
      </c>
      <c r="Q36" s="55"/>
      <c r="R36" s="74">
        <v>0</v>
      </c>
      <c r="T36" s="66"/>
    </row>
    <row r="37" spans="1:20" hidden="1">
      <c r="A37" s="38">
        <f>'FERC Interest Rates'!A52</f>
        <v>42582</v>
      </c>
      <c r="B37" s="34">
        <v>3164014</v>
      </c>
      <c r="C37" s="33">
        <v>3100705</v>
      </c>
      <c r="D37" s="33">
        <v>619421</v>
      </c>
      <c r="E37" s="53">
        <f t="shared" si="10"/>
        <v>6884140</v>
      </c>
      <c r="F37" s="74">
        <f>-392+392</f>
        <v>0</v>
      </c>
      <c r="G37" s="33">
        <f>-195115+195115+228897</f>
        <v>228897</v>
      </c>
      <c r="H37" s="53">
        <f t="shared" si="12"/>
        <v>228897</v>
      </c>
      <c r="I37" s="101">
        <f t="shared" si="13"/>
        <v>7113037</v>
      </c>
      <c r="J37" s="101"/>
      <c r="K37" s="74">
        <f>-31848110-24240240+31848110+24239315+34379688+31950816</f>
        <v>66329579</v>
      </c>
      <c r="L37" s="104">
        <f>I37+K37</f>
        <v>73442616</v>
      </c>
      <c r="M37" s="108" t="s">
        <v>206</v>
      </c>
      <c r="N37" s="113">
        <f>4670317+1494038+2250693+475886+2087130+443762+423575+1040712+263095-(4670317+1494038+2250693+475886+2087130+443762+423575+1040712+263095)+6386347+2552281+2676582+779965+2327217+516534+264558+1105831</f>
        <v>16609315</v>
      </c>
      <c r="O37" s="53">
        <f t="shared" ref="O37:O68" si="15">K37-N37</f>
        <v>49720264</v>
      </c>
      <c r="P37" s="55">
        <f t="shared" ref="P37:P68" si="16">L37-N37</f>
        <v>56833301</v>
      </c>
      <c r="Q37" s="55"/>
      <c r="R37" s="74">
        <v>0</v>
      </c>
      <c r="T37" s="66"/>
    </row>
    <row r="38" spans="1:20" hidden="1">
      <c r="A38" s="38">
        <f>'FERC Interest Rates'!A53</f>
        <v>42613</v>
      </c>
      <c r="B38" s="34">
        <v>2693650</v>
      </c>
      <c r="C38" s="33">
        <v>2827136</v>
      </c>
      <c r="D38" s="33">
        <v>833412</v>
      </c>
      <c r="E38" s="53">
        <f t="shared" si="10"/>
        <v>6354198</v>
      </c>
      <c r="F38" s="74">
        <f>0+473-0</f>
        <v>473</v>
      </c>
      <c r="G38" s="33">
        <f>228897+179539-228897</f>
        <v>179539</v>
      </c>
      <c r="H38" s="53">
        <f t="shared" si="12"/>
        <v>180012</v>
      </c>
      <c r="I38" s="101">
        <f t="shared" si="13"/>
        <v>6534210</v>
      </c>
      <c r="J38" s="101"/>
      <c r="K38" s="74">
        <f>34379688+31950816+33965986+48674653-34379688-31950816</f>
        <v>82640639</v>
      </c>
      <c r="L38" s="104">
        <f t="shared" ref="L38:L40" si="17">I38+K38</f>
        <v>89174849</v>
      </c>
      <c r="M38" s="108" t="s">
        <v>206</v>
      </c>
      <c r="N38" s="113">
        <f>0+2676582+2327217+516534+264558+1105831+6386347+2552281+0+779965+0+2039021+2178765+777543+401313+1077422+7464379+7191370+0+1729358-0-2676582-2327217-516534-264558-1105831-6386347-2552281-0-779965</f>
        <v>22859171</v>
      </c>
      <c r="O38" s="53">
        <f t="shared" si="15"/>
        <v>59781468</v>
      </c>
      <c r="P38" s="55">
        <f t="shared" si="16"/>
        <v>66315678</v>
      </c>
      <c r="Q38" s="55"/>
      <c r="R38" s="74">
        <v>0</v>
      </c>
      <c r="T38" s="66"/>
    </row>
    <row r="39" spans="1:20" hidden="1">
      <c r="A39" s="38">
        <f>'FERC Interest Rates'!A54</f>
        <v>42643</v>
      </c>
      <c r="B39" s="34">
        <v>2961359</v>
      </c>
      <c r="C39" s="33">
        <v>3113107</v>
      </c>
      <c r="D39" s="33">
        <v>886709</v>
      </c>
      <c r="E39" s="53">
        <f t="shared" si="10"/>
        <v>6961175</v>
      </c>
      <c r="F39" s="74">
        <f>473+407-473</f>
        <v>407</v>
      </c>
      <c r="G39" s="33">
        <f>179539+232998-179539</f>
        <v>232998</v>
      </c>
      <c r="H39" s="53">
        <f t="shared" si="12"/>
        <v>233405</v>
      </c>
      <c r="I39" s="101">
        <f t="shared" si="13"/>
        <v>7194580</v>
      </c>
      <c r="J39" s="101"/>
      <c r="K39" s="74">
        <f>33919265+49297316+37406526+29200560-33965986-48674653</f>
        <v>67183028</v>
      </c>
      <c r="L39" s="104">
        <f t="shared" si="17"/>
        <v>74377608</v>
      </c>
      <c r="M39" s="108" t="s">
        <v>206</v>
      </c>
      <c r="N39" s="113">
        <f>0+2039021+2178765+777543+401313+1077422+7464379+7814033+0+1729358+2577629+2243785+699246+442989+1066817+7289540+1760357+0+780450-0-2039021-2178765-777543-401313-1077422-7464379-7191370-0-1729358</f>
        <v>17483476</v>
      </c>
      <c r="O39" s="53">
        <f t="shared" si="15"/>
        <v>49699552</v>
      </c>
      <c r="P39" s="55">
        <f t="shared" si="16"/>
        <v>56894132</v>
      </c>
      <c r="Q39" s="55"/>
      <c r="R39" s="74">
        <v>0</v>
      </c>
      <c r="T39" s="66"/>
    </row>
    <row r="40" spans="1:20" hidden="1">
      <c r="A40" s="107">
        <f>'FERC Interest Rates'!A55</f>
        <v>42674</v>
      </c>
      <c r="B40" s="37">
        <v>4470556</v>
      </c>
      <c r="C40" s="36">
        <v>3871269</v>
      </c>
      <c r="D40" s="36">
        <v>1333607</v>
      </c>
      <c r="E40" s="54">
        <f t="shared" si="10"/>
        <v>9675432</v>
      </c>
      <c r="F40" s="61">
        <f>407+0-407</f>
        <v>0</v>
      </c>
      <c r="G40" s="36">
        <f>232998+329121-232998</f>
        <v>329121</v>
      </c>
      <c r="H40" s="54">
        <f t="shared" si="12"/>
        <v>329121</v>
      </c>
      <c r="I40" s="102">
        <f t="shared" si="13"/>
        <v>10004553</v>
      </c>
      <c r="J40" s="102"/>
      <c r="K40" s="61">
        <f>37436629+29200560+40991039+12399810-37406526-29200560</f>
        <v>53420952</v>
      </c>
      <c r="L40" s="105">
        <f t="shared" si="17"/>
        <v>63425505</v>
      </c>
      <c r="M40" s="30" t="s">
        <v>206</v>
      </c>
      <c r="N40" s="61">
        <f>0+2577629+2243785+699246+442989+1066817+7289540+1760357+0+780450+2445024+2841352+886699+419709+1178128+7402535+478644+0+313524-2577629-2243785-699246-442989-1066817-7289540-1760357-0-780450</f>
        <v>15965615</v>
      </c>
      <c r="O40" s="54">
        <f t="shared" si="15"/>
        <v>37455337</v>
      </c>
      <c r="P40" s="56">
        <f t="shared" si="16"/>
        <v>47459890</v>
      </c>
      <c r="Q40" s="56"/>
      <c r="R40" s="61">
        <v>0</v>
      </c>
      <c r="S40" s="106"/>
      <c r="T40" s="67"/>
    </row>
    <row r="41" spans="1:20" hidden="1">
      <c r="A41" s="38">
        <f>'FERC Interest Rates'!A56</f>
        <v>42704</v>
      </c>
      <c r="B41" s="33">
        <v>7460324</v>
      </c>
      <c r="C41" s="33">
        <v>5520631</v>
      </c>
      <c r="D41" s="33">
        <v>1187068</v>
      </c>
      <c r="E41" s="53">
        <f t="shared" ref="E41:E76" si="18">SUM(B41:D41)</f>
        <v>14168023</v>
      </c>
      <c r="F41" s="74">
        <f>0+42-0</f>
        <v>42</v>
      </c>
      <c r="G41" s="33">
        <f>329121+378144-329121</f>
        <v>378144</v>
      </c>
      <c r="H41" s="53">
        <f t="shared" ref="H41:H48" si="19">SUM(F41:G41)</f>
        <v>378186</v>
      </c>
      <c r="I41" s="101">
        <f t="shared" ref="I41:I48" si="20">E41+H41</f>
        <v>14546209</v>
      </c>
      <c r="J41" s="101"/>
      <c r="K41" s="93">
        <f>40991039+12399810+38429818+15166485-40991039-12399810</f>
        <v>53596303</v>
      </c>
      <c r="L41" s="104">
        <f t="shared" ref="L41:L48" si="21">I41+K41</f>
        <v>68142512</v>
      </c>
      <c r="M41" s="29" t="s">
        <v>206</v>
      </c>
      <c r="N41" s="113">
        <f>2445024+2841352+886699+419709+1178128+7402535+478644+0+313524+3062402+2411553+783701+387194+1099884+7955874+499335+0+582580-2445024-2841352-886699-419709-1178128-7402535-478644-0-313524</f>
        <v>16782523</v>
      </c>
      <c r="O41" s="53">
        <f t="shared" si="15"/>
        <v>36813780</v>
      </c>
      <c r="P41" s="55">
        <f t="shared" si="16"/>
        <v>51359989</v>
      </c>
      <c r="Q41" s="55"/>
      <c r="R41" s="74">
        <v>0</v>
      </c>
      <c r="T41" s="66"/>
    </row>
    <row r="42" spans="1:20" hidden="1">
      <c r="A42" s="38">
        <f>'FERC Interest Rates'!A57</f>
        <v>42735</v>
      </c>
      <c r="B42" s="33">
        <v>16023779</v>
      </c>
      <c r="C42" s="33">
        <v>11191376</v>
      </c>
      <c r="D42" s="33">
        <v>1548255</v>
      </c>
      <c r="E42" s="53">
        <f t="shared" si="18"/>
        <v>28763410</v>
      </c>
      <c r="F42" s="74">
        <f>42+302-42</f>
        <v>302</v>
      </c>
      <c r="G42" s="33">
        <f>378144+556857-378144</f>
        <v>556857</v>
      </c>
      <c r="H42" s="53">
        <f t="shared" si="19"/>
        <v>557159</v>
      </c>
      <c r="I42" s="101">
        <f t="shared" si="20"/>
        <v>29320569</v>
      </c>
      <c r="J42" s="101"/>
      <c r="K42" s="74">
        <f>38433704+15166485+43025638+24999610-38429818-15166485</f>
        <v>68029134</v>
      </c>
      <c r="L42" s="104">
        <f t="shared" si="21"/>
        <v>97349703</v>
      </c>
      <c r="M42" s="29" t="s">
        <v>206</v>
      </c>
      <c r="N42" s="113">
        <f>3062402+2411553+783701+387194+1099884+7955874+499335+0+582580+3926790+2425780+887524+491709+1204691+7418771+3385699+0+962334-3062402-2411553-783701-387194-1099884-7955874-499335-0-582580</f>
        <v>20703298</v>
      </c>
      <c r="O42" s="53">
        <f t="shared" si="15"/>
        <v>47325836</v>
      </c>
      <c r="P42" s="55">
        <f t="shared" si="16"/>
        <v>76646405</v>
      </c>
      <c r="Q42" s="55"/>
      <c r="R42" s="74">
        <v>0</v>
      </c>
      <c r="T42" s="66"/>
    </row>
    <row r="43" spans="1:20" hidden="1">
      <c r="A43" s="38">
        <f>'FERC Interest Rates'!A58</f>
        <v>42766</v>
      </c>
      <c r="B43" s="33">
        <v>27190532</v>
      </c>
      <c r="C43" s="33">
        <v>20214298</v>
      </c>
      <c r="D43" s="33">
        <v>2077956</v>
      </c>
      <c r="E43" s="53">
        <f t="shared" si="18"/>
        <v>49482786</v>
      </c>
      <c r="F43" s="74">
        <f>302+306-302</f>
        <v>306</v>
      </c>
      <c r="G43" s="33">
        <f>556857+587884-556857</f>
        <v>587884</v>
      </c>
      <c r="H43" s="53">
        <f t="shared" si="19"/>
        <v>588190</v>
      </c>
      <c r="I43" s="101">
        <f t="shared" si="20"/>
        <v>50070976</v>
      </c>
      <c r="J43" s="101"/>
      <c r="K43" s="74">
        <f>43032177+24999610+45464690+23263838-43025638-24999610</f>
        <v>68735067</v>
      </c>
      <c r="L43" s="104">
        <f t="shared" si="21"/>
        <v>118806043</v>
      </c>
      <c r="M43" s="29" t="s">
        <v>206</v>
      </c>
      <c r="N43" s="113">
        <f>3926790+2425780+887524+491709+1204691+7418771+3385699+0+962334+3484534+3336577+962939+597166+1201150+7537049+2120545+0+1281418-3926790-2425780-887524-491709-1204691-7418771-3385699-0-962334</f>
        <v>20521378</v>
      </c>
      <c r="O43" s="53">
        <f t="shared" si="15"/>
        <v>48213689</v>
      </c>
      <c r="P43" s="55">
        <f t="shared" si="16"/>
        <v>98284665</v>
      </c>
      <c r="Q43" s="55"/>
      <c r="R43" s="74">
        <v>0</v>
      </c>
      <c r="T43" s="66"/>
    </row>
    <row r="44" spans="1:20" hidden="1">
      <c r="A44" s="38">
        <f>'FERC Interest Rates'!A59</f>
        <v>42794</v>
      </c>
      <c r="B44" s="33">
        <v>20884784</v>
      </c>
      <c r="C44" s="33">
        <v>16301402</v>
      </c>
      <c r="D44" s="33">
        <v>1709089</v>
      </c>
      <c r="E44" s="53">
        <f t="shared" si="18"/>
        <v>38895275</v>
      </c>
      <c r="F44" s="74">
        <f>306+0-306</f>
        <v>0</v>
      </c>
      <c r="G44" s="33">
        <f>587884+461836-587884</f>
        <v>461836</v>
      </c>
      <c r="H44" s="53">
        <f t="shared" si="19"/>
        <v>461836</v>
      </c>
      <c r="I44" s="101">
        <f t="shared" si="20"/>
        <v>39357111</v>
      </c>
      <c r="J44" s="101"/>
      <c r="K44" s="74">
        <f>45464690+23263838+37268027+17694147-45464690-23263838</f>
        <v>54962174</v>
      </c>
      <c r="L44" s="104">
        <f t="shared" si="21"/>
        <v>94319285</v>
      </c>
      <c r="M44" s="29" t="s">
        <v>206</v>
      </c>
      <c r="N44" s="113">
        <f>3484534+3336577+962939+597166+1201150+7537049+2120545+0+1281418+2000676+2870154+833388+466554+1050982+8259193+371595+0+989453-3484534-3336577-962939-597166-1201150-7537049-2120545-0-1281418</f>
        <v>16841995</v>
      </c>
      <c r="O44" s="53">
        <f t="shared" si="15"/>
        <v>38120179</v>
      </c>
      <c r="P44" s="55">
        <f t="shared" si="16"/>
        <v>77477290</v>
      </c>
      <c r="Q44" s="55"/>
      <c r="R44" s="74">
        <v>0</v>
      </c>
      <c r="T44" s="66"/>
    </row>
    <row r="45" spans="1:20" hidden="1">
      <c r="A45" s="38">
        <f>'FERC Interest Rates'!A60</f>
        <v>42825</v>
      </c>
      <c r="B45" s="33">
        <v>19202444</v>
      </c>
      <c r="C45" s="33">
        <v>14510217</v>
      </c>
      <c r="D45" s="33">
        <v>1905197</v>
      </c>
      <c r="E45" s="53">
        <f t="shared" si="18"/>
        <v>35617858</v>
      </c>
      <c r="F45" s="74">
        <v>0</v>
      </c>
      <c r="G45" s="33">
        <f>461836+254557-461836</f>
        <v>254557</v>
      </c>
      <c r="H45" s="53">
        <f t="shared" si="19"/>
        <v>254557</v>
      </c>
      <c r="I45" s="101">
        <f t="shared" si="20"/>
        <v>35872415</v>
      </c>
      <c r="J45" s="101"/>
      <c r="K45" s="74">
        <f>37268027+17694147+37953585+16518243-37268027-17694147</f>
        <v>54471828</v>
      </c>
      <c r="L45" s="104">
        <f t="shared" si="21"/>
        <v>90344243</v>
      </c>
      <c r="M45" s="29" t="s">
        <v>206</v>
      </c>
      <c r="N45" s="113">
        <f>2000676+2870154+833388+466554+1050982+8259193+371595+0+989453+1114837+2218389+884624+518572+1157347+8127230+0+0+2016355-2000676-2870154-833388-466554-1050982-8259193-371595-0-989453</f>
        <v>16037354</v>
      </c>
      <c r="O45" s="53">
        <f t="shared" si="15"/>
        <v>38434474</v>
      </c>
      <c r="P45" s="55">
        <f t="shared" si="16"/>
        <v>74306889</v>
      </c>
      <c r="Q45" s="55"/>
      <c r="R45" s="74">
        <v>0</v>
      </c>
      <c r="T45" s="66"/>
    </row>
    <row r="46" spans="1:20" hidden="1">
      <c r="A46" s="38">
        <f>'FERC Interest Rates'!A61</f>
        <v>42855</v>
      </c>
      <c r="B46" s="33">
        <v>11408371</v>
      </c>
      <c r="C46" s="33">
        <v>8565387</v>
      </c>
      <c r="D46" s="33">
        <v>1187261</v>
      </c>
      <c r="E46" s="53">
        <f t="shared" si="18"/>
        <v>21161019</v>
      </c>
      <c r="F46" s="74">
        <v>0</v>
      </c>
      <c r="G46" s="33">
        <f>254557+215195-254557</f>
        <v>215195</v>
      </c>
      <c r="H46" s="53">
        <f t="shared" si="19"/>
        <v>215195</v>
      </c>
      <c r="I46" s="101">
        <f t="shared" si="20"/>
        <v>21376214</v>
      </c>
      <c r="J46" s="101"/>
      <c r="K46" s="74">
        <f>37981777+16520502+33008626+19200909-37953585-16518243</f>
        <v>52239986</v>
      </c>
      <c r="L46" s="104">
        <f t="shared" si="21"/>
        <v>73616200</v>
      </c>
      <c r="M46" s="29" t="s">
        <v>206</v>
      </c>
      <c r="N46" s="113">
        <f>1114837+2218389+884624+518572+1157347+8127230+0+0+2016355+2338365+2019393+694319+408263+1102654+6745703+0+0+2347790-1114837-2218389-884624-518572-1157347-8127230-0-0-2016355</f>
        <v>15656487</v>
      </c>
      <c r="O46" s="53">
        <f t="shared" si="15"/>
        <v>36583499</v>
      </c>
      <c r="P46" s="55">
        <f t="shared" si="16"/>
        <v>57959713</v>
      </c>
      <c r="Q46" s="55"/>
      <c r="R46" s="74">
        <v>0</v>
      </c>
      <c r="T46" s="66"/>
    </row>
    <row r="47" spans="1:20" hidden="1">
      <c r="A47" s="38">
        <f>'FERC Interest Rates'!A62</f>
        <v>42886</v>
      </c>
      <c r="B47" s="33">
        <v>8224421</v>
      </c>
      <c r="C47" s="33">
        <v>6567715</v>
      </c>
      <c r="D47" s="33">
        <v>1017214</v>
      </c>
      <c r="E47" s="53">
        <f t="shared" si="18"/>
        <v>15809350</v>
      </c>
      <c r="F47" s="74">
        <v>0</v>
      </c>
      <c r="G47" s="33">
        <f>215195+163812-215195</f>
        <v>163812</v>
      </c>
      <c r="H47" s="53">
        <f t="shared" si="19"/>
        <v>163812</v>
      </c>
      <c r="I47" s="101">
        <f t="shared" si="20"/>
        <v>15973162</v>
      </c>
      <c r="J47" s="101"/>
      <c r="K47" s="74">
        <f>33008626+19200909+32434391+10035547-33008626-19200909</f>
        <v>42469938</v>
      </c>
      <c r="L47" s="104">
        <f t="shared" si="21"/>
        <v>58443100</v>
      </c>
      <c r="M47" s="29" t="s">
        <v>206</v>
      </c>
      <c r="N47" s="113">
        <f>2338365+2019393+694319+408263+1102654+6745703+0+0+2347790+1936209+1949500+809100+542182+1061819+5660151+204038+0+2064599-2338365-2019393-694319-408263-1102654-6745703-0-0-2347790</f>
        <v>14227598</v>
      </c>
      <c r="O47" s="53">
        <f t="shared" si="15"/>
        <v>28242340</v>
      </c>
      <c r="P47" s="55">
        <f t="shared" si="16"/>
        <v>44215502</v>
      </c>
      <c r="Q47" s="55"/>
      <c r="R47" s="74">
        <v>0</v>
      </c>
      <c r="T47" s="66"/>
    </row>
    <row r="48" spans="1:20" hidden="1">
      <c r="A48" s="38">
        <f>'FERC Interest Rates'!A63</f>
        <v>42916</v>
      </c>
      <c r="B48" s="33">
        <v>4796437</v>
      </c>
      <c r="C48" s="33">
        <v>4561620</v>
      </c>
      <c r="D48" s="33">
        <v>969855</v>
      </c>
      <c r="E48" s="53">
        <f t="shared" si="18"/>
        <v>10327912</v>
      </c>
      <c r="F48" s="74">
        <v>0</v>
      </c>
      <c r="G48" s="33">
        <f>163812+116861-163812</f>
        <v>116861</v>
      </c>
      <c r="H48" s="53">
        <f t="shared" si="19"/>
        <v>116861</v>
      </c>
      <c r="I48" s="101">
        <f t="shared" si="20"/>
        <v>10444773</v>
      </c>
      <c r="J48" s="101"/>
      <c r="K48" s="74">
        <f>32434391+10035547+34063374+9524292-32434391-10035547</f>
        <v>43587666</v>
      </c>
      <c r="L48" s="104">
        <f t="shared" si="21"/>
        <v>54032439</v>
      </c>
      <c r="M48" s="29" t="s">
        <v>206</v>
      </c>
      <c r="N48" s="113">
        <f>1936209+1949500+809100+542182+1061819+5660151+204038+0+2064599+1983194+1913414+847781+379371+1018577+5851796+510074+0+1740127-1936209-1949500-809100-542182-1061819-5660151-204038-0-2064599</f>
        <v>14244334</v>
      </c>
      <c r="O48" s="53">
        <f t="shared" si="15"/>
        <v>29343332</v>
      </c>
      <c r="P48" s="55">
        <f t="shared" si="16"/>
        <v>39788105</v>
      </c>
      <c r="Q48" s="55"/>
      <c r="R48" s="74">
        <v>0</v>
      </c>
      <c r="T48" s="66"/>
    </row>
    <row r="49" spans="1:22" hidden="1">
      <c r="A49" s="38">
        <f>'FERC Interest Rates'!A64</f>
        <v>42947</v>
      </c>
      <c r="B49" s="33">
        <v>2971109</v>
      </c>
      <c r="C49" s="33">
        <v>3057015</v>
      </c>
      <c r="D49" s="33">
        <v>669283</v>
      </c>
      <c r="E49" s="53">
        <f t="shared" si="18"/>
        <v>6697407</v>
      </c>
      <c r="F49" s="74">
        <v>0</v>
      </c>
      <c r="G49" s="33">
        <f>119628+110174-116861</f>
        <v>112941</v>
      </c>
      <c r="H49" s="53">
        <f t="shared" ref="H49:H52" si="22">SUM(F49:G49)</f>
        <v>112941</v>
      </c>
      <c r="I49" s="101">
        <f t="shared" ref="I49:I52" si="23">E49+H49</f>
        <v>6810348</v>
      </c>
      <c r="J49" s="101"/>
      <c r="K49" s="74">
        <f>35353105+10380515+32150027+28096283-34063374-9524292</f>
        <v>62392264</v>
      </c>
      <c r="L49" s="104">
        <f t="shared" ref="L49:L52" si="24">I49+K49</f>
        <v>69202612</v>
      </c>
      <c r="M49" s="29" t="s">
        <v>206</v>
      </c>
      <c r="N49" s="113">
        <f>2041936+1942640+865737+393826+1044006+6339130+521149+1899989+2109495+2030833+733233+382876+1043846+5871056+3799320+0+173422-1983194-1913414-847781-379371-1018577-5851796-510074-0-1740127</f>
        <v>16948160</v>
      </c>
      <c r="O49" s="53">
        <f t="shared" si="15"/>
        <v>45444104</v>
      </c>
      <c r="P49" s="55">
        <f t="shared" si="16"/>
        <v>52254452</v>
      </c>
      <c r="Q49" s="55"/>
      <c r="R49" s="74">
        <v>0</v>
      </c>
      <c r="T49" s="66"/>
    </row>
    <row r="50" spans="1:22" hidden="1">
      <c r="A50" s="38">
        <f>'FERC Interest Rates'!A65</f>
        <v>42978</v>
      </c>
      <c r="B50" s="33">
        <v>2722316</v>
      </c>
      <c r="C50" s="33">
        <v>3053970</v>
      </c>
      <c r="D50" s="33">
        <v>907798</v>
      </c>
      <c r="E50" s="53">
        <f t="shared" si="18"/>
        <v>6684084</v>
      </c>
      <c r="F50" s="74">
        <v>0</v>
      </c>
      <c r="G50" s="33">
        <f>110174+103640-110174</f>
        <v>103640</v>
      </c>
      <c r="H50" s="53">
        <f t="shared" si="22"/>
        <v>103640</v>
      </c>
      <c r="I50" s="101">
        <f t="shared" si="23"/>
        <v>6787724</v>
      </c>
      <c r="J50" s="101"/>
      <c r="K50" s="74">
        <f>32174046+28097391+34124815+35723720-32150027-28096283</f>
        <v>69873662</v>
      </c>
      <c r="L50" s="104">
        <f t="shared" si="24"/>
        <v>76661386</v>
      </c>
      <c r="M50" s="29" t="s">
        <v>206</v>
      </c>
      <c r="N50" s="113">
        <f>2109495+2030833+733233+382876+1043846+5871056+3799320+0+173422+2147341+1590458+777249+405347+1032367+7019686+5645286+0+434753-2109495-2030833-733233-382876-1043846-5871056-3799320-0-173422</f>
        <v>19052487</v>
      </c>
      <c r="O50" s="53">
        <f t="shared" si="15"/>
        <v>50821175</v>
      </c>
      <c r="P50" s="55">
        <f t="shared" si="16"/>
        <v>57608899</v>
      </c>
      <c r="Q50" s="55"/>
      <c r="R50" s="74">
        <v>0</v>
      </c>
      <c r="T50" s="66"/>
    </row>
    <row r="51" spans="1:22" hidden="1">
      <c r="A51" s="38">
        <f>'FERC Interest Rates'!A66</f>
        <v>43008</v>
      </c>
      <c r="B51" s="33">
        <v>2576731</v>
      </c>
      <c r="C51" s="33">
        <v>2907438</v>
      </c>
      <c r="D51" s="33">
        <v>832457</v>
      </c>
      <c r="E51" s="53">
        <f t="shared" si="18"/>
        <v>6316626</v>
      </c>
      <c r="F51" s="74">
        <v>0</v>
      </c>
      <c r="G51" s="33">
        <f>103640+112511-103640</f>
        <v>112511</v>
      </c>
      <c r="H51" s="53">
        <f t="shared" si="22"/>
        <v>112511</v>
      </c>
      <c r="I51" s="101">
        <f t="shared" si="23"/>
        <v>6429137</v>
      </c>
      <c r="J51" s="101"/>
      <c r="K51" s="74">
        <f>34127073+35721462+35117309+28556525-34124815-35723720</f>
        <v>63673834</v>
      </c>
      <c r="L51" s="104">
        <f t="shared" si="24"/>
        <v>70102971</v>
      </c>
      <c r="M51" s="108" t="s">
        <v>206</v>
      </c>
      <c r="N51" s="113">
        <f>2147341+1590458+777249+405347+1032367+7019686+5645286+0+434753+2276659+2023342+747958+372413+983101+6808000+1690168+0+80516-2147341-1590458-777249-405347-1032367-7019686-5645286-0-434753</f>
        <v>14982157</v>
      </c>
      <c r="O51" s="53">
        <f t="shared" si="15"/>
        <v>48691677</v>
      </c>
      <c r="P51" s="55">
        <f t="shared" si="16"/>
        <v>55120814</v>
      </c>
      <c r="Q51" s="55"/>
      <c r="R51" s="74">
        <v>0</v>
      </c>
      <c r="T51" s="66"/>
    </row>
    <row r="52" spans="1:22" hidden="1">
      <c r="A52" s="27">
        <f>'FERC Interest Rates'!A67</f>
        <v>43039</v>
      </c>
      <c r="B52" s="36">
        <v>5100019</v>
      </c>
      <c r="C52" s="36">
        <f>4572157+449</f>
        <v>4572606</v>
      </c>
      <c r="D52" s="36">
        <v>1530746</v>
      </c>
      <c r="E52" s="54">
        <f t="shared" si="18"/>
        <v>11203371</v>
      </c>
      <c r="F52" s="61">
        <v>555</v>
      </c>
      <c r="G52" s="36">
        <f>112511+209141-112511</f>
        <v>209141</v>
      </c>
      <c r="H52" s="54">
        <f t="shared" si="22"/>
        <v>209696</v>
      </c>
      <c r="I52" s="102">
        <f t="shared" si="23"/>
        <v>11413067</v>
      </c>
      <c r="J52" s="102"/>
      <c r="K52" s="61">
        <f>35117309+28556525+39983871+25034069-35117309-28556525</f>
        <v>65017940</v>
      </c>
      <c r="L52" s="105">
        <f t="shared" si="24"/>
        <v>76431007</v>
      </c>
      <c r="M52" s="30" t="s">
        <v>206</v>
      </c>
      <c r="N52" s="61">
        <f>2276659+2023342+747958+372413+983101+6808000+1690168+0+80516+2852203+2417482+802269+501609+1023937+4575090+58490+0+29311-2276659-2023342-747958-372413-983101-6808000-1690168-0-80516</f>
        <v>12260391</v>
      </c>
      <c r="O52" s="54">
        <f t="shared" si="15"/>
        <v>52757549</v>
      </c>
      <c r="P52" s="56">
        <f t="shared" si="16"/>
        <v>64170616</v>
      </c>
      <c r="Q52" s="56"/>
      <c r="R52" s="61">
        <v>0</v>
      </c>
      <c r="S52" s="106"/>
      <c r="T52" s="67"/>
    </row>
    <row r="53" spans="1:22" hidden="1">
      <c r="A53" s="38">
        <f>'FERC Interest Rates'!A68</f>
        <v>43069</v>
      </c>
      <c r="B53" s="33">
        <v>10497863</v>
      </c>
      <c r="C53" s="33">
        <f>7823395+1372-449</f>
        <v>7824318</v>
      </c>
      <c r="D53" s="33">
        <v>1278888</v>
      </c>
      <c r="E53" s="53">
        <f t="shared" si="18"/>
        <v>19601069</v>
      </c>
      <c r="F53" s="74">
        <f>555+372-555</f>
        <v>372</v>
      </c>
      <c r="G53" s="33">
        <f>209141+229655-209141</f>
        <v>229655</v>
      </c>
      <c r="H53" s="53">
        <f t="shared" ref="H53:H64" si="25">SUM(F53:G53)</f>
        <v>230027</v>
      </c>
      <c r="I53" s="101">
        <f t="shared" ref="I53:I64" si="26">E53+H53</f>
        <v>19831096</v>
      </c>
      <c r="J53" s="101"/>
      <c r="K53" s="74">
        <f>39983871+25034069+39459711+17526517-39983871-25034069</f>
        <v>56986228</v>
      </c>
      <c r="L53" s="104">
        <f t="shared" ref="L53:L76" si="27">I53+K53</f>
        <v>76817324</v>
      </c>
      <c r="M53" s="29" t="s">
        <v>206</v>
      </c>
      <c r="N53" s="113">
        <f>2852203+2417482+802269+501609+1023937+4575090+58490+0+29311+2878277+2587998+757035+433259+959885+6077171+1751978+0+560788-2852203-2417482-802269-501609-1023937-4575090-58490-0-29311</f>
        <v>16006391</v>
      </c>
      <c r="O53" s="53">
        <f t="shared" si="15"/>
        <v>40979837</v>
      </c>
      <c r="P53" s="55">
        <f t="shared" si="16"/>
        <v>60810933</v>
      </c>
      <c r="Q53" s="55"/>
      <c r="R53" s="74">
        <v>0</v>
      </c>
      <c r="T53" s="66"/>
    </row>
    <row r="54" spans="1:22" hidden="1">
      <c r="A54" s="38">
        <f>'FERC Interest Rates'!A69</f>
        <v>43100</v>
      </c>
      <c r="B54" s="33">
        <v>16164227</v>
      </c>
      <c r="C54" s="33">
        <f>11939622+2767-1372</f>
        <v>11941017</v>
      </c>
      <c r="D54" s="33">
        <v>1609946</v>
      </c>
      <c r="E54" s="53">
        <f t="shared" si="18"/>
        <v>29715190</v>
      </c>
      <c r="F54" s="74">
        <f>372+417-372</f>
        <v>417</v>
      </c>
      <c r="G54" s="33">
        <f>229655+258064-229655</f>
        <v>258064</v>
      </c>
      <c r="H54" s="53">
        <f t="shared" si="25"/>
        <v>258481</v>
      </c>
      <c r="I54" s="101">
        <f t="shared" si="26"/>
        <v>29973671</v>
      </c>
      <c r="J54" s="101"/>
      <c r="K54" s="74">
        <f>39459711+17526517+41915890+25317310-39459711-17526517</f>
        <v>67233200</v>
      </c>
      <c r="L54" s="104">
        <f t="shared" si="27"/>
        <v>97206871</v>
      </c>
      <c r="M54" s="29" t="s">
        <v>206</v>
      </c>
      <c r="N54" s="113">
        <f>2878277+2587998+757035+433259+959885+6077171+1751978+0+560788+3051191+2729250+726643+680640+1123009+7340017+2258956+0+423046-2878277-2587998-757035-433259-959885-6077171-1751978-0-560788</f>
        <v>18332752</v>
      </c>
      <c r="O54" s="53">
        <f t="shared" si="15"/>
        <v>48900448</v>
      </c>
      <c r="P54" s="55">
        <f t="shared" si="16"/>
        <v>78874119</v>
      </c>
      <c r="Q54" s="55"/>
      <c r="R54" s="74">
        <v>0</v>
      </c>
      <c r="T54" s="66"/>
    </row>
    <row r="55" spans="1:22" hidden="1">
      <c r="A55" s="38">
        <f>'FERC Interest Rates'!A70</f>
        <v>43131</v>
      </c>
      <c r="B55" s="33">
        <v>22610497</v>
      </c>
      <c r="C55" s="33">
        <f>16792784+4356-2767</f>
        <v>16794373</v>
      </c>
      <c r="D55" s="33">
        <v>1908527</v>
      </c>
      <c r="E55" s="53">
        <f t="shared" si="18"/>
        <v>41313397</v>
      </c>
      <c r="F55" s="74">
        <f>417+1267-417</f>
        <v>1267</v>
      </c>
      <c r="G55" s="33">
        <f>258064+248863-258064</f>
        <v>248863</v>
      </c>
      <c r="H55" s="53">
        <f t="shared" si="25"/>
        <v>250130</v>
      </c>
      <c r="I55" s="101">
        <f t="shared" si="26"/>
        <v>41563527</v>
      </c>
      <c r="J55" s="101"/>
      <c r="K55" s="74">
        <f>42045207+25317310+43764746+11057139-41915890-25317310</f>
        <v>54951202</v>
      </c>
      <c r="L55" s="104">
        <f t="shared" si="27"/>
        <v>96514729</v>
      </c>
      <c r="M55" s="29" t="s">
        <v>206</v>
      </c>
      <c r="N55" s="113">
        <f>3051191+2729250+726643+680640+1123009+7340017+2258956+0+423046+2911276+2540999+844542+536468+1178958+7140034+0+953897-3051191-2729250-726643-680640-1123009-7340017-2258956-0-423046</f>
        <v>16106174</v>
      </c>
      <c r="O55" s="53">
        <f t="shared" si="15"/>
        <v>38845028</v>
      </c>
      <c r="P55" s="55">
        <f t="shared" si="16"/>
        <v>80408555</v>
      </c>
      <c r="Q55" s="55"/>
      <c r="R55" s="74">
        <v>0</v>
      </c>
      <c r="S55" s="12">
        <f>12394705-16210590</f>
        <v>-3815885</v>
      </c>
      <c r="T55" s="69">
        <f>9146743-11843174</f>
        <v>-2696431</v>
      </c>
      <c r="U55" s="12"/>
      <c r="V55" s="12"/>
    </row>
    <row r="56" spans="1:22" hidden="1">
      <c r="A56" s="38">
        <f>'FERC Interest Rates'!A71</f>
        <v>43159</v>
      </c>
      <c r="B56" s="33">
        <v>15930429</v>
      </c>
      <c r="C56" s="33">
        <f>12040735+5757-4356</f>
        <v>12042136</v>
      </c>
      <c r="D56" s="33">
        <v>1517494</v>
      </c>
      <c r="E56" s="53">
        <f t="shared" si="18"/>
        <v>29490059</v>
      </c>
      <c r="F56" s="74">
        <f>1267+0-1267</f>
        <v>0</v>
      </c>
      <c r="G56" s="33">
        <f>248863+242159-248863</f>
        <v>242159</v>
      </c>
      <c r="H56" s="53">
        <f t="shared" si="25"/>
        <v>242159</v>
      </c>
      <c r="I56" s="101">
        <f t="shared" si="26"/>
        <v>29732218</v>
      </c>
      <c r="J56" s="101"/>
      <c r="K56" s="74">
        <f>43786362+11057139+38242861+15978140-43764746-11057139</f>
        <v>54242617</v>
      </c>
      <c r="L56" s="104">
        <f t="shared" si="27"/>
        <v>83974835</v>
      </c>
      <c r="M56" s="29" t="s">
        <v>206</v>
      </c>
      <c r="N56" s="113">
        <f>2911276+2540999+844542+536468+1178958+7140034+0+0+953897+2487591+2254074+744870+510054+1083209+6489580+1333642+0+697234-2911276-2540999-844542-536468-1178958-7140034-0-0-953897</f>
        <v>15600254</v>
      </c>
      <c r="O56" s="53">
        <f t="shared" si="15"/>
        <v>38642363</v>
      </c>
      <c r="P56" s="55">
        <f t="shared" si="16"/>
        <v>68374581</v>
      </c>
      <c r="Q56" s="55"/>
      <c r="R56" s="74">
        <v>0</v>
      </c>
      <c r="S56" s="12">
        <f>14191411-12394705</f>
        <v>1796706</v>
      </c>
      <c r="T56" s="69">
        <f>10687012-9146743</f>
        <v>1540269</v>
      </c>
      <c r="U56" s="12"/>
      <c r="V56" s="12"/>
    </row>
    <row r="57" spans="1:22" hidden="1">
      <c r="A57" s="38">
        <f>'FERC Interest Rates'!A72</f>
        <v>43190</v>
      </c>
      <c r="B57" s="33">
        <v>18880636</v>
      </c>
      <c r="C57" s="33">
        <f>13967249+4526-5757</f>
        <v>13966018</v>
      </c>
      <c r="D57" s="33">
        <v>1685605</v>
      </c>
      <c r="E57" s="53">
        <f t="shared" si="18"/>
        <v>34532259</v>
      </c>
      <c r="F57" s="74">
        <f>0+51-0</f>
        <v>51</v>
      </c>
      <c r="G57" s="33">
        <f>242159+240280-242159</f>
        <v>240280</v>
      </c>
      <c r="H57" s="53">
        <f t="shared" si="25"/>
        <v>240331</v>
      </c>
      <c r="I57" s="101">
        <f t="shared" si="26"/>
        <v>34772590</v>
      </c>
      <c r="J57" s="101"/>
      <c r="K57" s="74">
        <f>38242861+15978140+40193634+19191924-38242861-15978140</f>
        <v>59385558</v>
      </c>
      <c r="L57" s="104">
        <f t="shared" si="27"/>
        <v>94158148</v>
      </c>
      <c r="M57" s="29" t="s">
        <v>206</v>
      </c>
      <c r="N57" s="113">
        <f>2487591+2254074+744870+510054+1083209+6489580+1333642+0+697234+2589124+2360194+764763+457960+1189749+6698693+407699+0+925311-2487591-2254074-744870-510054-1083209-6489580-1333642-0-697234</f>
        <v>15393493</v>
      </c>
      <c r="O57" s="53">
        <f t="shared" si="15"/>
        <v>43992065</v>
      </c>
      <c r="P57" s="55">
        <f t="shared" si="16"/>
        <v>78764655</v>
      </c>
      <c r="Q57" s="55"/>
      <c r="R57" s="74">
        <v>0</v>
      </c>
      <c r="S57" s="12">
        <f>9771873-14191411</f>
        <v>-4419538</v>
      </c>
      <c r="T57" s="69">
        <f>7181224-10687012</f>
        <v>-3505788</v>
      </c>
      <c r="U57" s="12"/>
      <c r="V57" s="12"/>
    </row>
    <row r="58" spans="1:22" hidden="1">
      <c r="A58" s="38">
        <f>'FERC Interest Rates'!A73</f>
        <v>43220</v>
      </c>
      <c r="B58" s="33">
        <v>12554859</v>
      </c>
      <c r="C58" s="33">
        <f>9771046+2823-4526</f>
        <v>9769343</v>
      </c>
      <c r="D58" s="33">
        <v>1448402</v>
      </c>
      <c r="E58" s="53">
        <f t="shared" si="18"/>
        <v>23772604</v>
      </c>
      <c r="F58" s="74">
        <f>51+0-51</f>
        <v>0</v>
      </c>
      <c r="G58" s="33">
        <f>240280+200185-240280</f>
        <v>200185</v>
      </c>
      <c r="H58" s="53">
        <f t="shared" si="25"/>
        <v>200185</v>
      </c>
      <c r="I58" s="101">
        <f t="shared" si="26"/>
        <v>23972789</v>
      </c>
      <c r="J58" s="101"/>
      <c r="K58" s="74">
        <f>40193634+19191924+34723759+11132239-40193634-19191924</f>
        <v>45855998</v>
      </c>
      <c r="L58" s="104">
        <f t="shared" si="27"/>
        <v>69828787</v>
      </c>
      <c r="M58" s="29" t="s">
        <v>206</v>
      </c>
      <c r="N58" s="113">
        <f>2589124+2360194+764763+457960+1189749+6698693+407699+0+925311+2576948+2420053+760782+395328+1117418+5962269+0+0+248626-2589124-2360194-764763-457960-1189749-6698693-407699-0-925311</f>
        <v>13481424</v>
      </c>
      <c r="O58" s="53">
        <f t="shared" si="15"/>
        <v>32374574</v>
      </c>
      <c r="P58" s="55">
        <f t="shared" si="16"/>
        <v>56347363</v>
      </c>
      <c r="Q58" s="55"/>
      <c r="R58" s="74">
        <v>0</v>
      </c>
      <c r="S58" s="12">
        <f>6423644-9771873</f>
        <v>-3348229</v>
      </c>
      <c r="T58" s="69">
        <f>4977541-7181224</f>
        <v>-2203683</v>
      </c>
      <c r="U58" s="12"/>
      <c r="V58" s="12"/>
    </row>
    <row r="59" spans="1:22" hidden="1">
      <c r="A59" s="38">
        <f>'FERC Interest Rates'!A74</f>
        <v>43251</v>
      </c>
      <c r="B59" s="33">
        <v>7404984</v>
      </c>
      <c r="C59" s="33">
        <f>6243183+520-2823</f>
        <v>6240880</v>
      </c>
      <c r="D59" s="33">
        <v>1118410</v>
      </c>
      <c r="E59" s="53">
        <f t="shared" si="18"/>
        <v>14764274</v>
      </c>
      <c r="F59" s="74">
        <f>0+0-0</f>
        <v>0</v>
      </c>
      <c r="G59" s="33">
        <f>200185+144526-200185</f>
        <v>144526</v>
      </c>
      <c r="H59" s="53">
        <f t="shared" si="25"/>
        <v>144526</v>
      </c>
      <c r="I59" s="101">
        <f t="shared" si="26"/>
        <v>14908800</v>
      </c>
      <c r="J59" s="101"/>
      <c r="K59" s="74">
        <f>34723759+11132239+33561676+16876014-34723759-11132239</f>
        <v>50437690</v>
      </c>
      <c r="L59" s="104">
        <f t="shared" si="27"/>
        <v>65346490</v>
      </c>
      <c r="M59" s="29" t="s">
        <v>206</v>
      </c>
      <c r="N59" s="113">
        <f>2576948+2420053+760782+395328+1117418+5962269+0+0+248626+1833960+1473340+275693+341945+1103385+5032278+702821+0+1760939-2576948-2420053-760782-395328-1117418-5962269-0-0-248626</f>
        <v>12524361</v>
      </c>
      <c r="O59" s="53">
        <f t="shared" si="15"/>
        <v>37913329</v>
      </c>
      <c r="P59" s="55">
        <f t="shared" si="16"/>
        <v>52822129</v>
      </c>
      <c r="Q59" s="55"/>
      <c r="R59" s="74">
        <v>0</v>
      </c>
      <c r="S59" s="12">
        <f>3061183-6423644</f>
        <v>-3362461</v>
      </c>
      <c r="T59" s="69">
        <f>2554573-4977541</f>
        <v>-2422968</v>
      </c>
      <c r="U59" s="12"/>
      <c r="V59" s="12"/>
    </row>
    <row r="60" spans="1:22" hidden="1">
      <c r="A60" s="38">
        <f>'FERC Interest Rates'!A75</f>
        <v>43281</v>
      </c>
      <c r="B60" s="33">
        <v>4018990</v>
      </c>
      <c r="C60" s="33">
        <f>3937807+438-520</f>
        <v>3937725</v>
      </c>
      <c r="D60" s="33">
        <v>859503</v>
      </c>
      <c r="E60" s="53">
        <f t="shared" si="18"/>
        <v>8816218</v>
      </c>
      <c r="F60" s="74">
        <f>0+167-0</f>
        <v>167</v>
      </c>
      <c r="G60" s="33">
        <f>144526+115917-144526</f>
        <v>115917</v>
      </c>
      <c r="H60" s="53">
        <f t="shared" si="25"/>
        <v>116084</v>
      </c>
      <c r="I60" s="101">
        <f t="shared" si="26"/>
        <v>8932302</v>
      </c>
      <c r="J60" s="101"/>
      <c r="K60" s="74">
        <f>33561676+16876014+32538837+13568516-33561676-16876014</f>
        <v>46107353</v>
      </c>
      <c r="L60" s="104">
        <f t="shared" si="27"/>
        <v>55039655</v>
      </c>
      <c r="M60" s="29" t="s">
        <v>206</v>
      </c>
      <c r="N60" s="113">
        <f>1833960+1473340+275693+341945+1103385+5032278+702821+0+1760939+1899111+1560149+755083+358897+986306+3268606+1610020+0+851143-1833960-1473340-275693-341945-1103385-5032278-702821-0-1760939</f>
        <v>11289315</v>
      </c>
      <c r="O60" s="53">
        <f t="shared" si="15"/>
        <v>34818038</v>
      </c>
      <c r="P60" s="55">
        <f t="shared" si="16"/>
        <v>43750340</v>
      </c>
      <c r="Q60" s="55"/>
      <c r="R60" s="74">
        <v>0</v>
      </c>
      <c r="S60" s="12">
        <f>2628458-3061183</f>
        <v>-432725</v>
      </c>
      <c r="T60" s="69">
        <f>2530552-2554573</f>
        <v>-24021</v>
      </c>
      <c r="U60" s="12"/>
      <c r="V60" s="12"/>
    </row>
    <row r="61" spans="1:22" hidden="1">
      <c r="A61" s="38">
        <f>'FERC Interest Rates'!A76</f>
        <v>43312</v>
      </c>
      <c r="B61" s="33">
        <v>3122808</v>
      </c>
      <c r="C61" s="33">
        <f>3296142+124-438</f>
        <v>3295828</v>
      </c>
      <c r="D61" s="33">
        <v>781268</v>
      </c>
      <c r="E61" s="53">
        <f t="shared" si="18"/>
        <v>7199904</v>
      </c>
      <c r="F61" s="74">
        <f>167+0-167</f>
        <v>0</v>
      </c>
      <c r="G61" s="33">
        <f>115917+115400-115917</f>
        <v>115400</v>
      </c>
      <c r="H61" s="53">
        <f t="shared" si="25"/>
        <v>115400</v>
      </c>
      <c r="I61" s="101">
        <f t="shared" si="26"/>
        <v>7315304</v>
      </c>
      <c r="J61" s="101"/>
      <c r="K61" s="74">
        <f>32892877+13802320+31627626+46228894-32538837-13568516</f>
        <v>78444364</v>
      </c>
      <c r="L61" s="104">
        <f t="shared" si="27"/>
        <v>85759668</v>
      </c>
      <c r="M61" s="29" t="s">
        <v>206</v>
      </c>
      <c r="N61" s="113">
        <f>1899111+1560149+755083+358897+986306+3502410+1610020+0+851143+2361080+1597045+530833+248565+1004847+6188410+6692043+0+1421649-1899111-1560149-755083-358897-986306-3268606-1610020-0-851143</f>
        <v>20278276</v>
      </c>
      <c r="O61" s="53">
        <f t="shared" si="15"/>
        <v>58166088</v>
      </c>
      <c r="P61" s="55">
        <f t="shared" si="16"/>
        <v>65481392</v>
      </c>
      <c r="Q61" s="55"/>
      <c r="R61" s="74">
        <v>0</v>
      </c>
      <c r="S61" s="12">
        <f>2376801-2628458</f>
        <v>-251657</v>
      </c>
      <c r="T61" s="69">
        <f>2469451-2530552</f>
        <v>-61101</v>
      </c>
      <c r="U61" s="12"/>
      <c r="V61" s="12"/>
    </row>
    <row r="62" spans="1:22" hidden="1">
      <c r="A62" s="38">
        <f>'FERC Interest Rates'!A77</f>
        <v>43343</v>
      </c>
      <c r="B62" s="33">
        <f>2714543+566</f>
        <v>2715109</v>
      </c>
      <c r="C62" s="33">
        <f>3197529+158-124</f>
        <v>3197563</v>
      </c>
      <c r="D62" s="33">
        <v>798722</v>
      </c>
      <c r="E62" s="53">
        <f t="shared" si="18"/>
        <v>6711394</v>
      </c>
      <c r="F62" s="74">
        <f>0+359-0</f>
        <v>359</v>
      </c>
      <c r="G62" s="33">
        <f>111904+8245+93391-111904-3496</f>
        <v>98140</v>
      </c>
      <c r="H62" s="53">
        <f t="shared" si="25"/>
        <v>98499</v>
      </c>
      <c r="I62" s="101">
        <f t="shared" si="26"/>
        <v>6809893</v>
      </c>
      <c r="J62" s="101"/>
      <c r="K62" s="74">
        <f>31627626+46228894+32586753+44352608-31627626-46228894</f>
        <v>76939361</v>
      </c>
      <c r="L62" s="104">
        <f t="shared" si="27"/>
        <v>83749254</v>
      </c>
      <c r="M62" s="29" t="s">
        <v>206</v>
      </c>
      <c r="N62" s="113">
        <f>2361080+1597045+530833+248565+1004847+6188410+6692043+0+1421649+2073946+1569259+710981+336820+970764+4069426+6558487+1275763-2361080-1597045-530833-248565-1004847-6188410-6692043-0-1421649</f>
        <v>17565446</v>
      </c>
      <c r="O62" s="53">
        <f t="shared" si="15"/>
        <v>59373915</v>
      </c>
      <c r="P62" s="55">
        <f t="shared" si="16"/>
        <v>66183808</v>
      </c>
      <c r="Q62" s="55"/>
      <c r="R62" s="74">
        <v>0</v>
      </c>
      <c r="S62" s="12">
        <f>1072372-2376801</f>
        <v>-1304429</v>
      </c>
      <c r="T62" s="69">
        <f>1246891-2469451</f>
        <v>-1222560</v>
      </c>
      <c r="U62" s="12"/>
      <c r="V62" s="12"/>
    </row>
    <row r="63" spans="1:22" hidden="1">
      <c r="A63" s="38">
        <f>'FERC Interest Rates'!A78</f>
        <v>43373</v>
      </c>
      <c r="B63" s="33">
        <v>2809188</v>
      </c>
      <c r="C63" s="33">
        <f>3168549+501-158</f>
        <v>3168892</v>
      </c>
      <c r="D63" s="33">
        <v>889025</v>
      </c>
      <c r="E63" s="53">
        <f t="shared" si="18"/>
        <v>6867105</v>
      </c>
      <c r="F63" s="74">
        <f>359+188-359</f>
        <v>188</v>
      </c>
      <c r="G63" s="33">
        <f>93391+118645-93391</f>
        <v>118645</v>
      </c>
      <c r="H63" s="53">
        <f t="shared" si="25"/>
        <v>118833</v>
      </c>
      <c r="I63" s="101">
        <f t="shared" si="26"/>
        <v>6985938</v>
      </c>
      <c r="J63" s="101"/>
      <c r="K63" s="74">
        <f>32959033+44352608+36656724+34986825-32586753-44352608</f>
        <v>72015829</v>
      </c>
      <c r="L63" s="104">
        <f t="shared" si="27"/>
        <v>79001767</v>
      </c>
      <c r="M63" s="108" t="s">
        <v>206</v>
      </c>
      <c r="N63" s="113">
        <f>2073946+1569259+710981+336820+1343044+4069426+6558487+1275763+14392902+2302148+1821816+648766+336043+1086841+3186225+0+25764-2073946-1569259-710981-336820-970764-4069426-6558487-1275763-14392902</f>
        <v>9779883</v>
      </c>
      <c r="O63" s="53">
        <f t="shared" si="15"/>
        <v>62235946</v>
      </c>
      <c r="P63" s="55">
        <f t="shared" si="16"/>
        <v>69221884</v>
      </c>
      <c r="Q63" s="55"/>
      <c r="R63" s="74">
        <v>0</v>
      </c>
      <c r="S63" s="12">
        <f>1999718-1072372</f>
        <v>927346</v>
      </c>
      <c r="T63" s="69">
        <f>2233399-1246891</f>
        <v>986508</v>
      </c>
      <c r="U63" s="12"/>
      <c r="V63" s="12"/>
    </row>
    <row r="64" spans="1:22" hidden="1">
      <c r="A64" s="27">
        <f>'FERC Interest Rates'!A79</f>
        <v>43404</v>
      </c>
      <c r="B64" s="36">
        <v>5307116</v>
      </c>
      <c r="C64" s="36">
        <f>4934895+2079-501</f>
        <v>4936473</v>
      </c>
      <c r="D64" s="36">
        <v>1478716</v>
      </c>
      <c r="E64" s="54">
        <f t="shared" si="18"/>
        <v>11722305</v>
      </c>
      <c r="F64" s="61">
        <f>188+21-188</f>
        <v>21</v>
      </c>
      <c r="G64" s="36">
        <f>118645+197742-118645</f>
        <v>197742</v>
      </c>
      <c r="H64" s="54">
        <f t="shared" si="25"/>
        <v>197763</v>
      </c>
      <c r="I64" s="102">
        <f t="shared" si="26"/>
        <v>11920068</v>
      </c>
      <c r="J64" s="102"/>
      <c r="K64" s="61">
        <f>36656724+34986825+38306298+20347223-36656724-34986825</f>
        <v>58653521</v>
      </c>
      <c r="L64" s="105">
        <f t="shared" si="27"/>
        <v>70573589</v>
      </c>
      <c r="M64" s="30" t="s">
        <v>206</v>
      </c>
      <c r="N64" s="61">
        <f>2302148+1821816+648766+336043+1086841+3186225+0+25764+2519545+1323607+785768+574709+654091+6582081+0+15208-2302148-1821816-648766-336043-1086841-3186225-0-25764</f>
        <v>12455009</v>
      </c>
      <c r="O64" s="54">
        <f t="shared" si="15"/>
        <v>46198512</v>
      </c>
      <c r="P64" s="56">
        <f t="shared" si="16"/>
        <v>58118580</v>
      </c>
      <c r="Q64" s="56"/>
      <c r="R64" s="61">
        <v>0</v>
      </c>
      <c r="S64" s="97">
        <f>4772036-1999718</f>
        <v>2772318</v>
      </c>
      <c r="T64" s="70">
        <f>4424005-2233399</f>
        <v>2190606</v>
      </c>
      <c r="U64" s="12"/>
      <c r="V64" s="12"/>
    </row>
    <row r="65" spans="1:22" hidden="1">
      <c r="A65" s="89">
        <f>'FERC Interest Rates'!A80</f>
        <v>43434</v>
      </c>
      <c r="B65" s="33">
        <v>8960930</v>
      </c>
      <c r="C65" s="33">
        <f>6947705+3464-2079</f>
        <v>6949090</v>
      </c>
      <c r="D65" s="33">
        <v>1174387</v>
      </c>
      <c r="E65" s="53">
        <f t="shared" si="18"/>
        <v>17084407</v>
      </c>
      <c r="F65" s="74">
        <f>21+63-21</f>
        <v>63</v>
      </c>
      <c r="G65" s="33">
        <f>197742+217688-197742</f>
        <v>217688</v>
      </c>
      <c r="H65" s="53">
        <f t="shared" ref="H65:H76" si="28">SUM(F65:G65)</f>
        <v>217751</v>
      </c>
      <c r="I65" s="101">
        <f t="shared" ref="I65:I76" si="29">E65+H65</f>
        <v>17302158</v>
      </c>
      <c r="J65" s="101"/>
      <c r="K65" s="74">
        <f>38306298+20347223+30607596+8010794-38306298-20347223</f>
        <v>38618390</v>
      </c>
      <c r="L65" s="53">
        <f t="shared" si="27"/>
        <v>55920548</v>
      </c>
      <c r="M65" s="73" t="s">
        <v>206</v>
      </c>
      <c r="N65" s="74">
        <f>2519545+1323607+785768+574709+654091+6582081+0+15208+2036183+702707+630069+446415+843484+7455224+392300+24401-2519545-1323607-785768-574709-654091-6582081-0-15208</f>
        <v>12530783</v>
      </c>
      <c r="O65" s="53">
        <f t="shared" si="15"/>
        <v>26087607</v>
      </c>
      <c r="P65" s="55">
        <f t="shared" si="16"/>
        <v>43389765</v>
      </c>
      <c r="Q65" s="55"/>
      <c r="R65" s="74">
        <v>0</v>
      </c>
      <c r="S65" s="12">
        <f>11306377-4772036</f>
        <v>6534341</v>
      </c>
      <c r="T65" s="12">
        <f>8615742-4424005</f>
        <v>4191737</v>
      </c>
      <c r="U65" s="134"/>
      <c r="V65" s="69"/>
    </row>
    <row r="66" spans="1:22" hidden="1">
      <c r="A66" s="38">
        <f>'FERC Interest Rates'!A81</f>
        <v>43465</v>
      </c>
      <c r="B66" s="33">
        <v>17031202</v>
      </c>
      <c r="C66" s="33">
        <f>12847300+4915-3464</f>
        <v>12848751</v>
      </c>
      <c r="D66" s="33">
        <v>1780585</v>
      </c>
      <c r="E66" s="53">
        <f t="shared" si="18"/>
        <v>31660538</v>
      </c>
      <c r="F66" s="74">
        <f>63+79-63</f>
        <v>79</v>
      </c>
      <c r="G66" s="33">
        <f>217688+260482-217688</f>
        <v>260482</v>
      </c>
      <c r="H66" s="53">
        <f t="shared" si="28"/>
        <v>260561</v>
      </c>
      <c r="I66" s="101">
        <f t="shared" si="29"/>
        <v>31921099</v>
      </c>
      <c r="J66" s="101"/>
      <c r="K66" s="74">
        <f>30607596+8010794+35363826+27155220-30607596-8010794</f>
        <v>62519046</v>
      </c>
      <c r="L66" s="53">
        <f t="shared" si="27"/>
        <v>94440145</v>
      </c>
      <c r="M66" s="73" t="s">
        <v>206</v>
      </c>
      <c r="N66" s="74">
        <f>2036183+702707+630069+446415+843484+7455224+392300+24401+2617891+938576+765472+502419+1192617+7824829+357236+82468-2036183-702707-630069-446415-843484-7455224-392300-24401</f>
        <v>14281508</v>
      </c>
      <c r="O66" s="53">
        <f t="shared" si="15"/>
        <v>48237538</v>
      </c>
      <c r="P66" s="55">
        <f t="shared" si="16"/>
        <v>80158637</v>
      </c>
      <c r="Q66" s="55"/>
      <c r="R66" s="74">
        <v>0</v>
      </c>
      <c r="S66" s="12">
        <f>13675573-11306377</f>
        <v>2369196</v>
      </c>
      <c r="T66" s="12">
        <f>10228218-8615742</f>
        <v>1612476</v>
      </c>
      <c r="U66" s="134"/>
      <c r="V66" s="69"/>
    </row>
    <row r="67" spans="1:22" hidden="1">
      <c r="A67" s="94">
        <f>'FERC Interest Rates'!A82</f>
        <v>43496</v>
      </c>
      <c r="B67" s="33">
        <v>19425579</v>
      </c>
      <c r="C67" s="33">
        <f>14600523+4626-4915</f>
        <v>14600234</v>
      </c>
      <c r="D67" s="33">
        <v>1764670</v>
      </c>
      <c r="E67" s="53">
        <f t="shared" si="18"/>
        <v>35790483</v>
      </c>
      <c r="F67" s="74">
        <f>79+7-79</f>
        <v>7</v>
      </c>
      <c r="G67" s="33">
        <f>260482+258811-260482</f>
        <v>258811</v>
      </c>
      <c r="H67" s="53">
        <f t="shared" si="28"/>
        <v>258818</v>
      </c>
      <c r="I67" s="101">
        <f t="shared" si="29"/>
        <v>36049301</v>
      </c>
      <c r="J67" s="101"/>
      <c r="K67" s="74">
        <f>35363826+27155220+38940773+26818206-35363826-27155220</f>
        <v>65758979</v>
      </c>
      <c r="L67" s="53">
        <f t="shared" si="27"/>
        <v>101808280</v>
      </c>
      <c r="M67" s="73" t="s">
        <v>206</v>
      </c>
      <c r="N67" s="74">
        <f>2617891+938576+765472+502419+1192617+7824829+357236+82468+3202152+2041529+835418+564041+1220699+7679533+0+0-2617891-938576-765472-502419-1192617-7824829-357236-82468</f>
        <v>15543372</v>
      </c>
      <c r="O67" s="53">
        <f t="shared" si="15"/>
        <v>50215607</v>
      </c>
      <c r="P67" s="55">
        <f t="shared" si="16"/>
        <v>86264908</v>
      </c>
      <c r="Q67" s="55"/>
      <c r="R67" s="74">
        <v>0</v>
      </c>
      <c r="S67" s="12">
        <f>13677389-13675573</f>
        <v>1816</v>
      </c>
      <c r="T67" s="12">
        <f>10187002-10228218</f>
        <v>-41216</v>
      </c>
      <c r="U67" s="134"/>
      <c r="V67" s="69"/>
    </row>
    <row r="68" spans="1:22" hidden="1">
      <c r="A68" s="38">
        <f>'FERC Interest Rates'!A83</f>
        <v>43524</v>
      </c>
      <c r="B68" s="33">
        <v>20826493</v>
      </c>
      <c r="C68" s="33">
        <f>15520348+5486-4626</f>
        <v>15521208</v>
      </c>
      <c r="D68" s="33">
        <v>1942115</v>
      </c>
      <c r="E68" s="53">
        <f t="shared" si="18"/>
        <v>38289816</v>
      </c>
      <c r="F68" s="74">
        <f>7+0-7</f>
        <v>0</v>
      </c>
      <c r="G68" s="33">
        <f>258811+270184-258811</f>
        <v>270184</v>
      </c>
      <c r="H68" s="53">
        <f t="shared" si="28"/>
        <v>270184</v>
      </c>
      <c r="I68" s="101">
        <f t="shared" si="29"/>
        <v>38560000</v>
      </c>
      <c r="J68" s="101"/>
      <c r="K68" s="74">
        <f>38940773+26818206+37253381+23693433-38940773-26818206</f>
        <v>60946814</v>
      </c>
      <c r="L68" s="53">
        <f t="shared" si="27"/>
        <v>99506814</v>
      </c>
      <c r="M68" s="73" t="s">
        <v>206</v>
      </c>
      <c r="N68" s="74">
        <f>3202152+2041529+835418+564041+1220699+7679533+0+0+2316555+2359414+735036+538901+1078245+7686555+2483404+39201-3202152-2041529-835418-564041-1220699-7679533-0-0</f>
        <v>17237311</v>
      </c>
      <c r="O68" s="53">
        <f t="shared" si="15"/>
        <v>43709503</v>
      </c>
      <c r="P68" s="55">
        <f t="shared" si="16"/>
        <v>82269503</v>
      </c>
      <c r="Q68" s="55"/>
      <c r="R68" s="74">
        <v>0</v>
      </c>
      <c r="S68" s="12">
        <f>17127329-13677389</f>
        <v>3449940</v>
      </c>
      <c r="T68" s="12">
        <f>12666270-10187002</f>
        <v>2479268</v>
      </c>
      <c r="U68" s="134"/>
      <c r="V68" s="69"/>
    </row>
    <row r="69" spans="1:22" hidden="1">
      <c r="A69" s="95">
        <f>'FERC Interest Rates'!A84</f>
        <v>43555</v>
      </c>
      <c r="B69" s="36">
        <v>22406676</v>
      </c>
      <c r="C69" s="36">
        <f>17597418+3527-5486</f>
        <v>17595459</v>
      </c>
      <c r="D69" s="36">
        <v>2139177</v>
      </c>
      <c r="E69" s="54">
        <f t="shared" si="18"/>
        <v>42141312</v>
      </c>
      <c r="F69" s="61">
        <v>0</v>
      </c>
      <c r="G69" s="36">
        <f>270184+248145-270184</f>
        <v>248145</v>
      </c>
      <c r="H69" s="54">
        <f t="shared" si="28"/>
        <v>248145</v>
      </c>
      <c r="I69" s="102">
        <f t="shared" si="29"/>
        <v>42389457</v>
      </c>
      <c r="J69" s="102"/>
      <c r="K69" s="61">
        <f>37253381+23693433+36801397+22665583-37253381-23693433</f>
        <v>59466980</v>
      </c>
      <c r="L69" s="54">
        <f t="shared" si="27"/>
        <v>101856437</v>
      </c>
      <c r="M69" s="96" t="s">
        <v>206</v>
      </c>
      <c r="N69" s="61">
        <f>2316555+2359414+735036+538901+1078245+7686555+2483404+39201+2298407+2520690+848257+538257+1154609+9312929+334503+112350-2316555-2359414-735036-538901-1078245-7686555-2483404-39201</f>
        <v>17120002</v>
      </c>
      <c r="O69" s="54">
        <f t="shared" ref="O69:O100" si="30">K69-N69</f>
        <v>42346978</v>
      </c>
      <c r="P69" s="56">
        <f t="shared" ref="P69:P100" si="31">L69-N69</f>
        <v>84736435</v>
      </c>
      <c r="Q69" s="56"/>
      <c r="R69" s="61">
        <v>0</v>
      </c>
      <c r="S69" s="97">
        <f>11032733-17127329</f>
        <v>-6094596</v>
      </c>
      <c r="T69" s="97">
        <f>8619566-12666270</f>
        <v>-4046704</v>
      </c>
      <c r="U69" s="134"/>
      <c r="V69" s="69"/>
    </row>
    <row r="70" spans="1:22" hidden="1">
      <c r="A70" s="72">
        <f>'FERC Interest Rates'!A85</f>
        <v>43585</v>
      </c>
      <c r="B70" s="33">
        <v>12262358</v>
      </c>
      <c r="C70" s="33">
        <f>10128913+2258-3527</f>
        <v>10127644</v>
      </c>
      <c r="D70" s="33">
        <v>1670359</v>
      </c>
      <c r="E70" s="53">
        <f t="shared" si="18"/>
        <v>24060361</v>
      </c>
      <c r="F70" s="74">
        <f>0+128-0</f>
        <v>128</v>
      </c>
      <c r="G70" s="33">
        <f>248145+191467-248145</f>
        <v>191467</v>
      </c>
      <c r="H70" s="53">
        <f t="shared" si="28"/>
        <v>191595</v>
      </c>
      <c r="I70" s="101">
        <f t="shared" si="29"/>
        <v>24251956</v>
      </c>
      <c r="J70" s="101"/>
      <c r="K70" s="74">
        <f>36773442+22665583+34981109+18550201-36801397-22665583</f>
        <v>53503355</v>
      </c>
      <c r="L70" s="53">
        <f t="shared" si="27"/>
        <v>77755311</v>
      </c>
      <c r="M70" s="73" t="s">
        <v>206</v>
      </c>
      <c r="N70" s="74">
        <f>2298407+2520690+848257+538257+1154609+9312929+334503+112350+2069826+2845634+769998+397319+1061450+8371884+0+8745-2298407-2520690-848257-538257-1154609-9312929-334503-112350</f>
        <v>15524856</v>
      </c>
      <c r="O70" s="53">
        <f t="shared" si="30"/>
        <v>37978499</v>
      </c>
      <c r="P70" s="55">
        <f t="shared" si="31"/>
        <v>62230455</v>
      </c>
      <c r="Q70" s="55"/>
      <c r="R70" s="74">
        <v>0</v>
      </c>
      <c r="S70" s="12">
        <f>5722513-11032733</f>
        <v>-5310220</v>
      </c>
      <c r="T70" s="12">
        <f>4713041-8619566</f>
        <v>-3906525</v>
      </c>
      <c r="U70" s="134"/>
      <c r="V70" s="69"/>
    </row>
    <row r="71" spans="1:22" hidden="1">
      <c r="A71" s="71">
        <f>'FERC Interest Rates'!A86</f>
        <v>43616</v>
      </c>
      <c r="B71" s="33">
        <v>7409569</v>
      </c>
      <c r="C71" s="33">
        <f>6064993+645-2258</f>
        <v>6063380</v>
      </c>
      <c r="D71" s="33">
        <v>1057539</v>
      </c>
      <c r="E71" s="53">
        <f t="shared" si="18"/>
        <v>14530488</v>
      </c>
      <c r="F71" s="74">
        <f>128+151-128</f>
        <v>151</v>
      </c>
      <c r="G71" s="33">
        <f>191467+142256-191467</f>
        <v>142256</v>
      </c>
      <c r="H71" s="53">
        <f t="shared" si="28"/>
        <v>142407</v>
      </c>
      <c r="I71" s="101">
        <f t="shared" si="29"/>
        <v>14672895</v>
      </c>
      <c r="J71" s="101"/>
      <c r="K71" s="74">
        <f>35006149+18550201+35884737+12077889-34981109-18550201</f>
        <v>47987666</v>
      </c>
      <c r="L71" s="53">
        <f t="shared" si="27"/>
        <v>62660561</v>
      </c>
      <c r="M71" s="73" t="s">
        <v>206</v>
      </c>
      <c r="N71" s="74">
        <f>2069826+2845634+769998+397319+1061450+8371884+0+8745+1973660+2219500+453427+390685+1024594+5401237+509919+210060-2069826-2845634-769998-397319-1061450-8371884-0-8745</f>
        <v>12183082</v>
      </c>
      <c r="O71" s="53">
        <f t="shared" si="30"/>
        <v>35804584</v>
      </c>
      <c r="P71" s="55">
        <f t="shared" si="31"/>
        <v>50477479</v>
      </c>
      <c r="Q71" s="55"/>
      <c r="R71" s="74">
        <v>0</v>
      </c>
      <c r="S71" s="12">
        <f>3331371-5722513</f>
        <v>-2391142</v>
      </c>
      <c r="T71" s="12">
        <f>2695771-4713041</f>
        <v>-2017270</v>
      </c>
      <c r="U71" s="134"/>
      <c r="V71" s="69"/>
    </row>
    <row r="72" spans="1:22" hidden="1">
      <c r="A72" s="71">
        <f>'FERC Interest Rates'!A87</f>
        <v>43646</v>
      </c>
      <c r="B72" s="33">
        <v>4046705</v>
      </c>
      <c r="C72" s="33">
        <f>3946075+367-645</f>
        <v>3945797</v>
      </c>
      <c r="D72" s="33">
        <f>854078</f>
        <v>854078</v>
      </c>
      <c r="E72" s="53">
        <f t="shared" si="18"/>
        <v>8846580</v>
      </c>
      <c r="F72" s="74">
        <f>151+0-151</f>
        <v>0</v>
      </c>
      <c r="G72" s="33">
        <f>142256+110987-142256</f>
        <v>110987</v>
      </c>
      <c r="H72" s="53">
        <f t="shared" si="28"/>
        <v>110987</v>
      </c>
      <c r="I72" s="101">
        <f t="shared" si="29"/>
        <v>8957567</v>
      </c>
      <c r="J72" s="101"/>
      <c r="K72" s="74">
        <f>35884737+12077889+33440624+21488123-35884737-12077889</f>
        <v>54928747</v>
      </c>
      <c r="L72" s="53">
        <f t="shared" si="27"/>
        <v>63886314</v>
      </c>
      <c r="M72" s="73" t="s">
        <v>206</v>
      </c>
      <c r="N72" s="74">
        <f>1973660+2219500+453427+390685+1024594+5401237+509919+210060+2265713+2090677+759078+327788+937176+5673695+0+100169-1973660-2219500-453427-390685-1024594-5401237-509919-210060</f>
        <v>12154296</v>
      </c>
      <c r="O72" s="53">
        <f t="shared" si="30"/>
        <v>42774451</v>
      </c>
      <c r="P72" s="55">
        <f t="shared" si="31"/>
        <v>51732018</v>
      </c>
      <c r="Q72" s="55"/>
      <c r="R72" s="74">
        <v>0</v>
      </c>
      <c r="S72" s="12">
        <f>2187188-3331371</f>
        <v>-1144183</v>
      </c>
      <c r="T72" s="12">
        <f>2099565-2695771</f>
        <v>-596206</v>
      </c>
      <c r="U72" s="134"/>
      <c r="V72" s="69"/>
    </row>
    <row r="73" spans="1:22" hidden="1">
      <c r="A73" s="72">
        <f>'FERC Interest Rates'!A88</f>
        <v>43677</v>
      </c>
      <c r="B73" s="33">
        <v>3217527</v>
      </c>
      <c r="C73" s="33">
        <f>3460988+155-367</f>
        <v>3460776</v>
      </c>
      <c r="D73" s="33">
        <v>852365</v>
      </c>
      <c r="E73" s="53">
        <f t="shared" si="18"/>
        <v>7530668</v>
      </c>
      <c r="F73" s="74">
        <f>0+163-0</f>
        <v>163</v>
      </c>
      <c r="G73" s="33">
        <f>110987+120028-110987</f>
        <v>120028</v>
      </c>
      <c r="H73" s="53">
        <f t="shared" si="28"/>
        <v>120191</v>
      </c>
      <c r="I73" s="101">
        <f t="shared" si="29"/>
        <v>7650859</v>
      </c>
      <c r="J73" s="101"/>
      <c r="K73" s="74">
        <f>33440624+21488123+33197167+48201005-33440624-21488123</f>
        <v>81398172</v>
      </c>
      <c r="L73" s="53">
        <f t="shared" si="27"/>
        <v>89049031</v>
      </c>
      <c r="M73" s="73" t="s">
        <v>206</v>
      </c>
      <c r="N73" s="74">
        <f>2265713+2090677+759078+327788+937176+5673695+0+100169+2468668+2697591+656415+339569+959617+6186256+8340220+0-2265713-2090677-759078-327788-937176-5673695-0-100169</f>
        <v>21648336</v>
      </c>
      <c r="O73" s="53">
        <f t="shared" si="30"/>
        <v>59749836</v>
      </c>
      <c r="P73" s="55">
        <f t="shared" si="31"/>
        <v>67400695</v>
      </c>
      <c r="Q73" s="55"/>
      <c r="R73" s="74">
        <v>0</v>
      </c>
      <c r="S73" s="12">
        <f>2058587-2187188</f>
        <v>-128601</v>
      </c>
      <c r="T73" s="12">
        <f>2183931-2099565</f>
        <v>84366</v>
      </c>
      <c r="U73" s="134"/>
      <c r="V73" s="69"/>
    </row>
    <row r="74" spans="1:22" hidden="1">
      <c r="A74" s="71">
        <f>'FERC Interest Rates'!A89</f>
        <v>43708</v>
      </c>
      <c r="B74" s="33">
        <v>2775098</v>
      </c>
      <c r="C74" s="33">
        <f>3192851+138-155</f>
        <v>3192834</v>
      </c>
      <c r="D74" s="33">
        <v>915216</v>
      </c>
      <c r="E74" s="53">
        <f t="shared" si="18"/>
        <v>6883148</v>
      </c>
      <c r="F74" s="74">
        <f>163+0-163</f>
        <v>0</v>
      </c>
      <c r="G74" s="33">
        <f>120028+93626-120028</f>
        <v>93626</v>
      </c>
      <c r="H74" s="53">
        <f t="shared" si="28"/>
        <v>93626</v>
      </c>
      <c r="I74" s="101">
        <f t="shared" si="29"/>
        <v>6976774</v>
      </c>
      <c r="J74" s="101"/>
      <c r="K74" s="74">
        <f>33209086+48201005+35054871+57112060-33197167-48201005</f>
        <v>92178850</v>
      </c>
      <c r="L74" s="53">
        <f t="shared" si="27"/>
        <v>99155624</v>
      </c>
      <c r="M74" s="73" t="s">
        <v>206</v>
      </c>
      <c r="N74" s="74">
        <f>2468668+2697591+656415+339569+959617+6186256+8340220+0+2310615+2677115+629970+278437+979527+6575658+9118215+147250-2468668-2697591-656415-339569-959617-6186256-8340220-0</f>
        <v>22716787</v>
      </c>
      <c r="O74" s="53">
        <f t="shared" si="30"/>
        <v>69462063</v>
      </c>
      <c r="P74" s="55">
        <f t="shared" si="31"/>
        <v>76438837</v>
      </c>
      <c r="Q74" s="55"/>
      <c r="R74" s="74">
        <v>0</v>
      </c>
      <c r="S74" s="12">
        <f>1100941-2058587</f>
        <v>-957646</v>
      </c>
      <c r="T74" s="12">
        <f>1243727-2183931</f>
        <v>-940204</v>
      </c>
      <c r="U74" s="134"/>
      <c r="V74" s="69"/>
    </row>
    <row r="75" spans="1:22" hidden="1">
      <c r="A75" s="71">
        <f>'FERC Interest Rates'!A90</f>
        <v>43738</v>
      </c>
      <c r="B75" s="33">
        <v>2691847</v>
      </c>
      <c r="C75" s="33">
        <f>3019665+619-138</f>
        <v>3020146</v>
      </c>
      <c r="D75" s="33">
        <v>962596</v>
      </c>
      <c r="E75" s="53">
        <f t="shared" si="18"/>
        <v>6674589</v>
      </c>
      <c r="F75" s="74">
        <f>0+411-0</f>
        <v>411</v>
      </c>
      <c r="G75" s="33">
        <f>93626+111442-93626</f>
        <v>111442</v>
      </c>
      <c r="H75" s="53">
        <f t="shared" si="28"/>
        <v>111853</v>
      </c>
      <c r="I75" s="101">
        <f t="shared" si="29"/>
        <v>6786442</v>
      </c>
      <c r="J75" s="101"/>
      <c r="K75" s="74">
        <f>35054871+57112060+38007048+48218642-35054871-57112060</f>
        <v>86225690</v>
      </c>
      <c r="L75" s="53">
        <f t="shared" si="27"/>
        <v>93012132</v>
      </c>
      <c r="M75" s="73" t="s">
        <v>206</v>
      </c>
      <c r="N75" s="74">
        <f>2310615+2677115+629970+278437+979527+6575658+9118215+147250+2238144+2457018+700843+318250+880129+6543518+6204407+451349-2310615-2677115-629970-278437-979527-6575658-9118215-147250</f>
        <v>19793658</v>
      </c>
      <c r="O75" s="53">
        <f t="shared" si="30"/>
        <v>66432032</v>
      </c>
      <c r="P75" s="55">
        <f t="shared" si="31"/>
        <v>73218474</v>
      </c>
      <c r="Q75" s="55"/>
      <c r="R75" s="74">
        <v>0</v>
      </c>
      <c r="S75" s="12">
        <f>2696601-1100941</f>
        <v>1595660</v>
      </c>
      <c r="T75" s="12">
        <f>2978172-1243727</f>
        <v>1734445</v>
      </c>
      <c r="U75" s="134"/>
      <c r="V75" s="69"/>
    </row>
    <row r="76" spans="1:22" hidden="1">
      <c r="A76" s="118">
        <f>'FERC Interest Rates'!A91</f>
        <v>43769</v>
      </c>
      <c r="B76" s="36">
        <v>6366467</v>
      </c>
      <c r="C76" s="36">
        <f>5534429+1350316-619</f>
        <v>6884126</v>
      </c>
      <c r="D76" s="36">
        <v>1687630</v>
      </c>
      <c r="E76" s="54">
        <f t="shared" si="18"/>
        <v>14938223</v>
      </c>
      <c r="F76" s="61">
        <f>411+317-411</f>
        <v>317</v>
      </c>
      <c r="G76" s="36">
        <f>111442+232820-111442</f>
        <v>232820</v>
      </c>
      <c r="H76" s="54">
        <f t="shared" si="28"/>
        <v>233137</v>
      </c>
      <c r="I76" s="102">
        <f t="shared" si="29"/>
        <v>15171360</v>
      </c>
      <c r="J76" s="102"/>
      <c r="K76" s="61">
        <f>38794472+48218231+41355714+22420091-38007048-48218642</f>
        <v>64562818</v>
      </c>
      <c r="L76" s="54">
        <f t="shared" si="27"/>
        <v>79734178</v>
      </c>
      <c r="M76" s="96" t="s">
        <v>206</v>
      </c>
      <c r="N76" s="61">
        <f>2238144+2457018+700843+318250+880129+6543518+6204407+451349+2832256+2779753+787046+348739+985783+7985929+1743835+59022-2238144-2457018-700843-318250-880129-6543518-6204407-451349</f>
        <v>17522363</v>
      </c>
      <c r="O76" s="54">
        <f t="shared" si="30"/>
        <v>47040455</v>
      </c>
      <c r="P76" s="56">
        <f t="shared" si="31"/>
        <v>62211815</v>
      </c>
      <c r="Q76" s="56"/>
      <c r="R76" s="61">
        <v>0</v>
      </c>
      <c r="S76" s="97">
        <f>7415550-2696601</f>
        <v>4718949</v>
      </c>
      <c r="T76" s="97">
        <f>6393900-2978172</f>
        <v>3415728</v>
      </c>
      <c r="U76" s="134"/>
      <c r="V76" s="69"/>
    </row>
    <row r="77" spans="1:22" hidden="1">
      <c r="A77" s="72">
        <f>'FERC Interest Rates'!A92</f>
        <v>43799</v>
      </c>
      <c r="B77" s="33">
        <v>11628968</v>
      </c>
      <c r="C77" s="33">
        <f>10296014+1502701-1350316</f>
        <v>10448399</v>
      </c>
      <c r="D77" s="33">
        <v>1643539</v>
      </c>
      <c r="E77" s="53">
        <f t="shared" ref="E77:E100" si="32">SUM(B77:D77)</f>
        <v>23720906</v>
      </c>
      <c r="F77" s="74">
        <f>317+491-317</f>
        <v>491</v>
      </c>
      <c r="G77" s="33">
        <f>232820+230233-232820</f>
        <v>230233</v>
      </c>
      <c r="H77" s="53">
        <f t="shared" ref="H77:H88" si="33">SUM(F77:G77)</f>
        <v>230724</v>
      </c>
      <c r="I77" s="101">
        <f t="shared" ref="I77:I88" si="34">E77+H77</f>
        <v>23951630</v>
      </c>
      <c r="J77" s="101"/>
      <c r="K77" s="74">
        <f>41355846+22420091+37732887+26464477-41355714-22420091</f>
        <v>64197496</v>
      </c>
      <c r="L77" s="53">
        <f t="shared" ref="L77:L88" si="35">I77+K77</f>
        <v>88149126</v>
      </c>
      <c r="M77" s="73" t="s">
        <v>206</v>
      </c>
      <c r="N77" s="74">
        <f>2832256+2779753+787046+348739+985783+7985929+1743835+59022+3143984+2719510+758864+325444+994562+7351963+188376+57819-2832256-2779753-787046-348739-985783-7985929-1743835-59022</f>
        <v>15540522</v>
      </c>
      <c r="O77" s="53">
        <f t="shared" si="30"/>
        <v>48656974</v>
      </c>
      <c r="P77" s="55">
        <f t="shared" si="31"/>
        <v>72608604</v>
      </c>
      <c r="Q77" s="55"/>
      <c r="R77" s="74">
        <v>0</v>
      </c>
      <c r="S77" s="12">
        <f>11690320-7415550</f>
        <v>4274770</v>
      </c>
      <c r="T77" s="12">
        <f>10324809-6393900</f>
        <v>3930909</v>
      </c>
      <c r="U77" s="134"/>
      <c r="V77" s="69"/>
    </row>
    <row r="78" spans="1:22" hidden="1">
      <c r="A78" s="72">
        <f>'FERC Interest Rates'!A93</f>
        <v>43830</v>
      </c>
      <c r="B78" s="33">
        <v>17650518</v>
      </c>
      <c r="C78" s="33">
        <f>14749563+1693551-1502701</f>
        <v>14940413</v>
      </c>
      <c r="D78" s="33">
        <v>1791294</v>
      </c>
      <c r="E78" s="53">
        <f t="shared" si="32"/>
        <v>34382225</v>
      </c>
      <c r="F78" s="74">
        <f>491+261-491</f>
        <v>261</v>
      </c>
      <c r="G78" s="33">
        <f>230233+254015-230233</f>
        <v>254015</v>
      </c>
      <c r="H78" s="53">
        <f t="shared" si="33"/>
        <v>254276</v>
      </c>
      <c r="I78" s="101">
        <f t="shared" si="34"/>
        <v>34636501</v>
      </c>
      <c r="J78" s="101"/>
      <c r="K78" s="74">
        <f>37759990+26464477+41056657+43590578-37732887-26464477</f>
        <v>84674338</v>
      </c>
      <c r="L78" s="53">
        <f t="shared" si="35"/>
        <v>119310839</v>
      </c>
      <c r="M78" s="73" t="s">
        <v>206</v>
      </c>
      <c r="N78" s="74">
        <f>3143984+2719510+758864+325444+994562+7351963+188376+57819+4182562+2894369+777031+492333+1120091+7386486+6845573+0-3143984-2719510-758864-325444-994562-7351963-188376-57819</f>
        <v>23698445</v>
      </c>
      <c r="O78" s="53">
        <f t="shared" si="30"/>
        <v>60975893</v>
      </c>
      <c r="P78" s="55">
        <f t="shared" si="31"/>
        <v>95612394</v>
      </c>
      <c r="Q78" s="55"/>
      <c r="R78" s="74">
        <v>0</v>
      </c>
      <c r="S78" s="12">
        <f>13833214-11690320</f>
        <v>2142894</v>
      </c>
      <c r="T78" s="12">
        <f>11506709-10324809</f>
        <v>1181900</v>
      </c>
      <c r="U78" s="134"/>
      <c r="V78" s="69"/>
    </row>
    <row r="79" spans="1:22" hidden="1">
      <c r="A79" s="72">
        <f>'FERC Interest Rates'!A94</f>
        <v>43861</v>
      </c>
      <c r="B79" s="33">
        <v>21443608</v>
      </c>
      <c r="C79" s="33">
        <f>17698627+1788033-1693551</f>
        <v>17793109</v>
      </c>
      <c r="D79" s="33">
        <v>1954006</v>
      </c>
      <c r="E79" s="53">
        <f t="shared" si="32"/>
        <v>41190723</v>
      </c>
      <c r="F79" s="74">
        <f>261+85-261</f>
        <v>85</v>
      </c>
      <c r="G79" s="33">
        <f>254015+256203-254015</f>
        <v>256203</v>
      </c>
      <c r="H79" s="53">
        <f t="shared" si="33"/>
        <v>256288</v>
      </c>
      <c r="I79" s="101">
        <f t="shared" si="34"/>
        <v>41447011</v>
      </c>
      <c r="J79" s="101"/>
      <c r="K79" s="74">
        <f>41064766+43590578+42048545+33855213-41056657-43590578</f>
        <v>75911867</v>
      </c>
      <c r="L79" s="53">
        <f t="shared" si="35"/>
        <v>117358878</v>
      </c>
      <c r="M79" s="73" t="s">
        <v>206</v>
      </c>
      <c r="N79" s="74">
        <f>4182562+2894369+777031+492333+1120091+7386486+6845573+0+4206155+2962351+872878+386843+1160711+7350647+4214606+13899-4182562-2894369-777031-492333-1120091-7386486-6845573-0</f>
        <v>21168090</v>
      </c>
      <c r="O79" s="53">
        <f t="shared" si="30"/>
        <v>54743777</v>
      </c>
      <c r="P79" s="55">
        <f t="shared" si="31"/>
        <v>96190788</v>
      </c>
      <c r="Q79" s="55"/>
      <c r="R79" s="74">
        <v>0</v>
      </c>
      <c r="S79" s="12">
        <f>11533219-13833214</f>
        <v>-2299995</v>
      </c>
      <c r="T79" s="12">
        <f>9522833-11506709</f>
        <v>-1983876</v>
      </c>
      <c r="U79" s="134"/>
      <c r="V79" s="69"/>
    </row>
    <row r="80" spans="1:22" hidden="1">
      <c r="A80" s="72">
        <f>'FERC Interest Rates'!A95</f>
        <v>43890</v>
      </c>
      <c r="B80" s="33">
        <v>17506775</v>
      </c>
      <c r="C80" s="33">
        <f>14986629+1666428-1788033</f>
        <v>14865024</v>
      </c>
      <c r="D80" s="33">
        <v>1715867</v>
      </c>
      <c r="E80" s="53">
        <f t="shared" si="32"/>
        <v>34087666</v>
      </c>
      <c r="F80" s="74">
        <f>85+341-85</f>
        <v>341</v>
      </c>
      <c r="G80" s="33">
        <f>256203+228991-256203</f>
        <v>228991</v>
      </c>
      <c r="H80" s="53">
        <f t="shared" si="33"/>
        <v>229332</v>
      </c>
      <c r="I80" s="101">
        <f t="shared" si="34"/>
        <v>34316998</v>
      </c>
      <c r="J80" s="101"/>
      <c r="K80" s="74">
        <f>42048545+33855213+39405583+28449361-42048545-33855213</f>
        <v>67854944</v>
      </c>
      <c r="L80" s="53">
        <f t="shared" si="35"/>
        <v>102171942</v>
      </c>
      <c r="M80" s="73" t="s">
        <v>206</v>
      </c>
      <c r="N80" s="74">
        <f>4206155+2962351+872878+386843+1160711+7350647+4214606+13899+3647038+3352730+759226+340736+950149+6493299+1673858+184428-4206155-2962351-872878-386843-1160711-7350647-4214606-13899</f>
        <v>17401464</v>
      </c>
      <c r="O80" s="53">
        <f t="shared" si="30"/>
        <v>50453480</v>
      </c>
      <c r="P80" s="55">
        <f t="shared" si="31"/>
        <v>84770478</v>
      </c>
      <c r="Q80" s="55"/>
      <c r="R80" s="74">
        <v>0</v>
      </c>
      <c r="S80" s="12">
        <f>10865780-11533219</f>
        <v>-667439</v>
      </c>
      <c r="T80" s="12">
        <f>9324558-9522833</f>
        <v>-198275</v>
      </c>
      <c r="U80" s="134"/>
      <c r="V80" s="69"/>
    </row>
    <row r="81" spans="1:22" hidden="1">
      <c r="A81" s="72">
        <f>'FERC Interest Rates'!A96</f>
        <v>43921</v>
      </c>
      <c r="B81" s="33">
        <v>17635811</v>
      </c>
      <c r="C81" s="33">
        <f>14813025+1704966-1666428</f>
        <v>14851563</v>
      </c>
      <c r="D81" s="33">
        <v>1653844</v>
      </c>
      <c r="E81" s="53">
        <f t="shared" si="32"/>
        <v>34141218</v>
      </c>
      <c r="F81" s="74">
        <f>341+182-341</f>
        <v>182</v>
      </c>
      <c r="G81" s="33">
        <f>228991+229265-228991</f>
        <v>229265</v>
      </c>
      <c r="H81" s="53">
        <f t="shared" si="33"/>
        <v>229447</v>
      </c>
      <c r="I81" s="101">
        <f t="shared" si="34"/>
        <v>34370665</v>
      </c>
      <c r="J81" s="101"/>
      <c r="K81" s="74">
        <f>39405583+28449361+41570855+46338286-39405583-28449361</f>
        <v>87909141</v>
      </c>
      <c r="L81" s="53">
        <f t="shared" si="35"/>
        <v>122279806</v>
      </c>
      <c r="M81" s="73" t="s">
        <v>206</v>
      </c>
      <c r="N81" s="74">
        <f>3647038+3352730+759226+340736+950149+6493299+1673858+184428+3745212+3019501+723268+363829+1112427+5630590+7553041+249821-3647038-3352730-759226-340736-950149-6493299-1673858-184428</f>
        <v>22397689</v>
      </c>
      <c r="O81" s="53">
        <f t="shared" si="30"/>
        <v>65511452</v>
      </c>
      <c r="P81" s="55">
        <f t="shared" si="31"/>
        <v>99882117</v>
      </c>
      <c r="Q81" s="55"/>
      <c r="R81" s="74">
        <v>0</v>
      </c>
      <c r="S81" s="12">
        <f>8736040-10865780</f>
        <v>-2129740</v>
      </c>
      <c r="T81" s="12">
        <f>7368968-9324558</f>
        <v>-1955590</v>
      </c>
      <c r="U81" s="134"/>
      <c r="V81" s="69"/>
    </row>
    <row r="82" spans="1:22" hidden="1">
      <c r="A82" s="72">
        <f>'FERC Interest Rates'!A97</f>
        <v>43951</v>
      </c>
      <c r="B82" s="33">
        <v>13930299</v>
      </c>
      <c r="C82" s="33">
        <f>11273875+1367515-1704966</f>
        <v>10936424</v>
      </c>
      <c r="D82" s="33">
        <v>1666184</v>
      </c>
      <c r="E82" s="53">
        <f t="shared" ref="E82" si="36">SUM(B82:D82)</f>
        <v>26532907</v>
      </c>
      <c r="F82" s="74">
        <f>182+193-182</f>
        <v>193</v>
      </c>
      <c r="G82" s="33">
        <f>229265+189521-229265</f>
        <v>189521</v>
      </c>
      <c r="H82" s="53">
        <f t="shared" ref="H82" si="37">SUM(F82:G82)</f>
        <v>189714</v>
      </c>
      <c r="I82" s="101">
        <f t="shared" ref="I82:I83" si="38">E82+H82</f>
        <v>26722621</v>
      </c>
      <c r="J82" s="101"/>
      <c r="K82" s="74">
        <f>41570855+46338286+31527252+3270112+38601203-41570855-46338286</f>
        <v>73398567</v>
      </c>
      <c r="L82" s="53">
        <f t="shared" ref="L82" si="39">I82+K82</f>
        <v>100121188</v>
      </c>
      <c r="M82" s="73" t="s">
        <v>206</v>
      </c>
      <c r="N82" s="74">
        <f>3745212+3019501+723268+363829+1112427+5630590+7553041+249821+3270112+2756681+192062+280512+1144381+5477666+5121004+0-3745212-3019501-723268-363829-1112427-5630590-7553041-249821</f>
        <v>18242418</v>
      </c>
      <c r="O82" s="53">
        <f t="shared" si="30"/>
        <v>55156149</v>
      </c>
      <c r="P82" s="55">
        <f t="shared" si="31"/>
        <v>81878770</v>
      </c>
      <c r="Q82" s="55"/>
      <c r="R82" s="74">
        <v>0</v>
      </c>
      <c r="S82" s="12">
        <f>3624357-8736040</f>
        <v>-5111683</v>
      </c>
      <c r="T82" s="12">
        <f>2944986-7368968</f>
        <v>-4423982</v>
      </c>
      <c r="U82" s="134"/>
      <c r="V82" s="69"/>
    </row>
    <row r="83" spans="1:22" hidden="1">
      <c r="A83" s="72">
        <f>'FERC Interest Rates'!A98</f>
        <v>43982</v>
      </c>
      <c r="B83" s="33">
        <v>6809502</v>
      </c>
      <c r="C83" s="33">
        <f>6036390+950937-1367515</f>
        <v>5619812</v>
      </c>
      <c r="D83" s="33">
        <v>936161</v>
      </c>
      <c r="E83" s="53">
        <f t="shared" si="32"/>
        <v>13365475</v>
      </c>
      <c r="F83" s="74">
        <f>193+0-193</f>
        <v>0</v>
      </c>
      <c r="G83" s="33">
        <f>189521+139474-189521</f>
        <v>139474</v>
      </c>
      <c r="H83" s="53">
        <f t="shared" si="33"/>
        <v>139474</v>
      </c>
      <c r="I83" s="101">
        <f t="shared" si="38"/>
        <v>13504949</v>
      </c>
      <c r="J83" s="101"/>
      <c r="K83" s="74">
        <f>34797599+38601203+33875275+11777244-34797364-38601203</f>
        <v>45652754</v>
      </c>
      <c r="L83" s="53">
        <f t="shared" si="35"/>
        <v>59157703</v>
      </c>
      <c r="M83" s="73" t="s">
        <v>206</v>
      </c>
      <c r="N83" s="74">
        <f>3270112+2756681+192062+280512+1144381+5477666+5121004+0+2781081+435041+274097+1164457+7824547+506157+8254-3270112-2756681-192062-280512-1144381-5477666-5121004-0</f>
        <v>12993634</v>
      </c>
      <c r="O83" s="53">
        <f t="shared" si="30"/>
        <v>32659120</v>
      </c>
      <c r="P83" s="55">
        <f t="shared" si="31"/>
        <v>46164069</v>
      </c>
      <c r="Q83" s="55"/>
      <c r="R83" s="74">
        <v>0</v>
      </c>
      <c r="S83" s="12">
        <f>2235478-3624357</f>
        <v>-1388879</v>
      </c>
      <c r="T83" s="12">
        <f>1984707-2944986</f>
        <v>-960279</v>
      </c>
      <c r="U83" s="134"/>
      <c r="V83" s="69"/>
    </row>
    <row r="84" spans="1:22" hidden="1">
      <c r="A84" s="72">
        <f>'FERC Interest Rates'!A99</f>
        <v>44012</v>
      </c>
      <c r="B84" s="33">
        <v>5005480</v>
      </c>
      <c r="C84" s="33">
        <f>4615973+712185-950937</f>
        <v>4377221</v>
      </c>
      <c r="D84" s="33">
        <v>1070787</v>
      </c>
      <c r="E84" s="53">
        <f t="shared" si="32"/>
        <v>10453488</v>
      </c>
      <c r="F84" s="74">
        <f>0+0-0</f>
        <v>0</v>
      </c>
      <c r="G84" s="33">
        <f>139589+109390-139474</f>
        <v>109505</v>
      </c>
      <c r="H84" s="53">
        <f t="shared" si="33"/>
        <v>109505</v>
      </c>
      <c r="I84" s="101">
        <f t="shared" si="34"/>
        <v>10562993</v>
      </c>
      <c r="J84" s="101"/>
      <c r="K84" s="74">
        <f>33875275+11777244+32945023+11408471-33875275-11777244</f>
        <v>44353494</v>
      </c>
      <c r="L84" s="53">
        <f t="shared" si="35"/>
        <v>54916487</v>
      </c>
      <c r="M84" s="73" t="s">
        <v>206</v>
      </c>
      <c r="N84" s="74">
        <f>2781081+435041+274097+1164457+7824547+506157+8254+3279559+679596+279356+1044539+6309798+0+39426-2781081-435041-274097-1164457-7824547-506157-8254</f>
        <v>11632274</v>
      </c>
      <c r="O84" s="53">
        <f t="shared" si="30"/>
        <v>32721220</v>
      </c>
      <c r="P84" s="55">
        <f t="shared" si="31"/>
        <v>43284213</v>
      </c>
      <c r="Q84" s="55"/>
      <c r="R84" s="74">
        <v>0</v>
      </c>
      <c r="S84" s="12">
        <f>1199677-2235478</f>
        <v>-1035801</v>
      </c>
      <c r="T84" s="12">
        <f>1103980-1984707</f>
        <v>-880727</v>
      </c>
      <c r="U84" s="134"/>
      <c r="V84" s="69"/>
    </row>
    <row r="85" spans="1:22" hidden="1">
      <c r="A85" s="72">
        <f>'FERC Interest Rates'!A100</f>
        <v>44043</v>
      </c>
      <c r="B85" s="33">
        <v>4024864</v>
      </c>
      <c r="C85" s="33">
        <f>4096953+670051-712185</f>
        <v>4054819</v>
      </c>
      <c r="D85" s="33">
        <v>897742</v>
      </c>
      <c r="E85" s="53">
        <f t="shared" si="32"/>
        <v>8977425</v>
      </c>
      <c r="F85" s="74">
        <f>0+0-0</f>
        <v>0</v>
      </c>
      <c r="G85" s="33">
        <f>109390+106383-109390</f>
        <v>106383</v>
      </c>
      <c r="H85" s="53">
        <f t="shared" si="33"/>
        <v>106383</v>
      </c>
      <c r="I85" s="101">
        <f t="shared" si="34"/>
        <v>9083808</v>
      </c>
      <c r="J85" s="101"/>
      <c r="K85" s="74">
        <f>31448107+11408471+35454115+25707386-32945023-11408471</f>
        <v>59664585</v>
      </c>
      <c r="L85" s="53">
        <f t="shared" si="35"/>
        <v>68748393</v>
      </c>
      <c r="M85" s="73" t="s">
        <v>206</v>
      </c>
      <c r="N85" s="74">
        <f>3279559+679596+279356+1044539+6309798+0+39426+3353938+405992+286757+943601+6950239+1583529+134999-3279559-679596-279356-1044539-6309798-0-39426</f>
        <v>13659055</v>
      </c>
      <c r="O85" s="53">
        <f t="shared" si="30"/>
        <v>46005530</v>
      </c>
      <c r="P85" s="55">
        <f t="shared" si="31"/>
        <v>55089338</v>
      </c>
      <c r="Q85" s="55"/>
      <c r="R85" s="74">
        <v>0</v>
      </c>
      <c r="S85" s="12">
        <f>786164-1199677</f>
        <v>-413513</v>
      </c>
      <c r="T85" s="12">
        <f>801207-1103980</f>
        <v>-302773</v>
      </c>
      <c r="U85" s="134"/>
      <c r="V85" s="69"/>
    </row>
    <row r="86" spans="1:22" hidden="1">
      <c r="A86" s="72">
        <f>'FERC Interest Rates'!A101</f>
        <v>44074</v>
      </c>
      <c r="B86" s="33">
        <v>2732363</v>
      </c>
      <c r="C86" s="33">
        <f>3163765+629835-670051</f>
        <v>3123549</v>
      </c>
      <c r="D86" s="33">
        <v>796082</v>
      </c>
      <c r="E86" s="53">
        <f t="shared" si="32"/>
        <v>6651994</v>
      </c>
      <c r="F86" s="74">
        <v>0</v>
      </c>
      <c r="G86" s="33">
        <f>106383+100500-106383</f>
        <v>100500</v>
      </c>
      <c r="H86" s="53">
        <f t="shared" si="33"/>
        <v>100500</v>
      </c>
      <c r="I86" s="101">
        <f t="shared" si="34"/>
        <v>6752494</v>
      </c>
      <c r="J86" s="101"/>
      <c r="K86" s="74">
        <f>35454115+25707386+37500454+40126389-35454115-25707386</f>
        <v>77626843</v>
      </c>
      <c r="L86" s="53">
        <f t="shared" si="35"/>
        <v>84379337</v>
      </c>
      <c r="M86" s="73" t="s">
        <v>206</v>
      </c>
      <c r="N86" s="74">
        <f>3353938+405992+286757+943601+6950239+1583529+134999+3281965+636243+367353+874186+8114039+4164341+77745-3353938-405992-286757-943601-6950239-1583529-134999</f>
        <v>17515872</v>
      </c>
      <c r="O86" s="53">
        <f t="shared" si="30"/>
        <v>60110971</v>
      </c>
      <c r="P86" s="55">
        <f t="shared" si="31"/>
        <v>66863465</v>
      </c>
      <c r="Q86" s="55"/>
      <c r="R86" s="74">
        <v>0</v>
      </c>
      <c r="S86" s="12">
        <f>1291073-786164</f>
        <v>504909</v>
      </c>
      <c r="T86" s="12">
        <f>1497403-801207</f>
        <v>696196</v>
      </c>
      <c r="U86" s="134"/>
      <c r="V86" s="69"/>
    </row>
    <row r="87" spans="1:22" hidden="1">
      <c r="A87" s="72">
        <f>'FERC Interest Rates'!A102</f>
        <v>44104</v>
      </c>
      <c r="B87" s="33">
        <v>2948480</v>
      </c>
      <c r="C87" s="33">
        <f>3400273+614151-629835</f>
        <v>3384589</v>
      </c>
      <c r="D87" s="33">
        <v>962564</v>
      </c>
      <c r="E87" s="53">
        <f t="shared" si="32"/>
        <v>7295633</v>
      </c>
      <c r="F87" s="74">
        <v>0</v>
      </c>
      <c r="G87" s="33">
        <f>100500+94559-100500</f>
        <v>94559</v>
      </c>
      <c r="H87" s="53">
        <f t="shared" si="33"/>
        <v>94559</v>
      </c>
      <c r="I87" s="101">
        <f t="shared" si="34"/>
        <v>7390192</v>
      </c>
      <c r="J87" s="101"/>
      <c r="K87" s="74">
        <f>37529314+40126389+39506153+43641251-37500454-40126389</f>
        <v>83176264</v>
      </c>
      <c r="L87" s="53">
        <f t="shared" si="35"/>
        <v>90566456</v>
      </c>
      <c r="M87" s="73" t="s">
        <v>206</v>
      </c>
      <c r="N87" s="74">
        <f>3281965+636243+367353+874186+8114039+4164341+77745+3365190+645648+401241+882295+4984455+6516174+67903-3281965-636243-367353-874186-8114039-4164341-77745</f>
        <v>16862906</v>
      </c>
      <c r="O87" s="53">
        <f t="shared" si="30"/>
        <v>66313358</v>
      </c>
      <c r="P87" s="55">
        <f t="shared" si="31"/>
        <v>73703550</v>
      </c>
      <c r="Q87" s="55"/>
      <c r="R87" s="74">
        <v>0</v>
      </c>
      <c r="S87" s="12">
        <f>1851788-1291073</f>
        <v>560715</v>
      </c>
      <c r="T87" s="12">
        <f>2130040-1497403</f>
        <v>632637</v>
      </c>
      <c r="U87" s="134"/>
      <c r="V87" s="69"/>
    </row>
    <row r="88" spans="1:22" hidden="1">
      <c r="A88" s="118">
        <f>'FERC Interest Rates'!A103</f>
        <v>44135</v>
      </c>
      <c r="B88" s="36">
        <v>4232461</v>
      </c>
      <c r="C88" s="36">
        <f>4270259+37233-614151</f>
        <v>3693341</v>
      </c>
      <c r="D88" s="36">
        <v>1374749</v>
      </c>
      <c r="E88" s="54">
        <f t="shared" si="32"/>
        <v>9300551</v>
      </c>
      <c r="F88" s="61">
        <v>0</v>
      </c>
      <c r="G88" s="36">
        <f>94559+178840-94559</f>
        <v>178840</v>
      </c>
      <c r="H88" s="54">
        <f t="shared" si="33"/>
        <v>178840</v>
      </c>
      <c r="I88" s="102">
        <f t="shared" si="34"/>
        <v>9479391</v>
      </c>
      <c r="J88" s="102"/>
      <c r="K88" s="61">
        <f>39551688+43641251+42265094+27835999-39506153-43641251</f>
        <v>70146628</v>
      </c>
      <c r="L88" s="54">
        <f t="shared" si="35"/>
        <v>79626019</v>
      </c>
      <c r="M88" s="96" t="s">
        <v>206</v>
      </c>
      <c r="N88" s="61">
        <f>3365190+645648+401241+882295+4984455+6516174+67903+3222482+801554+429333+967135+7330347+1133014+54670-3365190-645648-401241-882295-4984455-6516174-67903</f>
        <v>13938535</v>
      </c>
      <c r="O88" s="54">
        <f t="shared" si="30"/>
        <v>56208093</v>
      </c>
      <c r="P88" s="56">
        <f t="shared" si="31"/>
        <v>65687484</v>
      </c>
      <c r="Q88" s="56"/>
      <c r="R88" s="61">
        <v>0</v>
      </c>
      <c r="S88" s="97">
        <f>5866478-1851788</f>
        <v>4014690</v>
      </c>
      <c r="T88" s="97">
        <f>5961158-2130040</f>
        <v>3831118</v>
      </c>
      <c r="U88" s="134"/>
      <c r="V88" s="69"/>
    </row>
    <row r="89" spans="1:22" hidden="1">
      <c r="A89" s="72">
        <f>'FERC Interest Rates'!A104</f>
        <v>44165</v>
      </c>
      <c r="B89" s="33">
        <v>10451912</v>
      </c>
      <c r="C89" s="33">
        <f>7364502+78623-37233</f>
        <v>7405892</v>
      </c>
      <c r="D89" s="33">
        <v>1202769</v>
      </c>
      <c r="E89" s="53">
        <f t="shared" si="32"/>
        <v>19060573</v>
      </c>
      <c r="F89" s="74">
        <f>0+0-0</f>
        <v>0</v>
      </c>
      <c r="G89" s="33">
        <f>178840+220318-178840</f>
        <v>220318</v>
      </c>
      <c r="H89" s="53">
        <f t="shared" ref="H89:H100" si="40">SUM(F89:G89)</f>
        <v>220318</v>
      </c>
      <c r="I89" s="101">
        <f t="shared" ref="I89:I100" si="41">E89+H89</f>
        <v>19280891</v>
      </c>
      <c r="J89" s="101"/>
      <c r="K89" s="74">
        <f>42222057+27835999+44035619+18336869-42265094-27835999</f>
        <v>62329451</v>
      </c>
      <c r="L89" s="53">
        <f t="shared" ref="L89:L100" si="42">I89+K89</f>
        <v>81610342</v>
      </c>
      <c r="M89" s="73" t="s">
        <v>206</v>
      </c>
      <c r="N89" s="74">
        <f>3222482+801554+429333+967135+7330347+1133014+54670+3733619+658635+457902+981664+7462302+18635+3797-3222482-801554-429333-967135-7330347-1133014-54670</f>
        <v>13316554</v>
      </c>
      <c r="O89" s="53">
        <f t="shared" si="30"/>
        <v>49012897</v>
      </c>
      <c r="P89" s="55">
        <f t="shared" si="31"/>
        <v>68293788</v>
      </c>
      <c r="Q89" s="55"/>
      <c r="R89" s="74">
        <v>0</v>
      </c>
      <c r="S89" s="12">
        <f>12357910-5866478</f>
        <v>6491432</v>
      </c>
      <c r="T89" s="12">
        <f>8615743-5961158</f>
        <v>2654585</v>
      </c>
      <c r="U89" s="134"/>
      <c r="V89" s="69"/>
    </row>
    <row r="90" spans="1:22" hidden="1">
      <c r="A90" s="72">
        <f>'FERC Interest Rates'!A105</f>
        <v>44196</v>
      </c>
      <c r="B90" s="33">
        <v>18475354</v>
      </c>
      <c r="C90" s="33">
        <f>13479796+160193-78623</f>
        <v>13561366</v>
      </c>
      <c r="D90" s="33">
        <v>1776301</v>
      </c>
      <c r="E90" s="53">
        <f t="shared" si="32"/>
        <v>33813021</v>
      </c>
      <c r="F90" s="74">
        <v>0</v>
      </c>
      <c r="G90" s="33">
        <f>220318+244469-220318</f>
        <v>244469</v>
      </c>
      <c r="H90" s="53">
        <f t="shared" si="40"/>
        <v>244469</v>
      </c>
      <c r="I90" s="101">
        <f t="shared" si="41"/>
        <v>34057490</v>
      </c>
      <c r="J90" s="101"/>
      <c r="K90" s="74">
        <f>43645769+18336869+43599327+32725551-44035619-18336869</f>
        <v>75935028</v>
      </c>
      <c r="L90" s="53">
        <f t="shared" si="42"/>
        <v>109992518</v>
      </c>
      <c r="M90" s="73" t="s">
        <v>206</v>
      </c>
      <c r="N90" s="74">
        <f>3733619+658635+457902+981664+7462302+18635+3797+3961371+531780+434089+1038258+8629459+801796+0-3733619-658635-457902-981664-7462302-18635-3797</f>
        <v>15396753</v>
      </c>
      <c r="O90" s="53">
        <f t="shared" si="30"/>
        <v>60538275</v>
      </c>
      <c r="P90" s="55">
        <f t="shared" si="31"/>
        <v>94595765</v>
      </c>
      <c r="Q90" s="55"/>
      <c r="R90" s="74">
        <v>0</v>
      </c>
      <c r="S90" s="12">
        <f>13204857-12357910</f>
        <v>846947</v>
      </c>
      <c r="T90" s="12">
        <f>9569772-8615743</f>
        <v>954029</v>
      </c>
      <c r="U90" s="134"/>
      <c r="V90" s="69"/>
    </row>
    <row r="91" spans="1:22" hidden="1">
      <c r="A91" s="72">
        <f>'FERC Interest Rates'!A106</f>
        <v>44227</v>
      </c>
      <c r="B91" s="33">
        <v>19685299</v>
      </c>
      <c r="C91" s="33">
        <f>14382919+99979-160193</f>
        <v>14322705</v>
      </c>
      <c r="D91" s="33">
        <v>1695848</v>
      </c>
      <c r="E91" s="53">
        <f t="shared" si="32"/>
        <v>35703852</v>
      </c>
      <c r="F91" s="74">
        <v>0</v>
      </c>
      <c r="G91" s="33">
        <f>244469+248648-244469</f>
        <v>248648</v>
      </c>
      <c r="H91" s="53">
        <f t="shared" si="40"/>
        <v>248648</v>
      </c>
      <c r="I91" s="101">
        <f t="shared" si="41"/>
        <v>35952500</v>
      </c>
      <c r="J91" s="101"/>
      <c r="K91" s="74">
        <f>43599327+32725551+45719530+25537457-43599327-32725551</f>
        <v>71256987</v>
      </c>
      <c r="L91" s="53">
        <f t="shared" si="42"/>
        <v>107209487</v>
      </c>
      <c r="M91" s="73" t="s">
        <v>206</v>
      </c>
      <c r="N91" s="74">
        <f>3961371+531780+434089+1038258+8629459+801796+0+3811005+784731+530523+1058820+7760458+392+0-3961371-531780-434089-1038258-8629459-801796-0</f>
        <v>13945929</v>
      </c>
      <c r="O91" s="53">
        <f t="shared" si="30"/>
        <v>57311058</v>
      </c>
      <c r="P91" s="55">
        <f t="shared" si="31"/>
        <v>93263558</v>
      </c>
      <c r="Q91" s="55"/>
      <c r="R91" s="74">
        <v>0</v>
      </c>
      <c r="S91" s="12">
        <f>12651421-13204857</f>
        <v>-553436</v>
      </c>
      <c r="T91" s="12">
        <f>9206386-9569772</f>
        <v>-363386</v>
      </c>
      <c r="U91" s="134"/>
      <c r="V91" s="69"/>
    </row>
    <row r="92" spans="1:22" hidden="1">
      <c r="A92" s="72">
        <f>'FERC Interest Rates'!A107</f>
        <v>44255</v>
      </c>
      <c r="B92" s="33">
        <v>18599534</v>
      </c>
      <c r="C92" s="33">
        <f>13476521+94958-99979</f>
        <v>13471500</v>
      </c>
      <c r="D92" s="33">
        <v>1598634</v>
      </c>
      <c r="E92" s="53">
        <f t="shared" si="32"/>
        <v>33669668</v>
      </c>
      <c r="F92" s="74">
        <v>0</v>
      </c>
      <c r="G92" s="33">
        <f>248648+239855-248648</f>
        <v>239855</v>
      </c>
      <c r="H92" s="53">
        <f t="shared" si="40"/>
        <v>239855</v>
      </c>
      <c r="I92" s="101">
        <f t="shared" si="41"/>
        <v>33909523</v>
      </c>
      <c r="J92" s="101"/>
      <c r="K92" s="74">
        <f>45858410+25537457+41514070+25473750-45719530-25537457</f>
        <v>67126700</v>
      </c>
      <c r="L92" s="53">
        <f t="shared" si="42"/>
        <v>101036223</v>
      </c>
      <c r="M92" s="73" t="s">
        <v>206</v>
      </c>
      <c r="N92" s="74">
        <f>3811005+784731+530523+1058820+7760458+392+0+3364783+632596+377681+1028372+7001034+1613489+22799-3811005-784731-530523-1058820-7760458-392-0</f>
        <v>14040754</v>
      </c>
      <c r="O92" s="53">
        <f t="shared" si="30"/>
        <v>53085946</v>
      </c>
      <c r="P92" s="55">
        <f t="shared" si="31"/>
        <v>86995469</v>
      </c>
      <c r="Q92" s="55"/>
      <c r="R92" s="74">
        <v>0</v>
      </c>
      <c r="S92" s="12">
        <f>13677184-12651421</f>
        <v>1025763</v>
      </c>
      <c r="T92" s="12">
        <f>9876392-9206386</f>
        <v>670006</v>
      </c>
      <c r="U92" s="134"/>
      <c r="V92" s="69"/>
    </row>
    <row r="93" spans="1:22" hidden="1">
      <c r="A93" s="72">
        <f>'FERC Interest Rates'!A108</f>
        <v>44286</v>
      </c>
      <c r="B93" s="33">
        <v>19676756</v>
      </c>
      <c r="C93" s="33">
        <f>14680196+62188-94958</f>
        <v>14647426</v>
      </c>
      <c r="D93" s="33">
        <v>1818843</v>
      </c>
      <c r="E93" s="53">
        <f t="shared" si="32"/>
        <v>36143025</v>
      </c>
      <c r="F93" s="74">
        <v>0</v>
      </c>
      <c r="G93" s="33">
        <f>238893+235545-239855</f>
        <v>234583</v>
      </c>
      <c r="H93" s="53">
        <f t="shared" si="40"/>
        <v>234583</v>
      </c>
      <c r="I93" s="101">
        <f t="shared" si="41"/>
        <v>36377608</v>
      </c>
      <c r="J93" s="101"/>
      <c r="K93" s="74">
        <f>41507244+25473750+44368952+41013439-41514070-25473750</f>
        <v>85375565</v>
      </c>
      <c r="L93" s="53">
        <f t="shared" si="42"/>
        <v>121753173</v>
      </c>
      <c r="M93" s="73" t="s">
        <v>206</v>
      </c>
      <c r="N93" s="74">
        <f>3364783+632596+377681+1028372+7001034+1613489+22799+3445221+731231+344914+1102778+8979413+3832585+108012-3364783-632596-377681-1028372-7001034-1613489-22799</f>
        <v>18544154</v>
      </c>
      <c r="O93" s="53">
        <f t="shared" si="30"/>
        <v>66831411</v>
      </c>
      <c r="P93" s="55">
        <f t="shared" si="31"/>
        <v>103209019</v>
      </c>
      <c r="Q93" s="55"/>
      <c r="R93" s="74">
        <v>0</v>
      </c>
      <c r="S93" s="12">
        <f>8870023-13677184</f>
        <v>-4807161</v>
      </c>
      <c r="T93" s="12">
        <f>6599492-9876392</f>
        <v>-3276900</v>
      </c>
      <c r="U93" s="134"/>
      <c r="V93" s="69"/>
    </row>
    <row r="94" spans="1:22" hidden="1">
      <c r="A94" s="72">
        <f>'FERC Interest Rates'!A109</f>
        <v>44316</v>
      </c>
      <c r="B94" s="33">
        <v>13567783</v>
      </c>
      <c r="C94" s="33">
        <f>10315166+37926-62188</f>
        <v>10290904</v>
      </c>
      <c r="D94" s="33">
        <v>1493168</v>
      </c>
      <c r="E94" s="53">
        <f t="shared" si="32"/>
        <v>25351855</v>
      </c>
      <c r="F94" s="74">
        <v>0</v>
      </c>
      <c r="G94" s="33">
        <f>235545+180576-235545</f>
        <v>180576</v>
      </c>
      <c r="H94" s="53">
        <f t="shared" si="40"/>
        <v>180576</v>
      </c>
      <c r="I94" s="101">
        <f t="shared" si="41"/>
        <v>25532431</v>
      </c>
      <c r="J94" s="101"/>
      <c r="K94" s="74">
        <f>44368952+41013439+41719641+36076368-44368952-41013439</f>
        <v>77796009</v>
      </c>
      <c r="L94" s="53">
        <f t="shared" si="42"/>
        <v>103328440</v>
      </c>
      <c r="M94" s="73" t="s">
        <v>206</v>
      </c>
      <c r="N94" s="74">
        <f>3445221+731231+344914+1102778+8979413+3832585+108012+3529385+651362+244382+1083614+5907169+2326616+4777-3445221-731231-344914-1102778-8979413-3832585-108012</f>
        <v>13747305</v>
      </c>
      <c r="O94" s="53">
        <f t="shared" si="30"/>
        <v>64048704</v>
      </c>
      <c r="P94" s="55">
        <f t="shared" si="31"/>
        <v>89581135</v>
      </c>
      <c r="Q94" s="55"/>
      <c r="R94" s="74">
        <v>0</v>
      </c>
      <c r="S94" s="12">
        <f>3671024-8870023</f>
        <v>-5198999</v>
      </c>
      <c r="T94" s="12">
        <f>2779511-6599492</f>
        <v>-3819981</v>
      </c>
      <c r="U94" s="134"/>
      <c r="V94" s="69"/>
    </row>
    <row r="95" spans="1:22" hidden="1">
      <c r="A95" s="72">
        <f>'FERC Interest Rates'!A110</f>
        <v>44347</v>
      </c>
      <c r="B95" s="33">
        <v>6623364</v>
      </c>
      <c r="C95" s="33">
        <f>5587343+26515-37926</f>
        <v>5575932</v>
      </c>
      <c r="D95" s="33">
        <v>966305</v>
      </c>
      <c r="E95" s="53">
        <f t="shared" si="32"/>
        <v>13165601</v>
      </c>
      <c r="F95" s="74">
        <v>0</v>
      </c>
      <c r="G95" s="33">
        <f>180576+143789-180576</f>
        <v>143789</v>
      </c>
      <c r="H95" s="53">
        <f t="shared" si="40"/>
        <v>143789</v>
      </c>
      <c r="I95" s="101">
        <f t="shared" si="41"/>
        <v>13309390</v>
      </c>
      <c r="J95" s="101"/>
      <c r="K95" s="74">
        <f>41719641+36076368+39005344+21435217-41719641-36076368</f>
        <v>60440561</v>
      </c>
      <c r="L95" s="53">
        <f t="shared" si="42"/>
        <v>73749951</v>
      </c>
      <c r="M95" s="73" t="s">
        <v>206</v>
      </c>
      <c r="N95" s="74">
        <f>3529385+651362+244382+1083614+5907169+2326616+4777+2947295+496918+305268+1112584+5745936+6639387+274441-3529385-651362-244382-1083614-5907169-2326616-4777</f>
        <v>17521829</v>
      </c>
      <c r="O95" s="53">
        <f t="shared" si="30"/>
        <v>42918732</v>
      </c>
      <c r="P95" s="55">
        <f t="shared" si="31"/>
        <v>56228122</v>
      </c>
      <c r="Q95" s="55"/>
      <c r="R95" s="74">
        <v>0</v>
      </c>
      <c r="S95" s="12">
        <f>2344541-3671024</f>
        <v>-1326483</v>
      </c>
      <c r="T95" s="12">
        <f>1966052-2779511</f>
        <v>-813459</v>
      </c>
      <c r="U95" s="134"/>
      <c r="V95" s="69"/>
    </row>
    <row r="96" spans="1:22" hidden="1">
      <c r="A96" s="72">
        <f>'FERC Interest Rates'!A111</f>
        <v>44377</v>
      </c>
      <c r="B96" s="33">
        <v>5165480</v>
      </c>
      <c r="C96" s="33">
        <f>4550614+5091-26515</f>
        <v>4529190</v>
      </c>
      <c r="D96" s="33">
        <v>1033233</v>
      </c>
      <c r="E96" s="53">
        <f t="shared" si="32"/>
        <v>10727903</v>
      </c>
      <c r="F96" s="74">
        <v>0</v>
      </c>
      <c r="G96" s="33">
        <f>143789+104510-143789</f>
        <v>104510</v>
      </c>
      <c r="H96" s="53">
        <f t="shared" si="40"/>
        <v>104510</v>
      </c>
      <c r="I96" s="101">
        <f t="shared" si="41"/>
        <v>10832413</v>
      </c>
      <c r="J96" s="101"/>
      <c r="K96" s="74">
        <f>39005344+21435217+37655335+37862933-39005344-21435217</f>
        <v>75518268</v>
      </c>
      <c r="L96" s="53">
        <f t="shared" si="42"/>
        <v>86350681</v>
      </c>
      <c r="M96" s="73" t="s">
        <v>206</v>
      </c>
      <c r="N96" s="74">
        <f>2947295+496918+305268+1112584+5745936+6639387+274441+3187034+456697+220613+1091768+7240174+5347779+27594-2947295-496918-305268-1112584-5745936-6639387-274441</f>
        <v>17571659</v>
      </c>
      <c r="O96" s="53">
        <f t="shared" si="30"/>
        <v>57946609</v>
      </c>
      <c r="P96" s="55">
        <f t="shared" si="31"/>
        <v>68779022</v>
      </c>
      <c r="Q96" s="55"/>
      <c r="R96" s="74">
        <v>0</v>
      </c>
      <c r="S96" s="12">
        <f>339559-2344541</f>
        <v>-2004982</v>
      </c>
      <c r="T96" s="12">
        <f>296580-1966052</f>
        <v>-1669472</v>
      </c>
      <c r="U96" s="134"/>
      <c r="V96" s="69"/>
    </row>
    <row r="97" spans="1:22" hidden="1">
      <c r="A97" s="72">
        <f>'FERC Interest Rates'!A112</f>
        <v>44408</v>
      </c>
      <c r="B97" s="33">
        <v>3043741</v>
      </c>
      <c r="C97" s="33">
        <f>3066602+4542-5091</f>
        <v>3066053</v>
      </c>
      <c r="D97" s="33">
        <v>756419</v>
      </c>
      <c r="E97" s="53">
        <f t="shared" si="32"/>
        <v>6866213</v>
      </c>
      <c r="F97" s="74">
        <v>0</v>
      </c>
      <c r="G97" s="33">
        <f>104510+88811-104510</f>
        <v>88811</v>
      </c>
      <c r="H97" s="53">
        <f t="shared" si="40"/>
        <v>88811</v>
      </c>
      <c r="I97" s="101">
        <f t="shared" si="41"/>
        <v>6955024</v>
      </c>
      <c r="J97" s="101"/>
      <c r="K97" s="74">
        <f>37655335+37862933+34670917+50814614-37655335-37862933</f>
        <v>85485531</v>
      </c>
      <c r="L97" s="53">
        <f t="shared" si="42"/>
        <v>92440555</v>
      </c>
      <c r="M97" s="73" t="s">
        <v>206</v>
      </c>
      <c r="N97" s="74">
        <f>3187034+456697+220613+1091768+7240174+5347779+27594+3150229+589887+231899+1057703+7874655+6774098+626809-3187034-456697-220613-1091768-7240174-5347779-27594</f>
        <v>20305280</v>
      </c>
      <c r="O97" s="53">
        <f t="shared" si="30"/>
        <v>65180251</v>
      </c>
      <c r="P97" s="55">
        <f t="shared" si="31"/>
        <v>72135275</v>
      </c>
      <c r="Q97" s="55"/>
      <c r="R97" s="74">
        <v>0</v>
      </c>
      <c r="S97" s="12">
        <f>1242836-339559</f>
        <v>903277</v>
      </c>
      <c r="T97" s="12">
        <f>1248224-296580</f>
        <v>951644</v>
      </c>
      <c r="U97" s="134"/>
      <c r="V97" s="69"/>
    </row>
    <row r="98" spans="1:22" hidden="1">
      <c r="A98" s="72">
        <f>'FERC Interest Rates'!A113</f>
        <v>44439</v>
      </c>
      <c r="B98" s="33">
        <v>2658664</v>
      </c>
      <c r="C98" s="33">
        <f>2878084+5411-4542</f>
        <v>2878953</v>
      </c>
      <c r="D98" s="33">
        <v>781119</v>
      </c>
      <c r="E98" s="53">
        <f t="shared" si="32"/>
        <v>6318736</v>
      </c>
      <c r="F98" s="74">
        <v>0</v>
      </c>
      <c r="G98" s="33">
        <f>88811+103033-88811</f>
        <v>103033</v>
      </c>
      <c r="H98" s="53">
        <f t="shared" si="40"/>
        <v>103033</v>
      </c>
      <c r="I98" s="101">
        <f t="shared" si="41"/>
        <v>6421769</v>
      </c>
      <c r="J98" s="101"/>
      <c r="K98" s="74">
        <f>34670917+50814614+35431401+51134914-34670917-50814614</f>
        <v>86566315</v>
      </c>
      <c r="L98" s="53">
        <f t="shared" si="42"/>
        <v>92988084</v>
      </c>
      <c r="M98" s="73" t="s">
        <v>206</v>
      </c>
      <c r="N98" s="74">
        <f>3150229+589887+231899+1057703+7874655+6774098+626809+3198929+639207+263338+977831+8756668+7028098+1359828-3150229-589887-231899-1057703-7874655-6774098-626809</f>
        <v>22223899</v>
      </c>
      <c r="O98" s="53">
        <f t="shared" si="30"/>
        <v>64342416</v>
      </c>
      <c r="P98" s="55">
        <f t="shared" si="31"/>
        <v>70764185</v>
      </c>
      <c r="Q98" s="55"/>
      <c r="R98" s="74">
        <v>0</v>
      </c>
      <c r="S98" s="12">
        <f>1319541-1242836</f>
        <v>76705</v>
      </c>
      <c r="T98" s="12">
        <f>1411426-1248224</f>
        <v>163202</v>
      </c>
      <c r="U98" s="134"/>
      <c r="V98" s="69"/>
    </row>
    <row r="99" spans="1:22" hidden="1">
      <c r="A99" s="72">
        <f>'FERC Interest Rates'!A114</f>
        <v>44469</v>
      </c>
      <c r="B99" s="33">
        <v>3024586</v>
      </c>
      <c r="C99" s="33">
        <f>3108907+6417-5411</f>
        <v>3109913</v>
      </c>
      <c r="D99" s="33">
        <v>877970</v>
      </c>
      <c r="E99" s="53">
        <f t="shared" si="32"/>
        <v>7012469</v>
      </c>
      <c r="F99" s="74">
        <v>0</v>
      </c>
      <c r="G99" s="33">
        <f>103033+127498-103033</f>
        <v>127498</v>
      </c>
      <c r="H99" s="53">
        <f t="shared" si="40"/>
        <v>127498</v>
      </c>
      <c r="I99" s="101">
        <f t="shared" si="41"/>
        <v>7139967</v>
      </c>
      <c r="J99" s="101"/>
      <c r="K99" s="74">
        <f>35446988+51134914+37269105+47984893-35431401-51134914</f>
        <v>85269585</v>
      </c>
      <c r="L99" s="53">
        <f t="shared" si="42"/>
        <v>92409552</v>
      </c>
      <c r="M99" s="73" t="s">
        <v>206</v>
      </c>
      <c r="N99" s="74">
        <f>3198929+639207+263338+977831+8756668+7028098+1359828+3209502+603823+243842+985969+7797525+7613521+91332-3198929-639207-263338-977831-8756668-7028098-1359828</f>
        <v>20545514</v>
      </c>
      <c r="O99" s="53">
        <f t="shared" si="30"/>
        <v>64724071</v>
      </c>
      <c r="P99" s="55">
        <f t="shared" si="31"/>
        <v>71864038</v>
      </c>
      <c r="Q99" s="55"/>
      <c r="R99" s="74">
        <v>0</v>
      </c>
      <c r="S99" s="12">
        <f>2292851-1319541</f>
        <v>973310</v>
      </c>
      <c r="T99" s="12">
        <f>2330127-1411426</f>
        <v>918701</v>
      </c>
      <c r="U99" s="134"/>
      <c r="V99" s="69"/>
    </row>
    <row r="100" spans="1:22" hidden="1">
      <c r="A100" s="118">
        <f>'FERC Interest Rates'!A115</f>
        <v>44500</v>
      </c>
      <c r="B100" s="36">
        <v>5302722</v>
      </c>
      <c r="C100" s="36">
        <f>4472542+35202-6417</f>
        <v>4501327</v>
      </c>
      <c r="D100" s="36">
        <v>1554148</v>
      </c>
      <c r="E100" s="54">
        <f t="shared" si="32"/>
        <v>11358197</v>
      </c>
      <c r="F100" s="61">
        <v>0</v>
      </c>
      <c r="G100" s="36">
        <f>127498+188282-127498</f>
        <v>188282</v>
      </c>
      <c r="H100" s="54">
        <f t="shared" si="40"/>
        <v>188282</v>
      </c>
      <c r="I100" s="102">
        <f t="shared" si="41"/>
        <v>11546479</v>
      </c>
      <c r="J100" s="102"/>
      <c r="K100" s="61">
        <f>37294793+48203521+41769837+34510098-37269105-47984893</f>
        <v>76524251</v>
      </c>
      <c r="L100" s="54">
        <f t="shared" si="42"/>
        <v>88070730</v>
      </c>
      <c r="M100" s="96" t="s">
        <v>206</v>
      </c>
      <c r="N100" s="61">
        <f>3209502+603823+243842+985969+7797525+7613521+91332+3489129+715779+352263+1090501+8044363+2039975+0-3209502-603823-243842-985969-7797525-7613521-91332</f>
        <v>15732010</v>
      </c>
      <c r="O100" s="54">
        <f t="shared" si="30"/>
        <v>60792241</v>
      </c>
      <c r="P100" s="56">
        <f t="shared" si="31"/>
        <v>72338720</v>
      </c>
      <c r="Q100" s="56"/>
      <c r="R100" s="61">
        <v>0</v>
      </c>
      <c r="S100" s="97">
        <f>6025339-2292851</f>
        <v>3732488</v>
      </c>
      <c r="T100" s="97">
        <f>5048872-2330127</f>
        <v>2718745</v>
      </c>
      <c r="U100" s="134"/>
      <c r="V100" s="69"/>
    </row>
    <row r="101" spans="1:22" hidden="1">
      <c r="A101" s="72">
        <f>'FERC Interest Rates'!A116</f>
        <v>44530</v>
      </c>
      <c r="B101" s="33">
        <v>9930569</v>
      </c>
      <c r="C101" s="33">
        <f>7306366+85868-35202</f>
        <v>7357032</v>
      </c>
      <c r="D101" s="33">
        <v>1301076</v>
      </c>
      <c r="E101" s="53">
        <f t="shared" ref="E101" si="43">SUM(B101:D101)</f>
        <v>18588677</v>
      </c>
      <c r="F101" s="74">
        <v>0</v>
      </c>
      <c r="G101" s="33">
        <f>188282+215369-188282</f>
        <v>215369</v>
      </c>
      <c r="H101" s="53">
        <f t="shared" ref="H101" si="44">SUM(F101:G101)</f>
        <v>215369</v>
      </c>
      <c r="I101" s="101">
        <f t="shared" ref="I101" si="45">E101+H101</f>
        <v>18804046</v>
      </c>
      <c r="J101" s="101"/>
      <c r="K101" s="74">
        <f>41769837+34816007+40218257+32156027-41769837-34510098</f>
        <v>72680193</v>
      </c>
      <c r="L101" s="53">
        <f t="shared" ref="L101" si="46">I101+K101</f>
        <v>91484239</v>
      </c>
      <c r="M101" s="73" t="s">
        <v>206</v>
      </c>
      <c r="N101" s="74">
        <f>3489129+715779+352263+1090501+8044363+2039975+0+3533155+694755+347700+963439+8163208+1976757+83980-3489129-715779-352263-1090501-8044363-2039975-0</f>
        <v>15762994</v>
      </c>
      <c r="O101" s="53">
        <f t="shared" ref="O101:O112" si="47">K101-N101</f>
        <v>56917199</v>
      </c>
      <c r="P101" s="55">
        <f t="shared" ref="P101:P112" si="48">L101-N101</f>
        <v>75721245</v>
      </c>
      <c r="Q101" s="55"/>
      <c r="R101" s="74">
        <v>0</v>
      </c>
      <c r="S101" s="12">
        <f>11107830-6025339</f>
        <v>5082491</v>
      </c>
      <c r="T101" s="12">
        <f>8093139-5048872</f>
        <v>3044267</v>
      </c>
      <c r="U101" s="134"/>
      <c r="V101" s="69"/>
    </row>
    <row r="102" spans="1:22" hidden="1">
      <c r="A102" s="72">
        <f>'FERC Interest Rates'!A117</f>
        <v>44561</v>
      </c>
      <c r="B102" s="33">
        <v>16399782</v>
      </c>
      <c r="C102" s="33">
        <f>12002568+115624-85868</f>
        <v>12032324</v>
      </c>
      <c r="D102" s="33">
        <v>1828809</v>
      </c>
      <c r="E102" s="53">
        <f t="shared" ref="E102:E111" si="49">SUM(B102:D102)</f>
        <v>30260915</v>
      </c>
      <c r="F102" s="74">
        <v>0</v>
      </c>
      <c r="G102" s="33">
        <f>215369+271190-215369</f>
        <v>271190</v>
      </c>
      <c r="H102" s="53">
        <f t="shared" ref="H102:H111" si="50">SUM(F102:G102)</f>
        <v>271190</v>
      </c>
      <c r="I102" s="101">
        <f t="shared" ref="I102:I111" si="51">E102+H102</f>
        <v>30532105</v>
      </c>
      <c r="J102" s="101"/>
      <c r="K102" s="74">
        <f>40218257+32156027+40881816+32657280-40218257-32156027</f>
        <v>73539096</v>
      </c>
      <c r="L102" s="53">
        <f t="shared" ref="L102:L111" si="52">I102+K102</f>
        <v>104071201</v>
      </c>
      <c r="M102" s="73" t="s">
        <v>206</v>
      </c>
      <c r="N102" s="74">
        <f>3533155+694755+347700+963439+8163208+1976757+83980+4107572+589753+414872+1150132+647984+9954381+3235802+43983-3533155-694755-347700-963439-8163208-1976757-83980</f>
        <v>20144479</v>
      </c>
      <c r="O102" s="53">
        <f t="shared" si="47"/>
        <v>53394617</v>
      </c>
      <c r="P102" s="55">
        <f t="shared" si="48"/>
        <v>83926722</v>
      </c>
      <c r="Q102" s="55"/>
      <c r="R102" s="74">
        <v>0</v>
      </c>
      <c r="S102" s="12">
        <f>18737908-11107830</f>
        <v>7630078</v>
      </c>
      <c r="T102" s="12">
        <f>13620124-8093139</f>
        <v>5526985</v>
      </c>
      <c r="U102" s="134"/>
      <c r="V102" s="69"/>
    </row>
    <row r="103" spans="1:22" hidden="1">
      <c r="A103" s="72">
        <f>'FERC Interest Rates'!A118</f>
        <v>44592</v>
      </c>
      <c r="B103" s="33">
        <v>25738243</v>
      </c>
      <c r="C103" s="33">
        <f>19228952+262656-115624</f>
        <v>19375984</v>
      </c>
      <c r="D103" s="33">
        <v>2208025</v>
      </c>
      <c r="E103" s="53">
        <f t="shared" si="49"/>
        <v>47322252</v>
      </c>
      <c r="F103" s="74">
        <v>0</v>
      </c>
      <c r="G103" s="33">
        <f>271190+257267-271190</f>
        <v>257267</v>
      </c>
      <c r="H103" s="53">
        <f t="shared" si="50"/>
        <v>257267</v>
      </c>
      <c r="I103" s="101">
        <f t="shared" si="51"/>
        <v>47579519</v>
      </c>
      <c r="J103" s="101"/>
      <c r="K103" s="74">
        <f>40889559+32657280+46532259+19465702-40881816-32657280</f>
        <v>66005704</v>
      </c>
      <c r="L103" s="53">
        <f t="shared" si="52"/>
        <v>113585223</v>
      </c>
      <c r="M103" s="73" t="s">
        <v>206</v>
      </c>
      <c r="N103" s="74">
        <f>4107572+589753+414872+1150132+647984+9954381+3235802+43983+4311103+736280+456725+1244873+638281+9719150+1057680+8109-4107572-589753-414872-1150132-647984-9954381-3235802-43983</f>
        <v>18172201</v>
      </c>
      <c r="O103" s="53">
        <f t="shared" si="47"/>
        <v>47833503</v>
      </c>
      <c r="P103" s="55">
        <f t="shared" si="48"/>
        <v>95413022</v>
      </c>
      <c r="Q103" s="55"/>
      <c r="R103" s="74">
        <v>0</v>
      </c>
      <c r="S103" s="12">
        <f>16216782-18737908</f>
        <v>-2521126</v>
      </c>
      <c r="T103" s="12">
        <f>12043276-13620124</f>
        <v>-1576848</v>
      </c>
      <c r="U103" s="134"/>
      <c r="V103" s="69"/>
    </row>
    <row r="104" spans="1:22" hidden="1">
      <c r="A104" s="72">
        <f>'FERC Interest Rates'!A119</f>
        <v>44620</v>
      </c>
      <c r="B104" s="33">
        <v>19530273</v>
      </c>
      <c r="C104" s="33">
        <f>15369710+139791-262656</f>
        <v>15246845</v>
      </c>
      <c r="D104" s="33">
        <v>1803654</v>
      </c>
      <c r="E104" s="53">
        <f t="shared" si="49"/>
        <v>36580772</v>
      </c>
      <c r="F104" s="74">
        <v>0</v>
      </c>
      <c r="G104" s="33">
        <f>257267+227538-257267</f>
        <v>227538</v>
      </c>
      <c r="H104" s="53">
        <f t="shared" si="50"/>
        <v>227538</v>
      </c>
      <c r="I104" s="101">
        <f t="shared" si="51"/>
        <v>36808310</v>
      </c>
      <c r="J104" s="101"/>
      <c r="K104" s="74">
        <f>46698602+19465702+41763450+21989878-46532259-19465702</f>
        <v>63919671</v>
      </c>
      <c r="L104" s="53">
        <f t="shared" si="52"/>
        <v>100727981</v>
      </c>
      <c r="M104" s="73" t="s">
        <v>206</v>
      </c>
      <c r="N104" s="74">
        <f>4311103+736280+456725+1244873+638281+9719150+1057680+8109+4034894+673405+388059+1097465+568224+7919514+1019658+9521-4311103-736280-456725-1244873-638281-9719150-1057680-8109</f>
        <v>15710740</v>
      </c>
      <c r="O104" s="53">
        <f t="shared" si="47"/>
        <v>48208931</v>
      </c>
      <c r="P104" s="55">
        <f t="shared" si="48"/>
        <v>85017241</v>
      </c>
      <c r="Q104" s="55"/>
      <c r="R104" s="74">
        <v>0</v>
      </c>
      <c r="S104" s="12">
        <f>14253820-16216782</f>
        <v>-1962962</v>
      </c>
      <c r="T104" s="12">
        <f>11169111-12043276</f>
        <v>-874165</v>
      </c>
      <c r="U104" s="134"/>
      <c r="V104" s="69"/>
    </row>
    <row r="105" spans="1:22" hidden="1">
      <c r="A105" s="118">
        <f>'FERC Interest Rates'!A120</f>
        <v>44651</v>
      </c>
      <c r="B105" s="36">
        <v>18863108</v>
      </c>
      <c r="C105" s="36">
        <f>14792921+93876-139791</f>
        <v>14747006</v>
      </c>
      <c r="D105" s="36">
        <v>2052506</v>
      </c>
      <c r="E105" s="54">
        <f t="shared" si="49"/>
        <v>35662620</v>
      </c>
      <c r="F105" s="61">
        <v>0</v>
      </c>
      <c r="G105" s="36">
        <f>227538+220931-227538</f>
        <v>220931</v>
      </c>
      <c r="H105" s="54">
        <f t="shared" si="50"/>
        <v>220931</v>
      </c>
      <c r="I105" s="102">
        <f t="shared" si="51"/>
        <v>35883551</v>
      </c>
      <c r="J105" s="102"/>
      <c r="K105" s="61">
        <f>41790500+21989878+44040978+19383555-41763450-21989878</f>
        <v>63451583</v>
      </c>
      <c r="L105" s="54">
        <f t="shared" si="52"/>
        <v>99335134</v>
      </c>
      <c r="M105" s="96" t="s">
        <v>206</v>
      </c>
      <c r="N105" s="61">
        <f>4034894+673405+388059+1097465+568224+7919514+1019658+9521+3674484+715773+350705+1162285+619124+8089416+0+0-4034894-673405-388059-1097465-568224-7919514-1019658-9521</f>
        <v>14611787</v>
      </c>
      <c r="O105" s="54">
        <f t="shared" si="47"/>
        <v>48839796</v>
      </c>
      <c r="P105" s="56">
        <f t="shared" si="48"/>
        <v>84723347</v>
      </c>
      <c r="Q105" s="56"/>
      <c r="R105" s="61">
        <v>0</v>
      </c>
      <c r="S105" s="97">
        <f>8456394-14253820</f>
        <v>-5797426</v>
      </c>
      <c r="T105" s="97">
        <f>6607346-11169111</f>
        <v>-4561765</v>
      </c>
      <c r="U105" s="134"/>
      <c r="V105" s="69"/>
    </row>
    <row r="106" spans="1:22" hidden="1">
      <c r="A106" s="72">
        <f>'FERC Interest Rates'!A121</f>
        <v>44681</v>
      </c>
      <c r="B106" s="33">
        <v>12434900</v>
      </c>
      <c r="C106" s="33">
        <f>9640231+91809-93876</f>
        <v>9638164</v>
      </c>
      <c r="D106" s="33">
        <v>1413909</v>
      </c>
      <c r="E106" s="53">
        <f t="shared" si="49"/>
        <v>23486973</v>
      </c>
      <c r="F106" s="74">
        <v>0</v>
      </c>
      <c r="G106" s="33">
        <f>220931+211682-220931</f>
        <v>211682</v>
      </c>
      <c r="H106" s="53">
        <f t="shared" si="50"/>
        <v>211682</v>
      </c>
      <c r="I106" s="101">
        <f t="shared" si="51"/>
        <v>23698655</v>
      </c>
      <c r="J106" s="101"/>
      <c r="K106" s="74">
        <f>43576574+19383555+44261740+19865907-44040978-19383555</f>
        <v>63663243</v>
      </c>
      <c r="L106" s="53">
        <f t="shared" si="52"/>
        <v>87361898</v>
      </c>
      <c r="M106" s="73" t="s">
        <v>206</v>
      </c>
      <c r="N106" s="74">
        <f>3674484+715773+350705+1162285+619124+8089416+0+0+3715725+712231+412738+1126258+590373+5281024+1491537+0-3674484-715773-350705-1162285-619124-8089416-0-0</f>
        <v>13329886</v>
      </c>
      <c r="O106" s="53">
        <f t="shared" si="47"/>
        <v>50333357</v>
      </c>
      <c r="P106" s="55">
        <f t="shared" si="48"/>
        <v>74032012</v>
      </c>
      <c r="Q106" s="55"/>
      <c r="R106" s="74">
        <v>0</v>
      </c>
      <c r="S106" s="12">
        <f>8330002-8456394</f>
        <v>-126392</v>
      </c>
      <c r="T106" s="12">
        <f>6413811-6607346</f>
        <v>-193535</v>
      </c>
      <c r="U106" s="134"/>
      <c r="V106" s="69"/>
    </row>
    <row r="107" spans="1:22" hidden="1">
      <c r="A107" s="72">
        <f>'FERC Interest Rates'!A122</f>
        <v>44712</v>
      </c>
      <c r="B107" s="33">
        <v>10496103</v>
      </c>
      <c r="C107" s="33">
        <f>8483912+47180-91809</f>
        <v>8439283</v>
      </c>
      <c r="D107" s="33">
        <v>1336966</v>
      </c>
      <c r="E107" s="53">
        <f t="shared" si="49"/>
        <v>20272352</v>
      </c>
      <c r="F107" s="74">
        <v>0</v>
      </c>
      <c r="G107" s="33">
        <f>211682+179840-211682</f>
        <v>179840</v>
      </c>
      <c r="H107" s="53">
        <f t="shared" si="50"/>
        <v>179840</v>
      </c>
      <c r="I107" s="101">
        <f t="shared" si="51"/>
        <v>20452192</v>
      </c>
      <c r="J107" s="101"/>
      <c r="K107" s="74">
        <f>44269356+19865907+41375322+15369520-44261740-19865907</f>
        <v>56752458</v>
      </c>
      <c r="L107" s="53">
        <f t="shared" si="52"/>
        <v>77204650</v>
      </c>
      <c r="M107" s="73" t="s">
        <v>206</v>
      </c>
      <c r="N107" s="74">
        <f>3715725+712231+412738+1126258+590373+5281024+1491537+0+3579442+540138+276680+1123222+609109+5758697+1825895+21006-3715725-712231-412738-1126258-590373-5281024-1491537-0</f>
        <v>13734189</v>
      </c>
      <c r="O107" s="53">
        <f t="shared" si="47"/>
        <v>43018269</v>
      </c>
      <c r="P107" s="55">
        <f t="shared" si="48"/>
        <v>63470461</v>
      </c>
      <c r="Q107" s="55"/>
      <c r="R107" s="74">
        <v>0</v>
      </c>
      <c r="S107" s="12">
        <f>5057385-8330002</f>
        <v>-3272617</v>
      </c>
      <c r="T107" s="12">
        <f>4060717-6413811</f>
        <v>-2353094</v>
      </c>
      <c r="U107" s="134"/>
      <c r="V107" s="69"/>
    </row>
    <row r="108" spans="1:22" hidden="1">
      <c r="A108" s="72">
        <f>'FERC Interest Rates'!A123</f>
        <v>44742</v>
      </c>
      <c r="B108" s="33">
        <v>6329476</v>
      </c>
      <c r="C108" s="33">
        <f>5583217+13397-47180</f>
        <v>5549434</v>
      </c>
      <c r="D108" s="33">
        <v>1144539</v>
      </c>
      <c r="E108" s="53">
        <f t="shared" si="49"/>
        <v>13023449</v>
      </c>
      <c r="F108" s="74">
        <v>0</v>
      </c>
      <c r="G108" s="33">
        <f>179840+115112-179840</f>
        <v>115112</v>
      </c>
      <c r="H108" s="53">
        <f t="shared" si="50"/>
        <v>115112</v>
      </c>
      <c r="I108" s="101">
        <f t="shared" si="51"/>
        <v>13138561</v>
      </c>
      <c r="J108" s="101"/>
      <c r="K108" s="74">
        <f>41375322+15369520+36668431+11060215-41375322-15369520</f>
        <v>47728646</v>
      </c>
      <c r="L108" s="53">
        <f t="shared" si="52"/>
        <v>60867207</v>
      </c>
      <c r="M108" s="73" t="s">
        <v>206</v>
      </c>
      <c r="N108" s="74">
        <f>3579442+540138+276680+1123222+609109+5758697+1825895+21006+3175626+365328+236238+1026480+568762+7435483+392070+32468-3579442-540138-276680-1123222-609109-5758697-1825895-21006</f>
        <v>13232455</v>
      </c>
      <c r="O108" s="53">
        <f t="shared" si="47"/>
        <v>34496191</v>
      </c>
      <c r="P108" s="55">
        <f t="shared" si="48"/>
        <v>47634752</v>
      </c>
      <c r="Q108" s="55"/>
      <c r="R108" s="74">
        <v>0</v>
      </c>
      <c r="S108" s="12">
        <f>2359004-5057385</f>
        <v>-2698381</v>
      </c>
      <c r="T108" s="12">
        <f>2056705-4060717</f>
        <v>-2004012</v>
      </c>
      <c r="U108" s="134"/>
      <c r="V108" s="69"/>
    </row>
    <row r="109" spans="1:22" hidden="1">
      <c r="A109" s="72">
        <f>'FERC Interest Rates'!A124</f>
        <v>44773</v>
      </c>
      <c r="B109" s="33">
        <v>3569632</v>
      </c>
      <c r="C109" s="33">
        <f>3507835+8798-13397</f>
        <v>3503236</v>
      </c>
      <c r="D109" s="33">
        <v>891110</v>
      </c>
      <c r="E109" s="53">
        <f t="shared" si="49"/>
        <v>7963978</v>
      </c>
      <c r="F109" s="74">
        <v>0</v>
      </c>
      <c r="G109" s="33">
        <f>115112+88882-115112</f>
        <v>88882</v>
      </c>
      <c r="H109" s="53">
        <f t="shared" si="50"/>
        <v>88882</v>
      </c>
      <c r="I109" s="101">
        <f t="shared" si="51"/>
        <v>8052860</v>
      </c>
      <c r="J109" s="101">
        <f>+I109+S109+T109</f>
        <v>5914122</v>
      </c>
      <c r="K109" s="74">
        <f>36680036+11060215+35333989+31347247-36668431-11060215</f>
        <v>66692841</v>
      </c>
      <c r="L109" s="53">
        <f t="shared" si="52"/>
        <v>74745701</v>
      </c>
      <c r="M109" s="73" t="s">
        <v>206</v>
      </c>
      <c r="N109" s="74">
        <f>3175626+365328+236238+1026480+568762+7435483+392070+32468+3289819+583533+223755+1000803+527314+7475514+3312291+28212-3175626-365328-236238-1026480-568762-7435483-392070-32468</f>
        <v>16441241</v>
      </c>
      <c r="O109" s="53">
        <f t="shared" si="47"/>
        <v>50251600</v>
      </c>
      <c r="P109" s="55">
        <f t="shared" si="48"/>
        <v>58304460</v>
      </c>
      <c r="Q109" s="55">
        <f>+P109+S109+T109</f>
        <v>56165722</v>
      </c>
      <c r="R109" s="74">
        <v>0</v>
      </c>
      <c r="S109" s="12">
        <f>1155568-2359004</f>
        <v>-1203436</v>
      </c>
      <c r="T109" s="12">
        <f>1121403-2056705</f>
        <v>-935302</v>
      </c>
      <c r="U109" s="34">
        <v>1155568</v>
      </c>
      <c r="V109" s="135">
        <v>1121403</v>
      </c>
    </row>
    <row r="110" spans="1:22" hidden="1">
      <c r="A110" s="72">
        <f>'FERC Interest Rates'!A125</f>
        <v>44804</v>
      </c>
      <c r="B110" s="33">
        <v>2816437</v>
      </c>
      <c r="C110" s="33">
        <f>3057642+8881-8798</f>
        <v>3057725</v>
      </c>
      <c r="D110" s="33">
        <v>830858</v>
      </c>
      <c r="E110" s="53">
        <f t="shared" si="49"/>
        <v>6705020</v>
      </c>
      <c r="F110" s="74">
        <v>0</v>
      </c>
      <c r="G110" s="33">
        <f>88882+101586-88882</f>
        <v>101586</v>
      </c>
      <c r="H110" s="53">
        <f t="shared" si="50"/>
        <v>101586</v>
      </c>
      <c r="I110" s="101">
        <f t="shared" si="51"/>
        <v>6806606</v>
      </c>
      <c r="J110" s="101">
        <f t="shared" ref="J110:J112" si="53">+I110+S110+T110</f>
        <v>7161100</v>
      </c>
      <c r="K110" s="74">
        <f>35333989+31347247+37898138+42056363-35333989-31347247</f>
        <v>79954501</v>
      </c>
      <c r="L110" s="53">
        <f t="shared" si="52"/>
        <v>86761107</v>
      </c>
      <c r="M110" s="73" t="s">
        <v>206</v>
      </c>
      <c r="N110" s="74">
        <f>3289819+583533+223755+1000803+527314+7475514+3312291+28212+2398539+589153+282273+914068+528099+7631064+5360131+183050-3289819-583533-223755-1000803-527314-7475514-3312291-28212</f>
        <v>17886377</v>
      </c>
      <c r="O110" s="53">
        <f t="shared" si="47"/>
        <v>62068124</v>
      </c>
      <c r="P110" s="55">
        <f t="shared" si="48"/>
        <v>68874730</v>
      </c>
      <c r="Q110" s="55">
        <f t="shared" ref="Q110:Q112" si="54">+P110+S110+T110</f>
        <v>69229224</v>
      </c>
      <c r="R110" s="34">
        <v>0</v>
      </c>
      <c r="S110" s="101">
        <f>+U110-U109</f>
        <v>113773</v>
      </c>
      <c r="T110" s="104">
        <f>+V110-V109</f>
        <v>240721</v>
      </c>
      <c r="U110" s="34">
        <v>1269341</v>
      </c>
      <c r="V110" s="135">
        <v>1362124</v>
      </c>
    </row>
    <row r="111" spans="1:22" hidden="1">
      <c r="A111" s="72">
        <f>'FERC Interest Rates'!A126</f>
        <v>44834</v>
      </c>
      <c r="B111" s="33">
        <v>2673488</v>
      </c>
      <c r="C111" s="33">
        <f>2982385+10650-8881</f>
        <v>2984154</v>
      </c>
      <c r="D111" s="33">
        <v>907699</v>
      </c>
      <c r="E111" s="53">
        <f t="shared" si="49"/>
        <v>6565341</v>
      </c>
      <c r="F111" s="74">
        <v>0</v>
      </c>
      <c r="G111" s="33">
        <f>101586+100025-101586</f>
        <v>100025</v>
      </c>
      <c r="H111" s="53">
        <f t="shared" si="50"/>
        <v>100025</v>
      </c>
      <c r="I111" s="101">
        <f t="shared" si="51"/>
        <v>6665366</v>
      </c>
      <c r="J111" s="101">
        <f t="shared" si="53"/>
        <v>7578691</v>
      </c>
      <c r="K111" s="74">
        <f>37898138+42056363+33376871+53272744-37898138-42056363</f>
        <v>86649615</v>
      </c>
      <c r="L111" s="53">
        <f t="shared" si="52"/>
        <v>93314981</v>
      </c>
      <c r="M111" s="73" t="s">
        <v>206</v>
      </c>
      <c r="N111" s="74">
        <f>2398539+589153+282273+914068+528099+7631064+5360131+183050+299427+548224+321230+901527+519244+7886728+7716256+418677-2398539-589153-282273-914068-528099-7631064-5360131-183050</f>
        <v>18611313</v>
      </c>
      <c r="O111" s="53">
        <f t="shared" si="47"/>
        <v>68038302</v>
      </c>
      <c r="P111" s="55">
        <f t="shared" si="48"/>
        <v>74703668</v>
      </c>
      <c r="Q111" s="55">
        <f t="shared" si="54"/>
        <v>75616993</v>
      </c>
      <c r="R111" s="34">
        <v>0</v>
      </c>
      <c r="S111" s="101">
        <f t="shared" ref="S111:S112" si="55">+U111-U110</f>
        <v>417241</v>
      </c>
      <c r="T111" s="104">
        <f t="shared" ref="T111:T112" si="56">+V111-V110</f>
        <v>496084</v>
      </c>
      <c r="U111" s="34">
        <v>1686582</v>
      </c>
      <c r="V111" s="135">
        <v>1858208</v>
      </c>
    </row>
    <row r="112" spans="1:22" hidden="1">
      <c r="A112" s="118">
        <f>'FERC Interest Rates'!A127</f>
        <v>44865</v>
      </c>
      <c r="B112" s="36">
        <v>3424774</v>
      </c>
      <c r="C112" s="36">
        <f>3597515+39061-10650</f>
        <v>3625926</v>
      </c>
      <c r="D112" s="36">
        <v>1278013</v>
      </c>
      <c r="E112" s="54">
        <f t="shared" ref="E112:E124" si="57">SUM(B112:D112)</f>
        <v>8328713</v>
      </c>
      <c r="F112" s="61">
        <v>0</v>
      </c>
      <c r="G112" s="36">
        <f>100025+168816-100025</f>
        <v>168816</v>
      </c>
      <c r="H112" s="54">
        <f t="shared" ref="H112" si="58">SUM(F112:G112)</f>
        <v>168816</v>
      </c>
      <c r="I112" s="102">
        <f t="shared" ref="I112" si="59">E112+H112</f>
        <v>8497529</v>
      </c>
      <c r="J112" s="102">
        <f t="shared" si="53"/>
        <v>13727036</v>
      </c>
      <c r="K112" s="61">
        <f>33596729+53272744+35127106+46301328-33376871-53272744</f>
        <v>81648292</v>
      </c>
      <c r="L112" s="54">
        <f t="shared" ref="L112" si="60">I112+K112</f>
        <v>90145821</v>
      </c>
      <c r="M112" s="96" t="s">
        <v>206</v>
      </c>
      <c r="N112" s="61">
        <f>299427+548224+321230+901527+519244+7886728+7716256+418677+2188396+662923+327786+1035124+562915+8668546+4204528+368166-299427-548224-321230-901527-519244-7886728-7716256-418677</f>
        <v>18018384</v>
      </c>
      <c r="O112" s="54">
        <f t="shared" si="47"/>
        <v>63629908</v>
      </c>
      <c r="P112" s="56">
        <f t="shared" si="48"/>
        <v>72127437</v>
      </c>
      <c r="Q112" s="56">
        <f t="shared" si="54"/>
        <v>77356944</v>
      </c>
      <c r="R112" s="37">
        <v>0</v>
      </c>
      <c r="S112" s="102">
        <f t="shared" si="55"/>
        <v>2602126</v>
      </c>
      <c r="T112" s="105">
        <f t="shared" si="56"/>
        <v>2627381</v>
      </c>
      <c r="U112" s="37">
        <v>4288708</v>
      </c>
      <c r="V112" s="137">
        <v>4485589</v>
      </c>
    </row>
    <row r="113" spans="1:22" hidden="1">
      <c r="A113" s="72">
        <f>'FERC Interest Rates'!A128</f>
        <v>44895</v>
      </c>
      <c r="B113" s="33">
        <v>9338438</v>
      </c>
      <c r="C113" s="33">
        <f>7079428+161552-39061</f>
        <v>7201919</v>
      </c>
      <c r="D113" s="33">
        <v>1393984</v>
      </c>
      <c r="E113" s="53">
        <f t="shared" si="57"/>
        <v>17934341</v>
      </c>
      <c r="F113" s="165">
        <v>0</v>
      </c>
      <c r="G113" s="33">
        <f>168816+248692-168816</f>
        <v>248692</v>
      </c>
      <c r="H113" s="53">
        <f t="shared" ref="H113:H124" si="61">SUM(F113:G113)</f>
        <v>248692</v>
      </c>
      <c r="I113" s="101">
        <f t="shared" ref="I113:I124" si="62">E113+H113</f>
        <v>18183033</v>
      </c>
      <c r="J113" s="101">
        <f t="shared" ref="J113:J124" si="63">+I113+S113+T113</f>
        <v>36139852</v>
      </c>
      <c r="K113" s="74">
        <f>35127106+46301328+43366145+43252795-35127106-46301328</f>
        <v>86618940</v>
      </c>
      <c r="L113" s="53">
        <f t="shared" ref="L113:L124" si="64">I113+K113</f>
        <v>104801973</v>
      </c>
      <c r="M113" s="73" t="s">
        <v>206</v>
      </c>
      <c r="N113" s="74">
        <f>2188396+662923+327786+1035124+562915+8668546+4204528+368166+3120450+607341+346330+772652+582557+7984705+5935572+111959-2188396-662923-327786-1035124-562915-8668546-4204528-368166</f>
        <v>19461566</v>
      </c>
      <c r="O113" s="53">
        <f t="shared" ref="O113:O124" si="65">K113-N113</f>
        <v>67157374</v>
      </c>
      <c r="P113" s="55">
        <f t="shared" ref="P113:P124" si="66">L113-N113</f>
        <v>85340407</v>
      </c>
      <c r="Q113" s="55">
        <f t="shared" ref="Q113:Q124" si="67">+P113+S113+T113</f>
        <v>103297226</v>
      </c>
      <c r="R113" s="167">
        <v>0</v>
      </c>
      <c r="S113" s="101">
        <f t="shared" ref="S113:S124" si="68">+U113-U112</f>
        <v>11007058</v>
      </c>
      <c r="T113" s="104">
        <f t="shared" ref="T113:T124" si="69">+V113-V112</f>
        <v>6949761</v>
      </c>
      <c r="U113" s="34">
        <v>15295766</v>
      </c>
      <c r="V113" s="135">
        <v>11435350</v>
      </c>
    </row>
    <row r="114" spans="1:22" hidden="1">
      <c r="A114" s="72">
        <f>'FERC Interest Rates'!A129</f>
        <v>44926</v>
      </c>
      <c r="B114" s="33">
        <v>22524732</v>
      </c>
      <c r="C114" s="33">
        <f>17167218+217952-161552</f>
        <v>17223618</v>
      </c>
      <c r="D114" s="33">
        <v>2344051</v>
      </c>
      <c r="E114" s="53">
        <f t="shared" si="57"/>
        <v>42092401</v>
      </c>
      <c r="F114" s="165">
        <v>0</v>
      </c>
      <c r="G114" s="33">
        <f>248692+283039-248692</f>
        <v>283039</v>
      </c>
      <c r="H114" s="53">
        <f t="shared" si="61"/>
        <v>283039</v>
      </c>
      <c r="I114" s="101">
        <f t="shared" si="62"/>
        <v>42375440</v>
      </c>
      <c r="J114" s="101">
        <f t="shared" si="63"/>
        <v>48196275</v>
      </c>
      <c r="K114" s="74">
        <f>42465906+43252795+39309280+42802033-43366145-43252795</f>
        <v>81211074</v>
      </c>
      <c r="L114" s="53">
        <f t="shared" si="64"/>
        <v>123586514</v>
      </c>
      <c r="M114" s="73" t="s">
        <v>206</v>
      </c>
      <c r="N114" s="74">
        <f>3120450+607341+346330+772652+582557+7984705+5935572+111959+3015692+620716+375474+891714+628834+8150970+5770935+207811-3120450-607341-346330-772652-582557-7984705-5935572-111959</f>
        <v>19662146</v>
      </c>
      <c r="O114" s="53">
        <f t="shared" si="65"/>
        <v>61548928</v>
      </c>
      <c r="P114" s="55">
        <f t="shared" si="66"/>
        <v>103924368</v>
      </c>
      <c r="Q114" s="55">
        <f t="shared" si="67"/>
        <v>109745203</v>
      </c>
      <c r="R114" s="167">
        <v>0</v>
      </c>
      <c r="S114" s="101">
        <f t="shared" si="68"/>
        <v>3227874</v>
      </c>
      <c r="T114" s="104">
        <f t="shared" si="69"/>
        <v>2592961</v>
      </c>
      <c r="U114" s="34">
        <v>18523640</v>
      </c>
      <c r="V114" s="135">
        <v>14028311</v>
      </c>
    </row>
    <row r="115" spans="1:22" hidden="1">
      <c r="A115" s="72">
        <f>'FERC Interest Rates'!A130</f>
        <v>44957</v>
      </c>
      <c r="B115" s="33">
        <v>24314851</v>
      </c>
      <c r="C115" s="33">
        <f>19375288+162953-217952</f>
        <v>19320289</v>
      </c>
      <c r="D115" s="33">
        <v>2398142</v>
      </c>
      <c r="E115" s="53">
        <f t="shared" si="57"/>
        <v>46033282</v>
      </c>
      <c r="F115" s="165">
        <v>0</v>
      </c>
      <c r="G115" s="33">
        <f>283039+254735-283039</f>
        <v>254735</v>
      </c>
      <c r="H115" s="53">
        <f t="shared" si="61"/>
        <v>254735</v>
      </c>
      <c r="I115" s="101">
        <f t="shared" si="62"/>
        <v>46288017</v>
      </c>
      <c r="J115" s="101">
        <f t="shared" si="63"/>
        <v>40776960</v>
      </c>
      <c r="K115" s="74">
        <f>35357734+42802033+37684139+44140265-39309280-42802033</f>
        <v>77872858</v>
      </c>
      <c r="L115" s="53">
        <f t="shared" si="64"/>
        <v>124160875</v>
      </c>
      <c r="M115" s="73" t="s">
        <v>206</v>
      </c>
      <c r="N115" s="74">
        <f>3015692+620716+375474+891714+628834+8150970+5770935+207811+1772697+620405+200802+988263+570804+3871684+312704-3015692-620716-375474-891714-628834-8150970-5770935-207811</f>
        <v>8337359</v>
      </c>
      <c r="O115" s="53">
        <f t="shared" si="65"/>
        <v>69535499</v>
      </c>
      <c r="P115" s="55">
        <f t="shared" si="66"/>
        <v>115823516</v>
      </c>
      <c r="Q115" s="55">
        <f t="shared" si="67"/>
        <v>110312459</v>
      </c>
      <c r="R115" s="167">
        <v>0</v>
      </c>
      <c r="S115" s="101">
        <f t="shared" si="68"/>
        <v>-3432134</v>
      </c>
      <c r="T115" s="104">
        <f t="shared" si="69"/>
        <v>-2078923</v>
      </c>
      <c r="U115" s="34">
        <v>15091506</v>
      </c>
      <c r="V115" s="135">
        <v>11949388</v>
      </c>
    </row>
    <row r="116" spans="1:22" hidden="1">
      <c r="A116" s="72">
        <f>'FERC Interest Rates'!A131</f>
        <v>44985</v>
      </c>
      <c r="B116" s="33">
        <v>18035854</v>
      </c>
      <c r="C116" s="33">
        <f>14303749+134636-162953</f>
        <v>14275432</v>
      </c>
      <c r="D116" s="33">
        <v>2000364</v>
      </c>
      <c r="E116" s="53">
        <f t="shared" si="57"/>
        <v>34311650</v>
      </c>
      <c r="F116" s="165">
        <v>0</v>
      </c>
      <c r="G116" s="33">
        <f>254735+233311-254735</f>
        <v>233311</v>
      </c>
      <c r="H116" s="53">
        <f t="shared" si="61"/>
        <v>233311</v>
      </c>
      <c r="I116" s="101">
        <f t="shared" si="62"/>
        <v>34544961</v>
      </c>
      <c r="J116" s="101">
        <f t="shared" si="63"/>
        <v>34828586</v>
      </c>
      <c r="K116" s="74">
        <f>37684139+44140265+34985714+35335303-37684139-44140265</f>
        <v>70321017</v>
      </c>
      <c r="L116" s="53">
        <f t="shared" si="64"/>
        <v>104865978</v>
      </c>
      <c r="M116" s="73" t="s">
        <v>206</v>
      </c>
      <c r="N116" s="74">
        <f>1772697+620405+200802+988263+570804+3871684+312704+2520846+654001+110052+907096+571151+3343791+440113-1772697-620405-200802-988263-570804-3871684-312704</f>
        <v>8547050</v>
      </c>
      <c r="O116" s="53">
        <f t="shared" si="65"/>
        <v>61773967</v>
      </c>
      <c r="P116" s="55">
        <f t="shared" si="66"/>
        <v>96318928</v>
      </c>
      <c r="Q116" s="55">
        <f t="shared" si="67"/>
        <v>96602553</v>
      </c>
      <c r="R116" s="167">
        <v>0</v>
      </c>
      <c r="S116" s="101">
        <f t="shared" si="68"/>
        <v>157434</v>
      </c>
      <c r="T116" s="104">
        <f t="shared" si="69"/>
        <v>126191</v>
      </c>
      <c r="U116" s="34">
        <v>15248940</v>
      </c>
      <c r="V116" s="135">
        <v>12075579</v>
      </c>
    </row>
    <row r="117" spans="1:22" hidden="1">
      <c r="A117" s="72">
        <f>'FERC Interest Rates'!A132</f>
        <v>45016</v>
      </c>
      <c r="B117" s="33">
        <v>21145013</v>
      </c>
      <c r="C117" s="33">
        <f>16362124+111561-134636</f>
        <v>16339049</v>
      </c>
      <c r="D117" s="33">
        <v>2126303</v>
      </c>
      <c r="E117" s="53">
        <f t="shared" si="57"/>
        <v>39610365</v>
      </c>
      <c r="F117" s="165">
        <v>0</v>
      </c>
      <c r="G117" s="33">
        <f>233311+244613-233311</f>
        <v>244613</v>
      </c>
      <c r="H117" s="53">
        <f t="shared" si="61"/>
        <v>244613</v>
      </c>
      <c r="I117" s="101">
        <f t="shared" si="62"/>
        <v>39854978</v>
      </c>
      <c r="J117" s="101">
        <f t="shared" si="63"/>
        <v>31399405</v>
      </c>
      <c r="K117" s="74">
        <f>34997451+35335303+36480887+61422646-34985714-35335303</f>
        <v>97915270</v>
      </c>
      <c r="L117" s="53">
        <f t="shared" si="64"/>
        <v>137770248</v>
      </c>
      <c r="M117" s="73" t="s">
        <v>206</v>
      </c>
      <c r="N117" s="74">
        <f>2520846+654001+110052+907096+571151+3343791+440113+2518058+779011+168968+987670+625606+8847522+4083890-2520846-654001-110052-907096-571151-3343791-440113</f>
        <v>18010725</v>
      </c>
      <c r="O117" s="53">
        <f t="shared" si="65"/>
        <v>79904545</v>
      </c>
      <c r="P117" s="55">
        <f t="shared" si="66"/>
        <v>119759523</v>
      </c>
      <c r="Q117" s="55">
        <f t="shared" si="67"/>
        <v>111303950</v>
      </c>
      <c r="R117" s="167">
        <v>0</v>
      </c>
      <c r="S117" s="101">
        <f t="shared" si="68"/>
        <v>-4600464</v>
      </c>
      <c r="T117" s="104">
        <f t="shared" si="69"/>
        <v>-3855109</v>
      </c>
      <c r="U117" s="34">
        <v>10648476</v>
      </c>
      <c r="V117" s="135">
        <v>8220470</v>
      </c>
    </row>
    <row r="118" spans="1:22" hidden="1">
      <c r="A118" s="72">
        <f>'FERC Interest Rates'!A133</f>
        <v>45046</v>
      </c>
      <c r="B118" s="33">
        <v>13346079</v>
      </c>
      <c r="C118" s="33">
        <f>10616912+69189-111561</f>
        <v>10574540</v>
      </c>
      <c r="D118" s="33">
        <v>1445045</v>
      </c>
      <c r="E118" s="53">
        <f t="shared" si="57"/>
        <v>25365664</v>
      </c>
      <c r="F118" s="165">
        <v>0</v>
      </c>
      <c r="G118" s="33">
        <f>244613+207895-244613</f>
        <v>207895</v>
      </c>
      <c r="H118" s="53">
        <f t="shared" si="61"/>
        <v>207895</v>
      </c>
      <c r="I118" s="101">
        <f t="shared" si="62"/>
        <v>25573559</v>
      </c>
      <c r="J118" s="101">
        <f t="shared" si="63"/>
        <v>20012227</v>
      </c>
      <c r="K118" s="74">
        <f>36480887+61422646+31881566+55719682-36480887-61422646</f>
        <v>87601248</v>
      </c>
      <c r="L118" s="53">
        <f t="shared" si="64"/>
        <v>113174807</v>
      </c>
      <c r="M118" s="73" t="s">
        <v>206</v>
      </c>
      <c r="N118" s="74">
        <f>2518058+779011+168968+987670+625606+8847522+4083890+2282542+680620+340572+1012389+573548+4324956+7080932-2518058-779011-168968-987670-625606-8847522-4083890</f>
        <v>16295559</v>
      </c>
      <c r="O118" s="53">
        <f t="shared" si="65"/>
        <v>71305689</v>
      </c>
      <c r="P118" s="55">
        <f t="shared" si="66"/>
        <v>96879248</v>
      </c>
      <c r="Q118" s="55">
        <f t="shared" si="67"/>
        <v>91317916</v>
      </c>
      <c r="R118" s="167">
        <v>0</v>
      </c>
      <c r="S118" s="101">
        <f t="shared" si="68"/>
        <v>-3232961</v>
      </c>
      <c r="T118" s="104">
        <f t="shared" si="69"/>
        <v>-2328371</v>
      </c>
      <c r="U118" s="34">
        <v>7415515</v>
      </c>
      <c r="V118" s="135">
        <v>5892099</v>
      </c>
    </row>
    <row r="119" spans="1:22" hidden="1">
      <c r="A119" s="72">
        <f>'FERC Interest Rates'!A134</f>
        <v>45077</v>
      </c>
      <c r="B119" s="33">
        <v>9011479</v>
      </c>
      <c r="C119" s="33">
        <f>7635995+24999-69189</f>
        <v>7591805</v>
      </c>
      <c r="D119" s="33">
        <v>1188799</v>
      </c>
      <c r="E119" s="53">
        <f t="shared" si="57"/>
        <v>17792083</v>
      </c>
      <c r="F119" s="165">
        <v>0</v>
      </c>
      <c r="G119" s="33">
        <f>207895+123718-207895</f>
        <v>123718</v>
      </c>
      <c r="H119" s="53">
        <f t="shared" si="61"/>
        <v>123718</v>
      </c>
      <c r="I119" s="101">
        <f t="shared" si="62"/>
        <v>17915801</v>
      </c>
      <c r="J119" s="101">
        <f t="shared" si="63"/>
        <v>10577875</v>
      </c>
      <c r="K119" s="74">
        <f>31881566+55719682+29995066+11318448-31881566-55719682</f>
        <v>41313514</v>
      </c>
      <c r="L119" s="53">
        <f t="shared" si="64"/>
        <v>59229315</v>
      </c>
      <c r="M119" s="73" t="s">
        <v>206</v>
      </c>
      <c r="N119" s="74">
        <f>2282542+680620+340572+1012389+573548+4324956+7080932+633683+442299+303215+1018341+578576+298588+495903-2282542-680620-340572-1012389-573548-4324956-7080932</f>
        <v>3770605</v>
      </c>
      <c r="O119" s="53">
        <f t="shared" si="65"/>
        <v>37542909</v>
      </c>
      <c r="P119" s="55">
        <f t="shared" si="66"/>
        <v>55458710</v>
      </c>
      <c r="Q119" s="55">
        <f t="shared" si="67"/>
        <v>48120784</v>
      </c>
      <c r="R119" s="167">
        <v>0</v>
      </c>
      <c r="S119" s="101">
        <f t="shared" si="68"/>
        <v>-4159897</v>
      </c>
      <c r="T119" s="104">
        <f t="shared" si="69"/>
        <v>-3178029</v>
      </c>
      <c r="U119" s="34">
        <v>3255618</v>
      </c>
      <c r="V119" s="135">
        <v>2714070</v>
      </c>
    </row>
    <row r="120" spans="1:22" hidden="1">
      <c r="A120" s="72">
        <f>'FERC Interest Rates'!A135</f>
        <v>45107</v>
      </c>
      <c r="B120" s="33">
        <v>4177396</v>
      </c>
      <c r="C120" s="33">
        <f>4029055+10583-24999</f>
        <v>4014639</v>
      </c>
      <c r="D120" s="33">
        <v>822581</v>
      </c>
      <c r="E120" s="53">
        <f t="shared" si="57"/>
        <v>9014616</v>
      </c>
      <c r="F120" s="165">
        <v>0</v>
      </c>
      <c r="G120" s="33">
        <f>123718+98688-123718</f>
        <v>98688</v>
      </c>
      <c r="H120" s="53">
        <f t="shared" si="61"/>
        <v>98688</v>
      </c>
      <c r="I120" s="101">
        <f t="shared" si="62"/>
        <v>9113304</v>
      </c>
      <c r="J120" s="101">
        <f t="shared" si="63"/>
        <v>8466269</v>
      </c>
      <c r="K120" s="74">
        <f>29998288+11318448+30629756+25214314-29995066-11318448</f>
        <v>55847292</v>
      </c>
      <c r="L120" s="53">
        <f t="shared" si="64"/>
        <v>64960596</v>
      </c>
      <c r="M120" s="73" t="s">
        <v>206</v>
      </c>
      <c r="N120" s="74">
        <f>633683+442299+306437+1018341+578576+298588+495903+191049+222071+242555+876285+559636+7608999+5275915-633683-442299-303215-1018341-578576-298588-495903</f>
        <v>14979732</v>
      </c>
      <c r="O120" s="53">
        <f t="shared" si="65"/>
        <v>40867560</v>
      </c>
      <c r="P120" s="55">
        <f t="shared" si="66"/>
        <v>49980864</v>
      </c>
      <c r="Q120" s="55">
        <f t="shared" si="67"/>
        <v>49333829</v>
      </c>
      <c r="R120" s="167">
        <v>0</v>
      </c>
      <c r="S120" s="101">
        <f t="shared" si="68"/>
        <v>-530475</v>
      </c>
      <c r="T120" s="104">
        <f t="shared" si="69"/>
        <v>-116560</v>
      </c>
      <c r="U120" s="34">
        <v>2725143</v>
      </c>
      <c r="V120" s="135">
        <v>2597510</v>
      </c>
    </row>
    <row r="121" spans="1:22" hidden="1">
      <c r="A121" s="72">
        <f>'FERC Interest Rates'!A136</f>
        <v>45138</v>
      </c>
      <c r="B121" s="33">
        <v>3115264</v>
      </c>
      <c r="C121" s="33">
        <f>3154919+8927-10583</f>
        <v>3153263</v>
      </c>
      <c r="D121" s="33">
        <v>1048856</v>
      </c>
      <c r="E121" s="53">
        <f t="shared" si="57"/>
        <v>7317383</v>
      </c>
      <c r="F121" s="165">
        <v>0</v>
      </c>
      <c r="G121" s="33">
        <f>98688+86202-98688</f>
        <v>86202</v>
      </c>
      <c r="H121" s="53">
        <f t="shared" si="61"/>
        <v>86202</v>
      </c>
      <c r="I121" s="101">
        <f t="shared" si="62"/>
        <v>7403585</v>
      </c>
      <c r="J121" s="101">
        <f t="shared" si="63"/>
        <v>4994343</v>
      </c>
      <c r="K121" s="74">
        <f>30629756+25214314+31147041+64274512-30629756-25214314</f>
        <v>95421553</v>
      </c>
      <c r="L121" s="53">
        <f t="shared" si="64"/>
        <v>102825138</v>
      </c>
      <c r="M121" s="73" t="s">
        <v>206</v>
      </c>
      <c r="N121" s="74">
        <f>191049+222071+242555+876285+559636+7608999+5275915+183124+478618+299943+918913+556660+9684006+11597150-191049-222071-242555-876285-559636-7608999-5275915</f>
        <v>23718414</v>
      </c>
      <c r="O121" s="53">
        <f t="shared" si="65"/>
        <v>71703139</v>
      </c>
      <c r="P121" s="55">
        <f t="shared" si="66"/>
        <v>79106724</v>
      </c>
      <c r="Q121" s="55">
        <f t="shared" si="67"/>
        <v>76697482</v>
      </c>
      <c r="R121" s="167">
        <v>0</v>
      </c>
      <c r="S121" s="101">
        <f t="shared" si="68"/>
        <v>-1270111</v>
      </c>
      <c r="T121" s="104">
        <f t="shared" si="69"/>
        <v>-1139131</v>
      </c>
      <c r="U121" s="34">
        <v>1455032</v>
      </c>
      <c r="V121" s="135">
        <f>1298261+160118</f>
        <v>1458379</v>
      </c>
    </row>
    <row r="122" spans="1:22" hidden="1">
      <c r="A122" s="72">
        <f>'FERC Interest Rates'!A137</f>
        <v>45169</v>
      </c>
      <c r="B122" s="33">
        <v>2764197</v>
      </c>
      <c r="C122" s="33">
        <f>3081438+7425-8927</f>
        <v>3079936</v>
      </c>
      <c r="D122" s="33">
        <v>1088269</v>
      </c>
      <c r="E122" s="53">
        <f t="shared" si="57"/>
        <v>6932402</v>
      </c>
      <c r="F122" s="165">
        <v>0</v>
      </c>
      <c r="G122" s="33">
        <f>86202+85131-86202</f>
        <v>85131</v>
      </c>
      <c r="H122" s="53">
        <f t="shared" si="61"/>
        <v>85131</v>
      </c>
      <c r="I122" s="101">
        <f t="shared" si="62"/>
        <v>7017533</v>
      </c>
      <c r="J122" s="101">
        <f t="shared" si="63"/>
        <v>6672317</v>
      </c>
      <c r="K122" s="74">
        <f>31147041+64274512+31935735+70474775-31147041-64274512</f>
        <v>102410510</v>
      </c>
      <c r="L122" s="53">
        <f t="shared" si="64"/>
        <v>109428043</v>
      </c>
      <c r="M122" s="73" t="s">
        <v>206</v>
      </c>
      <c r="N122" s="74">
        <f>183124+478618+299943+918913+556660+9684006+11597150+194593+545365+369629+930198+547708+8797931+9383229-183124-478618-299943-918913-556660-9684006-11597150</f>
        <v>20768653</v>
      </c>
      <c r="O122" s="53">
        <f t="shared" si="65"/>
        <v>81641857</v>
      </c>
      <c r="P122" s="55">
        <f t="shared" si="66"/>
        <v>88659390</v>
      </c>
      <c r="Q122" s="55">
        <f t="shared" si="67"/>
        <v>88314174</v>
      </c>
      <c r="R122" s="167">
        <v>0</v>
      </c>
      <c r="S122" s="101">
        <f t="shared" si="68"/>
        <v>-233346</v>
      </c>
      <c r="T122" s="104">
        <f t="shared" si="69"/>
        <v>-111870</v>
      </c>
      <c r="U122" s="34">
        <v>1221686</v>
      </c>
      <c r="V122" s="135">
        <f>1188172+158337</f>
        <v>1346509</v>
      </c>
    </row>
    <row r="123" spans="1:22" hidden="1">
      <c r="A123" s="72">
        <f>'FERC Interest Rates'!A138</f>
        <v>45199</v>
      </c>
      <c r="B123" s="33">
        <v>2669617</v>
      </c>
      <c r="C123" s="33">
        <f>2865127+11390-7425</f>
        <v>2869092</v>
      </c>
      <c r="D123" s="33">
        <v>755362</v>
      </c>
      <c r="E123" s="53">
        <f t="shared" si="57"/>
        <v>6294071</v>
      </c>
      <c r="F123" s="165">
        <v>0</v>
      </c>
      <c r="G123" s="33">
        <f>85131+107273-85131</f>
        <v>107273</v>
      </c>
      <c r="H123" s="53">
        <f t="shared" si="61"/>
        <v>107273</v>
      </c>
      <c r="I123" s="101">
        <f t="shared" si="62"/>
        <v>6401344</v>
      </c>
      <c r="J123" s="101">
        <f t="shared" si="63"/>
        <v>9051506</v>
      </c>
      <c r="K123" s="74">
        <f>31935735+70474775+34802952+72598733-31935735-70474775</f>
        <v>107401685</v>
      </c>
      <c r="L123" s="53">
        <f t="shared" si="64"/>
        <v>113803029</v>
      </c>
      <c r="M123" s="73" t="s">
        <v>206</v>
      </c>
      <c r="N123" s="74">
        <f>194593+545365+369629+930198+547708+8797931+9383229+186081+564103+282752+936589+566840+9093738+10642199-194593-545365-369629-930198-547708-8797931-9383229</f>
        <v>22272302</v>
      </c>
      <c r="O123" s="53">
        <f t="shared" si="65"/>
        <v>85129383</v>
      </c>
      <c r="P123" s="55">
        <f t="shared" si="66"/>
        <v>91530727</v>
      </c>
      <c r="Q123" s="55">
        <f t="shared" si="67"/>
        <v>94180889</v>
      </c>
      <c r="R123" s="167">
        <v>0</v>
      </c>
      <c r="S123" s="101">
        <f t="shared" si="68"/>
        <v>1314463</v>
      </c>
      <c r="T123" s="104">
        <f t="shared" si="69"/>
        <v>1335699</v>
      </c>
      <c r="U123" s="34">
        <v>2536149</v>
      </c>
      <c r="V123" s="135">
        <f>2418855+263353</f>
        <v>2682208</v>
      </c>
    </row>
    <row r="124" spans="1:22" ht="1.5" customHeight="1">
      <c r="A124" s="118">
        <f>'FERC Interest Rates'!A139</f>
        <v>45230</v>
      </c>
      <c r="B124" s="36">
        <v>4488335</v>
      </c>
      <c r="C124" s="36">
        <f>4191252+58269-11390</f>
        <v>4238131</v>
      </c>
      <c r="D124" s="36">
        <v>1258827</v>
      </c>
      <c r="E124" s="54">
        <f t="shared" si="57"/>
        <v>9985293</v>
      </c>
      <c r="F124" s="166">
        <v>0</v>
      </c>
      <c r="G124" s="36">
        <f>107273+169608-107273</f>
        <v>169608</v>
      </c>
      <c r="H124" s="54">
        <f t="shared" si="61"/>
        <v>169608</v>
      </c>
      <c r="I124" s="102">
        <f t="shared" si="62"/>
        <v>10154901</v>
      </c>
      <c r="J124" s="102">
        <f t="shared" si="63"/>
        <v>17152528</v>
      </c>
      <c r="K124" s="61">
        <f>34802952+72598733+40486948+50810132-34802952-72598733</f>
        <v>91297080</v>
      </c>
      <c r="L124" s="54">
        <f t="shared" si="64"/>
        <v>101451981</v>
      </c>
      <c r="M124" s="96" t="s">
        <v>206</v>
      </c>
      <c r="N124" s="61">
        <f>186081+564103+282752+936589+566840+9093738+10642199+579135+647908+390563+742775+579828+4409709+0-186081-564103-282752-936589-566840-9093738-10642199</f>
        <v>7349918</v>
      </c>
      <c r="O124" s="54">
        <f t="shared" si="65"/>
        <v>83947162</v>
      </c>
      <c r="P124" s="56">
        <f t="shared" si="66"/>
        <v>94102063</v>
      </c>
      <c r="Q124" s="56">
        <f t="shared" si="67"/>
        <v>101099690</v>
      </c>
      <c r="R124" s="168">
        <v>0</v>
      </c>
      <c r="S124" s="102">
        <f t="shared" si="68"/>
        <v>3813147</v>
      </c>
      <c r="T124" s="105">
        <f t="shared" si="69"/>
        <v>3184480</v>
      </c>
      <c r="U124" s="37">
        <v>6349296</v>
      </c>
      <c r="V124" s="137">
        <f>5245841+620847</f>
        <v>5866688</v>
      </c>
    </row>
    <row r="125" spans="1:22">
      <c r="A125" s="72">
        <f>'FERC Interest Rates'!A140</f>
        <v>45260</v>
      </c>
      <c r="B125" s="197">
        <v>9481292</v>
      </c>
      <c r="C125" s="197">
        <f>7408104+126932-58269</f>
        <v>7476767</v>
      </c>
      <c r="D125" s="197">
        <v>1278023</v>
      </c>
      <c r="E125" s="53">
        <f t="shared" ref="E125:E136" si="70">SUM(B125:D125)</f>
        <v>18236082</v>
      </c>
      <c r="F125" s="165">
        <v>0</v>
      </c>
      <c r="G125" s="197">
        <f>169608+236897-169608</f>
        <v>236897</v>
      </c>
      <c r="H125" s="53">
        <f t="shared" ref="H125:H136" si="71">SUM(F125:G125)</f>
        <v>236897</v>
      </c>
      <c r="I125" s="101">
        <f t="shared" ref="I125:I136" si="72">E125+H125</f>
        <v>18472979</v>
      </c>
      <c r="J125" s="101">
        <f t="shared" ref="J125:J135" si="73">+I125+S125+T125</f>
        <v>30097159</v>
      </c>
      <c r="K125" s="197">
        <f>40486948+50810132+41027866+61050456-40486948-50810132</f>
        <v>102078322</v>
      </c>
      <c r="L125" s="53">
        <f t="shared" ref="L125:L136" si="74">I125+K125</f>
        <v>120551301</v>
      </c>
      <c r="M125" s="73" t="s">
        <v>206</v>
      </c>
      <c r="N125" s="197">
        <f>579135+647908+390563+742775+579828+4409709+0+2129559+554903+361115+1005088+568729+9538856+3859695-579135-647908-390563-742775-579828-4409709-0</f>
        <v>18017945</v>
      </c>
      <c r="O125" s="53">
        <f t="shared" ref="O125:O136" si="75">K125-N125</f>
        <v>84060377</v>
      </c>
      <c r="P125" s="55">
        <f t="shared" ref="P125:P136" si="76">L125-N125</f>
        <v>102533356</v>
      </c>
      <c r="Q125" s="55">
        <f t="shared" ref="Q125:Q133" si="77">+P125+S125+T125</f>
        <v>114157536</v>
      </c>
      <c r="R125" s="167">
        <v>0</v>
      </c>
      <c r="S125" s="101">
        <f t="shared" ref="S125:S136" si="78">+U125-U124</f>
        <v>7082618</v>
      </c>
      <c r="T125" s="104">
        <f t="shared" ref="T125:T136" si="79">+V125-V124</f>
        <v>4541562</v>
      </c>
      <c r="U125" s="200">
        <v>13431914</v>
      </c>
      <c r="V125" s="201">
        <f>9375665+1032585</f>
        <v>10408250</v>
      </c>
    </row>
    <row r="126" spans="1:22">
      <c r="A126" s="72">
        <f>'FERC Interest Rates'!A141</f>
        <v>45291</v>
      </c>
      <c r="B126" s="197">
        <v>17129779</v>
      </c>
      <c r="C126" s="197">
        <f>13283846+138691-126932</f>
        <v>13295605</v>
      </c>
      <c r="D126" s="197">
        <v>1732486</v>
      </c>
      <c r="E126" s="53">
        <f t="shared" si="70"/>
        <v>32157870</v>
      </c>
      <c r="F126" s="165">
        <v>0</v>
      </c>
      <c r="G126" s="197">
        <f>236897+249527-236897</f>
        <v>249527</v>
      </c>
      <c r="H126" s="53">
        <f t="shared" si="71"/>
        <v>249527</v>
      </c>
      <c r="I126" s="101">
        <f t="shared" si="72"/>
        <v>32407397</v>
      </c>
      <c r="J126" s="101">
        <f t="shared" si="73"/>
        <v>33487259</v>
      </c>
      <c r="K126" s="197">
        <f>40871819+61050456+41100868+65929707-41027866-61050456</f>
        <v>106874528</v>
      </c>
      <c r="L126" s="53">
        <f t="shared" si="74"/>
        <v>139281925</v>
      </c>
      <c r="M126" s="73" t="s">
        <v>206</v>
      </c>
      <c r="N126" s="197">
        <f>2129559+554903+361115+1005088+568729+9538856+3859695+2157634+541421+364903+1058252+612495+10049655+5703662-2129559-554903-361115-1005088-568729-9538856-3859695</f>
        <v>20488022</v>
      </c>
      <c r="O126" s="53">
        <f t="shared" si="75"/>
        <v>86386506</v>
      </c>
      <c r="P126" s="55">
        <f t="shared" si="76"/>
        <v>118793903</v>
      </c>
      <c r="Q126" s="55">
        <f t="shared" si="77"/>
        <v>119873765</v>
      </c>
      <c r="R126" s="167">
        <v>0</v>
      </c>
      <c r="S126" s="101">
        <f t="shared" si="78"/>
        <v>635316</v>
      </c>
      <c r="T126" s="104">
        <f t="shared" si="79"/>
        <v>444546</v>
      </c>
      <c r="U126" s="200">
        <v>14067230</v>
      </c>
      <c r="V126" s="201">
        <f>9891430+961366</f>
        <v>10852796</v>
      </c>
    </row>
    <row r="127" spans="1:22">
      <c r="A127" s="72">
        <f>'FERC Interest Rates'!A142</f>
        <v>45322</v>
      </c>
      <c r="B127" s="197">
        <v>21224674</v>
      </c>
      <c r="C127" s="197">
        <f>16374089+184509-138691</f>
        <v>16419907</v>
      </c>
      <c r="D127" s="197">
        <v>2204013</v>
      </c>
      <c r="E127" s="53">
        <f t="shared" si="70"/>
        <v>39848594</v>
      </c>
      <c r="F127" s="165">
        <v>0</v>
      </c>
      <c r="G127" s="197">
        <f>249527+264985-249527</f>
        <v>264985</v>
      </c>
      <c r="H127" s="53">
        <f t="shared" si="71"/>
        <v>264985</v>
      </c>
      <c r="I127" s="101">
        <f t="shared" si="72"/>
        <v>40113579</v>
      </c>
      <c r="J127" s="101">
        <f t="shared" si="73"/>
        <v>42566487</v>
      </c>
      <c r="K127" s="197">
        <f>41100868+65929707+46975513+67845687-41100868-65929707</f>
        <v>114821200</v>
      </c>
      <c r="L127" s="53">
        <f t="shared" si="74"/>
        <v>154934779</v>
      </c>
      <c r="M127" s="73" t="s">
        <v>206</v>
      </c>
      <c r="N127" s="197">
        <f>2157634+541421+364903+1058252+612495+10049655+5703662+3029583+792023+461359+806879+584297+8870016+5684615-2157634-541421-364903-1058252-612495-10049655-5703662</f>
        <v>20228772</v>
      </c>
      <c r="O127" s="53">
        <f t="shared" si="75"/>
        <v>94592428</v>
      </c>
      <c r="P127" s="55">
        <f t="shared" si="76"/>
        <v>134706007</v>
      </c>
      <c r="Q127" s="55">
        <f t="shared" si="77"/>
        <v>137158915</v>
      </c>
      <c r="R127" s="167">
        <v>0</v>
      </c>
      <c r="S127" s="101">
        <f t="shared" si="78"/>
        <v>1431826</v>
      </c>
      <c r="T127" s="104">
        <f t="shared" si="79"/>
        <v>1021082</v>
      </c>
      <c r="U127" s="200">
        <v>15499056</v>
      </c>
      <c r="V127" s="201">
        <f>10822314+1051564</f>
        <v>11873878</v>
      </c>
    </row>
    <row r="128" spans="1:22">
      <c r="A128" s="72">
        <f>'FERC Interest Rates'!A143</f>
        <v>45351</v>
      </c>
      <c r="B128" s="197">
        <v>19141383</v>
      </c>
      <c r="C128" s="197">
        <f>15698582+122138-184509+27</f>
        <v>15636238</v>
      </c>
      <c r="D128" s="197">
        <v>1905046</v>
      </c>
      <c r="E128" s="53">
        <f t="shared" si="70"/>
        <v>36682667</v>
      </c>
      <c r="F128" s="165">
        <v>0</v>
      </c>
      <c r="G128" s="197">
        <f>264985+238288-264985</f>
        <v>238288</v>
      </c>
      <c r="H128" s="53">
        <f t="shared" si="71"/>
        <v>238288</v>
      </c>
      <c r="I128" s="101">
        <f t="shared" si="72"/>
        <v>36920955</v>
      </c>
      <c r="J128" s="101">
        <f t="shared" si="73"/>
        <v>31719911</v>
      </c>
      <c r="K128" s="197">
        <f>46713434+67845687+43036788+67210689-46975513-67845687</f>
        <v>109985398</v>
      </c>
      <c r="L128" s="53">
        <f t="shared" si="74"/>
        <v>146906353</v>
      </c>
      <c r="M128" s="73" t="s">
        <v>206</v>
      </c>
      <c r="N128" s="197">
        <f>3029583+792023+461359+806879+584297+8870016+5684615+3216276+671659+339591+986986+546128+8977741+6159644-3029583-792023-461359-806879-584297-8870016-5684615</f>
        <v>20898025</v>
      </c>
      <c r="O128" s="53">
        <f t="shared" si="75"/>
        <v>89087373</v>
      </c>
      <c r="P128" s="55">
        <f t="shared" si="76"/>
        <v>126008328</v>
      </c>
      <c r="Q128" s="55">
        <f t="shared" si="77"/>
        <v>120807284</v>
      </c>
      <c r="R128" s="167">
        <v>0</v>
      </c>
      <c r="S128" s="101">
        <f t="shared" si="78"/>
        <v>-3293573</v>
      </c>
      <c r="T128" s="104">
        <f t="shared" si="79"/>
        <v>-1907471</v>
      </c>
      <c r="U128" s="200">
        <v>12205483</v>
      </c>
      <c r="V128" s="201">
        <f>9095253+871154</f>
        <v>9966407</v>
      </c>
    </row>
    <row r="129" spans="1:22">
      <c r="A129" s="72">
        <f>'FERC Interest Rates'!A144</f>
        <v>45382</v>
      </c>
      <c r="B129" s="197">
        <v>16727484</v>
      </c>
      <c r="C129" s="197">
        <f>12981472-27+94812-122138</f>
        <v>12954119</v>
      </c>
      <c r="D129" s="197">
        <v>1719978</v>
      </c>
      <c r="E129" s="53">
        <f t="shared" si="70"/>
        <v>31401581</v>
      </c>
      <c r="F129" s="165">
        <v>0</v>
      </c>
      <c r="G129" s="197">
        <f>238288+228698-238288</f>
        <v>228698</v>
      </c>
      <c r="H129" s="53">
        <f t="shared" si="71"/>
        <v>228698</v>
      </c>
      <c r="I129" s="101">
        <f t="shared" si="72"/>
        <v>31630279</v>
      </c>
      <c r="J129" s="101">
        <f t="shared" si="73"/>
        <v>26810182</v>
      </c>
      <c r="K129" s="197">
        <f>43036788+67210689+40834105+56297662-43036788-67210689</f>
        <v>97131767</v>
      </c>
      <c r="L129" s="53">
        <f t="shared" si="74"/>
        <v>128762046</v>
      </c>
      <c r="M129" s="73" t="s">
        <v>206</v>
      </c>
      <c r="N129" s="197">
        <f>3216276+671659+339591+986986+546128+8977741+6159644+3746273+698358+427384+1125949+595229+8736862+2931495-3216276-671659-339591-986986-546128-8977741-6159644</f>
        <v>18261550</v>
      </c>
      <c r="O129" s="53">
        <f t="shared" si="75"/>
        <v>78870217</v>
      </c>
      <c r="P129" s="55">
        <f t="shared" si="76"/>
        <v>110500496</v>
      </c>
      <c r="Q129" s="55">
        <f t="shared" si="77"/>
        <v>105680399</v>
      </c>
      <c r="R129" s="167">
        <v>0</v>
      </c>
      <c r="S129" s="101">
        <f t="shared" si="78"/>
        <v>-2422933</v>
      </c>
      <c r="T129" s="104">
        <f t="shared" si="79"/>
        <v>-2397164</v>
      </c>
      <c r="U129" s="200">
        <v>9782550</v>
      </c>
      <c r="V129" s="201">
        <f>6914906+654337</f>
        <v>7569243</v>
      </c>
    </row>
    <row r="130" spans="1:22">
      <c r="A130" s="72">
        <f>'FERC Interest Rates'!A145</f>
        <v>45412</v>
      </c>
      <c r="B130" s="197">
        <v>11522414</v>
      </c>
      <c r="C130" s="197">
        <f>9433322+66266-94812</f>
        <v>9404776</v>
      </c>
      <c r="D130" s="197">
        <v>1419282</v>
      </c>
      <c r="E130" s="53">
        <f t="shared" si="70"/>
        <v>22346472</v>
      </c>
      <c r="F130" s="165">
        <v>0</v>
      </c>
      <c r="G130" s="197">
        <f>228698+195240-228698</f>
        <v>195240</v>
      </c>
      <c r="H130" s="53">
        <f t="shared" si="71"/>
        <v>195240</v>
      </c>
      <c r="I130" s="101">
        <f t="shared" si="72"/>
        <v>22541712</v>
      </c>
      <c r="J130" s="101">
        <f t="shared" si="73"/>
        <v>17828454</v>
      </c>
      <c r="K130" s="197">
        <f>40834105+56297662+40079550+47888357-40834105-56297662</f>
        <v>87967907</v>
      </c>
      <c r="L130" s="53">
        <f t="shared" si="74"/>
        <v>110509619</v>
      </c>
      <c r="M130" s="73" t="s">
        <v>206</v>
      </c>
      <c r="N130" s="197">
        <f>3746273+698358+427384+1125949+595229+8736862+2931495+3290495+657501+257572+1066745+574164+1558601+569856-3746273-698358-427384-1125949-595229-8736862-2931495</f>
        <v>7974934</v>
      </c>
      <c r="O130" s="53">
        <f t="shared" si="75"/>
        <v>79992973</v>
      </c>
      <c r="P130" s="55">
        <f t="shared" si="76"/>
        <v>102534685</v>
      </c>
      <c r="Q130" s="55">
        <f t="shared" si="77"/>
        <v>97821427</v>
      </c>
      <c r="R130" s="167">
        <v>0</v>
      </c>
      <c r="S130" s="101">
        <f t="shared" si="78"/>
        <v>-2826331</v>
      </c>
      <c r="T130" s="104">
        <f t="shared" si="79"/>
        <v>-1886927</v>
      </c>
      <c r="U130" s="200">
        <v>6956219</v>
      </c>
      <c r="V130" s="201">
        <f>5147493+534823</f>
        <v>5682316</v>
      </c>
    </row>
    <row r="131" spans="1:22">
      <c r="A131" s="72">
        <f>'FERC Interest Rates'!A146</f>
        <v>45443</v>
      </c>
      <c r="B131" s="197">
        <v>8412935</v>
      </c>
      <c r="C131" s="197">
        <f>6959148+35801-66266</f>
        <v>6928683</v>
      </c>
      <c r="D131" s="197">
        <v>1250792</v>
      </c>
      <c r="E131" s="53">
        <f t="shared" si="70"/>
        <v>16592410</v>
      </c>
      <c r="F131" s="165">
        <v>0</v>
      </c>
      <c r="G131" s="197">
        <f>195240+163264-195240</f>
        <v>163264</v>
      </c>
      <c r="H131" s="53">
        <f t="shared" si="71"/>
        <v>163264</v>
      </c>
      <c r="I131" s="101">
        <f t="shared" si="72"/>
        <v>16755674</v>
      </c>
      <c r="J131" s="101">
        <f t="shared" si="73"/>
        <v>12862894</v>
      </c>
      <c r="K131" s="197">
        <f>40079550+47888357+39429169+20381158-40079550-47888357</f>
        <v>59810327</v>
      </c>
      <c r="L131" s="53">
        <f t="shared" si="74"/>
        <v>76566001</v>
      </c>
      <c r="M131" s="73" t="s">
        <v>206</v>
      </c>
      <c r="N131" s="197">
        <f>3290495+657501+257572+1066745+574164+1558601+569856+3582169+257267+309386+1125660+567105+1309983+6450335-3290495-657501-257572-1066745-574164-1558601-569856</f>
        <v>13601905</v>
      </c>
      <c r="O131" s="53">
        <f t="shared" si="75"/>
        <v>46208422</v>
      </c>
      <c r="P131" s="55">
        <f t="shared" si="76"/>
        <v>62964096</v>
      </c>
      <c r="Q131" s="55">
        <f t="shared" si="77"/>
        <v>59071316</v>
      </c>
      <c r="R131" s="167">
        <v>0</v>
      </c>
      <c r="S131" s="101">
        <f t="shared" si="78"/>
        <v>-2160126</v>
      </c>
      <c r="T131" s="104">
        <f t="shared" si="79"/>
        <v>-1732654</v>
      </c>
      <c r="U131" s="200">
        <v>4796093</v>
      </c>
      <c r="V131" s="201">
        <f>3563321+386341</f>
        <v>3949662</v>
      </c>
    </row>
    <row r="132" spans="1:22">
      <c r="A132" s="72">
        <f>'FERC Interest Rates'!A147</f>
        <v>45473</v>
      </c>
      <c r="B132" s="197">
        <v>5217607</v>
      </c>
      <c r="C132" s="197">
        <f>4730251+16664-35801</f>
        <v>4711114</v>
      </c>
      <c r="D132" s="197">
        <v>1020885</v>
      </c>
      <c r="E132" s="53">
        <f t="shared" si="70"/>
        <v>10949606</v>
      </c>
      <c r="F132" s="165">
        <v>0</v>
      </c>
      <c r="G132" s="197">
        <f>163264+113835-163264</f>
        <v>113835</v>
      </c>
      <c r="H132" s="53">
        <f t="shared" si="71"/>
        <v>113835</v>
      </c>
      <c r="I132" s="101">
        <f t="shared" si="72"/>
        <v>11063441</v>
      </c>
      <c r="J132" s="101">
        <f t="shared" si="73"/>
        <v>7606025</v>
      </c>
      <c r="K132" s="197">
        <f>39446493+20381158+37457499+30321137-39429169-20381158</f>
        <v>67795960</v>
      </c>
      <c r="L132" s="53">
        <f t="shared" si="74"/>
        <v>78859401</v>
      </c>
      <c r="M132" s="73" t="s">
        <v>206</v>
      </c>
      <c r="N132" s="197">
        <f>3582169+257267+309386+1125660+567105+1309983+6450335+3687783+593479+262801+1019631+515222+2683101+747602-3582169-257267-309386-1125660-567105-1309983-6450335</f>
        <v>9509619</v>
      </c>
      <c r="O132" s="53">
        <f t="shared" si="75"/>
        <v>58286341</v>
      </c>
      <c r="P132" s="55">
        <f t="shared" si="76"/>
        <v>69349782</v>
      </c>
      <c r="Q132" s="55">
        <f t="shared" si="77"/>
        <v>65892366</v>
      </c>
      <c r="R132" s="167">
        <v>0</v>
      </c>
      <c r="S132" s="101">
        <f t="shared" si="78"/>
        <v>-2758918</v>
      </c>
      <c r="T132" s="104">
        <f t="shared" si="79"/>
        <v>-698498</v>
      </c>
      <c r="U132" s="200">
        <v>2037175</v>
      </c>
      <c r="V132" s="201">
        <f>2922710+328454</f>
        <v>3251164</v>
      </c>
    </row>
    <row r="133" spans="1:22">
      <c r="A133" s="72">
        <f>'FERC Interest Rates'!A148</f>
        <v>45504</v>
      </c>
      <c r="B133" s="197">
        <v>3458831</v>
      </c>
      <c r="C133" s="197">
        <f>3614164+10687-16664</f>
        <v>3608187</v>
      </c>
      <c r="D133" s="197">
        <v>844981</v>
      </c>
      <c r="E133" s="53">
        <f t="shared" si="70"/>
        <v>7911999</v>
      </c>
      <c r="F133" s="165">
        <v>0</v>
      </c>
      <c r="G133" s="197">
        <f>113835+35751-113835</f>
        <v>35751</v>
      </c>
      <c r="H133" s="53">
        <f t="shared" si="71"/>
        <v>35751</v>
      </c>
      <c r="I133" s="101">
        <f t="shared" si="72"/>
        <v>7947750</v>
      </c>
      <c r="J133" s="101">
        <f t="shared" si="73"/>
        <v>6146458</v>
      </c>
      <c r="K133" s="197">
        <f>37457629+30321137+37602078+48642158-37457499-30321137</f>
        <v>86244366</v>
      </c>
      <c r="L133" s="53">
        <f t="shared" si="74"/>
        <v>94192116</v>
      </c>
      <c r="M133" s="73" t="s">
        <v>206</v>
      </c>
      <c r="N133" s="197">
        <f>3687783+593479+262801+1019631+515222+2683101+747602+3713395+506445+215839+1079322+520240+6137845+2061255-3687783-593479-262801-1019631-515222-2683101-747602</f>
        <v>14234341</v>
      </c>
      <c r="O133" s="53">
        <f t="shared" si="75"/>
        <v>72010025</v>
      </c>
      <c r="P133" s="55">
        <f t="shared" si="76"/>
        <v>79957775</v>
      </c>
      <c r="Q133" s="55">
        <f t="shared" si="77"/>
        <v>78156483</v>
      </c>
      <c r="R133" s="167">
        <v>0</v>
      </c>
      <c r="S133" s="101">
        <f t="shared" si="78"/>
        <v>-327425</v>
      </c>
      <c r="T133" s="104">
        <f t="shared" si="79"/>
        <v>-1473867</v>
      </c>
      <c r="U133" s="200">
        <v>1709750</v>
      </c>
      <c r="V133" s="201">
        <f>1591699+185598</f>
        <v>1777297</v>
      </c>
    </row>
    <row r="134" spans="1:22">
      <c r="A134" s="72">
        <f>'FERC Interest Rates'!A149</f>
        <v>45535</v>
      </c>
      <c r="B134" s="197">
        <v>2665696</v>
      </c>
      <c r="C134" s="197">
        <f>3018226+12550-10687</f>
        <v>3020089</v>
      </c>
      <c r="D134" s="197">
        <v>768716</v>
      </c>
      <c r="E134" s="53">
        <f t="shared" si="70"/>
        <v>6454501</v>
      </c>
      <c r="F134" s="165">
        <v>0</v>
      </c>
      <c r="G134" s="197">
        <f>35751+37599-35751</f>
        <v>37599</v>
      </c>
      <c r="H134" s="53">
        <f>SUM(F134:G134)</f>
        <v>37599</v>
      </c>
      <c r="I134" s="101">
        <f t="shared" si="72"/>
        <v>6492100</v>
      </c>
      <c r="J134" s="101">
        <f>+I134+S134+T134</f>
        <v>5630149</v>
      </c>
      <c r="K134" s="197">
        <f>48642158+37602257+45443659+38163004-48642158-37602078</f>
        <v>83606842</v>
      </c>
      <c r="L134" s="53">
        <f>I134+K134</f>
        <v>90098942</v>
      </c>
      <c r="M134" s="73" t="s">
        <v>206</v>
      </c>
      <c r="N134" s="197">
        <f>3713395+506445+215839+1079322+520240+6137845+2061255+3742080+596058+264959+1095684+526284+4248324+237281-3713395-506445-215839-1079322-520240-6137845-2061255</f>
        <v>10710670</v>
      </c>
      <c r="O134" s="53">
        <f>K134-N134</f>
        <v>72896172</v>
      </c>
      <c r="P134" s="55">
        <f>L134-N134</f>
        <v>79388272</v>
      </c>
      <c r="Q134" s="55">
        <f>+P134+S134+T134</f>
        <v>78526321</v>
      </c>
      <c r="R134" s="167">
        <v>0</v>
      </c>
      <c r="S134" s="101">
        <f>+U134-U133</f>
        <v>-475168</v>
      </c>
      <c r="T134" s="104">
        <f t="shared" si="79"/>
        <v>-386783</v>
      </c>
      <c r="U134" s="200">
        <v>1234582</v>
      </c>
      <c r="V134" s="201">
        <f>1224864+165650</f>
        <v>1390514</v>
      </c>
    </row>
    <row r="135" spans="1:22">
      <c r="A135" s="72">
        <f>'FERC Interest Rates'!A150</f>
        <v>45565</v>
      </c>
      <c r="B135" s="197">
        <v>2858999</v>
      </c>
      <c r="C135" s="197">
        <v>3080073</v>
      </c>
      <c r="D135" s="197">
        <v>794387</v>
      </c>
      <c r="E135" s="53">
        <f t="shared" si="70"/>
        <v>6733459</v>
      </c>
      <c r="F135" s="165">
        <v>0</v>
      </c>
      <c r="G135" s="197">
        <v>42323</v>
      </c>
      <c r="H135" s="53">
        <f t="shared" si="71"/>
        <v>42323</v>
      </c>
      <c r="I135" s="101">
        <f t="shared" si="72"/>
        <v>6775782</v>
      </c>
      <c r="J135" s="101">
        <f t="shared" si="73"/>
        <v>7678253</v>
      </c>
      <c r="K135" s="197">
        <v>82443964</v>
      </c>
      <c r="L135" s="53">
        <f t="shared" si="74"/>
        <v>89219746</v>
      </c>
      <c r="M135" s="73" t="s">
        <v>206</v>
      </c>
      <c r="N135" s="197">
        <v>9131253</v>
      </c>
      <c r="O135" s="53">
        <f t="shared" si="75"/>
        <v>73312711</v>
      </c>
      <c r="P135" s="55">
        <f t="shared" si="76"/>
        <v>80088493</v>
      </c>
      <c r="Q135" s="55">
        <f>+P135+S135+T135</f>
        <v>80990964</v>
      </c>
      <c r="R135" s="167">
        <v>0</v>
      </c>
      <c r="S135" s="101">
        <f>+U135-U134</f>
        <v>466583</v>
      </c>
      <c r="T135" s="104">
        <f>+V135-V134</f>
        <v>435888</v>
      </c>
      <c r="U135" s="200">
        <v>1701165</v>
      </c>
      <c r="V135" s="201">
        <v>1826402</v>
      </c>
    </row>
    <row r="136" spans="1:22">
      <c r="A136" s="72">
        <f>'FERC Interest Rates'!A151</f>
        <v>45596</v>
      </c>
      <c r="B136" s="197">
        <v>4977388</v>
      </c>
      <c r="C136" s="197">
        <v>4622658</v>
      </c>
      <c r="D136" s="197">
        <v>1374825</v>
      </c>
      <c r="E136" s="53">
        <f t="shared" si="70"/>
        <v>10974871</v>
      </c>
      <c r="F136" s="165">
        <v>0</v>
      </c>
      <c r="G136" s="197">
        <v>65711</v>
      </c>
      <c r="H136" s="53">
        <f t="shared" si="71"/>
        <v>65711</v>
      </c>
      <c r="I136" s="101">
        <f t="shared" si="72"/>
        <v>11040582</v>
      </c>
      <c r="J136" s="101">
        <f>+I136+S136+T136</f>
        <v>16552003</v>
      </c>
      <c r="K136" s="197">
        <v>78996811</v>
      </c>
      <c r="L136" s="53">
        <f t="shared" si="74"/>
        <v>90037393</v>
      </c>
      <c r="M136" s="73" t="s">
        <v>206</v>
      </c>
      <c r="N136" s="197">
        <v>9989300</v>
      </c>
      <c r="O136" s="53">
        <f t="shared" si="75"/>
        <v>69007511</v>
      </c>
      <c r="P136" s="55">
        <f t="shared" si="76"/>
        <v>80048093</v>
      </c>
      <c r="Q136" s="55">
        <f>+P136+S136+T136</f>
        <v>85559514</v>
      </c>
      <c r="R136" s="167">
        <v>0</v>
      </c>
      <c r="S136" s="101">
        <f t="shared" si="78"/>
        <v>3018053</v>
      </c>
      <c r="T136" s="104">
        <f t="shared" si="79"/>
        <v>2493368</v>
      </c>
      <c r="U136" s="200">
        <v>4719218</v>
      </c>
      <c r="V136" s="201">
        <v>4319770</v>
      </c>
    </row>
    <row r="137" spans="1:22">
      <c r="A137" s="72">
        <f>'FERC Interest Rates'!A152</f>
        <v>45626</v>
      </c>
      <c r="B137" s="197">
        <v>9144358</v>
      </c>
      <c r="C137" s="197">
        <v>7262559</v>
      </c>
      <c r="D137" s="197">
        <v>1261008</v>
      </c>
      <c r="E137" s="53">
        <f t="shared" ref="E137:E140" si="80">SUM(B137:D137)</f>
        <v>17667925</v>
      </c>
      <c r="F137" s="165">
        <v>0</v>
      </c>
      <c r="G137" s="197">
        <v>84258</v>
      </c>
      <c r="H137" s="53">
        <f t="shared" ref="H137:H140" si="81">SUM(F137:G137)</f>
        <v>84258</v>
      </c>
      <c r="I137" s="101">
        <f t="shared" ref="I137:I140" si="82">E137+H137</f>
        <v>17752183</v>
      </c>
      <c r="J137" s="101">
        <f>+I137+S137+T137</f>
        <v>29806772</v>
      </c>
      <c r="K137" s="197">
        <v>88434470</v>
      </c>
      <c r="L137" s="53">
        <f t="shared" ref="L137:L140" si="83">I137+K137</f>
        <v>106186653</v>
      </c>
      <c r="M137" s="73" t="s">
        <v>206</v>
      </c>
      <c r="N137" s="197">
        <v>14962646</v>
      </c>
      <c r="O137" s="53">
        <f t="shared" ref="O137:O140" si="84">K137-N137</f>
        <v>73471824</v>
      </c>
      <c r="P137" s="55">
        <f t="shared" ref="P137:P140" si="85">L137-N137</f>
        <v>91224007</v>
      </c>
      <c r="Q137" s="55">
        <f>+P137+S137+T137</f>
        <v>103278596</v>
      </c>
      <c r="R137" s="167">
        <v>0</v>
      </c>
      <c r="S137" s="101">
        <f t="shared" ref="S137:S140" si="86">+U137-U136</f>
        <v>7110589</v>
      </c>
      <c r="T137" s="104">
        <f t="shared" ref="T137:T140" si="87">+V137-V136</f>
        <v>4944000</v>
      </c>
      <c r="U137" s="200">
        <v>11829807</v>
      </c>
      <c r="V137" s="201">
        <v>9263770</v>
      </c>
    </row>
    <row r="138" spans="1:22">
      <c r="A138" s="72">
        <f>'FERC Interest Rates'!A153</f>
        <v>45657</v>
      </c>
      <c r="B138" s="197">
        <v>16989465</v>
      </c>
      <c r="C138" s="197">
        <v>13054702</v>
      </c>
      <c r="D138" s="197">
        <v>1880164</v>
      </c>
      <c r="E138" s="53">
        <f t="shared" si="80"/>
        <v>31924331</v>
      </c>
      <c r="F138" s="165">
        <v>0</v>
      </c>
      <c r="G138" s="197">
        <v>97597</v>
      </c>
      <c r="H138" s="53">
        <f t="shared" si="81"/>
        <v>97597</v>
      </c>
      <c r="I138" s="101">
        <f t="shared" si="82"/>
        <v>32021928</v>
      </c>
      <c r="J138" s="101">
        <f t="shared" ref="J138:J140" si="88">+I138+S138+T138</f>
        <v>36748481</v>
      </c>
      <c r="K138" s="197">
        <v>106543692</v>
      </c>
      <c r="L138" s="53">
        <f t="shared" si="83"/>
        <v>138565620</v>
      </c>
      <c r="M138" s="73" t="s">
        <v>206</v>
      </c>
      <c r="N138" s="197">
        <v>20544900</v>
      </c>
      <c r="O138" s="53">
        <f t="shared" si="84"/>
        <v>85998792</v>
      </c>
      <c r="P138" s="55">
        <f t="shared" si="85"/>
        <v>118020720</v>
      </c>
      <c r="Q138" s="55">
        <f t="shared" ref="Q138:Q140" si="89">+P138+S138+T138</f>
        <v>122747273</v>
      </c>
      <c r="R138" s="167">
        <v>0</v>
      </c>
      <c r="S138" s="101">
        <f t="shared" si="86"/>
        <v>2833327</v>
      </c>
      <c r="T138" s="104">
        <f t="shared" si="87"/>
        <v>1893226</v>
      </c>
      <c r="U138" s="200">
        <v>14663134</v>
      </c>
      <c r="V138" s="201">
        <v>11156996</v>
      </c>
    </row>
    <row r="139" spans="1:22">
      <c r="A139" s="72">
        <f>'FERC Interest Rates'!A154</f>
        <v>45688</v>
      </c>
      <c r="B139" s="197">
        <v>20359408</v>
      </c>
      <c r="C139" s="197">
        <v>16166762</v>
      </c>
      <c r="D139" s="197">
        <v>2111999</v>
      </c>
      <c r="E139" s="53">
        <f t="shared" si="80"/>
        <v>38638169</v>
      </c>
      <c r="F139" s="165">
        <v>0</v>
      </c>
      <c r="G139" s="197">
        <v>108155</v>
      </c>
      <c r="H139" s="53">
        <f t="shared" si="81"/>
        <v>108155</v>
      </c>
      <c r="I139" s="101">
        <f t="shared" si="82"/>
        <v>38746324</v>
      </c>
      <c r="J139" s="101">
        <f t="shared" si="88"/>
        <v>41223238</v>
      </c>
      <c r="K139" s="197">
        <v>88136800</v>
      </c>
      <c r="L139" s="53">
        <f t="shared" si="83"/>
        <v>126883124</v>
      </c>
      <c r="M139" s="73" t="s">
        <v>206</v>
      </c>
      <c r="N139" s="197">
        <v>8436868</v>
      </c>
      <c r="O139" s="53">
        <f t="shared" si="84"/>
        <v>79699932</v>
      </c>
      <c r="P139" s="55">
        <f t="shared" si="85"/>
        <v>118446256</v>
      </c>
      <c r="Q139" s="55">
        <f t="shared" si="89"/>
        <v>120923170</v>
      </c>
      <c r="R139" s="167">
        <v>0</v>
      </c>
      <c r="S139" s="101">
        <f t="shared" si="86"/>
        <v>1147091</v>
      </c>
      <c r="T139" s="104">
        <f t="shared" si="87"/>
        <v>1329823</v>
      </c>
      <c r="U139" s="200">
        <v>15810225</v>
      </c>
      <c r="V139" s="201">
        <v>12486819</v>
      </c>
    </row>
    <row r="140" spans="1:22">
      <c r="A140" s="72">
        <f>'FERC Interest Rates'!A155</f>
        <v>45716</v>
      </c>
      <c r="B140" s="197">
        <v>21719264</v>
      </c>
      <c r="C140" s="197">
        <v>17259812</v>
      </c>
      <c r="D140" s="197">
        <v>2018320</v>
      </c>
      <c r="E140" s="53">
        <f t="shared" si="80"/>
        <v>40997396</v>
      </c>
      <c r="F140" s="165">
        <v>0</v>
      </c>
      <c r="G140" s="197">
        <v>97023</v>
      </c>
      <c r="H140" s="53">
        <f t="shared" si="81"/>
        <v>97023</v>
      </c>
      <c r="I140" s="101">
        <f t="shared" si="82"/>
        <v>41094419</v>
      </c>
      <c r="J140" s="101">
        <f t="shared" si="88"/>
        <v>37570997</v>
      </c>
      <c r="K140" s="197">
        <v>85149339</v>
      </c>
      <c r="L140" s="53">
        <f t="shared" si="83"/>
        <v>126243758</v>
      </c>
      <c r="M140" s="73" t="s">
        <v>206</v>
      </c>
      <c r="N140" s="197">
        <v>10629475</v>
      </c>
      <c r="O140" s="53">
        <f t="shared" si="84"/>
        <v>74519864</v>
      </c>
      <c r="P140" s="55">
        <f t="shared" si="85"/>
        <v>115614283</v>
      </c>
      <c r="Q140" s="55">
        <f t="shared" si="89"/>
        <v>112090861</v>
      </c>
      <c r="R140" s="167">
        <v>0</v>
      </c>
      <c r="S140" s="101">
        <f t="shared" si="86"/>
        <v>-1950432</v>
      </c>
      <c r="T140" s="104">
        <f t="shared" si="87"/>
        <v>-1572990</v>
      </c>
      <c r="U140" s="200">
        <v>13859793</v>
      </c>
      <c r="V140" s="201">
        <v>10913829</v>
      </c>
    </row>
    <row r="141" spans="1:22">
      <c r="B141" s="197"/>
      <c r="C141" s="197"/>
      <c r="D141" s="197"/>
      <c r="G141" s="197"/>
    </row>
    <row r="142" spans="1:22">
      <c r="B142" s="197"/>
      <c r="C142" s="197"/>
      <c r="D142" s="197"/>
      <c r="G142" s="197"/>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8"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B30C-301B-40F5-957F-963D6EF162D6}">
  <sheetPr>
    <pageSetUpPr fitToPage="1"/>
  </sheetPr>
  <dimension ref="A1:Z48"/>
  <sheetViews>
    <sheetView showGridLines="0" zoomScale="115" zoomScaleNormal="115" zoomScaleSheetLayoutView="85" workbookViewId="0">
      <selection activeCell="F2" sqref="F2"/>
    </sheetView>
  </sheetViews>
  <sheetFormatPr defaultRowHeight="15"/>
  <cols>
    <col min="1" max="1" width="2.6640625" style="2" customWidth="1"/>
    <col min="2" max="2" width="13.21875" style="2" customWidth="1"/>
    <col min="3" max="3" width="15" style="252" customWidth="1"/>
    <col min="4" max="4" width="4.109375" style="253" bestFit="1" customWidth="1"/>
    <col min="5" max="5" width="11" style="253" customWidth="1"/>
    <col min="6" max="6" width="11.6640625" style="254" bestFit="1" customWidth="1"/>
    <col min="7" max="7" width="12.109375" style="255" bestFit="1" customWidth="1"/>
    <col min="8" max="8" width="11.109375" style="255" bestFit="1" customWidth="1"/>
    <col min="9" max="9" width="10.33203125" style="255" customWidth="1"/>
    <col min="10" max="10" width="13.109375" style="255" bestFit="1" customWidth="1"/>
    <col min="11" max="11" width="12.5546875" style="255" customWidth="1"/>
    <col min="12" max="13" width="13.77734375" style="255" bestFit="1" customWidth="1"/>
    <col min="14" max="14" width="5.6640625" style="2" customWidth="1"/>
    <col min="15" max="15" width="4.44140625" style="256" customWidth="1"/>
    <col min="16" max="16" width="11.44140625" style="209" bestFit="1" customWidth="1"/>
    <col min="17" max="17" width="15" style="2" hidden="1" customWidth="1"/>
    <col min="18" max="18" width="8.88671875" style="2" hidden="1" customWidth="1"/>
    <col min="19" max="19" width="13.21875" style="2" hidden="1" customWidth="1"/>
    <col min="20" max="20" width="11.44140625" style="2" hidden="1" customWidth="1"/>
    <col min="21" max="21" width="0" style="2" hidden="1" customWidth="1"/>
    <col min="22" max="22" width="13.21875" style="2" hidden="1" customWidth="1"/>
    <col min="23" max="23" width="10.77734375" style="2" hidden="1" customWidth="1"/>
    <col min="24" max="24" width="24.6640625" style="2" hidden="1" customWidth="1"/>
    <col min="25" max="25" width="8.88671875" style="2"/>
    <col min="26" max="27" width="10.6640625" style="2" customWidth="1"/>
    <col min="28" max="16384" width="8.88671875" style="2"/>
  </cols>
  <sheetData>
    <row r="1" spans="1:17" ht="10.5" customHeight="1"/>
    <row r="2" spans="1:17" ht="14.25" customHeight="1">
      <c r="B2" s="628">
        <f>'Core Cost Incurred'!B3</f>
        <v>45716</v>
      </c>
      <c r="C2" s="628"/>
      <c r="E2" s="257"/>
      <c r="F2" s="257"/>
      <c r="G2" s="257"/>
      <c r="H2" s="257"/>
      <c r="I2" s="257"/>
      <c r="J2" s="257"/>
      <c r="K2" s="629" t="s">
        <v>207</v>
      </c>
      <c r="L2" s="629"/>
      <c r="M2" s="629"/>
    </row>
    <row r="3" spans="1:17" ht="10.5" customHeight="1">
      <c r="B3" s="648"/>
      <c r="C3" s="648"/>
      <c r="D3" s="257"/>
      <c r="E3" s="257"/>
      <c r="F3" s="257"/>
      <c r="G3" s="257"/>
      <c r="H3" s="257"/>
      <c r="I3" s="257"/>
      <c r="J3" s="257"/>
      <c r="K3" s="630" t="s">
        <v>208</v>
      </c>
      <c r="L3" s="630"/>
      <c r="M3" s="630"/>
    </row>
    <row r="4" spans="1:17" ht="14.25" customHeight="1">
      <c r="B4" s="143" t="s">
        <v>209</v>
      </c>
      <c r="C4" s="258"/>
      <c r="E4" s="631" t="s">
        <v>210</v>
      </c>
      <c r="F4" s="631"/>
      <c r="G4" s="631"/>
      <c r="H4" s="631"/>
      <c r="I4" s="631"/>
      <c r="J4" s="631"/>
      <c r="K4" s="259"/>
      <c r="L4" s="260"/>
      <c r="M4" s="260"/>
    </row>
    <row r="5" spans="1:17" ht="14.25" customHeight="1">
      <c r="B5" s="143" t="s">
        <v>211</v>
      </c>
      <c r="E5" s="631"/>
      <c r="F5" s="631"/>
      <c r="G5" s="631"/>
      <c r="H5" s="631"/>
      <c r="I5" s="631"/>
      <c r="J5" s="631"/>
      <c r="K5" s="259"/>
      <c r="N5" s="261"/>
      <c r="O5" s="262"/>
      <c r="P5" s="263"/>
    </row>
    <row r="6" spans="1:17" ht="15.75">
      <c r="B6" s="248"/>
      <c r="C6" s="264"/>
      <c r="D6" s="265"/>
      <c r="E6" s="265"/>
      <c r="F6" s="266" t="s">
        <v>212</v>
      </c>
      <c r="G6" s="267" t="s">
        <v>147</v>
      </c>
      <c r="H6" s="267" t="s">
        <v>148</v>
      </c>
      <c r="I6" s="267" t="s">
        <v>213</v>
      </c>
      <c r="J6" s="267" t="s">
        <v>147</v>
      </c>
      <c r="K6" s="267" t="s">
        <v>148</v>
      </c>
      <c r="L6" s="267"/>
      <c r="M6" s="267" t="s">
        <v>115</v>
      </c>
      <c r="N6" s="625" t="s">
        <v>214</v>
      </c>
      <c r="O6" s="625"/>
      <c r="P6" s="267"/>
    </row>
    <row r="7" spans="1:17" ht="15.75">
      <c r="B7" s="268"/>
      <c r="C7" s="264"/>
      <c r="D7" s="265"/>
      <c r="E7" s="268"/>
      <c r="F7" s="266" t="s">
        <v>71</v>
      </c>
      <c r="G7" s="267" t="s">
        <v>215</v>
      </c>
      <c r="H7" s="267" t="s">
        <v>215</v>
      </c>
      <c r="I7" s="267" t="s">
        <v>216</v>
      </c>
      <c r="J7" s="267" t="s">
        <v>217</v>
      </c>
      <c r="K7" s="267" t="s">
        <v>217</v>
      </c>
      <c r="L7" s="267" t="s">
        <v>213</v>
      </c>
      <c r="M7" s="267" t="s">
        <v>213</v>
      </c>
      <c r="N7" s="625"/>
      <c r="O7" s="625"/>
      <c r="P7" s="267"/>
      <c r="Q7" s="251"/>
    </row>
    <row r="8" spans="1:17" s="269" customFormat="1" ht="15.75">
      <c r="B8" s="270" t="s">
        <v>214</v>
      </c>
      <c r="C8" s="271"/>
      <c r="D8" s="627" t="s">
        <v>214</v>
      </c>
      <c r="E8" s="627"/>
      <c r="F8" s="272" t="s">
        <v>218</v>
      </c>
      <c r="G8" s="273" t="s">
        <v>219</v>
      </c>
      <c r="H8" s="273" t="str">
        <f>+G8</f>
        <v>Nov 1 2024</v>
      </c>
      <c r="I8" s="274" t="str">
        <f>+H8</f>
        <v>Nov 1 2024</v>
      </c>
      <c r="J8" s="275" t="s">
        <v>220</v>
      </c>
      <c r="K8" s="275" t="s">
        <v>220</v>
      </c>
      <c r="L8" s="275" t="s">
        <v>73</v>
      </c>
      <c r="M8" s="275" t="s">
        <v>220</v>
      </c>
      <c r="N8" s="626"/>
      <c r="O8" s="626"/>
      <c r="P8" s="276" t="s">
        <v>221</v>
      </c>
    </row>
    <row r="9" spans="1:17" ht="13.5" customHeight="1">
      <c r="A9" s="214"/>
      <c r="B9" s="143" t="s">
        <v>11</v>
      </c>
      <c r="C9" s="277" t="s">
        <v>222</v>
      </c>
      <c r="D9" s="258" t="s">
        <v>223</v>
      </c>
      <c r="E9" s="258" t="s">
        <v>224</v>
      </c>
      <c r="F9" s="532">
        <f>+P9</f>
        <v>21719264</v>
      </c>
      <c r="G9" s="538">
        <v>0.47151999999999999</v>
      </c>
      <c r="H9" s="538">
        <v>0.16400999999999999</v>
      </c>
      <c r="I9" s="538">
        <f>0.31866+0.07986</f>
        <v>0.39851999999999999</v>
      </c>
      <c r="J9" s="279">
        <f>ROUND(G9*F9,2)</f>
        <v>10241067.359999999</v>
      </c>
      <c r="K9" s="234">
        <f>ROUND(F9*H9,2)</f>
        <v>3562176.49</v>
      </c>
      <c r="L9" s="278">
        <f>ROUND(F9*I9,2)</f>
        <v>8655561.0899999999</v>
      </c>
      <c r="M9" s="279">
        <f>SUM(J9:L9)</f>
        <v>22458804.939999998</v>
      </c>
      <c r="N9" s="280">
        <v>4800</v>
      </c>
      <c r="O9" s="281">
        <v>503</v>
      </c>
      <c r="P9" s="282">
        <v>21719264</v>
      </c>
    </row>
    <row r="10" spans="1:17" ht="13.5" customHeight="1">
      <c r="A10" s="214"/>
      <c r="B10" s="143" t="s">
        <v>225</v>
      </c>
      <c r="C10" s="277" t="s">
        <v>226</v>
      </c>
      <c r="D10" s="258" t="s">
        <v>223</v>
      </c>
      <c r="E10" s="258" t="s">
        <v>224</v>
      </c>
      <c r="F10" s="539">
        <v>-15810225</v>
      </c>
      <c r="G10" s="533">
        <f>$G$9</f>
        <v>0.47151999999999999</v>
      </c>
      <c r="H10" s="533">
        <f>$H$9</f>
        <v>0.16400999999999999</v>
      </c>
      <c r="I10" s="533">
        <f>+$I$9</f>
        <v>0.39851999999999999</v>
      </c>
      <c r="J10" s="279">
        <f>ROUND(G10*F10,2)</f>
        <v>-7454837.29</v>
      </c>
      <c r="K10" s="234">
        <f>ROUND(F10*H10,2)</f>
        <v>-2593035</v>
      </c>
      <c r="L10" s="234">
        <f>ROUND(F10*I10,2)</f>
        <v>-6300690.8700000001</v>
      </c>
      <c r="M10" s="279">
        <f>SUM(J10:L10)</f>
        <v>-16348563.16</v>
      </c>
      <c r="N10" s="283">
        <v>4809</v>
      </c>
      <c r="O10" s="281">
        <v>505</v>
      </c>
      <c r="P10" s="284">
        <v>1560337</v>
      </c>
    </row>
    <row r="11" spans="1:17" ht="13.5" customHeight="1">
      <c r="A11" s="214"/>
      <c r="B11" s="143" t="s">
        <v>225</v>
      </c>
      <c r="C11" s="277" t="s">
        <v>227</v>
      </c>
      <c r="D11" s="258" t="s">
        <v>223</v>
      </c>
      <c r="E11" s="258" t="s">
        <v>224</v>
      </c>
      <c r="F11" s="540">
        <f>+P24</f>
        <v>13859793</v>
      </c>
      <c r="G11" s="533">
        <f>$G$9</f>
        <v>0.47151999999999999</v>
      </c>
      <c r="H11" s="533">
        <f>$H$9</f>
        <v>0.16400999999999999</v>
      </c>
      <c r="I11" s="533">
        <f>+$I$9</f>
        <v>0.39851999999999999</v>
      </c>
      <c r="J11" s="279">
        <f>ROUND(G11*F11,2)</f>
        <v>6535169.5999999996</v>
      </c>
      <c r="K11" s="234">
        <f>ROUND(F11*H11,2)</f>
        <v>2273144.65</v>
      </c>
      <c r="L11" s="234">
        <f>ROUND(F11*I11,2)</f>
        <v>5523404.71</v>
      </c>
      <c r="M11" s="279">
        <f>SUM(J11:L11)</f>
        <v>14331718.960000001</v>
      </c>
      <c r="N11" s="283">
        <v>4809</v>
      </c>
      <c r="O11" s="281">
        <v>511</v>
      </c>
      <c r="P11" s="284">
        <v>457983</v>
      </c>
    </row>
    <row r="12" spans="1:17" ht="13.5" customHeight="1">
      <c r="A12" s="214"/>
      <c r="B12" s="143"/>
      <c r="C12" s="277"/>
      <c r="D12" s="258"/>
      <c r="E12" s="258"/>
      <c r="F12" s="534"/>
      <c r="G12" s="533"/>
      <c r="H12" s="533"/>
      <c r="I12" s="533"/>
      <c r="J12" s="279"/>
      <c r="K12" s="234"/>
      <c r="L12" s="278"/>
      <c r="M12" s="279"/>
      <c r="N12" s="283">
        <v>4810</v>
      </c>
      <c r="O12" s="281" t="s">
        <v>228</v>
      </c>
      <c r="P12" s="284">
        <v>8703</v>
      </c>
    </row>
    <row r="13" spans="1:17" ht="13.5" customHeight="1">
      <c r="A13" s="214"/>
      <c r="B13" s="143" t="s">
        <v>12</v>
      </c>
      <c r="C13" s="277" t="s">
        <v>229</v>
      </c>
      <c r="D13" s="258" t="s">
        <v>230</v>
      </c>
      <c r="E13" s="258" t="s">
        <v>231</v>
      </c>
      <c r="F13" s="532">
        <f>+P14</f>
        <v>15413921</v>
      </c>
      <c r="G13" s="533">
        <f>$G$9</f>
        <v>0.47151999999999999</v>
      </c>
      <c r="H13" s="538">
        <v>0.16155</v>
      </c>
      <c r="I13" s="533">
        <f>+$I$9</f>
        <v>0.39851999999999999</v>
      </c>
      <c r="J13" s="279">
        <f>ROUND(G13*F13,2)</f>
        <v>7267972.0300000003</v>
      </c>
      <c r="K13" s="234">
        <f>ROUND(F13*H13,2)</f>
        <v>2490118.94</v>
      </c>
      <c r="L13" s="278">
        <f>ROUND(F13*I13,2)</f>
        <v>6142755.7999999998</v>
      </c>
      <c r="M13" s="279">
        <f>SUM(J13:L13)</f>
        <v>15900846.77</v>
      </c>
      <c r="N13" s="283">
        <v>4810</v>
      </c>
      <c r="O13" s="281" t="s">
        <v>232</v>
      </c>
      <c r="P13" s="284">
        <v>163850</v>
      </c>
    </row>
    <row r="14" spans="1:17" ht="13.5" customHeight="1">
      <c r="A14" s="214"/>
      <c r="B14" s="143" t="s">
        <v>233</v>
      </c>
      <c r="C14" s="277" t="s">
        <v>234</v>
      </c>
      <c r="D14" s="258" t="s">
        <v>230</v>
      </c>
      <c r="E14" s="258" t="s">
        <v>231</v>
      </c>
      <c r="F14" s="540">
        <v>-11290770</v>
      </c>
      <c r="G14" s="533">
        <f>$G$9</f>
        <v>0.47151999999999999</v>
      </c>
      <c r="H14" s="533">
        <f>+$H$13</f>
        <v>0.16155</v>
      </c>
      <c r="I14" s="533">
        <f>+$I$9</f>
        <v>0.39851999999999999</v>
      </c>
      <c r="J14" s="279">
        <f>ROUND(G14*F14,2)</f>
        <v>-5323823.87</v>
      </c>
      <c r="K14" s="234">
        <f>ROUND(F14*H14,2)</f>
        <v>-1824023.89</v>
      </c>
      <c r="L14" s="234">
        <f>ROUND(F14*I14,2)</f>
        <v>-4499597.66</v>
      </c>
      <c r="M14" s="279">
        <f>SUM(J14:L14)</f>
        <v>-11647445.42</v>
      </c>
      <c r="N14" s="283">
        <v>4810</v>
      </c>
      <c r="O14" s="281">
        <v>504</v>
      </c>
      <c r="P14" s="284">
        <v>15413921</v>
      </c>
    </row>
    <row r="15" spans="1:17" ht="13.5" customHeight="1">
      <c r="A15" s="214"/>
      <c r="B15" s="143" t="s">
        <v>233</v>
      </c>
      <c r="C15" s="277" t="s">
        <v>235</v>
      </c>
      <c r="D15" s="258" t="s">
        <v>230</v>
      </c>
      <c r="E15" s="258" t="s">
        <v>231</v>
      </c>
      <c r="F15" s="540">
        <f>+P25</f>
        <v>9836599</v>
      </c>
      <c r="G15" s="533">
        <f>$G$9</f>
        <v>0.47151999999999999</v>
      </c>
      <c r="H15" s="533">
        <f>+$H$13</f>
        <v>0.16155</v>
      </c>
      <c r="I15" s="533">
        <f>+$I$9</f>
        <v>0.39851999999999999</v>
      </c>
      <c r="J15" s="279">
        <f>ROUND(G15*F15,2)</f>
        <v>4638153.16</v>
      </c>
      <c r="K15" s="234">
        <f>ROUND(F15*H15,2)</f>
        <v>1589102.57</v>
      </c>
      <c r="L15" s="234">
        <f>ROUND(F15*I15,2)</f>
        <v>3920081.43</v>
      </c>
      <c r="M15" s="279">
        <f>SUM(J15:L15)</f>
        <v>10147337.16</v>
      </c>
      <c r="N15" s="283">
        <v>4810</v>
      </c>
      <c r="O15" s="281">
        <v>511</v>
      </c>
      <c r="P15" s="284">
        <v>1688017</v>
      </c>
    </row>
    <row r="16" spans="1:17" ht="13.5" customHeight="1">
      <c r="A16" s="214"/>
      <c r="B16" s="143"/>
      <c r="C16" s="277"/>
      <c r="D16" s="258"/>
      <c r="E16" s="258"/>
      <c r="F16" s="541"/>
      <c r="G16" s="533"/>
      <c r="H16" s="533"/>
      <c r="I16" s="533"/>
      <c r="J16" s="279"/>
      <c r="K16" s="234"/>
      <c r="L16" s="278"/>
      <c r="M16" s="279"/>
      <c r="N16" s="283">
        <v>4811</v>
      </c>
      <c r="O16" s="281" t="s">
        <v>236</v>
      </c>
      <c r="P16" s="284">
        <v>0</v>
      </c>
    </row>
    <row r="17" spans="1:26" ht="13.5" customHeight="1">
      <c r="A17" s="214"/>
      <c r="B17" s="143" t="s">
        <v>13</v>
      </c>
      <c r="C17" s="277" t="s">
        <v>237</v>
      </c>
      <c r="D17" s="258" t="s">
        <v>238</v>
      </c>
      <c r="E17" s="258" t="s">
        <v>239</v>
      </c>
      <c r="F17" s="532">
        <f>+P10</f>
        <v>1560337</v>
      </c>
      <c r="G17" s="533">
        <f t="shared" ref="G17:G30" si="0">$G$9</f>
        <v>0.47151999999999999</v>
      </c>
      <c r="H17" s="538">
        <v>0.14940000000000001</v>
      </c>
      <c r="I17" s="533">
        <f t="shared" ref="I17:I30" si="1">+$I$9</f>
        <v>0.39851999999999999</v>
      </c>
      <c r="J17" s="279">
        <f>ROUND(G17*F17,2)</f>
        <v>735730.1</v>
      </c>
      <c r="K17" s="234">
        <f>ROUND(F17*H17,2)</f>
        <v>233114.35</v>
      </c>
      <c r="L17" s="278">
        <f>ROUND(F17*I17,2)</f>
        <v>621825.5</v>
      </c>
      <c r="M17" s="279">
        <f>SUM(J17:L17)</f>
        <v>1590669.95</v>
      </c>
      <c r="N17" s="285">
        <v>4813</v>
      </c>
      <c r="O17" s="286">
        <v>570</v>
      </c>
      <c r="P17" s="287">
        <v>108155</v>
      </c>
    </row>
    <row r="18" spans="1:26" ht="13.5" customHeight="1">
      <c r="A18" s="214"/>
      <c r="B18" s="143" t="s">
        <v>13</v>
      </c>
      <c r="C18" s="277" t="s">
        <v>240</v>
      </c>
      <c r="D18" s="258" t="s">
        <v>241</v>
      </c>
      <c r="E18" s="258" t="s">
        <v>242</v>
      </c>
      <c r="F18" s="532">
        <f>+'WA Rates'!P11</f>
        <v>457983</v>
      </c>
      <c r="G18" s="533">
        <f t="shared" si="0"/>
        <v>0.47151999999999999</v>
      </c>
      <c r="H18" s="533">
        <f>+H17</f>
        <v>0.14940000000000001</v>
      </c>
      <c r="I18" s="533">
        <f t="shared" si="1"/>
        <v>0.39851999999999999</v>
      </c>
      <c r="J18" s="279">
        <f>ROUND(G18*F18,2)</f>
        <v>215948.14</v>
      </c>
      <c r="K18" s="234">
        <f>ROUND(F18*H18,2)</f>
        <v>68422.66</v>
      </c>
      <c r="L18" s="278">
        <f>ROUND(F18*I18,2)</f>
        <v>182515.39</v>
      </c>
      <c r="M18" s="279">
        <f>SUM(J18:L18)</f>
        <v>466886.19000000006</v>
      </c>
      <c r="N18" s="288"/>
      <c r="O18" s="281"/>
      <c r="P18" s="289">
        <f>SUM(P9:P17)</f>
        <v>41120230</v>
      </c>
    </row>
    <row r="19" spans="1:26" ht="13.5" customHeight="1">
      <c r="A19" s="214"/>
      <c r="B19" s="143"/>
      <c r="C19" s="277"/>
      <c r="D19" s="258"/>
      <c r="E19" s="258"/>
      <c r="F19" s="532"/>
      <c r="G19" s="533"/>
      <c r="H19" s="533"/>
      <c r="I19" s="533"/>
      <c r="J19" s="279"/>
      <c r="K19" s="234"/>
      <c r="L19" s="278"/>
      <c r="M19" s="279"/>
      <c r="N19" s="288"/>
      <c r="O19" s="281"/>
      <c r="P19" s="289"/>
    </row>
    <row r="20" spans="1:26" ht="13.5" customHeight="1">
      <c r="A20" s="214"/>
      <c r="B20" s="143" t="s">
        <v>12</v>
      </c>
      <c r="C20" s="277" t="s">
        <v>243</v>
      </c>
      <c r="D20" s="258" t="s">
        <v>241</v>
      </c>
      <c r="E20" s="258" t="s">
        <v>242</v>
      </c>
      <c r="F20" s="532">
        <f>+P15</f>
        <v>1688017</v>
      </c>
      <c r="G20" s="533">
        <f t="shared" si="0"/>
        <v>0.47151999999999999</v>
      </c>
      <c r="H20" s="533">
        <f>+H17</f>
        <v>0.14940000000000001</v>
      </c>
      <c r="I20" s="533">
        <f t="shared" si="1"/>
        <v>0.39851999999999999</v>
      </c>
      <c r="J20" s="279">
        <f>ROUND(G20*F20,2)</f>
        <v>795933.78</v>
      </c>
      <c r="K20" s="234">
        <f>ROUND(F20*H20,2)</f>
        <v>252189.74</v>
      </c>
      <c r="L20" s="278">
        <f>ROUND(F20*I20,2)</f>
        <v>672708.53</v>
      </c>
      <c r="M20" s="279">
        <f>SUM(J20:L20)</f>
        <v>1720832.05</v>
      </c>
    </row>
    <row r="21" spans="1:26" ht="13.5" customHeight="1">
      <c r="A21" s="214"/>
      <c r="B21" s="143" t="s">
        <v>12</v>
      </c>
      <c r="C21" s="277" t="s">
        <v>234</v>
      </c>
      <c r="D21" s="258" t="s">
        <v>241</v>
      </c>
      <c r="E21" s="258" t="s">
        <v>242</v>
      </c>
      <c r="F21" s="540">
        <v>-1196049</v>
      </c>
      <c r="G21" s="533">
        <f t="shared" si="0"/>
        <v>0.47151999999999999</v>
      </c>
      <c r="H21" s="533">
        <f>+H17</f>
        <v>0.14940000000000001</v>
      </c>
      <c r="I21" s="533">
        <f t="shared" si="1"/>
        <v>0.39851999999999999</v>
      </c>
      <c r="J21" s="279">
        <f>ROUND(G21*F21,2)</f>
        <v>-563961.02</v>
      </c>
      <c r="K21" s="234">
        <f>ROUND(F21*H21,2)</f>
        <v>-178689.72</v>
      </c>
      <c r="L21" s="278">
        <f>ROUND(F21*I21,2)</f>
        <v>-476649.45</v>
      </c>
      <c r="M21" s="279">
        <f>SUM(J21:L21)</f>
        <v>-1219300.19</v>
      </c>
      <c r="N21" s="288"/>
      <c r="O21" s="281"/>
    </row>
    <row r="22" spans="1:26" ht="13.5" customHeight="1">
      <c r="A22" s="214"/>
      <c r="B22" s="143" t="s">
        <v>12</v>
      </c>
      <c r="C22" s="277" t="s">
        <v>235</v>
      </c>
      <c r="D22" s="258" t="s">
        <v>241</v>
      </c>
      <c r="E22" s="258" t="s">
        <v>242</v>
      </c>
      <c r="F22" s="540">
        <f>+P26</f>
        <v>1077230</v>
      </c>
      <c r="G22" s="533">
        <f t="shared" si="0"/>
        <v>0.47151999999999999</v>
      </c>
      <c r="H22" s="533">
        <f>+H17</f>
        <v>0.14940000000000001</v>
      </c>
      <c r="I22" s="533">
        <f t="shared" si="1"/>
        <v>0.39851999999999999</v>
      </c>
      <c r="J22" s="279">
        <f>ROUND(G22*F22,2)</f>
        <v>507935.49</v>
      </c>
      <c r="K22" s="234">
        <f>ROUND(F22*H22,2)</f>
        <v>160938.16</v>
      </c>
      <c r="L22" s="278">
        <f>ROUND(F22*I22,2)</f>
        <v>429297.7</v>
      </c>
      <c r="M22" s="279">
        <f>SUM(J22:L22)</f>
        <v>1098171.3500000001</v>
      </c>
      <c r="N22" s="622" t="s">
        <v>214</v>
      </c>
      <c r="O22" s="622"/>
      <c r="P22" s="290"/>
    </row>
    <row r="23" spans="1:26" ht="13.5" customHeight="1">
      <c r="A23" s="214"/>
      <c r="B23" s="143"/>
      <c r="C23" s="277"/>
      <c r="D23" s="258"/>
      <c r="E23" s="258"/>
      <c r="F23" s="541"/>
      <c r="G23" s="533"/>
      <c r="H23" s="533"/>
      <c r="I23" s="533"/>
      <c r="J23" s="279"/>
      <c r="K23" s="234"/>
      <c r="L23" s="278"/>
      <c r="M23" s="279"/>
      <c r="N23" s="622" t="s">
        <v>244</v>
      </c>
      <c r="O23" s="622"/>
      <c r="P23" s="290" t="s">
        <v>245</v>
      </c>
    </row>
    <row r="24" spans="1:26" ht="13.5" customHeight="1">
      <c r="A24" s="214"/>
      <c r="B24" s="143" t="s">
        <v>12</v>
      </c>
      <c r="C24" s="277" t="s">
        <v>243</v>
      </c>
      <c r="D24" s="258" t="s">
        <v>230</v>
      </c>
      <c r="E24" s="258" t="s">
        <v>246</v>
      </c>
      <c r="F24" s="532">
        <f>+P12</f>
        <v>8703</v>
      </c>
      <c r="G24" s="533">
        <f t="shared" si="0"/>
        <v>0.47151999999999999</v>
      </c>
      <c r="H24" s="533">
        <f>+H13</f>
        <v>0.16155</v>
      </c>
      <c r="I24" s="533">
        <f t="shared" si="1"/>
        <v>0.39851999999999999</v>
      </c>
      <c r="J24" s="279">
        <f>ROUND(G24*F24,2)</f>
        <v>4103.6400000000003</v>
      </c>
      <c r="K24" s="234">
        <f>ROUND(F24*H24,2)</f>
        <v>1405.97</v>
      </c>
      <c r="L24" s="278">
        <f>ROUND(F24*I24,2)</f>
        <v>3468.32</v>
      </c>
      <c r="M24" s="279">
        <f>SUM(J24:L24)</f>
        <v>8977.93</v>
      </c>
      <c r="N24" s="623" t="s">
        <v>247</v>
      </c>
      <c r="O24" s="624"/>
      <c r="P24" s="291">
        <v>13859793</v>
      </c>
    </row>
    <row r="25" spans="1:26" ht="13.5" customHeight="1">
      <c r="A25" s="214"/>
      <c r="B25" s="143" t="s">
        <v>233</v>
      </c>
      <c r="C25" s="277" t="s">
        <v>248</v>
      </c>
      <c r="D25" s="258" t="s">
        <v>230</v>
      </c>
      <c r="E25" s="258" t="s">
        <v>246</v>
      </c>
      <c r="F25" s="542">
        <v>-8703</v>
      </c>
      <c r="G25" s="533">
        <f t="shared" si="0"/>
        <v>0.47151999999999999</v>
      </c>
      <c r="H25" s="533">
        <f>+H13</f>
        <v>0.16155</v>
      </c>
      <c r="I25" s="533">
        <f t="shared" si="1"/>
        <v>0.39851999999999999</v>
      </c>
      <c r="J25" s="279">
        <f>ROUND(G25*F25,2)</f>
        <v>-4103.6400000000003</v>
      </c>
      <c r="K25" s="234">
        <f>ROUND(F25*H25,2)</f>
        <v>-1405.97</v>
      </c>
      <c r="L25" s="278">
        <f>ROUND(F25*I25,2)</f>
        <v>-3468.32</v>
      </c>
      <c r="M25" s="279">
        <f>SUM(J25:L25)</f>
        <v>-8977.93</v>
      </c>
      <c r="N25" s="623" t="s">
        <v>249</v>
      </c>
      <c r="O25" s="624"/>
      <c r="P25" s="292">
        <v>9836599</v>
      </c>
    </row>
    <row r="26" spans="1:26" ht="13.5" customHeight="1">
      <c r="A26" s="214"/>
      <c r="B26" s="143" t="s">
        <v>233</v>
      </c>
      <c r="C26" s="277" t="s">
        <v>129</v>
      </c>
      <c r="D26" s="258" t="s">
        <v>230</v>
      </c>
      <c r="E26" s="258" t="s">
        <v>246</v>
      </c>
      <c r="F26" s="542">
        <f>+P27</f>
        <v>46518</v>
      </c>
      <c r="G26" s="533">
        <f t="shared" si="0"/>
        <v>0.47151999999999999</v>
      </c>
      <c r="H26" s="533">
        <f>+H13</f>
        <v>0.16155</v>
      </c>
      <c r="I26" s="533">
        <f t="shared" si="1"/>
        <v>0.39851999999999999</v>
      </c>
      <c r="J26" s="279">
        <f>ROUND(G26*F26,2)</f>
        <v>21934.17</v>
      </c>
      <c r="K26" s="234">
        <f>ROUND(F26*H26,2)</f>
        <v>7514.98</v>
      </c>
      <c r="L26" s="278">
        <f>ROUND(5949*I26,2)</f>
        <v>2370.8000000000002</v>
      </c>
      <c r="M26" s="279">
        <f>SUM(J26:L26)</f>
        <v>31819.949999999997</v>
      </c>
      <c r="N26" s="623" t="s">
        <v>250</v>
      </c>
      <c r="O26" s="624"/>
      <c r="P26" s="292">
        <v>1077230</v>
      </c>
    </row>
    <row r="27" spans="1:26" ht="13.5" customHeight="1">
      <c r="A27" s="214"/>
      <c r="B27" s="143"/>
      <c r="C27" s="277"/>
      <c r="D27" s="258"/>
      <c r="E27" s="258"/>
      <c r="F27" s="534"/>
      <c r="G27" s="533"/>
      <c r="H27" s="533"/>
      <c r="I27" s="533"/>
      <c r="J27" s="279"/>
      <c r="K27" s="234"/>
      <c r="L27" s="278"/>
      <c r="M27" s="279"/>
      <c r="N27" s="283">
        <v>4810</v>
      </c>
      <c r="O27" s="247" t="s">
        <v>251</v>
      </c>
      <c r="P27" s="293">
        <v>46518</v>
      </c>
    </row>
    <row r="28" spans="1:26" ht="13.5" customHeight="1">
      <c r="A28" s="214"/>
      <c r="B28" s="143" t="s">
        <v>12</v>
      </c>
      <c r="C28" s="294" t="s">
        <v>243</v>
      </c>
      <c r="D28" s="258" t="s">
        <v>241</v>
      </c>
      <c r="E28" s="258" t="s">
        <v>252</v>
      </c>
      <c r="F28" s="532">
        <f>+P13</f>
        <v>163850</v>
      </c>
      <c r="G28" s="533">
        <f t="shared" si="0"/>
        <v>0.47151999999999999</v>
      </c>
      <c r="H28" s="533">
        <f>+H17</f>
        <v>0.14940000000000001</v>
      </c>
      <c r="I28" s="533">
        <f t="shared" si="1"/>
        <v>0.39851999999999999</v>
      </c>
      <c r="J28" s="279">
        <f>ROUND(G28*F28,2)</f>
        <v>77258.55</v>
      </c>
      <c r="K28" s="234">
        <f>ROUND(F28*H28,2)</f>
        <v>24479.19</v>
      </c>
      <c r="L28" s="278">
        <f>ROUND(F28*I28,2)</f>
        <v>65297.5</v>
      </c>
      <c r="M28" s="279">
        <f>SUM(J28:L28)</f>
        <v>167035.24</v>
      </c>
      <c r="N28" s="283">
        <v>4810</v>
      </c>
      <c r="O28" s="247" t="s">
        <v>232</v>
      </c>
      <c r="P28" s="293">
        <v>151925</v>
      </c>
    </row>
    <row r="29" spans="1:26" ht="13.5" customHeight="1">
      <c r="A29" s="214"/>
      <c r="B29" s="143" t="s">
        <v>233</v>
      </c>
      <c r="C29" s="277" t="s">
        <v>248</v>
      </c>
      <c r="D29" s="258" t="s">
        <v>241</v>
      </c>
      <c r="E29" s="258" t="s">
        <v>252</v>
      </c>
      <c r="F29" s="542">
        <v>-163850</v>
      </c>
      <c r="G29" s="533">
        <f t="shared" si="0"/>
        <v>0.47151999999999999</v>
      </c>
      <c r="H29" s="533">
        <f>+H17</f>
        <v>0.14940000000000001</v>
      </c>
      <c r="I29" s="533">
        <f t="shared" si="1"/>
        <v>0.39851999999999999</v>
      </c>
      <c r="J29" s="279">
        <f>ROUND(G29*F29,2)</f>
        <v>-77258.55</v>
      </c>
      <c r="K29" s="234">
        <f>ROUND(F29*H29,2)</f>
        <v>-24479.19</v>
      </c>
      <c r="L29" s="278">
        <f>ROUND(F29*I29,2)</f>
        <v>-65297.5</v>
      </c>
      <c r="M29" s="279">
        <f>SUM(J29:L29)</f>
        <v>-167035.24</v>
      </c>
      <c r="N29" s="295"/>
      <c r="O29" s="296" t="s">
        <v>253</v>
      </c>
      <c r="P29" s="297">
        <v>97023</v>
      </c>
    </row>
    <row r="30" spans="1:26" ht="13.5" customHeight="1">
      <c r="A30" s="214"/>
      <c r="B30" s="143" t="s">
        <v>233</v>
      </c>
      <c r="C30" s="277" t="s">
        <v>129</v>
      </c>
      <c r="D30" s="258" t="s">
        <v>241</v>
      </c>
      <c r="E30" s="258" t="s">
        <v>252</v>
      </c>
      <c r="F30" s="542">
        <f>+P28</f>
        <v>151925</v>
      </c>
      <c r="G30" s="533">
        <f t="shared" si="0"/>
        <v>0.47151999999999999</v>
      </c>
      <c r="H30" s="533">
        <f>+H17</f>
        <v>0.14940000000000001</v>
      </c>
      <c r="I30" s="533">
        <f t="shared" si="1"/>
        <v>0.39851999999999999</v>
      </c>
      <c r="J30" s="279">
        <f>ROUND(G30*F30,2)</f>
        <v>71635.679999999993</v>
      </c>
      <c r="K30" s="234">
        <f>ROUND(F30*H30,2)</f>
        <v>22697.599999999999</v>
      </c>
      <c r="L30" s="278">
        <f>ROUND(F30*I30,2)</f>
        <v>60545.15</v>
      </c>
      <c r="M30" s="279">
        <f>SUM(J30:L30)</f>
        <v>154878.43</v>
      </c>
      <c r="P30" s="288"/>
    </row>
    <row r="31" spans="1:26" ht="13.5" customHeight="1">
      <c r="A31" s="214"/>
      <c r="B31" s="143"/>
      <c r="C31" s="277"/>
      <c r="D31" s="258"/>
      <c r="E31" s="258"/>
      <c r="F31" s="534"/>
      <c r="G31" s="533"/>
      <c r="H31" s="533"/>
      <c r="I31" s="533"/>
      <c r="J31" s="536"/>
      <c r="K31" s="298"/>
      <c r="L31" s="298"/>
      <c r="M31" s="298"/>
    </row>
    <row r="32" spans="1:26" ht="13.5" customHeight="1">
      <c r="A32" s="214"/>
      <c r="B32" s="143" t="s">
        <v>254</v>
      </c>
      <c r="C32" s="277" t="s">
        <v>255</v>
      </c>
      <c r="D32" s="258" t="s">
        <v>256</v>
      </c>
      <c r="E32" s="258" t="s">
        <v>257</v>
      </c>
      <c r="F32" s="532">
        <f>P17</f>
        <v>108155</v>
      </c>
      <c r="G32" s="533">
        <f>$G$9</f>
        <v>0.47151999999999999</v>
      </c>
      <c r="H32" s="538">
        <v>0.13729</v>
      </c>
      <c r="I32" s="533">
        <f>+$I$9</f>
        <v>0.39851999999999999</v>
      </c>
      <c r="J32" s="279">
        <f>ROUND(G32*F32,2)</f>
        <v>50997.25</v>
      </c>
      <c r="K32" s="234">
        <f>ROUND(F32*H32,2)</f>
        <v>14848.6</v>
      </c>
      <c r="L32" s="278">
        <f>ROUND(F32*I32,2)</f>
        <v>43101.93</v>
      </c>
      <c r="M32" s="279">
        <f>SUM(J32:L32)</f>
        <v>108947.78</v>
      </c>
      <c r="Z32" s="299"/>
    </row>
    <row r="33" spans="1:16" ht="13.5" customHeight="1">
      <c r="A33" s="214"/>
      <c r="B33" s="143" t="s">
        <v>254</v>
      </c>
      <c r="C33" s="277" t="s">
        <v>248</v>
      </c>
      <c r="D33" s="258" t="s">
        <v>256</v>
      </c>
      <c r="E33" s="258" t="s">
        <v>257</v>
      </c>
      <c r="F33" s="542">
        <v>-108155</v>
      </c>
      <c r="G33" s="533">
        <f>$G$9</f>
        <v>0.47151999999999999</v>
      </c>
      <c r="H33" s="533">
        <f>+H32</f>
        <v>0.13729</v>
      </c>
      <c r="I33" s="533">
        <f>+$I$9</f>
        <v>0.39851999999999999</v>
      </c>
      <c r="J33" s="279">
        <f>ROUND(G33*F33,2)</f>
        <v>-50997.25</v>
      </c>
      <c r="K33" s="234">
        <f>ROUND(F33*H33,2)</f>
        <v>-14848.6</v>
      </c>
      <c r="L33" s="278">
        <f>ROUND(F33*I33,2)</f>
        <v>-43101.93</v>
      </c>
      <c r="M33" s="279">
        <f>SUM(J33:L33)</f>
        <v>-108947.78</v>
      </c>
    </row>
    <row r="34" spans="1:16" ht="13.5" customHeight="1">
      <c r="A34" s="214"/>
      <c r="B34" s="143" t="s">
        <v>254</v>
      </c>
      <c r="C34" s="300" t="s">
        <v>258</v>
      </c>
      <c r="D34" s="301" t="s">
        <v>256</v>
      </c>
      <c r="E34" s="258" t="s">
        <v>257</v>
      </c>
      <c r="F34" s="542">
        <f>+P29</f>
        <v>97023</v>
      </c>
      <c r="G34" s="533">
        <f>$G$9</f>
        <v>0.47151999999999999</v>
      </c>
      <c r="H34" s="533">
        <f>+H32</f>
        <v>0.13729</v>
      </c>
      <c r="I34" s="533">
        <f>+$I$9</f>
        <v>0.39851999999999999</v>
      </c>
      <c r="J34" s="279">
        <f>ROUND(G34*F34,2)</f>
        <v>45748.28</v>
      </c>
      <c r="K34" s="234">
        <f>ROUND(F34*H34,2)</f>
        <v>13320.29</v>
      </c>
      <c r="L34" s="278">
        <f>ROUND(F34*I34,2)</f>
        <v>38665.61</v>
      </c>
      <c r="M34" s="279">
        <f>SUM(J34:L34)</f>
        <v>97734.18</v>
      </c>
    </row>
    <row r="35" spans="1:16" ht="15.75" customHeight="1">
      <c r="B35" s="302"/>
      <c r="C35" s="277"/>
      <c r="D35" s="258"/>
      <c r="E35" s="304" t="s">
        <v>259</v>
      </c>
      <c r="F35" s="543">
        <f>SUM(F9:F34)</f>
        <v>37611566</v>
      </c>
      <c r="G35" s="544" t="s">
        <v>260</v>
      </c>
      <c r="H35" s="545"/>
      <c r="I35" s="545"/>
      <c r="J35" s="546">
        <f>SUM(J9:J34)</f>
        <v>17734605.609999999</v>
      </c>
      <c r="K35" s="546">
        <f>SUM(K9:K34)</f>
        <v>6076991.8200000012</v>
      </c>
      <c r="L35" s="547">
        <f>SUM(L9:L34)</f>
        <v>14972793.73</v>
      </c>
      <c r="M35" s="547">
        <f>SUM(M9:M34)</f>
        <v>38784391.160000004</v>
      </c>
    </row>
    <row r="36" spans="1:16" ht="15.75">
      <c r="E36" s="306" t="s">
        <v>261</v>
      </c>
      <c r="F36" s="384"/>
      <c r="G36" s="258"/>
      <c r="H36" s="549"/>
      <c r="I36" s="549"/>
      <c r="J36" s="548"/>
      <c r="K36" s="305"/>
      <c r="L36" s="305"/>
      <c r="M36" s="305"/>
      <c r="N36" s="305"/>
      <c r="O36" s="308"/>
      <c r="P36" s="309"/>
    </row>
    <row r="37" spans="1:16" ht="13.5" customHeight="1">
      <c r="E37" s="258" t="s">
        <v>262</v>
      </c>
      <c r="F37" s="550">
        <f>+F35+F36</f>
        <v>37611566</v>
      </c>
      <c r="G37" s="551" t="s">
        <v>263</v>
      </c>
      <c r="H37" s="552"/>
      <c r="I37" s="549"/>
      <c r="J37" s="548"/>
      <c r="K37" s="305"/>
      <c r="M37" s="305"/>
      <c r="N37" s="310"/>
      <c r="O37" s="311"/>
      <c r="P37" s="312"/>
    </row>
    <row r="38" spans="1:16" ht="15.75">
      <c r="E38" s="258"/>
      <c r="F38" s="553"/>
      <c r="G38" s="554"/>
      <c r="H38" s="552"/>
      <c r="I38" s="549"/>
      <c r="J38" s="548"/>
      <c r="K38" s="305"/>
      <c r="L38" s="305"/>
      <c r="M38" s="305"/>
      <c r="N38" s="310"/>
      <c r="O38" s="311"/>
      <c r="P38" s="312"/>
    </row>
    <row r="39" spans="1:16">
      <c r="F39" s="537"/>
      <c r="G39" s="549"/>
      <c r="H39" s="549"/>
      <c r="I39" s="549"/>
      <c r="J39" s="549"/>
    </row>
    <row r="40" spans="1:16">
      <c r="B40" s="242"/>
      <c r="F40" s="537"/>
      <c r="G40" s="549"/>
      <c r="H40" s="549"/>
      <c r="I40" s="549"/>
      <c r="J40" s="549"/>
    </row>
    <row r="41" spans="1:16">
      <c r="B41" s="242"/>
      <c r="F41" s="537"/>
      <c r="G41" s="549"/>
      <c r="H41" s="549"/>
      <c r="I41" s="549"/>
      <c r="J41" s="549"/>
      <c r="N41" s="317"/>
      <c r="O41" s="317"/>
      <c r="P41" s="318"/>
    </row>
    <row r="42" spans="1:16">
      <c r="F42" s="537"/>
      <c r="G42" s="549"/>
      <c r="H42" s="549"/>
      <c r="I42" s="549"/>
      <c r="J42" s="549"/>
      <c r="N42" s="317"/>
      <c r="O42" s="317"/>
      <c r="P42" s="318"/>
    </row>
    <row r="43" spans="1:16">
      <c r="F43" s="537"/>
      <c r="G43" s="549"/>
      <c r="H43" s="549"/>
      <c r="I43" s="549"/>
      <c r="J43" s="549"/>
    </row>
    <row r="44" spans="1:16">
      <c r="F44" s="537"/>
      <c r="G44" s="549"/>
      <c r="H44" s="549"/>
      <c r="I44" s="549"/>
      <c r="J44" s="549"/>
    </row>
    <row r="45" spans="1:16">
      <c r="F45" s="537"/>
      <c r="G45" s="549"/>
      <c r="H45" s="549"/>
      <c r="I45" s="549"/>
      <c r="J45" s="549"/>
    </row>
    <row r="46" spans="1:16">
      <c r="F46" s="537"/>
      <c r="G46" s="549"/>
      <c r="H46" s="549"/>
      <c r="I46" s="549"/>
      <c r="J46" s="549"/>
    </row>
    <row r="47" spans="1:16">
      <c r="F47" s="537"/>
      <c r="G47" s="549"/>
      <c r="H47" s="549"/>
      <c r="I47" s="549"/>
      <c r="J47" s="549"/>
    </row>
    <row r="48" spans="1:16">
      <c r="F48" s="537"/>
      <c r="G48" s="549"/>
      <c r="H48" s="549"/>
      <c r="I48" s="549"/>
      <c r="J48" s="549"/>
    </row>
  </sheetData>
  <mergeCells count="12">
    <mergeCell ref="N6:O8"/>
    <mergeCell ref="D8:E8"/>
    <mergeCell ref="B2:C2"/>
    <mergeCell ref="K2:M2"/>
    <mergeCell ref="B3:C3"/>
    <mergeCell ref="K3:M3"/>
    <mergeCell ref="E4:J5"/>
    <mergeCell ref="N22:O22"/>
    <mergeCell ref="N23:O23"/>
    <mergeCell ref="N24:O24"/>
    <mergeCell ref="N25:O25"/>
    <mergeCell ref="N26:O26"/>
  </mergeCells>
  <printOptions horizontalCentered="1"/>
  <pageMargins left="0" right="0" top="0.2" bottom="0" header="0.3" footer="0.35"/>
  <pageSetup scale="61" orientation="landscape" cellComments="asDisplayed" r:id="rId1"/>
  <headerFooter alignWithMargins="0">
    <oddHeader>&amp;R&amp;16Page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2024-09-13T07:00:00+00:00</OpenedDate>
    <SignificantOrder xmlns="dc463f71-b30c-4ab2-9473-d307f9d35888">false</SignificantOrder>
    <Date1 xmlns="dc463f71-b30c-4ab2-9473-d307f9d35888">2025-03-31T07:00:00+00:00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240689</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E33F6609645F44997F1447B0CFF138" ma:contentTypeVersion="16" ma:contentTypeDescription="" ma:contentTypeScope="" ma:versionID="3dc4ae862d9ab8adb4ebf5ec8eeb89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238C1E3-D83F-4658-901C-3252C73274BF}"/>
</file>

<file path=customXml/itemProps2.xml><?xml version="1.0" encoding="utf-8"?>
<ds:datastoreItem xmlns:ds="http://schemas.openxmlformats.org/officeDocument/2006/customXml" ds:itemID="{D09F135C-767E-47E1-A2D7-4C6D4CE77E3D}"/>
</file>

<file path=customXml/itemProps3.xml><?xml version="1.0" encoding="utf-8"?>
<ds:datastoreItem xmlns:ds="http://schemas.openxmlformats.org/officeDocument/2006/customXml" ds:itemID="{12DD84C0-CD5A-4A37-8B93-2292202ABCDD}"/>
</file>

<file path=customXml/itemProps4.xml><?xml version="1.0" encoding="utf-8"?>
<ds:datastoreItem xmlns:ds="http://schemas.openxmlformats.org/officeDocument/2006/customXml" ds:itemID="{9145FD25-4BA9-4051-982B-3325371D8A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T. Stoltz</dc:creator>
  <cp:keywords/>
  <dc:description/>
  <cp:lastModifiedBy>Darrington, Jacob</cp:lastModifiedBy>
  <cp:revision/>
  <dcterms:created xsi:type="dcterms:W3CDTF">1998-11-07T00:14:43Z</dcterms:created>
  <dcterms:modified xsi:type="dcterms:W3CDTF">2025-03-24T14:52:57Z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0x0101006E56B4D1795A2E4DB2F0B01679ED314A00B5E33F6609645F44997F1447B0CFF138</vt:lpwstr>
  </property>
  <property fmtid="{D5CDD505-2E9C-101B-9397-08002B2CF9AE}" pid="11" name="MediaServiceImageTags">
    <vt:lpwstr/>
  </property>
  <property fmtid="{D5CDD505-2E9C-101B-9397-08002B2CF9AE}" pid="12" name="_docset_NoMedatataSyncRequired">
    <vt:lpwstr>False</vt:lpwstr>
  </property>
</Properties>
</file>