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DDFDD76C-1D0D-41E9-86BE-3D2DC515634C}" xr6:coauthVersionLast="47" xr6:coauthVersionMax="47" xr10:uidLastSave="{00000000-0000-0000-0000-000000000000}"/>
  <bookViews>
    <workbookView xWindow="6345" yWindow="3405" windowWidth="21600" windowHeight="11385" tabRatio="772" activeTab="4" xr2:uid="{00000000-000D-0000-FFFF-FFFF00000000}"/>
  </bookViews>
  <sheets>
    <sheet name="Jan 23" sheetId="86" r:id="rId1"/>
    <sheet name="Feb 23" sheetId="87" r:id="rId2"/>
    <sheet name="Mar 23" sheetId="88" r:id="rId3"/>
    <sheet name="Apr 23" sheetId="89" r:id="rId4"/>
    <sheet name="May 23" sheetId="90" r:id="rId5"/>
    <sheet name="191010 WA DEF" sheetId="39" r:id="rId6"/>
    <sheet name="191000 WA Amort" sheetId="41" r:id="rId7"/>
  </sheets>
  <externalReferences>
    <externalReference r:id="rId8"/>
    <externalReference r:id="rId9"/>
    <externalReference r:id="rId10"/>
  </externalReferences>
  <definedNames>
    <definedName name="Actual_Cost_Per_MMBtu" localSheetId="6">'[1]Oregon Gas Costs - 1999'!#REF!</definedName>
    <definedName name="Actual_Cost_Per_MMBtu">'[1]Oregon Gas Costs - 1999'!#REF!</definedName>
    <definedName name="Actual_Gas_Costs" localSheetId="6">#REF!</definedName>
    <definedName name="Actual_Gas_Costs">#REF!</definedName>
    <definedName name="Actual_Volumes" localSheetId="6">#REF!</definedName>
    <definedName name="Actual_Volumes">#REF!</definedName>
    <definedName name="Analysis_of_Year_to_Date_Gas_Costs___WWP_System" localSheetId="6">#REF!</definedName>
    <definedName name="Analysis_of_Year_to_Date_Gas_Costs___WWP_System">#REF!</definedName>
    <definedName name="Balancing_Account_Summary" localSheetId="6">#REF!</definedName>
    <definedName name="Balancing_Account_Summary">#REF!</definedName>
    <definedName name="Budgeted_Costs_Volumes" localSheetId="6">#REF!</definedName>
    <definedName name="Budgeted_Costs_Volumes">#REF!</definedName>
    <definedName name="Commodity_Costs" localSheetId="6">#REF!</definedName>
    <definedName name="Commodity_Costs">#REF!</definedName>
    <definedName name="_xlnm.Database" localSheetId="6">'[2]May 2000'!#REF!</definedName>
    <definedName name="_xlnm.Database">'[2]May 2000'!#REF!</definedName>
    <definedName name="EIA857_Report_Info" localSheetId="6">#REF!</definedName>
    <definedName name="EIA857_Report_Info">#REF!</definedName>
    <definedName name="InputMonth">[3]Start!$B$2</definedName>
    <definedName name="JanJunPretaxRate">[3]Start!$C$7</definedName>
    <definedName name="jj" localSheetId="6">'[1]Oregon Gas Costs - 1999'!#REF!</definedName>
    <definedName name="jj">'[1]Oregon Gas Costs - 1999'!#REF!</definedName>
    <definedName name="Journal_Entry_Dollars" localSheetId="6">#REF!</definedName>
    <definedName name="Journal_Entry_Dollars">#REF!</definedName>
    <definedName name="Journal_Entry_Volumes" localSheetId="6">#REF!</definedName>
    <definedName name="Journal_Entry_Volumes">#REF!</definedName>
    <definedName name="JournalEntryPrintArea" localSheetId="6">#REF!</definedName>
    <definedName name="JournalEntryPrintArea">#REF!</definedName>
    <definedName name="JulDecPretaxRate">[3]Start!$C$8</definedName>
    <definedName name="Notes" localSheetId="6">#REF!</definedName>
    <definedName name="Notes">#REF!</definedName>
    <definedName name="_xlnm.Print_Area" localSheetId="6">'191000 WA Amort'!$A$1:$S$45</definedName>
    <definedName name="_xlnm.Print_Area" localSheetId="5">'191010 WA DEF'!$A$1:$L$45</definedName>
    <definedName name="_xlnm.Print_Area" localSheetId="3">'Apr 23'!$B$1:$R$48</definedName>
    <definedName name="_xlnm.Print_Area" localSheetId="1">'Feb 23'!$B$1:$R$48</definedName>
    <definedName name="_xlnm.Print_Area" localSheetId="0">'Jan 23'!$B$1:$R$48</definedName>
    <definedName name="_xlnm.Print_Area" localSheetId="2">'Mar 23'!$B$1:$R$48</definedName>
    <definedName name="_xlnm.Print_Area" localSheetId="4">'May 23'!$B$1:$R$48</definedName>
    <definedName name="SPREADSHEET_DOCUMENTATION" localSheetId="6">#REF!</definedName>
    <definedName name="SPREADSHEET_DOCUMENTATION">#REF!</definedName>
    <definedName name="Summary_of_Off_system_Sales" localSheetId="6">'[1]Oregon Gas Costs - 1999'!#REF!</definedName>
    <definedName name="Summary_of_Off_system_Sales">'[1]Oregon Gas Costs - 1999'!#REF!</definedName>
    <definedName name="Transportation_Costs" localSheetId="6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1" l="1"/>
  <c r="L31" i="90"/>
  <c r="D1396" i="90"/>
  <c r="L28" i="90"/>
  <c r="P27" i="90"/>
  <c r="L27" i="90"/>
  <c r="P26" i="90"/>
  <c r="L26" i="90"/>
  <c r="P25" i="90"/>
  <c r="L25" i="90"/>
  <c r="Q24" i="90"/>
  <c r="Q25" i="90" s="1"/>
  <c r="Q26" i="90" s="1"/>
  <c r="Q27" i="90" s="1"/>
  <c r="P24" i="90"/>
  <c r="R24" i="90" s="1"/>
  <c r="M24" i="90"/>
  <c r="M25" i="90" s="1"/>
  <c r="M26" i="90" s="1"/>
  <c r="M27" i="90" s="1"/>
  <c r="M28" i="90" s="1"/>
  <c r="L24" i="90"/>
  <c r="N24" i="90" s="1"/>
  <c r="P23" i="90"/>
  <c r="R23" i="90" s="1"/>
  <c r="L23" i="90"/>
  <c r="L17" i="90"/>
  <c r="L19" i="90" s="1"/>
  <c r="N16" i="90"/>
  <c r="P15" i="90"/>
  <c r="P17" i="90" s="1"/>
  <c r="N15" i="90"/>
  <c r="N14" i="90"/>
  <c r="N13" i="90"/>
  <c r="N12" i="90"/>
  <c r="Q11" i="90"/>
  <c r="Q12" i="90" s="1"/>
  <c r="R12" i="90" s="1"/>
  <c r="N11" i="90"/>
  <c r="R10" i="90"/>
  <c r="N10" i="90"/>
  <c r="E8" i="90"/>
  <c r="F22" i="41"/>
  <c r="D1396" i="89"/>
  <c r="L28" i="89"/>
  <c r="P27" i="89"/>
  <c r="L27" i="89"/>
  <c r="P26" i="89"/>
  <c r="L26" i="89"/>
  <c r="P25" i="89"/>
  <c r="L25" i="89"/>
  <c r="Q24" i="89"/>
  <c r="Q25" i="89" s="1"/>
  <c r="Q26" i="89" s="1"/>
  <c r="Q27" i="89" s="1"/>
  <c r="P24" i="89"/>
  <c r="R24" i="89" s="1"/>
  <c r="M24" i="89"/>
  <c r="M25" i="89" s="1"/>
  <c r="M26" i="89" s="1"/>
  <c r="M27" i="89" s="1"/>
  <c r="M28" i="89" s="1"/>
  <c r="L24" i="89"/>
  <c r="N24" i="89" s="1"/>
  <c r="P23" i="89"/>
  <c r="R23" i="89" s="1"/>
  <c r="L23" i="89"/>
  <c r="L17" i="89"/>
  <c r="L19" i="89" s="1"/>
  <c r="N16" i="89"/>
  <c r="P15" i="89"/>
  <c r="P17" i="89" s="1"/>
  <c r="N15" i="89"/>
  <c r="N14" i="89"/>
  <c r="N13" i="89"/>
  <c r="N12" i="89"/>
  <c r="Q11" i="89"/>
  <c r="R11" i="89" s="1"/>
  <c r="N11" i="89"/>
  <c r="R10" i="89"/>
  <c r="N10" i="89"/>
  <c r="E8" i="89"/>
  <c r="F21" i="41"/>
  <c r="L29" i="90" l="1"/>
  <c r="N17" i="90"/>
  <c r="L36" i="90" s="1"/>
  <c r="R11" i="90"/>
  <c r="N23" i="90"/>
  <c r="N25" i="90"/>
  <c r="R25" i="90"/>
  <c r="N26" i="90"/>
  <c r="R26" i="90"/>
  <c r="N27" i="90"/>
  <c r="R27" i="90"/>
  <c r="G35" i="90"/>
  <c r="E12" i="90"/>
  <c r="E14" i="90" s="1"/>
  <c r="I36" i="90"/>
  <c r="G33" i="90"/>
  <c r="E32" i="90"/>
  <c r="E13" i="90"/>
  <c r="E31" i="90" s="1"/>
  <c r="I34" i="90"/>
  <c r="R28" i="90"/>
  <c r="O36" i="90" s="1"/>
  <c r="N28" i="90"/>
  <c r="Q13" i="90"/>
  <c r="P28" i="90"/>
  <c r="P30" i="90" s="1"/>
  <c r="L29" i="89"/>
  <c r="L31" i="89" s="1"/>
  <c r="N17" i="89"/>
  <c r="L36" i="89" s="1"/>
  <c r="Q12" i="89"/>
  <c r="R12" i="89" s="1"/>
  <c r="N25" i="89"/>
  <c r="R25" i="89"/>
  <c r="N26" i="89"/>
  <c r="R26" i="89"/>
  <c r="R27" i="89"/>
  <c r="E13" i="89"/>
  <c r="E31" i="89" s="1"/>
  <c r="G35" i="89"/>
  <c r="I36" i="89"/>
  <c r="E12" i="89"/>
  <c r="E14" i="89" s="1"/>
  <c r="G33" i="89"/>
  <c r="E32" i="89"/>
  <c r="I34" i="89"/>
  <c r="N27" i="89"/>
  <c r="N28" i="89"/>
  <c r="P28" i="89"/>
  <c r="P30" i="89" s="1"/>
  <c r="Q13" i="89"/>
  <c r="N23" i="89"/>
  <c r="D1396" i="88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20" i="4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19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N22" i="41"/>
  <c r="K22" i="41"/>
  <c r="H22" i="41"/>
  <c r="N21" i="41"/>
  <c r="K21" i="41"/>
  <c r="H21" i="41"/>
  <c r="N20" i="41"/>
  <c r="K20" i="41"/>
  <c r="H20" i="41"/>
  <c r="N19" i="41"/>
  <c r="K19" i="41"/>
  <c r="K31" i="41" s="1"/>
  <c r="H19" i="41"/>
  <c r="H31" i="41" s="1"/>
  <c r="A20" i="39"/>
  <c r="A21" i="39" s="1"/>
  <c r="A22" i="39" s="1"/>
  <c r="Q24" i="86"/>
  <c r="Q25" i="86" s="1"/>
  <c r="Q26" i="86" s="1"/>
  <c r="Q27" i="86" s="1"/>
  <c r="M24" i="86"/>
  <c r="M25" i="86" s="1"/>
  <c r="M26" i="86" s="1"/>
  <c r="M27" i="86" s="1"/>
  <c r="M28" i="86" s="1"/>
  <c r="N29" i="90" l="1"/>
  <c r="G8" i="90"/>
  <c r="I8" i="90" s="1"/>
  <c r="I32" i="90" s="1"/>
  <c r="I39" i="90" s="1"/>
  <c r="O35" i="90" s="1"/>
  <c r="O37" i="90" s="1"/>
  <c r="M36" i="90"/>
  <c r="Q14" i="90"/>
  <c r="R14" i="90" s="1"/>
  <c r="R13" i="90"/>
  <c r="R15" i="90" s="1"/>
  <c r="N36" i="90" s="1"/>
  <c r="E37" i="90"/>
  <c r="E39" i="90" s="1"/>
  <c r="H14" i="90"/>
  <c r="H39" i="90" s="1"/>
  <c r="N35" i="90" s="1"/>
  <c r="N37" i="90" s="1"/>
  <c r="F14" i="90"/>
  <c r="F39" i="90" s="1"/>
  <c r="L35" i="90" s="1"/>
  <c r="L37" i="90" s="1"/>
  <c r="G23" i="39" s="1"/>
  <c r="R28" i="89"/>
  <c r="O36" i="89" s="1"/>
  <c r="N29" i="89"/>
  <c r="M36" i="89" s="1"/>
  <c r="A23" i="39"/>
  <c r="F14" i="89"/>
  <c r="F39" i="89" s="1"/>
  <c r="L35" i="89" s="1"/>
  <c r="L37" i="89" s="1"/>
  <c r="G22" i="39" s="1"/>
  <c r="H14" i="89"/>
  <c r="H39" i="89" s="1"/>
  <c r="N35" i="89" s="1"/>
  <c r="R13" i="89"/>
  <c r="Q14" i="89"/>
  <c r="R14" i="89" s="1"/>
  <c r="E37" i="89"/>
  <c r="E39" i="89" s="1"/>
  <c r="G8" i="89"/>
  <c r="I8" i="89" s="1"/>
  <c r="I32" i="89" s="1"/>
  <c r="I39" i="89" s="1"/>
  <c r="O35" i="89" s="1"/>
  <c r="O37" i="89" s="1"/>
  <c r="L29" i="88"/>
  <c r="L31" i="88" s="1"/>
  <c r="N17" i="88"/>
  <c r="Q12" i="88"/>
  <c r="R12" i="88" s="1"/>
  <c r="E13" i="88"/>
  <c r="E31" i="88" s="1"/>
  <c r="E32" i="88" s="1"/>
  <c r="I34" i="88"/>
  <c r="G35" i="88"/>
  <c r="I36" i="88"/>
  <c r="E12" i="88"/>
  <c r="E14" i="88" s="1"/>
  <c r="G33" i="88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I36" i="87"/>
  <c r="G35" i="87"/>
  <c r="E12" i="87"/>
  <c r="E14" i="87" s="1"/>
  <c r="G33" i="87"/>
  <c r="E13" i="87"/>
  <c r="E31" i="87" s="1"/>
  <c r="E32" i="87" s="1"/>
  <c r="I34" i="87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G32" i="90" l="1"/>
  <c r="G39" i="90" s="1"/>
  <c r="M35" i="90" s="1"/>
  <c r="M37" i="90" s="1"/>
  <c r="F23" i="39" s="1"/>
  <c r="A24" i="39"/>
  <c r="A25" i="39" s="1"/>
  <c r="A26" i="39" s="1"/>
  <c r="A27" i="39" s="1"/>
  <c r="A28" i="39" s="1"/>
  <c r="A29" i="39" s="1"/>
  <c r="A30" i="39" s="1"/>
  <c r="O39" i="90"/>
  <c r="E42" i="90"/>
  <c r="P36" i="90"/>
  <c r="G32" i="89"/>
  <c r="G39" i="89" s="1"/>
  <c r="M35" i="89" s="1"/>
  <c r="M37" i="89" s="1"/>
  <c r="F22" i="39" s="1"/>
  <c r="R15" i="89"/>
  <c r="N36" i="89" s="1"/>
  <c r="P36" i="89" s="1"/>
  <c r="E42" i="89"/>
  <c r="F14" i="88"/>
  <c r="F39" i="88" s="1"/>
  <c r="L35" i="88" s="1"/>
  <c r="L37" i="88" s="1"/>
  <c r="H14" i="88"/>
  <c r="H39" i="88" s="1"/>
  <c r="N35" i="88" s="1"/>
  <c r="L36" i="88"/>
  <c r="M27" i="88"/>
  <c r="N26" i="88"/>
  <c r="E37" i="88"/>
  <c r="E39" i="88" s="1"/>
  <c r="R13" i="88"/>
  <c r="Q14" i="88"/>
  <c r="R14" i="88" s="1"/>
  <c r="G8" i="88"/>
  <c r="M36" i="87"/>
  <c r="E37" i="87"/>
  <c r="E39" i="87" s="1"/>
  <c r="F14" i="87"/>
  <c r="F39" i="87" s="1"/>
  <c r="L35" i="87" s="1"/>
  <c r="L37" i="87" s="1"/>
  <c r="G20" i="39" s="1"/>
  <c r="H14" i="87"/>
  <c r="H39" i="87" s="1"/>
  <c r="N35" i="87" s="1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P35" i="90" l="1"/>
  <c r="M39" i="90"/>
  <c r="N37" i="89"/>
  <c r="P35" i="89"/>
  <c r="M39" i="89"/>
  <c r="I8" i="88"/>
  <c r="I32" i="88" s="1"/>
  <c r="I39" i="88" s="1"/>
  <c r="O35" i="88" s="1"/>
  <c r="O37" i="88" s="1"/>
  <c r="G32" i="88"/>
  <c r="G39" i="88" s="1"/>
  <c r="G21" i="39"/>
  <c r="E42" i="88"/>
  <c r="M28" i="88"/>
  <c r="N28" i="88" s="1"/>
  <c r="N27" i="88"/>
  <c r="R15" i="88"/>
  <c r="N36" i="88" s="1"/>
  <c r="N37" i="88" s="1"/>
  <c r="N37" i="87"/>
  <c r="G32" i="87"/>
  <c r="G39" i="87" s="1"/>
  <c r="M35" i="87" s="1"/>
  <c r="M37" i="87" s="1"/>
  <c r="E42" i="87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O39" i="89" l="1"/>
  <c r="M35" i="88"/>
  <c r="P35" i="88" s="1"/>
  <c r="O39" i="88"/>
  <c r="N29" i="88"/>
  <c r="M36" i="88" s="1"/>
  <c r="M39" i="87"/>
  <c r="F20" i="39"/>
  <c r="O39" i="87"/>
  <c r="P35" i="87"/>
  <c r="G32" i="86"/>
  <c r="G39" i="86" s="1"/>
  <c r="M35" i="86" s="1"/>
  <c r="M37" i="86" s="1"/>
  <c r="F19" i="39" s="1"/>
  <c r="O39" i="86"/>
  <c r="E42" i="86"/>
  <c r="P36" i="88" l="1"/>
  <c r="P35" i="86"/>
  <c r="M39" i="86"/>
  <c r="F14" i="41"/>
  <c r="F13" i="41"/>
  <c r="M37" i="88" l="1"/>
  <c r="F12" i="41"/>
  <c r="F11" i="41"/>
  <c r="F10" i="41"/>
  <c r="F21" i="39" l="1"/>
  <c r="M39" i="88"/>
  <c r="F9" i="41"/>
  <c r="F8" i="41" l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E8" i="41" l="1"/>
  <c r="E8" i="39"/>
  <c r="H8" i="39" l="1"/>
  <c r="I8" i="39" s="1"/>
  <c r="O8" i="41"/>
  <c r="P8" i="41" s="1"/>
  <c r="S8" i="41" l="1"/>
  <c r="E9" i="41"/>
  <c r="L8" i="39"/>
  <c r="E9" i="39"/>
  <c r="H9" i="39" l="1"/>
  <c r="I9" i="39" s="1"/>
  <c r="O9" i="41"/>
  <c r="P9" i="41" s="1"/>
  <c r="L9" i="39" l="1"/>
  <c r="E10" i="39"/>
  <c r="S9" i="41"/>
  <c r="E10" i="41"/>
  <c r="O10" i="41" l="1"/>
  <c r="P10" i="41" s="1"/>
  <c r="H10" i="39"/>
  <c r="I10" i="39" s="1"/>
  <c r="L10" i="39" l="1"/>
  <c r="E11" i="39"/>
  <c r="S10" i="41"/>
  <c r="E11" i="41"/>
  <c r="O11" i="41" l="1"/>
  <c r="P11" i="41" s="1"/>
  <c r="H11" i="39"/>
  <c r="I11" i="39" s="1"/>
  <c r="L11" i="39" l="1"/>
  <c r="E12" i="39"/>
  <c r="S11" i="41"/>
  <c r="E12" i="41"/>
  <c r="H12" i="39" l="1"/>
  <c r="I12" i="39" s="1"/>
  <c r="O12" i="41"/>
  <c r="P12" i="41" s="1"/>
  <c r="E13" i="41" l="1"/>
  <c r="S12" i="41"/>
  <c r="E13" i="39"/>
  <c r="L12" i="39"/>
  <c r="H13" i="39" l="1"/>
  <c r="I13" i="39" s="1"/>
  <c r="O13" i="41"/>
  <c r="P13" i="41" s="1"/>
  <c r="S13" i="41" l="1"/>
  <c r="E14" i="41"/>
  <c r="L13" i="39"/>
  <c r="E14" i="39"/>
  <c r="H14" i="39" l="1"/>
  <c r="I14" i="39" s="1"/>
  <c r="O14" i="41"/>
  <c r="P14" i="41" s="1"/>
  <c r="E15" i="41" l="1"/>
  <c r="S14" i="41"/>
  <c r="L14" i="39"/>
  <c r="E15" i="39"/>
  <c r="H15" i="39" l="1"/>
  <c r="I15" i="39" s="1"/>
  <c r="O15" i="41"/>
  <c r="P15" i="41" s="1"/>
  <c r="E16" i="41" l="1"/>
  <c r="S15" i="41"/>
  <c r="L15" i="39"/>
  <c r="E16" i="39"/>
  <c r="H16" i="39" l="1"/>
  <c r="I16" i="39" s="1"/>
  <c r="O16" i="41"/>
  <c r="P16" i="41" s="1"/>
  <c r="S16" i="41" l="1"/>
  <c r="L16" i="39"/>
  <c r="D17" i="39"/>
  <c r="C17" i="41" s="1"/>
  <c r="E17" i="41" s="1"/>
  <c r="E17" i="39" l="1"/>
  <c r="O17" i="41"/>
  <c r="P17" i="41" s="1"/>
  <c r="H17" i="39"/>
  <c r="I17" i="39" s="1"/>
  <c r="L17" i="39" l="1"/>
  <c r="E18" i="39"/>
  <c r="S17" i="41"/>
  <c r="E18" i="41"/>
  <c r="O18" i="41" l="1"/>
  <c r="P18" i="41" s="1"/>
  <c r="H18" i="39"/>
  <c r="I18" i="39" s="1"/>
  <c r="E19" i="39" l="1"/>
  <c r="L18" i="39"/>
  <c r="S18" i="41"/>
  <c r="E19" i="41"/>
  <c r="O19" i="41" l="1"/>
  <c r="P19" i="41" s="1"/>
  <c r="H19" i="39"/>
  <c r="I19" i="39" s="1"/>
  <c r="L19" i="39" l="1"/>
  <c r="E20" i="39"/>
  <c r="S19" i="41"/>
  <c r="E20" i="41"/>
  <c r="O20" i="41" l="1"/>
  <c r="P20" i="41" s="1"/>
  <c r="H20" i="39"/>
  <c r="I20" i="39" s="1"/>
  <c r="E21" i="39" l="1"/>
  <c r="L20" i="39"/>
  <c r="E21" i="41"/>
  <c r="S20" i="41"/>
  <c r="O21" i="41" l="1"/>
  <c r="H21" i="39"/>
  <c r="I21" i="39" l="1"/>
  <c r="P21" i="41"/>
  <c r="S21" i="41" l="1"/>
  <c r="E22" i="41"/>
  <c r="E22" i="39"/>
  <c r="L21" i="39"/>
  <c r="H22" i="39" l="1"/>
  <c r="O22" i="41"/>
  <c r="P22" i="41" l="1"/>
  <c r="I22" i="39"/>
  <c r="E23" i="41" l="1"/>
  <c r="O23" i="41" s="1"/>
  <c r="S22" i="41"/>
  <c r="E23" i="39"/>
  <c r="H23" i="39" s="1"/>
  <c r="L22" i="39"/>
  <c r="I23" i="39" l="1"/>
  <c r="H31" i="39"/>
  <c r="P23" i="41"/>
  <c r="O31" i="41"/>
  <c r="E38" i="39" l="1"/>
  <c r="F38" i="39"/>
  <c r="E24" i="39"/>
  <c r="H24" i="39" s="1"/>
  <c r="I24" i="39" s="1"/>
  <c r="E25" i="39" s="1"/>
  <c r="H25" i="39" s="1"/>
  <c r="I25" i="39" s="1"/>
  <c r="E26" i="39" s="1"/>
  <c r="H26" i="39" s="1"/>
  <c r="I26" i="39" s="1"/>
  <c r="E27" i="39" s="1"/>
  <c r="L23" i="39"/>
  <c r="F36" i="39"/>
  <c r="E37" i="39"/>
  <c r="I36" i="41"/>
  <c r="H38" i="41"/>
  <c r="H37" i="41"/>
  <c r="I38" i="41"/>
  <c r="E24" i="41"/>
  <c r="O24" i="41" s="1"/>
  <c r="P24" i="41" s="1"/>
  <c r="E25" i="41" s="1"/>
  <c r="O25" i="41" s="1"/>
  <c r="P25" i="41" s="1"/>
  <c r="E26" i="41" s="1"/>
  <c r="O26" i="41" s="1"/>
  <c r="P26" i="41" s="1"/>
  <c r="E27" i="41" s="1"/>
  <c r="S23" i="41"/>
  <c r="E47" i="90" l="1"/>
  <c r="F47" i="90" s="1"/>
  <c r="F41" i="39"/>
  <c r="E47" i="86"/>
  <c r="F47" i="86" s="1"/>
  <c r="I41" i="41"/>
  <c r="E47" i="88"/>
  <c r="F47" i="88" s="1"/>
  <c r="E47" i="87"/>
  <c r="F47" i="87" s="1"/>
  <c r="E47" i="89"/>
  <c r="F47" i="89" s="1"/>
  <c r="O27" i="41"/>
  <c r="P27" i="41" s="1"/>
  <c r="E28" i="41" s="1"/>
  <c r="H27" i="39"/>
  <c r="I27" i="39" s="1"/>
  <c r="E28" i="39" s="1"/>
  <c r="H28" i="39" l="1"/>
  <c r="I28" i="39" s="1"/>
  <c r="E29" i="39" s="1"/>
  <c r="O28" i="41"/>
  <c r="P28" i="41" s="1"/>
  <c r="E29" i="41" s="1"/>
  <c r="O29" i="41" l="1"/>
  <c r="P29" i="41" s="1"/>
  <c r="E30" i="41" s="1"/>
  <c r="H29" i="39"/>
  <c r="I29" i="39" s="1"/>
  <c r="E30" i="39" s="1"/>
  <c r="H30" i="39" l="1"/>
  <c r="I30" i="39" s="1"/>
  <c r="O30" i="41"/>
  <c r="P30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1FDC140-E595-4C3E-A8EF-32E4B57585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DDE0B97-7FA5-47EC-BAE3-D02C81A4E8C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819D5-9CC1-41C7-83D9-B2D94F253D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75A95EB-D2D5-45D7-A383-3424816D5F7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<sst xmlns="http://schemas.openxmlformats.org/spreadsheetml/2006/main" count="837" uniqueCount="157">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</sst>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3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29" priority="26" operator="equal">
      <formula>"ERROR"</formula>
    </cfRule>
  </conditionalFormatting>
  <conditionalFormatting sqref="E42">
    <cfRule type="cellIs" dxfId="128" priority="1" stopIfTrue="1" operator="equal">
      <formula>0</formula>
    </cfRule>
    <cfRule type="cellIs" dxfId="127" priority="2" stopIfTrue="1" operator="notEqual">
      <formula>0</formula>
    </cfRule>
    <cfRule type="cellIs" dxfId="126" priority="3" stopIfTrue="1" operator="equal">
      <formula>0</formula>
    </cfRule>
    <cfRule type="cellIs" dxfId="125" priority="4" stopIfTrue="1" operator="notEqual">
      <formula>0</formula>
    </cfRule>
  </conditionalFormatting>
  <conditionalFormatting sqref="L19">
    <cfRule type="cellIs" dxfId="124" priority="21" stopIfTrue="1" operator="equal">
      <formula>0</formula>
    </cfRule>
    <cfRule type="cellIs" dxfId="123" priority="22" stopIfTrue="1" operator="notEqual">
      <formula>0</formula>
    </cfRule>
    <cfRule type="cellIs" dxfId="122" priority="23" stopIfTrue="1" operator="equal">
      <formula>0</formula>
    </cfRule>
    <cfRule type="cellIs" dxfId="121" priority="24" stopIfTrue="1" operator="notEqual">
      <formula>0</formula>
    </cfRule>
  </conditionalFormatting>
  <conditionalFormatting sqref="L31">
    <cfRule type="cellIs" dxfId="120" priority="17" stopIfTrue="1" operator="equal">
      <formula>0</formula>
    </cfRule>
    <cfRule type="cellIs" dxfId="119" priority="18" stopIfTrue="1" operator="notEqual">
      <formula>0</formula>
    </cfRule>
    <cfRule type="cellIs" dxfId="118" priority="19" stopIfTrue="1" operator="equal">
      <formula>0</formula>
    </cfRule>
    <cfRule type="cellIs" dxfId="117" priority="20" stopIfTrue="1" operator="notEqual">
      <formula>0</formula>
    </cfRule>
  </conditionalFormatting>
  <conditionalFormatting sqref="P17">
    <cfRule type="cellIs" dxfId="116" priority="13" stopIfTrue="1" operator="equal">
      <formula>0</formula>
    </cfRule>
    <cfRule type="cellIs" dxfId="115" priority="14" stopIfTrue="1" operator="notEqual">
      <formula>0</formula>
    </cfRule>
    <cfRule type="cellIs" dxfId="114" priority="15" stopIfTrue="1" operator="equal">
      <formula>0</formula>
    </cfRule>
    <cfRule type="cellIs" dxfId="113" priority="16" stopIfTrue="1" operator="notEqual">
      <formula>0</formula>
    </cfRule>
  </conditionalFormatting>
  <conditionalFormatting sqref="P30">
    <cfRule type="cellIs" dxfId="112" priority="9" stopIfTrue="1" operator="equal">
      <formula>0</formula>
    </cfRule>
    <cfRule type="cellIs" dxfId="111" priority="10" stopIfTrue="1" operator="notEqual">
      <formula>0</formula>
    </cfRule>
    <cfRule type="cellIs" dxfId="110" priority="11" stopIfTrue="1" operator="equal">
      <formula>0</formula>
    </cfRule>
    <cfRule type="cellIs" dxfId="109" priority="12" stopIfTrue="1" operator="notEqual">
      <formula>0</formula>
    </cfRule>
  </conditionalFormatting>
  <conditionalFormatting sqref="P31">
    <cfRule type="cellIs" dxfId="108" priority="25" operator="notEqual">
      <formula>0</formula>
    </cfRule>
  </conditionalFormatting>
  <conditionalFormatting sqref="P35:P36">
    <cfRule type="cellIs" dxfId="107" priority="5" stopIfTrue="1" operator="equal">
      <formula>0</formula>
    </cfRule>
    <cfRule type="cellIs" dxfId="106" priority="6" stopIfTrue="1" operator="notEqual">
      <formula>0</formula>
    </cfRule>
    <cfRule type="cellIs" dxfId="105" priority="7" stopIfTrue="1" operator="equal">
      <formula>0</formula>
    </cfRule>
    <cfRule type="cellIs" dxfId="104" priority="8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202302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0.67430000000000001</v>
      </c>
      <c r="H8" s="180">
        <v>0.3155</v>
      </c>
      <c r="I8" s="148">
        <f>1-G8</f>
        <v>0.32569999999999999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2194463.23</v>
      </c>
      <c r="F10" s="182"/>
      <c r="G10" s="183"/>
      <c r="H10" s="182"/>
      <c r="I10" s="173"/>
      <c r="K10" s="21" t="s">
        <v>10</v>
      </c>
      <c r="L10" s="228">
        <v>19928457</v>
      </c>
      <c r="M10" s="156">
        <v>0.10111000000000001</v>
      </c>
      <c r="N10" s="136">
        <f t="shared" ref="N10:N16" si="0">L10*M10</f>
        <v>2014966.2872700002</v>
      </c>
      <c r="O10" s="21" t="s">
        <v>10</v>
      </c>
      <c r="P10" s="228">
        <v>10865050</v>
      </c>
      <c r="Q10" s="156">
        <v>9.1980000000000006E-2</v>
      </c>
      <c r="R10" s="136">
        <f>P10*Q10</f>
        <v>999367.29900000012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37997.24</v>
      </c>
      <c r="F11" s="182"/>
      <c r="G11" s="183"/>
      <c r="H11" s="182"/>
      <c r="I11" s="173"/>
      <c r="K11" s="21" t="s">
        <v>42</v>
      </c>
      <c r="L11" s="228">
        <v>60896</v>
      </c>
      <c r="M11" s="156">
        <v>0.10111000000000001</v>
      </c>
      <c r="N11" s="136">
        <f t="shared" si="0"/>
        <v>6157.1945599999999</v>
      </c>
      <c r="O11" s="21" t="s">
        <v>11</v>
      </c>
      <c r="P11" s="228">
        <v>2660161</v>
      </c>
      <c r="Q11" s="156">
        <f>Q10</f>
        <v>9.1980000000000006E-2</v>
      </c>
      <c r="R11" s="136">
        <f>P11*Q11</f>
        <v>244681.60878000001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2232460.4700000002</v>
      </c>
      <c r="F12" s="184"/>
      <c r="G12" s="185"/>
      <c r="H12" s="184"/>
      <c r="I12" s="174"/>
      <c r="K12" s="21" t="s">
        <v>11</v>
      </c>
      <c r="L12" s="228">
        <v>7728313</v>
      </c>
      <c r="M12" s="156">
        <v>9.2460000000000001E-2</v>
      </c>
      <c r="N12" s="136">
        <f t="shared" si="0"/>
        <v>714559.81998000003</v>
      </c>
      <c r="O12" s="21" t="s">
        <v>12</v>
      </c>
      <c r="P12" s="228">
        <v>1166</v>
      </c>
      <c r="Q12" s="156">
        <f t="shared" ref="Q12:Q14" si="1">Q11</f>
        <v>9.1980000000000006E-2</v>
      </c>
      <c r="R12" s="136">
        <f>P12*Q12</f>
        <v>107.24868000000001</v>
      </c>
    </row>
    <row r="13" spans="2:20" ht="15.6" customHeight="1" thickBot="1">
      <c r="B13" s="10" t="s">
        <v>25</v>
      </c>
      <c r="E13" s="193">
        <f>-E11</f>
        <v>-37997.24</v>
      </c>
      <c r="F13" s="182"/>
      <c r="G13" s="183"/>
      <c r="H13" s="182"/>
      <c r="I13" s="173"/>
      <c r="K13" s="21" t="s">
        <v>12</v>
      </c>
      <c r="L13" s="228">
        <v>55024</v>
      </c>
      <c r="M13" s="156">
        <v>9.2460000000000001E-2</v>
      </c>
      <c r="N13" s="136">
        <f t="shared" si="0"/>
        <v>5087.5190400000001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2194463.23</v>
      </c>
      <c r="F14" s="199">
        <f>E14*F8</f>
        <v>1502110.080935</v>
      </c>
      <c r="G14" s="200"/>
      <c r="H14" s="199">
        <f>E14*H8</f>
        <v>692353.14906500001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229126</v>
      </c>
      <c r="M15" s="156">
        <v>5.9560000000000002E-2</v>
      </c>
      <c r="N15" s="136">
        <f t="shared" si="0"/>
        <v>13646.744560000001</v>
      </c>
      <c r="O15" s="20" t="s">
        <v>29</v>
      </c>
      <c r="P15" s="115">
        <f>SUM(P10:P14)</f>
        <v>13526377</v>
      </c>
      <c r="Q15" s="116"/>
      <c r="R15" s="18">
        <f>SUM(R10:R14)</f>
        <v>1244156.15646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3276459</v>
      </c>
      <c r="M16" s="156">
        <v>5.4000000000000001E-4</v>
      </c>
      <c r="N16" s="136">
        <f t="shared" si="0"/>
        <v>1769.2878599999999</v>
      </c>
      <c r="O16" s="21"/>
      <c r="P16" s="157">
        <v>13526377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21308662.32</v>
      </c>
      <c r="F17" s="205"/>
      <c r="G17" s="203"/>
      <c r="H17" s="202"/>
      <c r="I17" s="204"/>
      <c r="K17" s="20" t="s">
        <v>29</v>
      </c>
      <c r="L17" s="115">
        <f>SUM(L10:L16)</f>
        <v>31278275</v>
      </c>
      <c r="M17" s="3"/>
      <c r="N17" s="18">
        <f>SUM(N10:N16)</f>
        <v>2756186.8532700003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25201.35</v>
      </c>
      <c r="F18" s="202"/>
      <c r="G18" s="203"/>
      <c r="H18" s="202"/>
      <c r="I18" s="204"/>
      <c r="K18" s="11"/>
      <c r="L18" s="157">
        <v>31278275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76086.36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15795.68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-659869.35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968817.96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7431177.4500000002</v>
      </c>
      <c r="F23" s="202"/>
      <c r="G23" s="203"/>
      <c r="H23" s="202"/>
      <c r="I23" s="204"/>
      <c r="K23" s="21" t="s">
        <v>10</v>
      </c>
      <c r="L23" s="221">
        <f>+L10</f>
        <v>19928457</v>
      </c>
      <c r="M23" s="156">
        <v>0.35372999999999999</v>
      </c>
      <c r="N23" s="136">
        <f>L23*M23</f>
        <v>7049293.09461</v>
      </c>
      <c r="O23" s="21" t="s">
        <v>10</v>
      </c>
      <c r="P23" s="221">
        <f>+P10</f>
        <v>10865050</v>
      </c>
      <c r="Q23" s="156">
        <v>0.34877000000000002</v>
      </c>
      <c r="R23" s="136">
        <f>P23*Q23</f>
        <v>3789403.4885000004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-119915.77</v>
      </c>
      <c r="F24" s="202"/>
      <c r="G24" s="203"/>
      <c r="H24" s="202"/>
      <c r="I24" s="204"/>
      <c r="K24" s="21" t="s">
        <v>42</v>
      </c>
      <c r="L24" s="221">
        <f t="shared" ref="L24:L28" si="2">+L11</f>
        <v>60896</v>
      </c>
      <c r="M24" s="156">
        <f>M23</f>
        <v>0.35372999999999999</v>
      </c>
      <c r="N24" s="136">
        <f t="shared" ref="N24:N28" si="3">L24*M24</f>
        <v>21540.74208</v>
      </c>
      <c r="O24" s="21" t="s">
        <v>11</v>
      </c>
      <c r="P24" s="221">
        <f t="shared" ref="P24:P27" si="4">+P11</f>
        <v>2660161</v>
      </c>
      <c r="Q24" s="156">
        <f>Q23</f>
        <v>0.34877000000000002</v>
      </c>
      <c r="R24" s="136">
        <f t="shared" ref="R24:R27" si="5">P24*Q24</f>
        <v>927784.35197000008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-49337.39</v>
      </c>
      <c r="F25" s="202"/>
      <c r="G25" s="203"/>
      <c r="H25" s="202"/>
      <c r="I25" s="204"/>
      <c r="K25" s="21" t="s">
        <v>11</v>
      </c>
      <c r="L25" s="221">
        <f t="shared" si="2"/>
        <v>7728313</v>
      </c>
      <c r="M25" s="156">
        <f t="shared" ref="M25:M28" si="6">M24</f>
        <v>0.35372999999999999</v>
      </c>
      <c r="N25" s="136">
        <f t="shared" si="3"/>
        <v>2733736.1574900001</v>
      </c>
      <c r="O25" s="21" t="s">
        <v>12</v>
      </c>
      <c r="P25" s="221">
        <f t="shared" si="4"/>
        <v>1166</v>
      </c>
      <c r="Q25" s="156">
        <f t="shared" ref="Q25:Q27" si="7">Q24</f>
        <v>0.34877000000000002</v>
      </c>
      <c r="R25" s="136">
        <f t="shared" si="5"/>
        <v>406.66582000000005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-7616217.8200000003</v>
      </c>
      <c r="F26" s="205"/>
      <c r="G26" s="203"/>
      <c r="H26" s="202"/>
      <c r="I26" s="204"/>
      <c r="K26" s="21" t="s">
        <v>12</v>
      </c>
      <c r="L26" s="221">
        <f t="shared" si="2"/>
        <v>55024</v>
      </c>
      <c r="M26" s="156">
        <f t="shared" si="6"/>
        <v>0.35372999999999999</v>
      </c>
      <c r="N26" s="136">
        <f t="shared" si="3"/>
        <v>19463.639520000001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3887278.49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-271324.55</v>
      </c>
      <c r="F28" s="202"/>
      <c r="G28" s="203"/>
      <c r="H28" s="202"/>
      <c r="I28" s="204"/>
      <c r="K28" s="21" t="s">
        <v>14</v>
      </c>
      <c r="L28" s="221">
        <f t="shared" si="2"/>
        <v>229126</v>
      </c>
      <c r="M28" s="156">
        <f t="shared" si="6"/>
        <v>0.35372999999999999</v>
      </c>
      <c r="N28" s="136">
        <f t="shared" si="3"/>
        <v>81048.739979999998</v>
      </c>
      <c r="O28" s="20" t="s">
        <v>31</v>
      </c>
      <c r="P28" s="115">
        <f>SUM(P23:P27)</f>
        <v>13526377</v>
      </c>
      <c r="Q28" s="116"/>
      <c r="R28" s="18">
        <f>SUM(R23:R27)</f>
        <v>4717594.5062899999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28001816</v>
      </c>
      <c r="M29" s="116"/>
      <c r="N29" s="123">
        <f>SUM(N23:N28)</f>
        <v>9905082.3736800011</v>
      </c>
      <c r="O29" s="20"/>
      <c r="P29" s="157">
        <v>13526377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28001816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37997.24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24565601.969999999</v>
      </c>
      <c r="F32" s="209"/>
      <c r="G32" s="183">
        <f>E32*G8</f>
        <v>16564585.408371</v>
      </c>
      <c r="H32" s="112"/>
      <c r="I32" s="173">
        <f>E32*I8</f>
        <v>8001016.5616289992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143815.22</v>
      </c>
      <c r="F35" s="202"/>
      <c r="G35" s="183">
        <f>E35</f>
        <v>143815.22</v>
      </c>
      <c r="H35" s="112"/>
      <c r="I35" s="173"/>
      <c r="K35" s="10" t="s">
        <v>99</v>
      </c>
      <c r="L35" s="113">
        <f>$F$39</f>
        <v>1502110.080935</v>
      </c>
      <c r="M35" s="113">
        <f>G39</f>
        <v>16708400.628371</v>
      </c>
      <c r="N35" s="113">
        <f>$H$39</f>
        <v>692353.14906500001</v>
      </c>
      <c r="O35" s="113">
        <f>I39</f>
        <v>8065656.401628999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64639.839999999997</v>
      </c>
      <c r="F36" s="202"/>
      <c r="G36" s="183"/>
      <c r="H36" s="112"/>
      <c r="I36" s="173">
        <f>E36</f>
        <v>64639.839999999997</v>
      </c>
      <c r="K36" s="10" t="s">
        <v>102</v>
      </c>
      <c r="L36" s="158">
        <f>-$N$17</f>
        <v>-2756186.8532700003</v>
      </c>
      <c r="M36" s="158">
        <f>-N29</f>
        <v>-9905082.3736800011</v>
      </c>
      <c r="N36" s="158">
        <f>-$R$15</f>
        <v>-1244156.15646</v>
      </c>
      <c r="O36" s="158">
        <f>-R28</f>
        <v>-4717594.5062899999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24774057.029999997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-1254076.7723350003</v>
      </c>
      <c r="M37" s="118">
        <f>SUM(M35:M36)</f>
        <v>6803318.2546909992</v>
      </c>
      <c r="N37" s="118">
        <f t="shared" si="8"/>
        <v>-551803.00739499996</v>
      </c>
      <c r="O37" s="118">
        <f t="shared" si="8"/>
        <v>3348061.8953389991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26968520.259999998</v>
      </c>
      <c r="F39" s="197">
        <f>SUM(F14:F37)</f>
        <v>1502110.080935</v>
      </c>
      <c r="G39" s="198">
        <f t="shared" ref="G39:I39" si="9">SUM(G14:G37)</f>
        <v>16708400.628371</v>
      </c>
      <c r="H39" s="197">
        <f t="shared" si="9"/>
        <v>692353.14906500001</v>
      </c>
      <c r="I39" s="155">
        <f t="shared" si="9"/>
        <v>8065656.401628999</v>
      </c>
      <c r="K39" s="164"/>
      <c r="L39" s="166" t="s">
        <v>36</v>
      </c>
      <c r="M39" s="127">
        <f>SUM(L37:M37)</f>
        <v>5549241.4823559988</v>
      </c>
      <c r="N39" s="167" t="s">
        <v>37</v>
      </c>
      <c r="O39" s="127">
        <f>SUM(N37:O37)</f>
        <v>2796258.8879439989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26968520.260000002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3" priority="26" operator="equal">
      <formula>"ERROR"</formula>
    </cfRule>
  </conditionalFormatting>
  <conditionalFormatting sqref="E42">
    <cfRule type="cellIs" dxfId="102" priority="1" stopIfTrue="1" operator="equal">
      <formula>0</formula>
    </cfRule>
    <cfRule type="cellIs" dxfId="101" priority="2" stopIfTrue="1" operator="notEqual">
      <formula>0</formula>
    </cfRule>
    <cfRule type="cellIs" dxfId="100" priority="3" stopIfTrue="1" operator="equal">
      <formula>0</formula>
    </cfRule>
    <cfRule type="cellIs" dxfId="99" priority="4" stopIfTrue="1" operator="notEqual">
      <formula>0</formula>
    </cfRule>
  </conditionalFormatting>
  <conditionalFormatting sqref="L19">
    <cfRule type="cellIs" dxfId="98" priority="21" stopIfTrue="1" operator="equal">
      <formula>0</formula>
    </cfRule>
    <cfRule type="cellIs" dxfId="97" priority="22" stopIfTrue="1" operator="notEqual">
      <formula>0</formula>
    </cfRule>
    <cfRule type="cellIs" dxfId="96" priority="23" stopIfTrue="1" operator="equal">
      <formula>0</formula>
    </cfRule>
    <cfRule type="cellIs" dxfId="95" priority="24" stopIfTrue="1" operator="notEqual">
      <formula>0</formula>
    </cfRule>
  </conditionalFormatting>
  <conditionalFormatting sqref="L31">
    <cfRule type="cellIs" dxfId="94" priority="17" stopIfTrue="1" operator="equal">
      <formula>0</formula>
    </cfRule>
    <cfRule type="cellIs" dxfId="93" priority="18" stopIfTrue="1" operator="notEqual">
      <formula>0</formula>
    </cfRule>
    <cfRule type="cellIs" dxfId="92" priority="19" stopIfTrue="1" operator="equal">
      <formula>0</formula>
    </cfRule>
    <cfRule type="cellIs" dxfId="91" priority="20" stopIfTrue="1" operator="notEqual">
      <formula>0</formula>
    </cfRule>
  </conditionalFormatting>
  <conditionalFormatting sqref="P17">
    <cfRule type="cellIs" dxfId="90" priority="13" stopIfTrue="1" operator="equal">
      <formula>0</formula>
    </cfRule>
    <cfRule type="cellIs" dxfId="89" priority="14" stopIfTrue="1" operator="notEqual">
      <formula>0</formula>
    </cfRule>
    <cfRule type="cellIs" dxfId="88" priority="15" stopIfTrue="1" operator="equal">
      <formula>0</formula>
    </cfRule>
    <cfRule type="cellIs" dxfId="87" priority="16" stopIfTrue="1" operator="notEqual">
      <formula>0</formula>
    </cfRule>
  </conditionalFormatting>
  <conditionalFormatting sqref="P30">
    <cfRule type="cellIs" dxfId="86" priority="9" stopIfTrue="1" operator="equal">
      <formula>0</formula>
    </cfRule>
    <cfRule type="cellIs" dxfId="85" priority="10" stopIfTrue="1" operator="notEqual">
      <formula>0</formula>
    </cfRule>
    <cfRule type="cellIs" dxfId="84" priority="11" stopIfTrue="1" operator="equal">
      <formula>0</formula>
    </cfRule>
    <cfRule type="cellIs" dxfId="83" priority="12" stopIfTrue="1" operator="notEqual">
      <formula>0</formula>
    </cfRule>
  </conditionalFormatting>
  <conditionalFormatting sqref="P31">
    <cfRule type="cellIs" dxfId="82" priority="25" operator="notEqual">
      <formula>0</formula>
    </cfRule>
  </conditionalFormatting>
  <conditionalFormatting sqref="P35:P36">
    <cfRule type="cellIs" dxfId="81" priority="5" stopIfTrue="1" operator="equal">
      <formula>0</formula>
    </cfRule>
    <cfRule type="cellIs" dxfId="80" priority="6" stopIfTrue="1" operator="notEqual">
      <formula>0</formula>
    </cfRule>
    <cfRule type="cellIs" dxfId="79" priority="7" stopIfTrue="1" operator="equal">
      <formula>0</formula>
    </cfRule>
    <cfRule type="cellIs" dxfId="78" priority="8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zoomScale="50" zoomScaleNormal="50" workbookViewId="0">
      <selection activeCell="I51" activeCellId="2" sqref="E48 F52 I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202303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0.66879999999999995</v>
      </c>
      <c r="H8" s="180">
        <v>0.3155</v>
      </c>
      <c r="I8" s="148">
        <f>1-G8</f>
        <v>0.33120000000000005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2344809.56</v>
      </c>
      <c r="F10" s="182"/>
      <c r="G10" s="183"/>
      <c r="H10" s="182"/>
      <c r="I10" s="173"/>
      <c r="K10" s="21" t="s">
        <v>10</v>
      </c>
      <c r="L10" s="228">
        <v>16463840</v>
      </c>
      <c r="M10" s="156">
        <v>0.10111000000000001</v>
      </c>
      <c r="N10" s="136">
        <f t="shared" ref="N10:N16" si="0">L10*M10</f>
        <v>1664658.8624</v>
      </c>
      <c r="O10" s="21" t="s">
        <v>10</v>
      </c>
      <c r="P10" s="228">
        <v>8627125</v>
      </c>
      <c r="Q10" s="156">
        <v>9.1980000000000006E-2</v>
      </c>
      <c r="R10" s="136">
        <f>P10*Q10</f>
        <v>793522.95750000002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41758.32</v>
      </c>
      <c r="F11" s="182"/>
      <c r="G11" s="183"/>
      <c r="H11" s="182"/>
      <c r="I11" s="173"/>
      <c r="K11" s="21" t="s">
        <v>42</v>
      </c>
      <c r="L11" s="228">
        <v>55607</v>
      </c>
      <c r="M11" s="156">
        <v>0.10111000000000001</v>
      </c>
      <c r="N11" s="136">
        <f t="shared" si="0"/>
        <v>5622.4237700000003</v>
      </c>
      <c r="O11" s="21" t="s">
        <v>11</v>
      </c>
      <c r="P11" s="228">
        <v>3486138</v>
      </c>
      <c r="Q11" s="156">
        <f>Q10</f>
        <v>9.1980000000000006E-2</v>
      </c>
      <c r="R11" s="136">
        <f>P11*Q11</f>
        <v>320654.97324000002</v>
      </c>
    </row>
    <row r="12" spans="2:20" ht="15.6" customHeight="1" thickBot="1">
      <c r="B12" s="147" t="s">
        <v>91</v>
      </c>
      <c r="C12" s="3"/>
      <c r="D12" s="3"/>
      <c r="E12" s="192">
        <f>SUM(E10:E11)</f>
        <v>2386567.88</v>
      </c>
      <c r="F12" s="184"/>
      <c r="G12" s="185"/>
      <c r="H12" s="184"/>
      <c r="I12" s="174"/>
      <c r="K12" s="21" t="s">
        <v>11</v>
      </c>
      <c r="L12" s="228">
        <v>7564231</v>
      </c>
      <c r="M12" s="156">
        <v>9.2460000000000001E-2</v>
      </c>
      <c r="N12" s="136">
        <f t="shared" si="0"/>
        <v>699388.79825999995</v>
      </c>
      <c r="O12" s="21" t="s">
        <v>12</v>
      </c>
      <c r="P12" s="228">
        <v>1342</v>
      </c>
      <c r="Q12" s="156">
        <f t="shared" ref="Q12:Q14" si="1">Q11</f>
        <v>9.1980000000000006E-2</v>
      </c>
      <c r="R12" s="136">
        <f>P12*Q12</f>
        <v>123.43716000000001</v>
      </c>
    </row>
    <row r="13" spans="2:20" ht="15.6" customHeight="1" thickBot="1">
      <c r="B13" s="10" t="s">
        <v>25</v>
      </c>
      <c r="E13" s="193">
        <f>-E11</f>
        <v>-41758.32</v>
      </c>
      <c r="F13" s="182"/>
      <c r="G13" s="183"/>
      <c r="H13" s="182"/>
      <c r="I13" s="173"/>
      <c r="K13" s="21" t="s">
        <v>12</v>
      </c>
      <c r="L13" s="228">
        <v>33867</v>
      </c>
      <c r="M13" s="156">
        <v>9.2460000000000001E-2</v>
      </c>
      <c r="N13" s="136">
        <f t="shared" si="0"/>
        <v>3131.3428199999998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2344809.56</v>
      </c>
      <c r="F14" s="199">
        <f>E14*F8</f>
        <v>1605022.1438200001</v>
      </c>
      <c r="G14" s="200"/>
      <c r="H14" s="199">
        <f>E14*H8</f>
        <v>739787.41618000006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349483</v>
      </c>
      <c r="M15" s="156">
        <v>5.9560000000000002E-2</v>
      </c>
      <c r="N15" s="136">
        <f t="shared" si="0"/>
        <v>20815.207480000001</v>
      </c>
      <c r="O15" s="20" t="s">
        <v>29</v>
      </c>
      <c r="P15" s="115">
        <f>SUM(P10:P14)</f>
        <v>12114605</v>
      </c>
      <c r="Q15" s="116"/>
      <c r="R15" s="18">
        <f>SUM(R10:R14)</f>
        <v>1114301.3679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3218328</v>
      </c>
      <c r="M16" s="156">
        <v>5.4000000000000001E-4</v>
      </c>
      <c r="N16" s="136">
        <f t="shared" si="0"/>
        <v>1737.8971200000001</v>
      </c>
      <c r="O16" s="21"/>
      <c r="P16" s="157">
        <v>12114605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13781924.27</v>
      </c>
      <c r="F17" s="205"/>
      <c r="G17" s="203"/>
      <c r="H17" s="202"/>
      <c r="I17" s="204"/>
      <c r="K17" s="20" t="s">
        <v>29</v>
      </c>
      <c r="L17" s="115">
        <f>SUM(L10:L16)</f>
        <v>27685356</v>
      </c>
      <c r="M17" s="3"/>
      <c r="N17" s="18">
        <f>SUM(N10:N16)</f>
        <v>2395354.5318499994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-29595.08</v>
      </c>
      <c r="F18" s="202"/>
      <c r="G18" s="203"/>
      <c r="H18" s="202"/>
      <c r="I18" s="204"/>
      <c r="K18" s="11"/>
      <c r="L18" s="157">
        <v>27685356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42914.06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13734.06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2340310.48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79712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10104688.99</v>
      </c>
      <c r="F23" s="202"/>
      <c r="G23" s="203"/>
      <c r="H23" s="202"/>
      <c r="I23" s="204"/>
      <c r="K23" s="21" t="s">
        <v>10</v>
      </c>
      <c r="L23" s="221">
        <f>+L10</f>
        <v>16463840</v>
      </c>
      <c r="M23" s="156">
        <v>0.35372999999999999</v>
      </c>
      <c r="N23" s="136">
        <f>L23*M23</f>
        <v>5823754.1232000003</v>
      </c>
      <c r="O23" s="21" t="s">
        <v>10</v>
      </c>
      <c r="P23" s="221">
        <f>+P10</f>
        <v>8627125</v>
      </c>
      <c r="Q23" s="156">
        <v>0.34877000000000002</v>
      </c>
      <c r="R23" s="136">
        <f>P23*Q23</f>
        <v>3008882.38625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-1221346.52</v>
      </c>
      <c r="F24" s="202"/>
      <c r="G24" s="203"/>
      <c r="H24" s="202"/>
      <c r="I24" s="204"/>
      <c r="K24" s="21" t="s">
        <v>42</v>
      </c>
      <c r="L24" s="221">
        <f t="shared" ref="L24:L28" si="2">+L11</f>
        <v>55607</v>
      </c>
      <c r="M24" s="156">
        <f>M23</f>
        <v>0.35372999999999999</v>
      </c>
      <c r="N24" s="136">
        <f t="shared" ref="N24:N28" si="3">L24*M24</f>
        <v>19669.864109999999</v>
      </c>
      <c r="O24" s="21" t="s">
        <v>11</v>
      </c>
      <c r="P24" s="221">
        <f t="shared" ref="P24:P27" si="4">+P11</f>
        <v>3486138</v>
      </c>
      <c r="Q24" s="156">
        <f>Q23</f>
        <v>0.34877000000000002</v>
      </c>
      <c r="R24" s="136">
        <f t="shared" ref="R24:R27" si="5">P24*Q24</f>
        <v>1215860.35026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-48303.09</v>
      </c>
      <c r="F25" s="202"/>
      <c r="G25" s="203"/>
      <c r="H25" s="202"/>
      <c r="I25" s="204"/>
      <c r="K25" s="21" t="s">
        <v>11</v>
      </c>
      <c r="L25" s="221">
        <f t="shared" si="2"/>
        <v>7564231</v>
      </c>
      <c r="M25" s="156">
        <f t="shared" ref="M25:M28" si="6">M24</f>
        <v>0.35372999999999999</v>
      </c>
      <c r="N25" s="136">
        <f t="shared" si="3"/>
        <v>2675695.43163</v>
      </c>
      <c r="O25" s="21" t="s">
        <v>12</v>
      </c>
      <c r="P25" s="221">
        <f t="shared" si="4"/>
        <v>1342</v>
      </c>
      <c r="Q25" s="156">
        <f t="shared" ref="Q25:Q27" si="7">Q24</f>
        <v>0.34877000000000002</v>
      </c>
      <c r="R25" s="136">
        <f t="shared" si="5"/>
        <v>468.04934000000003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-7594353.4000000004</v>
      </c>
      <c r="F26" s="205"/>
      <c r="G26" s="203"/>
      <c r="H26" s="202"/>
      <c r="I26" s="204"/>
      <c r="K26" s="21" t="s">
        <v>12</v>
      </c>
      <c r="L26" s="221">
        <f t="shared" si="2"/>
        <v>33867</v>
      </c>
      <c r="M26" s="156">
        <f t="shared" si="6"/>
        <v>0.35372999999999999</v>
      </c>
      <c r="N26" s="136">
        <f t="shared" si="3"/>
        <v>11979.77391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-2591898.38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-1900440.17</v>
      </c>
      <c r="F28" s="202"/>
      <c r="G28" s="203"/>
      <c r="H28" s="202"/>
      <c r="I28" s="204"/>
      <c r="K28" s="21" t="s">
        <v>14</v>
      </c>
      <c r="L28" s="221">
        <f t="shared" si="2"/>
        <v>349483</v>
      </c>
      <c r="M28" s="156">
        <f t="shared" si="6"/>
        <v>0.35372999999999999</v>
      </c>
      <c r="N28" s="136">
        <f t="shared" si="3"/>
        <v>123622.62159</v>
      </c>
      <c r="O28" s="20" t="s">
        <v>31</v>
      </c>
      <c r="P28" s="115">
        <f>SUM(P23:P27)</f>
        <v>12114605</v>
      </c>
      <c r="Q28" s="116"/>
      <c r="R28" s="18">
        <f>SUM(R23:R27)</f>
        <v>4225210.7858500006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24467028</v>
      </c>
      <c r="M29" s="116"/>
      <c r="N29" s="123">
        <f>SUM(N23:N28)</f>
        <v>8654721.8144400008</v>
      </c>
      <c r="O29" s="20"/>
      <c r="P29" s="157">
        <v>12114605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24467028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41758.32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12550355.540000005</v>
      </c>
      <c r="F32" s="209"/>
      <c r="G32" s="183">
        <f>E32*G8</f>
        <v>8393677.7851520032</v>
      </c>
      <c r="H32" s="112"/>
      <c r="I32" s="173">
        <f>E32*I8</f>
        <v>4156677.754848002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-327</v>
      </c>
      <c r="F33" s="206"/>
      <c r="G33" s="183">
        <f>E33</f>
        <v>-327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83016.460000000006</v>
      </c>
      <c r="F35" s="202"/>
      <c r="G35" s="183">
        <f>E35</f>
        <v>83016.460000000006</v>
      </c>
      <c r="H35" s="112"/>
      <c r="I35" s="173"/>
      <c r="K35" s="10" t="s">
        <v>99</v>
      </c>
      <c r="L35" s="113">
        <f>$F$39</f>
        <v>1605022.1438200001</v>
      </c>
      <c r="M35" s="113">
        <f>G39</f>
        <v>8476367.2451520041</v>
      </c>
      <c r="N35" s="113">
        <f>$H$39</f>
        <v>739787.41618000006</v>
      </c>
      <c r="O35" s="113">
        <f>I39</f>
        <v>4194600.9948480017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37923.24</v>
      </c>
      <c r="F36" s="202"/>
      <c r="G36" s="183"/>
      <c r="H36" s="112"/>
      <c r="I36" s="173">
        <f>E36</f>
        <v>37923.24</v>
      </c>
      <c r="K36" s="10" t="s">
        <v>102</v>
      </c>
      <c r="L36" s="158">
        <f>-$N$17</f>
        <v>-2395354.5318499994</v>
      </c>
      <c r="M36" s="158">
        <f>-N29</f>
        <v>-8654721.8144400008</v>
      </c>
      <c r="N36" s="158">
        <f>-$R$15</f>
        <v>-1114301.3679</v>
      </c>
      <c r="O36" s="158">
        <f>-R28</f>
        <v>-4225210.7858500006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12670968.240000006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-790332.38802999933</v>
      </c>
      <c r="M37" s="118">
        <f>SUM(M35:M36)</f>
        <v>-178354.56928799674</v>
      </c>
      <c r="N37" s="118">
        <f t="shared" si="8"/>
        <v>-374513.9517199999</v>
      </c>
      <c r="O37" s="118">
        <f t="shared" si="8"/>
        <v>-30609.791001998819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15015777.800000006</v>
      </c>
      <c r="F39" s="197">
        <f>SUM(F14:F37)</f>
        <v>1605022.1438200001</v>
      </c>
      <c r="G39" s="198">
        <f t="shared" ref="G39:I39" si="9">SUM(G14:G37)</f>
        <v>8476367.2451520041</v>
      </c>
      <c r="H39" s="197">
        <f t="shared" si="9"/>
        <v>739787.41618000006</v>
      </c>
      <c r="I39" s="155">
        <f t="shared" si="9"/>
        <v>4194600.9948480017</v>
      </c>
      <c r="K39" s="164"/>
      <c r="L39" s="166" t="s">
        <v>36</v>
      </c>
      <c r="M39" s="127">
        <f>SUM(L37:M37)</f>
        <v>-968686.95731799607</v>
      </c>
      <c r="N39" s="167" t="s">
        <v>37</v>
      </c>
      <c r="O39" s="127">
        <f>SUM(N37:O37)</f>
        <v>-405123.74272199871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15015777.800000001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77" priority="26" operator="equal">
      <formula>"ERROR"</formula>
    </cfRule>
  </conditionalFormatting>
  <conditionalFormatting sqref="E42">
    <cfRule type="cellIs" dxfId="76" priority="1" stopIfTrue="1" operator="equal">
      <formula>0</formula>
    </cfRule>
    <cfRule type="cellIs" dxfId="75" priority="2" stopIfTrue="1" operator="notEqual">
      <formula>0</formula>
    </cfRule>
    <cfRule type="cellIs" dxfId="74" priority="3" stopIfTrue="1" operator="equal">
      <formula>0</formula>
    </cfRule>
    <cfRule type="cellIs" dxfId="73" priority="4" stopIfTrue="1" operator="notEqual">
      <formula>0</formula>
    </cfRule>
  </conditionalFormatting>
  <conditionalFormatting sqref="L19">
    <cfRule type="cellIs" dxfId="72" priority="21" stopIfTrue="1" operator="equal">
      <formula>0</formula>
    </cfRule>
    <cfRule type="cellIs" dxfId="71" priority="22" stopIfTrue="1" operator="notEqual">
      <formula>0</formula>
    </cfRule>
    <cfRule type="cellIs" dxfId="70" priority="23" stopIfTrue="1" operator="equal">
      <formula>0</formula>
    </cfRule>
    <cfRule type="cellIs" dxfId="69" priority="24" stopIfTrue="1" operator="notEqual">
      <formula>0</formula>
    </cfRule>
  </conditionalFormatting>
  <conditionalFormatting sqref="L31">
    <cfRule type="cellIs" dxfId="68" priority="17" stopIfTrue="1" operator="equal">
      <formula>0</formula>
    </cfRule>
    <cfRule type="cellIs" dxfId="67" priority="18" stopIfTrue="1" operator="notEqual">
      <formula>0</formula>
    </cfRule>
    <cfRule type="cellIs" dxfId="66" priority="19" stopIfTrue="1" operator="equal">
      <formula>0</formula>
    </cfRule>
    <cfRule type="cellIs" dxfId="65" priority="20" stopIfTrue="1" operator="notEqual">
      <formula>0</formula>
    </cfRule>
  </conditionalFormatting>
  <conditionalFormatting sqref="P17">
    <cfRule type="cellIs" dxfId="64" priority="13" stopIfTrue="1" operator="equal">
      <formula>0</formula>
    </cfRule>
    <cfRule type="cellIs" dxfId="63" priority="14" stopIfTrue="1" operator="notEqual">
      <formula>0</formula>
    </cfRule>
    <cfRule type="cellIs" dxfId="62" priority="15" stopIfTrue="1" operator="equal">
      <formula>0</formula>
    </cfRule>
    <cfRule type="cellIs" dxfId="61" priority="16" stopIfTrue="1" operator="notEqual">
      <formula>0</formula>
    </cfRule>
  </conditionalFormatting>
  <conditionalFormatting sqref="P30">
    <cfRule type="cellIs" dxfId="60" priority="9" stopIfTrue="1" operator="equal">
      <formula>0</formula>
    </cfRule>
    <cfRule type="cellIs" dxfId="59" priority="10" stopIfTrue="1" operator="notEqual">
      <formula>0</formula>
    </cfRule>
    <cfRule type="cellIs" dxfId="58" priority="11" stopIfTrue="1" operator="equal">
      <formula>0</formula>
    </cfRule>
    <cfRule type="cellIs" dxfId="57" priority="12" stopIfTrue="1" operator="notEqual">
      <formula>0</formula>
    </cfRule>
  </conditionalFormatting>
  <conditionalFormatting sqref="P31">
    <cfRule type="cellIs" dxfId="56" priority="25" operator="notEqual">
      <formula>0</formula>
    </cfRule>
  </conditionalFormatting>
  <conditionalFormatting sqref="P35:P36">
    <cfRule type="cellIs" dxfId="55" priority="5" stopIfTrue="1" operator="equal">
      <formula>0</formula>
    </cfRule>
    <cfRule type="cellIs" dxfId="54" priority="6" stopIfTrue="1" operator="notEqual">
      <formula>0</formula>
    </cfRule>
    <cfRule type="cellIs" dxfId="53" priority="7" stopIfTrue="1" operator="equal">
      <formula>0</formula>
    </cfRule>
    <cfRule type="cellIs" dxfId="52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CA67-C2B2-405B-A129-962DFE93E507}">
  <sheetPr>
    <pageSetUpPr fitToPage="1"/>
  </sheetPr>
  <dimension ref="A1:T1396"/>
  <sheetViews>
    <sheetView zoomScale="60" zoomScaleNormal="60" workbookViewId="0">
      <selection activeCell="I44" sqref="I44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202304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0.6754</v>
      </c>
      <c r="H8" s="180">
        <v>0.3155</v>
      </c>
      <c r="I8" s="148">
        <f>1-G8</f>
        <v>0.3246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2252064.09</v>
      </c>
      <c r="F10" s="182"/>
      <c r="G10" s="183"/>
      <c r="H10" s="182"/>
      <c r="I10" s="173"/>
      <c r="K10" s="21" t="s">
        <v>10</v>
      </c>
      <c r="L10" s="228">
        <v>10827426</v>
      </c>
      <c r="M10" s="156">
        <v>0.10111000000000001</v>
      </c>
      <c r="N10" s="136">
        <f t="shared" ref="N10:N16" si="0">L10*M10</f>
        <v>1094761.0428600002</v>
      </c>
      <c r="O10" s="21" t="s">
        <v>10</v>
      </c>
      <c r="P10" s="228">
        <v>5612732</v>
      </c>
      <c r="Q10" s="156">
        <v>9.1980000000000006E-2</v>
      </c>
      <c r="R10" s="136">
        <f>P10*Q10</f>
        <v>516259.08936000004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32901.42</v>
      </c>
      <c r="F11" s="182"/>
      <c r="G11" s="183"/>
      <c r="H11" s="182"/>
      <c r="I11" s="173"/>
      <c r="K11" s="21" t="s">
        <v>42</v>
      </c>
      <c r="L11" s="228">
        <v>37509</v>
      </c>
      <c r="M11" s="156">
        <v>0.10111000000000001</v>
      </c>
      <c r="N11" s="136">
        <f t="shared" si="0"/>
        <v>3792.5349900000001</v>
      </c>
      <c r="O11" s="21" t="s">
        <v>11</v>
      </c>
      <c r="P11" s="228">
        <v>2081161</v>
      </c>
      <c r="Q11" s="156">
        <f>Q10</f>
        <v>9.1980000000000006E-2</v>
      </c>
      <c r="R11" s="136">
        <f>P11*Q11</f>
        <v>191425.18878000003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2284965.5099999998</v>
      </c>
      <c r="F12" s="184"/>
      <c r="G12" s="185"/>
      <c r="H12" s="184"/>
      <c r="I12" s="174"/>
      <c r="K12" s="21" t="s">
        <v>11</v>
      </c>
      <c r="L12" s="228">
        <v>4866731</v>
      </c>
      <c r="M12" s="156">
        <v>9.2460000000000001E-2</v>
      </c>
      <c r="N12" s="136">
        <f t="shared" si="0"/>
        <v>449977.94825999998</v>
      </c>
      <c r="O12" s="21" t="s">
        <v>12</v>
      </c>
      <c r="P12" s="228">
        <v>1928</v>
      </c>
      <c r="Q12" s="156">
        <f t="shared" ref="Q12:Q14" si="1">Q11</f>
        <v>9.1980000000000006E-2</v>
      </c>
      <c r="R12" s="136">
        <f>P12*Q12</f>
        <v>177.33744000000002</v>
      </c>
    </row>
    <row r="13" spans="2:20" ht="15.6" customHeight="1" thickBot="1">
      <c r="B13" s="10" t="s">
        <v>25</v>
      </c>
      <c r="E13" s="193">
        <f>-E11</f>
        <v>-32901.42</v>
      </c>
      <c r="F13" s="182"/>
      <c r="G13" s="183"/>
      <c r="H13" s="182"/>
      <c r="I13" s="173"/>
      <c r="K13" s="21" t="s">
        <v>12</v>
      </c>
      <c r="L13" s="228">
        <v>35655</v>
      </c>
      <c r="M13" s="156">
        <v>9.2460000000000001E-2</v>
      </c>
      <c r="N13" s="136">
        <f t="shared" si="0"/>
        <v>3296.6613000000002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2252064.09</v>
      </c>
      <c r="F14" s="199">
        <f>E14*F8</f>
        <v>1541537.8696049999</v>
      </c>
      <c r="G14" s="200"/>
      <c r="H14" s="199">
        <f>E14*H8</f>
        <v>710526.22039499995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243961</v>
      </c>
      <c r="M15" s="156">
        <v>5.9560000000000002E-2</v>
      </c>
      <c r="N15" s="136">
        <f t="shared" si="0"/>
        <v>14530.317160000001</v>
      </c>
      <c r="O15" s="20" t="s">
        <v>29</v>
      </c>
      <c r="P15" s="115">
        <f>SUM(P10:P14)</f>
        <v>7695821</v>
      </c>
      <c r="Q15" s="116"/>
      <c r="R15" s="18">
        <f>SUM(R10:R14)</f>
        <v>707861.6155800001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2720728</v>
      </c>
      <c r="M16" s="156">
        <v>5.4000000000000001E-4</v>
      </c>
      <c r="N16" s="136">
        <f t="shared" si="0"/>
        <v>1469.1931199999999</v>
      </c>
      <c r="O16" s="21"/>
      <c r="P16" s="157">
        <v>7695821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11110710.789999999</v>
      </c>
      <c r="F17" s="205"/>
      <c r="G17" s="203"/>
      <c r="H17" s="202"/>
      <c r="I17" s="204"/>
      <c r="K17" s="20" t="s">
        <v>29</v>
      </c>
      <c r="L17" s="115">
        <f>SUM(L10:L16)</f>
        <v>18732010</v>
      </c>
      <c r="M17" s="3"/>
      <c r="N17" s="18">
        <f>SUM(N10:N16)</f>
        <v>1567827.6976900003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54185.35</v>
      </c>
      <c r="F18" s="202"/>
      <c r="G18" s="203"/>
      <c r="H18" s="202"/>
      <c r="I18" s="204"/>
      <c r="K18" s="11"/>
      <c r="L18" s="157">
        <v>18732010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35550.080000000002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12919.53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-474458.16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353909.85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1098973.08</v>
      </c>
      <c r="F23" s="202"/>
      <c r="G23" s="203"/>
      <c r="H23" s="202"/>
      <c r="I23" s="204"/>
      <c r="K23" s="21" t="s">
        <v>10</v>
      </c>
      <c r="L23" s="221">
        <f>+L10</f>
        <v>10827426</v>
      </c>
      <c r="M23" s="156">
        <v>0.35372999999999999</v>
      </c>
      <c r="N23" s="136">
        <f>L23*M23</f>
        <v>3829985.3989800001</v>
      </c>
      <c r="O23" s="21" t="s">
        <v>10</v>
      </c>
      <c r="P23" s="221">
        <f>+P10</f>
        <v>5612732</v>
      </c>
      <c r="Q23" s="156">
        <v>0.34877000000000002</v>
      </c>
      <c r="R23" s="136">
        <f>P23*Q23</f>
        <v>1957552.5396400001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-3800615.22</v>
      </c>
      <c r="F24" s="202"/>
      <c r="G24" s="203"/>
      <c r="H24" s="202"/>
      <c r="I24" s="204"/>
      <c r="K24" s="21" t="s">
        <v>42</v>
      </c>
      <c r="L24" s="221">
        <f t="shared" ref="L24:L28" si="2">+L11</f>
        <v>37509</v>
      </c>
      <c r="M24" s="156">
        <f>M23</f>
        <v>0.35372999999999999</v>
      </c>
      <c r="N24" s="136">
        <f t="shared" ref="N24:N28" si="3">L24*M24</f>
        <v>13268.058569999999</v>
      </c>
      <c r="O24" s="21" t="s">
        <v>11</v>
      </c>
      <c r="P24" s="221">
        <f t="shared" ref="P24:P27" si="4">+P11</f>
        <v>2081161</v>
      </c>
      <c r="Q24" s="156">
        <f>Q23</f>
        <v>0.34877000000000002</v>
      </c>
      <c r="R24" s="136">
        <f t="shared" ref="R24:R27" si="5">P24*Q24</f>
        <v>725846.52197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-53664.99</v>
      </c>
      <c r="F25" s="202"/>
      <c r="G25" s="203"/>
      <c r="H25" s="202"/>
      <c r="I25" s="204"/>
      <c r="K25" s="21" t="s">
        <v>11</v>
      </c>
      <c r="L25" s="221">
        <f t="shared" si="2"/>
        <v>4866731</v>
      </c>
      <c r="M25" s="156">
        <f t="shared" ref="M25:M28" si="6">M24</f>
        <v>0.35372999999999999</v>
      </c>
      <c r="N25" s="136">
        <f t="shared" si="3"/>
        <v>1721508.75663</v>
      </c>
      <c r="O25" s="21" t="s">
        <v>12</v>
      </c>
      <c r="P25" s="221">
        <f t="shared" si="4"/>
        <v>1928</v>
      </c>
      <c r="Q25" s="156">
        <f t="shared" ref="Q25:Q27" si="7">Q24</f>
        <v>0.34877000000000002</v>
      </c>
      <c r="R25" s="136">
        <f t="shared" si="5"/>
        <v>672.42856000000006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-1963174.22</v>
      </c>
      <c r="F26" s="205"/>
      <c r="G26" s="203"/>
      <c r="H26" s="202"/>
      <c r="I26" s="204"/>
      <c r="K26" s="21" t="s">
        <v>12</v>
      </c>
      <c r="L26" s="221">
        <f t="shared" si="2"/>
        <v>35655</v>
      </c>
      <c r="M26" s="156">
        <f t="shared" si="6"/>
        <v>0.35372999999999999</v>
      </c>
      <c r="N26" s="136">
        <f t="shared" si="3"/>
        <v>12612.24315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605070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-1264319.93</v>
      </c>
      <c r="F28" s="202"/>
      <c r="G28" s="203"/>
      <c r="H28" s="202"/>
      <c r="I28" s="204"/>
      <c r="K28" s="21" t="s">
        <v>14</v>
      </c>
      <c r="L28" s="221">
        <f t="shared" si="2"/>
        <v>243961</v>
      </c>
      <c r="M28" s="156">
        <f t="shared" si="6"/>
        <v>0.35372999999999999</v>
      </c>
      <c r="N28" s="136">
        <f t="shared" si="3"/>
        <v>86296.324529999998</v>
      </c>
      <c r="O28" s="20" t="s">
        <v>31</v>
      </c>
      <c r="P28" s="115">
        <f>SUM(P23:P27)</f>
        <v>7695821</v>
      </c>
      <c r="Q28" s="116"/>
      <c r="R28" s="18">
        <f>SUM(R23:R27)</f>
        <v>2684071.4901700001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16011282</v>
      </c>
      <c r="M29" s="116"/>
      <c r="N29" s="123">
        <f>SUM(N23:N28)</f>
        <v>5663670.7818600005</v>
      </c>
      <c r="O29" s="20"/>
      <c r="P29" s="157">
        <v>7695821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16011282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32901.42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5279237.5799999973</v>
      </c>
      <c r="F32" s="209"/>
      <c r="G32" s="183">
        <f>E32*G8</f>
        <v>3565597.0615319982</v>
      </c>
      <c r="H32" s="112"/>
      <c r="I32" s="173">
        <f>E32*I8</f>
        <v>1713640.5184679991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-188508.58</v>
      </c>
      <c r="F35" s="202"/>
      <c r="G35" s="183">
        <f>E35</f>
        <v>-188508.58</v>
      </c>
      <c r="H35" s="112"/>
      <c r="I35" s="173"/>
      <c r="K35" s="10" t="s">
        <v>99</v>
      </c>
      <c r="L35" s="113">
        <f>$F$39</f>
        <v>1541537.8696049999</v>
      </c>
      <c r="M35" s="113">
        <f>G39</f>
        <v>3377088.4815319981</v>
      </c>
      <c r="N35" s="113">
        <f>$H$39</f>
        <v>710526.22039499995</v>
      </c>
      <c r="O35" s="113">
        <f>I39</f>
        <v>1623443.718467999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-90196.800000000003</v>
      </c>
      <c r="F36" s="202"/>
      <c r="G36" s="183"/>
      <c r="H36" s="112"/>
      <c r="I36" s="173">
        <f>E36</f>
        <v>-90196.800000000003</v>
      </c>
      <c r="K36" s="10" t="s">
        <v>102</v>
      </c>
      <c r="L36" s="158">
        <f>-$N$17</f>
        <v>-1567827.6976900003</v>
      </c>
      <c r="M36" s="158">
        <f>-N29</f>
        <v>-5663670.7818600005</v>
      </c>
      <c r="N36" s="158">
        <f>-$R$15</f>
        <v>-707861.6155800001</v>
      </c>
      <c r="O36" s="158">
        <f>-R28</f>
        <v>-2684071.4901700001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5000532.1999999974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-26289.828085000394</v>
      </c>
      <c r="M37" s="118">
        <f>SUM(M35:M36)</f>
        <v>-2286582.3003280023</v>
      </c>
      <c r="N37" s="118">
        <f t="shared" si="8"/>
        <v>2664.6048149998533</v>
      </c>
      <c r="O37" s="118">
        <f t="shared" si="8"/>
        <v>-1060627.7717020011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7252596.2899999972</v>
      </c>
      <c r="F39" s="197">
        <f>SUM(F14:F37)</f>
        <v>1541537.8696049999</v>
      </c>
      <c r="G39" s="198">
        <f t="shared" ref="G39:I39" si="9">SUM(G14:G37)</f>
        <v>3377088.4815319981</v>
      </c>
      <c r="H39" s="197">
        <f t="shared" si="9"/>
        <v>710526.22039499995</v>
      </c>
      <c r="I39" s="155">
        <f t="shared" si="9"/>
        <v>1623443.718467999</v>
      </c>
      <c r="K39" s="164"/>
      <c r="L39" s="166" t="s">
        <v>36</v>
      </c>
      <c r="M39" s="127">
        <f>SUM(L37:M37)</f>
        <v>-2312872.1284130029</v>
      </c>
      <c r="N39" s="167" t="s">
        <v>37</v>
      </c>
      <c r="O39" s="127">
        <f>SUM(N37:O37)</f>
        <v>-1057963.1668870011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7252596.29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1" priority="26" operator="equal">
      <formula>"ERROR"</formula>
    </cfRule>
  </conditionalFormatting>
  <conditionalFormatting sqref="E42">
    <cfRule type="cellIs" dxfId="50" priority="1" stopIfTrue="1" operator="equal">
      <formula>0</formula>
    </cfRule>
    <cfRule type="cellIs" dxfId="49" priority="2" stopIfTrue="1" operator="notEqual">
      <formula>0</formula>
    </cfRule>
    <cfRule type="cellIs" dxfId="48" priority="3" stopIfTrue="1" operator="equal">
      <formula>0</formula>
    </cfRule>
    <cfRule type="cellIs" dxfId="47" priority="4" stopIfTrue="1" operator="notEqual">
      <formula>0</formula>
    </cfRule>
  </conditionalFormatting>
  <conditionalFormatting sqref="L19">
    <cfRule type="cellIs" dxfId="46" priority="21" stopIfTrue="1" operator="equal">
      <formula>0</formula>
    </cfRule>
    <cfRule type="cellIs" dxfId="45" priority="22" stopIfTrue="1" operator="notEqual">
      <formula>0</formula>
    </cfRule>
    <cfRule type="cellIs" dxfId="44" priority="23" stopIfTrue="1" operator="equal">
      <formula>0</formula>
    </cfRule>
    <cfRule type="cellIs" dxfId="43" priority="24" stopIfTrue="1" operator="notEqual">
      <formula>0</formula>
    </cfRule>
  </conditionalFormatting>
  <conditionalFormatting sqref="L31">
    <cfRule type="cellIs" dxfId="42" priority="17" stopIfTrue="1" operator="equal">
      <formula>0</formula>
    </cfRule>
    <cfRule type="cellIs" dxfId="41" priority="18" stopIfTrue="1" operator="notEqual">
      <formula>0</formula>
    </cfRule>
    <cfRule type="cellIs" dxfId="40" priority="19" stopIfTrue="1" operator="equal">
      <formula>0</formula>
    </cfRule>
    <cfRule type="cellIs" dxfId="39" priority="20" stopIfTrue="1" operator="notEqual">
      <formula>0</formula>
    </cfRule>
  </conditionalFormatting>
  <conditionalFormatting sqref="P17">
    <cfRule type="cellIs" dxfId="38" priority="13" stopIfTrue="1" operator="equal">
      <formula>0</formula>
    </cfRule>
    <cfRule type="cellIs" dxfId="37" priority="14" stopIfTrue="1" operator="notEqual">
      <formula>0</formula>
    </cfRule>
    <cfRule type="cellIs" dxfId="36" priority="15" stopIfTrue="1" operator="equal">
      <formula>0</formula>
    </cfRule>
    <cfRule type="cellIs" dxfId="35" priority="16" stopIfTrue="1" operator="notEqual">
      <formula>0</formula>
    </cfRule>
  </conditionalFormatting>
  <conditionalFormatting sqref="P30">
    <cfRule type="cellIs" dxfId="34" priority="9" stopIfTrue="1" operator="equal">
      <formula>0</formula>
    </cfRule>
    <cfRule type="cellIs" dxfId="33" priority="10" stopIfTrue="1" operator="notEqual">
      <formula>0</formula>
    </cfRule>
    <cfRule type="cellIs" dxfId="32" priority="11" stopIfTrue="1" operator="equal">
      <formula>0</formula>
    </cfRule>
    <cfRule type="cellIs" dxfId="31" priority="12" stopIfTrue="1" operator="notEqual">
      <formula>0</formula>
    </cfRule>
  </conditionalFormatting>
  <conditionalFormatting sqref="P31">
    <cfRule type="cellIs" dxfId="30" priority="25" operator="notEqual">
      <formula>0</formula>
    </cfRule>
  </conditionalFormatting>
  <conditionalFormatting sqref="P35:P36">
    <cfRule type="cellIs" dxfId="29" priority="5" stopIfTrue="1" operator="equal">
      <formula>0</formula>
    </cfRule>
    <cfRule type="cellIs" dxfId="28" priority="6" stopIfTrue="1" operator="notEqual">
      <formula>0</formula>
    </cfRule>
    <cfRule type="cellIs" dxfId="27" priority="7" stopIfTrue="1" operator="equal">
      <formula>0</formula>
    </cfRule>
    <cfRule type="cellIs" dxfId="26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A375-3971-425F-AAF1-334599228387}">
  <sheetPr>
    <pageSetUpPr fitToPage="1"/>
  </sheetPr>
  <dimension ref="A1:T1396"/>
  <sheetViews>
    <sheetView tabSelected="1" zoomScale="60" zoomScaleNormal="60" workbookViewId="0"/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202305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0.66800000000000004</v>
      </c>
      <c r="H8" s="180">
        <v>0.3155</v>
      </c>
      <c r="I8" s="148">
        <f>1-G8</f>
        <v>0.33199999999999996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2304747.27</v>
      </c>
      <c r="F10" s="182"/>
      <c r="G10" s="183"/>
      <c r="H10" s="182"/>
      <c r="I10" s="173"/>
      <c r="K10" s="21" t="s">
        <v>10</v>
      </c>
      <c r="L10" s="228">
        <v>3335686</v>
      </c>
      <c r="M10" s="156">
        <v>0.10111000000000001</v>
      </c>
      <c r="N10" s="136">
        <f t="shared" ref="N10:N16" si="0">L10*M10</f>
        <v>337271.21146000002</v>
      </c>
      <c r="O10" s="21" t="s">
        <v>10</v>
      </c>
      <c r="P10" s="228">
        <v>1769819</v>
      </c>
      <c r="Q10" s="156">
        <v>9.1980000000000006E-2</v>
      </c>
      <c r="R10" s="136">
        <f>P10*Q10</f>
        <v>162787.95162000001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32132.23</v>
      </c>
      <c r="F11" s="182"/>
      <c r="G11" s="183"/>
      <c r="H11" s="182"/>
      <c r="I11" s="173"/>
      <c r="K11" s="21" t="s">
        <v>42</v>
      </c>
      <c r="L11" s="228">
        <v>11814</v>
      </c>
      <c r="M11" s="156">
        <v>0.10111000000000001</v>
      </c>
      <c r="N11" s="136">
        <f t="shared" si="0"/>
        <v>1194.5135400000001</v>
      </c>
      <c r="O11" s="21" t="s">
        <v>11</v>
      </c>
      <c r="P11" s="228">
        <v>1259501</v>
      </c>
      <c r="Q11" s="156">
        <f>Q10</f>
        <v>9.1980000000000006E-2</v>
      </c>
      <c r="R11" s="136">
        <f>P11*Q11</f>
        <v>115848.90198000001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2336879.5</v>
      </c>
      <c r="F12" s="184"/>
      <c r="G12" s="185"/>
      <c r="H12" s="184"/>
      <c r="I12" s="174"/>
      <c r="K12" s="21" t="s">
        <v>11</v>
      </c>
      <c r="L12" s="228">
        <v>2518681</v>
      </c>
      <c r="M12" s="156">
        <v>9.2460000000000001E-2</v>
      </c>
      <c r="N12" s="136">
        <f t="shared" si="0"/>
        <v>232877.24526</v>
      </c>
      <c r="O12" s="21" t="s">
        <v>12</v>
      </c>
      <c r="P12" s="228">
        <v>348</v>
      </c>
      <c r="Q12" s="156">
        <f t="shared" ref="Q12:Q14" si="1">Q11</f>
        <v>9.1980000000000006E-2</v>
      </c>
      <c r="R12" s="136">
        <f>P12*Q12</f>
        <v>32.009039999999999</v>
      </c>
    </row>
    <row r="13" spans="2:20" ht="15.6" customHeight="1" thickBot="1">
      <c r="B13" s="10" t="s">
        <v>25</v>
      </c>
      <c r="E13" s="193">
        <f>-E11</f>
        <v>-32132.23</v>
      </c>
      <c r="F13" s="182"/>
      <c r="G13" s="183"/>
      <c r="H13" s="182"/>
      <c r="I13" s="173"/>
      <c r="K13" s="21" t="s">
        <v>12</v>
      </c>
      <c r="L13" s="228">
        <v>35872</v>
      </c>
      <c r="M13" s="156">
        <v>9.2460000000000001E-2</v>
      </c>
      <c r="N13" s="136">
        <f t="shared" si="0"/>
        <v>3316.7251200000001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2304747.27</v>
      </c>
      <c r="F14" s="199">
        <f>E14*F8</f>
        <v>1577599.5063150001</v>
      </c>
      <c r="G14" s="200"/>
      <c r="H14" s="199">
        <f>E14*H8</f>
        <v>727147.76368500001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192768</v>
      </c>
      <c r="M15" s="156">
        <v>5.9560000000000002E-2</v>
      </c>
      <c r="N15" s="136">
        <f t="shared" si="0"/>
        <v>11481.26208</v>
      </c>
      <c r="O15" s="20" t="s">
        <v>29</v>
      </c>
      <c r="P15" s="115">
        <f>SUM(P10:P14)</f>
        <v>3029668</v>
      </c>
      <c r="Q15" s="116"/>
      <c r="R15" s="18">
        <f>SUM(R10:R14)</f>
        <v>278668.86264000001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2247224</v>
      </c>
      <c r="M16" s="156">
        <v>5.4000000000000001E-4</v>
      </c>
      <c r="N16" s="136">
        <f t="shared" si="0"/>
        <v>1213.5009600000001</v>
      </c>
      <c r="O16" s="21"/>
      <c r="P16" s="157">
        <v>3029668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6938721.7400000002</v>
      </c>
      <c r="F17" s="205"/>
      <c r="G17" s="203"/>
      <c r="H17" s="202"/>
      <c r="I17" s="204"/>
      <c r="K17" s="20" t="s">
        <v>29</v>
      </c>
      <c r="L17" s="115">
        <f>SUM(L10:L16)</f>
        <v>8342045</v>
      </c>
      <c r="M17" s="3"/>
      <c r="N17" s="18">
        <f>SUM(N10:N16)</f>
        <v>587354.45842000004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-18544.38</v>
      </c>
      <c r="F18" s="202"/>
      <c r="G18" s="203"/>
      <c r="H18" s="202"/>
      <c r="I18" s="204"/>
      <c r="K18" s="11"/>
      <c r="L18" s="157">
        <v>8342045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31865.14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16005.06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568479.93999999994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961356.08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8753.27</v>
      </c>
      <c r="F23" s="202"/>
      <c r="G23" s="203"/>
      <c r="H23" s="202"/>
      <c r="I23" s="204"/>
      <c r="K23" s="21" t="s">
        <v>10</v>
      </c>
      <c r="L23" s="221">
        <f>+L10</f>
        <v>3335686</v>
      </c>
      <c r="M23" s="156">
        <v>0.35372999999999999</v>
      </c>
      <c r="N23" s="136">
        <f>L23*M23</f>
        <v>1179932.20878</v>
      </c>
      <c r="O23" s="21" t="s">
        <v>10</v>
      </c>
      <c r="P23" s="221">
        <f>+P10</f>
        <v>1769819</v>
      </c>
      <c r="Q23" s="156">
        <v>0.34877000000000002</v>
      </c>
      <c r="R23" s="136">
        <f>P23*Q23</f>
        <v>617259.77263000002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-4158932.8</v>
      </c>
      <c r="F24" s="202"/>
      <c r="G24" s="203"/>
      <c r="H24" s="202"/>
      <c r="I24" s="204"/>
      <c r="K24" s="21" t="s">
        <v>42</v>
      </c>
      <c r="L24" s="221">
        <f t="shared" ref="L24:L28" si="2">+L11</f>
        <v>11814</v>
      </c>
      <c r="M24" s="156">
        <f>M23</f>
        <v>0.35372999999999999</v>
      </c>
      <c r="N24" s="136">
        <f t="shared" ref="N24:N28" si="3">L24*M24</f>
        <v>4178.9662200000002</v>
      </c>
      <c r="O24" s="21" t="s">
        <v>11</v>
      </c>
      <c r="P24" s="221">
        <f t="shared" ref="P24:P27" si="4">+P11</f>
        <v>1259501</v>
      </c>
      <c r="Q24" s="156">
        <f>Q23</f>
        <v>0.34877000000000002</v>
      </c>
      <c r="R24" s="136">
        <f t="shared" ref="R24:R27" si="5">P24*Q24</f>
        <v>439276.16377000004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-24986.51</v>
      </c>
      <c r="F25" s="202"/>
      <c r="G25" s="203"/>
      <c r="H25" s="202"/>
      <c r="I25" s="204"/>
      <c r="K25" s="21" t="s">
        <v>11</v>
      </c>
      <c r="L25" s="221">
        <f t="shared" si="2"/>
        <v>2518681</v>
      </c>
      <c r="M25" s="156">
        <f t="shared" ref="M25:M28" si="6">M24</f>
        <v>0.35372999999999999</v>
      </c>
      <c r="N25" s="136">
        <f t="shared" si="3"/>
        <v>890933.03012999997</v>
      </c>
      <c r="O25" s="21" t="s">
        <v>12</v>
      </c>
      <c r="P25" s="221">
        <f t="shared" si="4"/>
        <v>348</v>
      </c>
      <c r="Q25" s="156">
        <f t="shared" ref="Q25:Q27" si="7">Q24</f>
        <v>0.34877000000000002</v>
      </c>
      <c r="R25" s="136">
        <f t="shared" si="5"/>
        <v>121.37196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-380223.3</v>
      </c>
      <c r="F26" s="205"/>
      <c r="G26" s="203"/>
      <c r="H26" s="202"/>
      <c r="I26" s="204"/>
      <c r="K26" s="21" t="s">
        <v>12</v>
      </c>
      <c r="L26" s="221">
        <f t="shared" si="2"/>
        <v>35872</v>
      </c>
      <c r="M26" s="156">
        <f t="shared" si="6"/>
        <v>0.35372999999999999</v>
      </c>
      <c r="N26" s="136">
        <f t="shared" si="3"/>
        <v>12689.002559999999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144626.62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-1344737.21</v>
      </c>
      <c r="F28" s="202"/>
      <c r="G28" s="203"/>
      <c r="H28" s="202"/>
      <c r="I28" s="204"/>
      <c r="K28" s="21" t="s">
        <v>14</v>
      </c>
      <c r="L28" s="221">
        <f t="shared" si="2"/>
        <v>192768</v>
      </c>
      <c r="M28" s="156">
        <f t="shared" si="6"/>
        <v>0.35372999999999999</v>
      </c>
      <c r="N28" s="136">
        <f t="shared" si="3"/>
        <v>68187.824639999992</v>
      </c>
      <c r="O28" s="20" t="s">
        <v>31</v>
      </c>
      <c r="P28" s="115">
        <f>SUM(P23:P27)</f>
        <v>3029668</v>
      </c>
      <c r="Q28" s="116"/>
      <c r="R28" s="18">
        <f>SUM(R23:R27)</f>
        <v>1056657.3083599999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6094821</v>
      </c>
      <c r="M29" s="116"/>
      <c r="N29" s="123">
        <f>SUM(N23:N28)</f>
        <v>2155921.0323299998</v>
      </c>
      <c r="O29" s="20"/>
      <c r="P29" s="157">
        <v>3029668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6094821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32132.23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2305765.8800000004</v>
      </c>
      <c r="F32" s="209"/>
      <c r="G32" s="183">
        <f>E32*G8</f>
        <v>1540251.6078400004</v>
      </c>
      <c r="H32" s="112"/>
      <c r="I32" s="173">
        <f>E32*I8</f>
        <v>765514.27216000005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344590.49</v>
      </c>
      <c r="F35" s="202"/>
      <c r="G35" s="183">
        <f>E35</f>
        <v>344590.49</v>
      </c>
      <c r="H35" s="112"/>
      <c r="I35" s="173"/>
      <c r="K35" s="10" t="s">
        <v>99</v>
      </c>
      <c r="L35" s="113">
        <f>$F$39</f>
        <v>1577599.5063150001</v>
      </c>
      <c r="M35" s="113">
        <f>G39</f>
        <v>1884842.0978400004</v>
      </c>
      <c r="N35" s="113">
        <f>$H$39</f>
        <v>727147.76368500001</v>
      </c>
      <c r="O35" s="113">
        <f>I39</f>
        <v>931956.17216000007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166441.9</v>
      </c>
      <c r="F36" s="202"/>
      <c r="G36" s="183"/>
      <c r="H36" s="112"/>
      <c r="I36" s="173">
        <f>E36</f>
        <v>166441.9</v>
      </c>
      <c r="K36" s="10" t="s">
        <v>102</v>
      </c>
      <c r="L36" s="158">
        <f>-$N$17</f>
        <v>-587354.45842000004</v>
      </c>
      <c r="M36" s="158">
        <f>-N29</f>
        <v>-2155921.0323299998</v>
      </c>
      <c r="N36" s="158">
        <f>-$R$15</f>
        <v>-278668.86264000001</v>
      </c>
      <c r="O36" s="158">
        <f>-R28</f>
        <v>-1056657.3083599999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2816798.27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990245.04789500008</v>
      </c>
      <c r="M37" s="118">
        <f>SUM(M35:M36)</f>
        <v>-271078.93448999943</v>
      </c>
      <c r="N37" s="118">
        <f t="shared" si="8"/>
        <v>448478.90104500001</v>
      </c>
      <c r="O37" s="118">
        <f t="shared" si="8"/>
        <v>-124701.13619999983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5121545.54</v>
      </c>
      <c r="F39" s="197">
        <f>SUM(F14:F37)</f>
        <v>1577599.5063150001</v>
      </c>
      <c r="G39" s="198">
        <f t="shared" ref="G39:I39" si="9">SUM(G14:G37)</f>
        <v>1884842.0978400004</v>
      </c>
      <c r="H39" s="197">
        <f t="shared" si="9"/>
        <v>727147.76368500001</v>
      </c>
      <c r="I39" s="155">
        <f t="shared" si="9"/>
        <v>931956.17216000007</v>
      </c>
      <c r="K39" s="164"/>
      <c r="L39" s="166" t="s">
        <v>36</v>
      </c>
      <c r="M39" s="127">
        <f>SUM(L37:M37)</f>
        <v>719166.11340500065</v>
      </c>
      <c r="N39" s="167" t="s">
        <v>37</v>
      </c>
      <c r="O39" s="127">
        <f>SUM(N37:O37)</f>
        <v>323777.76484500017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5121545.54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5" priority="26" operator="equal">
      <formula>"ERROR"</formula>
    </cfRule>
  </conditionalFormatting>
  <conditionalFormatting sqref="E42">
    <cfRule type="cellIs" dxfId="24" priority="1" stopIfTrue="1" operator="equal">
      <formula>0</formula>
    </cfRule>
    <cfRule type="cellIs" dxfId="23" priority="2" stopIfTrue="1" operator="notEqual">
      <formula>0</formula>
    </cfRule>
    <cfRule type="cellIs" dxfId="22" priority="3" stopIfTrue="1" operator="equal">
      <formula>0</formula>
    </cfRule>
    <cfRule type="cellIs" dxfId="21" priority="4" stopIfTrue="1" operator="notEqual">
      <formula>0</formula>
    </cfRule>
  </conditionalFormatting>
  <conditionalFormatting sqref="L19">
    <cfRule type="cellIs" dxfId="20" priority="21" stopIfTrue="1" operator="equal">
      <formula>0</formula>
    </cfRule>
    <cfRule type="cellIs" dxfId="19" priority="22" stopIfTrue="1" operator="notEqual">
      <formula>0</formula>
    </cfRule>
    <cfRule type="cellIs" dxfId="18" priority="23" stopIfTrue="1" operator="equal">
      <formula>0</formula>
    </cfRule>
    <cfRule type="cellIs" dxfId="17" priority="24" stopIfTrue="1" operator="notEqual">
      <formula>0</formula>
    </cfRule>
  </conditionalFormatting>
  <conditionalFormatting sqref="L31">
    <cfRule type="cellIs" dxfId="16" priority="17" stopIfTrue="1" operator="equal">
      <formula>0</formula>
    </cfRule>
    <cfRule type="cellIs" dxfId="15" priority="18" stopIfTrue="1" operator="notEqual">
      <formula>0</formula>
    </cfRule>
    <cfRule type="cellIs" dxfId="14" priority="19" stopIfTrue="1" operator="equal">
      <formula>0</formula>
    </cfRule>
    <cfRule type="cellIs" dxfId="13" priority="20" stopIfTrue="1" operator="notEqual">
      <formula>0</formula>
    </cfRule>
  </conditionalFormatting>
  <conditionalFormatting sqref="P17">
    <cfRule type="cellIs" dxfId="12" priority="13" stopIfTrue="1" operator="equal">
      <formula>0</formula>
    </cfRule>
    <cfRule type="cellIs" dxfId="11" priority="14" stopIfTrue="1" operator="notEqual">
      <formula>0</formula>
    </cfRule>
    <cfRule type="cellIs" dxfId="10" priority="15" stopIfTrue="1" operator="equal">
      <formula>0</formula>
    </cfRule>
    <cfRule type="cellIs" dxfId="9" priority="16" stopIfTrue="1" operator="notEqual">
      <formula>0</formula>
    </cfRule>
  </conditionalFormatting>
  <conditionalFormatting sqref="P30">
    <cfRule type="cellIs" dxfId="8" priority="9" stopIfTrue="1" operator="equal">
      <formula>0</formula>
    </cfRule>
    <cfRule type="cellIs" dxfId="7" priority="10" stopIfTrue="1" operator="notEqual">
      <formula>0</formula>
    </cfRule>
    <cfRule type="cellIs" dxfId="6" priority="11" stopIfTrue="1" operator="equal">
      <formula>0</formula>
    </cfRule>
    <cfRule type="cellIs" dxfId="5" priority="12" stopIfTrue="1" operator="notEqual">
      <formula>0</formula>
    </cfRule>
  </conditionalFormatting>
  <conditionalFormatting sqref="P31">
    <cfRule type="cellIs" dxfId="4" priority="25" operator="notEqual">
      <formula>0</formula>
    </cfRule>
  </conditionalFormatting>
  <conditionalFormatting sqref="P35:P36">
    <cfRule type="cellIs" dxfId="3" priority="5" stopIfTrue="1" operator="equal">
      <formula>0</formula>
    </cfRule>
    <cfRule type="cellIs" dxfId="2" priority="6" stopIfTrue="1" operator="notEqual">
      <formula>0</formula>
    </cfRule>
    <cfRule type="cellIs" dxfId="1" priority="7" stopIfTrue="1" operator="equal">
      <formula>0</formula>
    </cfRule>
    <cfRule type="cellIs" dxfId="0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zoomScale="90" zoomScaleNormal="90" workbookViewId="0">
      <pane ySplit="6" topLeftCell="A7" activePane="bottomLeft" state="frozen"/>
      <selection activeCell="I19" sqref="I19"/>
      <selection pane="bottomLeft" activeCell="A7" sqref="A7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v>12303.63</v>
      </c>
      <c r="I7" s="70">
        <v>6050184.4526009932</v>
      </c>
      <c r="J7" s="51"/>
      <c r="K7" s="71">
        <v>6050182.3399999999</v>
      </c>
      <c r="L7" s="72"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0">I7+D8</f>
        <v>6050184.4526009932</v>
      </c>
      <c r="F8" s="69">
        <v>2954218.8408320006</v>
      </c>
      <c r="G8" s="69">
        <v>-1006837.3153379997</v>
      </c>
      <c r="H8" s="50">
        <f t="shared" ref="H8" si="1">ROUND(((E8)*(B8/12))+((SUM(F8:G8)/2)*(B8/12)),2)</f>
        <v>19023</v>
      </c>
      <c r="I8" s="88">
        <f t="shared" ref="I8:I12" si="2">SUM(E8:H8)</f>
        <v>8016588.9780949941</v>
      </c>
      <c r="J8" s="51"/>
      <c r="K8" s="71">
        <v>8016588.9699999997</v>
      </c>
      <c r="L8" s="72">
        <f t="shared" ref="L8" si="3">K8-I8</f>
        <v>-8.0949943512678146E-3</v>
      </c>
      <c r="M8" s="62"/>
    </row>
    <row r="9" spans="1:15" s="33" customFormat="1" ht="15.75">
      <c r="A9" s="63">
        <f t="shared" ref="A9:A18" si="4">A8+1</f>
        <v>202203</v>
      </c>
      <c r="B9" s="68">
        <v>3.2500000000000001E-2</v>
      </c>
      <c r="C9" s="49"/>
      <c r="D9" s="52">
        <v>0</v>
      </c>
      <c r="E9" s="70">
        <f t="shared" si="0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2"/>
        <v>9150074.7205229942</v>
      </c>
      <c r="J9" s="51"/>
      <c r="K9" s="71">
        <v>9150074.7100000009</v>
      </c>
      <c r="L9" s="72">
        <f t="shared" ref="L9" si="5">K9-I9</f>
        <v>-1.052299328148365E-2</v>
      </c>
      <c r="M9" s="62"/>
    </row>
    <row r="10" spans="1:15" s="33" customFormat="1" ht="15.75">
      <c r="A10" s="63">
        <f t="shared" si="4"/>
        <v>202204</v>
      </c>
      <c r="B10" s="68">
        <v>3.2500000000000001E-2</v>
      </c>
      <c r="C10" s="49"/>
      <c r="D10" s="52">
        <v>0</v>
      </c>
      <c r="E10" s="70">
        <f t="shared" si="0"/>
        <v>9150074.7205229942</v>
      </c>
      <c r="F10" s="69">
        <v>3922154.6497640009</v>
      </c>
      <c r="G10" s="69">
        <v>-55329.702875999967</v>
      </c>
      <c r="H10" s="50">
        <f t="shared" ref="H10:H18" si="6">ROUND(((E10)*(B10/12))+((SUM(F10:G10)/2)*(B10/12)),2)</f>
        <v>30017.78</v>
      </c>
      <c r="I10" s="88">
        <f t="shared" si="2"/>
        <v>13046917.447410995</v>
      </c>
      <c r="J10" s="51"/>
      <c r="K10" s="71">
        <v>13046917.439999999</v>
      </c>
      <c r="L10" s="72">
        <f t="shared" ref="L10" si="7">K10-I10</f>
        <v>-7.4109956622123718E-3</v>
      </c>
      <c r="M10" s="62"/>
      <c r="N10" s="214"/>
      <c r="O10" s="214"/>
    </row>
    <row r="11" spans="1:15" s="33" customFormat="1" ht="15.75">
      <c r="A11" s="63">
        <f t="shared" si="4"/>
        <v>202205</v>
      </c>
      <c r="B11" s="68">
        <v>3.2500000000000001E-2</v>
      </c>
      <c r="C11" s="49"/>
      <c r="D11" s="52">
        <v>0</v>
      </c>
      <c r="E11" s="70">
        <f t="shared" si="0"/>
        <v>13046917.447410995</v>
      </c>
      <c r="F11" s="69">
        <v>2304917.315699996</v>
      </c>
      <c r="G11" s="69">
        <v>560217.39907500008</v>
      </c>
      <c r="H11" s="50">
        <f t="shared" si="6"/>
        <v>39215.269999999997</v>
      </c>
      <c r="I11" s="88">
        <f t="shared" si="2"/>
        <v>15951267.432185991</v>
      </c>
      <c r="J11" s="51"/>
      <c r="K11" s="71">
        <v>15951267.42</v>
      </c>
      <c r="L11" s="72">
        <f t="shared" ref="L11" si="8">K11-I11</f>
        <v>-1.2185990810394287E-2</v>
      </c>
      <c r="M11" s="62"/>
      <c r="N11" s="214"/>
      <c r="O11" s="214"/>
    </row>
    <row r="12" spans="1:15" s="33" customFormat="1" ht="15.75">
      <c r="A12" s="63">
        <f t="shared" si="4"/>
        <v>202206</v>
      </c>
      <c r="B12" s="68">
        <v>3.2500000000000001E-2</v>
      </c>
      <c r="C12" s="49"/>
      <c r="D12" s="52">
        <v>0</v>
      </c>
      <c r="E12" s="70">
        <f t="shared" si="0"/>
        <v>15951267.432185991</v>
      </c>
      <c r="F12" s="69">
        <v>362036.44918000046</v>
      </c>
      <c r="G12" s="69">
        <v>992540.13287099998</v>
      </c>
      <c r="H12" s="50">
        <f t="shared" si="6"/>
        <v>45035.67</v>
      </c>
      <c r="I12" s="88">
        <f t="shared" si="2"/>
        <v>17350879.684236992</v>
      </c>
      <c r="J12" s="51"/>
      <c r="K12" s="71">
        <v>17350879.670000002</v>
      </c>
      <c r="L12" s="72">
        <f t="shared" ref="L12" si="9">K12-I12</f>
        <v>-1.4236990362405777E-2</v>
      </c>
      <c r="M12" s="62"/>
      <c r="N12" s="214"/>
      <c r="O12" s="214"/>
    </row>
    <row r="13" spans="1:15" s="33" customFormat="1" ht="15.75">
      <c r="A13" s="63">
        <f t="shared" si="4"/>
        <v>202207</v>
      </c>
      <c r="B13" s="68">
        <v>3.5999999999999997E-2</v>
      </c>
      <c r="C13" s="49"/>
      <c r="D13" s="52">
        <v>0</v>
      </c>
      <c r="E13" s="70">
        <f t="shared" si="0"/>
        <v>17350879.684236992</v>
      </c>
      <c r="F13" s="69">
        <v>-993656.17931799591</v>
      </c>
      <c r="G13" s="69">
        <v>1216959.2114270001</v>
      </c>
      <c r="H13" s="50">
        <f t="shared" si="6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0">K13-I13</f>
        <v>-1.6345996409654617E-2</v>
      </c>
      <c r="M13" s="62"/>
      <c r="N13" s="214"/>
    </row>
    <row r="14" spans="1:15" s="33" customFormat="1" ht="15.75">
      <c r="A14" s="63">
        <f t="shared" si="4"/>
        <v>202208</v>
      </c>
      <c r="B14" s="68">
        <v>3.5999999999999997E-2</v>
      </c>
      <c r="C14" s="49"/>
      <c r="D14" s="52">
        <v>0</v>
      </c>
      <c r="E14" s="70">
        <f t="shared" si="0"/>
        <v>17626570.306345996</v>
      </c>
      <c r="F14" s="69">
        <v>-1367094.4645960005</v>
      </c>
      <c r="G14" s="69">
        <v>1183681.9972710002</v>
      </c>
      <c r="H14" s="50">
        <f t="shared" si="6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1">K14-I14</f>
        <v>-1.9020996987819672E-2</v>
      </c>
      <c r="M14" s="62"/>
    </row>
    <row r="15" spans="1:15" s="33" customFormat="1" ht="15.75">
      <c r="A15" s="63">
        <f t="shared" si="4"/>
        <v>202209</v>
      </c>
      <c r="B15" s="68">
        <v>3.5999999999999997E-2</v>
      </c>
      <c r="C15" s="49"/>
      <c r="D15" s="52">
        <v>0</v>
      </c>
      <c r="E15" s="70">
        <f t="shared" si="0"/>
        <v>17495762.429020997</v>
      </c>
      <c r="F15" s="69">
        <v>-1576980.8520129996</v>
      </c>
      <c r="G15" s="69">
        <v>1031870.533733</v>
      </c>
      <c r="H15" s="50">
        <f t="shared" si="6"/>
        <v>51669.62</v>
      </c>
      <c r="I15" s="88">
        <f t="shared" ref="I15:I16" si="12">SUM(E15:H15)</f>
        <v>17002321.730740998</v>
      </c>
      <c r="J15" s="51"/>
      <c r="K15" s="71">
        <v>17002321.710000001</v>
      </c>
      <c r="L15" s="72">
        <f t="shared" ref="L15" si="13">K15-I15</f>
        <v>-2.0740997046232224E-2</v>
      </c>
      <c r="M15" s="62"/>
    </row>
    <row r="16" spans="1:15" s="33" customFormat="1" ht="15.75">
      <c r="A16" s="63">
        <f t="shared" si="4"/>
        <v>202210</v>
      </c>
      <c r="B16" s="68">
        <v>4.9099999999999998E-2</v>
      </c>
      <c r="C16" s="49"/>
      <c r="D16" s="52">
        <v>0</v>
      </c>
      <c r="E16" s="70">
        <f t="shared" si="0"/>
        <v>17002321.730740998</v>
      </c>
      <c r="F16" s="69">
        <v>-1152988.7195379995</v>
      </c>
      <c r="G16" s="69">
        <v>701395.85690899997</v>
      </c>
      <c r="H16" s="50">
        <f t="shared" si="6"/>
        <v>68643.95</v>
      </c>
      <c r="I16" s="88">
        <f t="shared" si="12"/>
        <v>16619372.818111997</v>
      </c>
      <c r="J16" s="51"/>
      <c r="K16" s="71">
        <v>16619372.82</v>
      </c>
      <c r="L16" s="72">
        <f t="shared" ref="L16" si="14">K16-I16</f>
        <v>1.8880032002925873E-3</v>
      </c>
      <c r="M16" s="62"/>
    </row>
    <row r="17" spans="1:20" s="33" customFormat="1" ht="15.75">
      <c r="A17" s="63">
        <f t="shared" si="4"/>
        <v>202211</v>
      </c>
      <c r="B17" s="68">
        <v>4.9099999999999998E-2</v>
      </c>
      <c r="C17" s="49"/>
      <c r="D17" s="52">
        <f>-I16</f>
        <v>-16619372.818111997</v>
      </c>
      <c r="E17" s="70">
        <f t="shared" si="0"/>
        <v>0</v>
      </c>
      <c r="F17" s="69">
        <v>3047676.4409279972</v>
      </c>
      <c r="G17" s="69">
        <v>-1357589.193805</v>
      </c>
      <c r="H17" s="50">
        <f t="shared" si="6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5">K17-I17</f>
        <v>2.877002814784646E-3</v>
      </c>
      <c r="M17" s="39"/>
    </row>
    <row r="18" spans="1:20" s="33" customFormat="1" ht="16.5" thickBot="1">
      <c r="A18" s="64">
        <f t="shared" si="4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6"/>
        <v>38335.620000000003</v>
      </c>
      <c r="I18" s="95">
        <f t="shared" ref="I18" si="16">SUM(E18:H18)</f>
        <v>17083179.047688</v>
      </c>
      <c r="J18" s="66"/>
      <c r="K18" s="56">
        <v>17083179.050000001</v>
      </c>
      <c r="L18" s="57">
        <f t="shared" ref="L18:L19" si="17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8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51646497.020000003</v>
      </c>
      <c r="L19" s="72">
        <f t="shared" si="17"/>
        <v>1.2539848685264587E-3</v>
      </c>
      <c r="M19" s="62"/>
      <c r="N19" s="101"/>
    </row>
    <row r="20" spans="1:20" s="33" customFormat="1" ht="15.75">
      <c r="A20" s="63">
        <f>A19+1</f>
        <v>202302</v>
      </c>
      <c r="B20" s="68">
        <v>6.3100000000000003E-2</v>
      </c>
      <c r="C20" s="49"/>
      <c r="D20" s="52">
        <v>0</v>
      </c>
      <c r="E20" s="70">
        <f t="shared" si="18"/>
        <v>51646497.018746018</v>
      </c>
      <c r="F20" s="69">
        <f>'Feb 23'!M$37</f>
        <v>6803318.2546909992</v>
      </c>
      <c r="G20" s="69">
        <f>'Feb 23'!L$37</f>
        <v>-1254076.7723350003</v>
      </c>
      <c r="H20" s="50">
        <f t="shared" ref="H20" si="19">ROUND(((E20)*(B20/12))+((SUM(F20:G20)/2)*(B20/12)),2)</f>
        <v>286164.38</v>
      </c>
      <c r="I20" s="88">
        <f t="shared" ref="I20:I24" si="20">SUM(E20:H20)</f>
        <v>57481902.881102018</v>
      </c>
      <c r="J20" s="51"/>
      <c r="K20" s="71">
        <v>57481902.880000003</v>
      </c>
      <c r="L20" s="72">
        <f t="shared" ref="L20" si="21">K20-I20</f>
        <v>-1.1020153760910034E-3</v>
      </c>
      <c r="M20" s="62"/>
    </row>
    <row r="21" spans="1:20" s="33" customFormat="1" ht="15.75">
      <c r="A21" s="63">
        <f t="shared" ref="A21:A30" si="22">A20+1</f>
        <v>202303</v>
      </c>
      <c r="B21" s="68">
        <v>6.3100000000000003E-2</v>
      </c>
      <c r="C21" s="49"/>
      <c r="D21" s="52">
        <v>0</v>
      </c>
      <c r="E21" s="70">
        <f t="shared" si="18"/>
        <v>57481902.881102018</v>
      </c>
      <c r="F21" s="69">
        <f>'Mar 23'!M$37</f>
        <v>-178354.56928799674</v>
      </c>
      <c r="G21" s="69">
        <f>'Mar 23'!L$37</f>
        <v>-790332.38802999933</v>
      </c>
      <c r="H21" s="50">
        <f>ROUND(((E21)*(B21/12))+((SUM(F21:G21)/2)*(B21/12)),2)</f>
        <v>299712.17</v>
      </c>
      <c r="I21" s="88">
        <f t="shared" si="20"/>
        <v>56812928.093784027</v>
      </c>
      <c r="J21" s="51"/>
      <c r="K21" s="71">
        <v>56812928.090000004</v>
      </c>
      <c r="L21" s="72">
        <f t="shared" ref="L21" si="23">K21-I21</f>
        <v>-3.7840232253074646E-3</v>
      </c>
      <c r="M21" s="62"/>
    </row>
    <row r="22" spans="1:20" s="33" customFormat="1" ht="15.75">
      <c r="A22" s="63">
        <f t="shared" si="22"/>
        <v>202304</v>
      </c>
      <c r="B22" s="68">
        <v>7.4999999999999997E-2</v>
      </c>
      <c r="C22" s="49"/>
      <c r="D22" s="52">
        <v>0</v>
      </c>
      <c r="E22" s="70">
        <f t="shared" si="18"/>
        <v>56812928.093784027</v>
      </c>
      <c r="F22" s="69">
        <f>'Apr 23'!M$37</f>
        <v>-2286582.3003280023</v>
      </c>
      <c r="G22" s="69">
        <f>'Apr 23'!L$37</f>
        <v>-26289.828085000394</v>
      </c>
      <c r="H22" s="50">
        <f t="shared" ref="H22:H30" si="24">ROUND(((E22)*(B22/12))+((SUM(F22:G22)/2)*(B22/12)),2)</f>
        <v>347853.08</v>
      </c>
      <c r="I22" s="88">
        <f t="shared" si="20"/>
        <v>54847909.045371026</v>
      </c>
      <c r="J22" s="51"/>
      <c r="K22" s="71">
        <v>54847909.039999999</v>
      </c>
      <c r="L22" s="72">
        <f t="shared" ref="L22" si="25">K22-I22</f>
        <v>-5.3710266947746277E-3</v>
      </c>
      <c r="M22" s="62"/>
      <c r="N22" s="214"/>
      <c r="O22" s="214"/>
    </row>
    <row r="23" spans="1:20" s="33" customFormat="1" ht="15.75">
      <c r="A23" s="63">
        <f t="shared" si="22"/>
        <v>202305</v>
      </c>
      <c r="B23" s="68">
        <v>7.4999999999999997E-2</v>
      </c>
      <c r="C23" s="49"/>
      <c r="D23" s="52">
        <v>0</v>
      </c>
      <c r="E23" s="70">
        <f t="shared" si="18"/>
        <v>54847909.045371026</v>
      </c>
      <c r="F23" s="69">
        <f>'May 23'!M$37</f>
        <v>-271078.93448999943</v>
      </c>
      <c r="G23" s="69">
        <f>'May 23'!L$37</f>
        <v>990245.04789500008</v>
      </c>
      <c r="H23" s="50">
        <f t="shared" si="24"/>
        <v>345046.83</v>
      </c>
      <c r="I23" s="88">
        <f t="shared" si="20"/>
        <v>55912121.988776021</v>
      </c>
      <c r="J23" s="51"/>
      <c r="K23" s="71">
        <v>54847909.039999999</v>
      </c>
      <c r="L23" s="72">
        <f t="shared" ref="L23" si="26">K23-I23</f>
        <v>-1064212.9487760216</v>
      </c>
      <c r="M23" s="62"/>
      <c r="N23" s="214"/>
      <c r="O23" s="214"/>
    </row>
    <row r="24" spans="1:20" s="33" customFormat="1" ht="15.75">
      <c r="A24" s="63">
        <f t="shared" si="22"/>
        <v>202306</v>
      </c>
      <c r="B24" s="68"/>
      <c r="C24" s="49"/>
      <c r="D24" s="52">
        <v>0</v>
      </c>
      <c r="E24" s="70">
        <f t="shared" si="18"/>
        <v>55912121.988776021</v>
      </c>
      <c r="F24" s="69"/>
      <c r="G24" s="69"/>
      <c r="H24" s="50">
        <f t="shared" si="24"/>
        <v>0</v>
      </c>
      <c r="I24" s="88">
        <f t="shared" si="20"/>
        <v>55912121.988776021</v>
      </c>
      <c r="J24" s="51"/>
      <c r="K24" s="71"/>
      <c r="L24" s="72"/>
      <c r="M24" s="62"/>
      <c r="N24" s="214"/>
      <c r="O24" s="214"/>
    </row>
    <row r="25" spans="1:20" s="33" customFormat="1" ht="15.75">
      <c r="A25" s="63">
        <f t="shared" si="22"/>
        <v>202307</v>
      </c>
      <c r="B25" s="68"/>
      <c r="C25" s="49"/>
      <c r="D25" s="52">
        <v>0</v>
      </c>
      <c r="E25" s="70">
        <f t="shared" si="18"/>
        <v>55912121.988776021</v>
      </c>
      <c r="F25" s="69"/>
      <c r="G25" s="69"/>
      <c r="H25" s="50">
        <f t="shared" si="24"/>
        <v>0</v>
      </c>
      <c r="I25" s="88">
        <f>SUM(E25:H25)</f>
        <v>55912121.988776021</v>
      </c>
      <c r="J25" s="51"/>
      <c r="K25" s="71"/>
      <c r="L25" s="72"/>
      <c r="M25" s="62"/>
      <c r="N25" s="214"/>
    </row>
    <row r="26" spans="1:20" s="33" customFormat="1" ht="15.75">
      <c r="A26" s="63">
        <f t="shared" si="22"/>
        <v>202308</v>
      </c>
      <c r="B26" s="68"/>
      <c r="C26" s="49"/>
      <c r="D26" s="52">
        <v>0</v>
      </c>
      <c r="E26" s="70">
        <f t="shared" si="18"/>
        <v>55912121.988776021</v>
      </c>
      <c r="F26" s="69"/>
      <c r="G26" s="69"/>
      <c r="H26" s="50">
        <f t="shared" si="24"/>
        <v>0</v>
      </c>
      <c r="I26" s="88">
        <f>SUM(E26:H26)</f>
        <v>55912121.988776021</v>
      </c>
      <c r="J26" s="51"/>
      <c r="K26" s="71"/>
      <c r="L26" s="72"/>
      <c r="M26" s="62"/>
    </row>
    <row r="27" spans="1:20" s="33" customFormat="1" ht="15.75">
      <c r="A27" s="63">
        <f t="shared" si="22"/>
        <v>202309</v>
      </c>
      <c r="B27" s="68"/>
      <c r="C27" s="49"/>
      <c r="D27" s="52">
        <v>0</v>
      </c>
      <c r="E27" s="70">
        <f t="shared" si="18"/>
        <v>55912121.988776021</v>
      </c>
      <c r="F27" s="69"/>
      <c r="G27" s="69"/>
      <c r="H27" s="50">
        <f t="shared" si="24"/>
        <v>0</v>
      </c>
      <c r="I27" s="88">
        <f t="shared" ref="I27:I28" si="27">SUM(E27:H27)</f>
        <v>55912121.988776021</v>
      </c>
      <c r="J27" s="51"/>
      <c r="K27" s="71"/>
      <c r="L27" s="72"/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8"/>
        <v>55912121.988776021</v>
      </c>
      <c r="F28" s="69"/>
      <c r="G28" s="69"/>
      <c r="H28" s="50">
        <f t="shared" si="24"/>
        <v>0</v>
      </c>
      <c r="I28" s="88">
        <f t="shared" si="27"/>
        <v>55912121.988776021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8"/>
        <v>55912121.988776021</v>
      </c>
      <c r="F29" s="69"/>
      <c r="G29" s="69"/>
      <c r="H29" s="50">
        <f t="shared" si="24"/>
        <v>0</v>
      </c>
      <c r="I29" s="88">
        <f>SUM(E29:H29)</f>
        <v>55912121.988776021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55912121.988776021</v>
      </c>
      <c r="F30" s="54"/>
      <c r="G30" s="54"/>
      <c r="H30" s="55">
        <f t="shared" si="24"/>
        <v>0</v>
      </c>
      <c r="I30" s="95">
        <f t="shared" ref="I30" si="28">SUM(E30:H30)</f>
        <v>55912121.988776021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-271078.93448999943</v>
      </c>
      <c r="G31" s="58">
        <f>SUMIF($A$7:$A$30,$D34,G$7:G$30)</f>
        <v>990245.04789500008</v>
      </c>
      <c r="H31" s="58">
        <f>SUMIF($A$7:$A$30,$D34,H$7:H$30)</f>
        <v>345046.83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202305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345046.83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>
        <f>IF($F$31+$G$31+H31&gt;0,ABS($F$31+$G$31+H31),"")</f>
        <v>1064212.9434050007</v>
      </c>
      <c r="F38" s="47" t="str">
        <f>IF($F$31+$G$31+H31&lt;0,ABS($F$31+$G$31+H31),"")</f>
        <v/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 t="str">
        <f>IF($F$31+$G$31&lt;0,ABS($F$31+$G$31),"")</f>
        <v/>
      </c>
      <c r="F39" s="47">
        <f>IF($F$31+$G$31&gt;0,ABS($F$31+$G$31),"")</f>
        <v>719166.11340500065</v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7" activePane="bottomLeft" state="frozen"/>
      <selection activeCell="I19" sqref="I19"/>
      <selection pane="bottomLeft" activeCell="A7" sqref="A7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v>24141718</v>
      </c>
      <c r="G7" s="80">
        <v>-2.0060000000000001E-2</v>
      </c>
      <c r="H7" s="91">
        <v>-484282.86308000004</v>
      </c>
      <c r="I7" s="225">
        <v>8902067</v>
      </c>
      <c r="J7" s="80">
        <v>-2.9020000000000001E-2</v>
      </c>
      <c r="K7" s="91">
        <v>-258337.98434</v>
      </c>
      <c r="L7" s="89"/>
      <c r="M7" s="80"/>
      <c r="N7" s="91">
        <v>0</v>
      </c>
      <c r="O7" s="87">
        <v>21667.48</v>
      </c>
      <c r="P7" s="70">
        <v>7650655.6067869989</v>
      </c>
      <c r="Q7" s="39"/>
      <c r="R7" s="71">
        <v>7650655.5899999999</v>
      </c>
      <c r="S7" s="72"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0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1">F8*G8</f>
        <v>-399883.68286</v>
      </c>
      <c r="I8" s="224">
        <v>7967454</v>
      </c>
      <c r="J8" s="80">
        <v>-2.9020000000000001E-2</v>
      </c>
      <c r="K8" s="91">
        <f t="shared" ref="K8:K16" si="2">I8*J8</f>
        <v>-231215.51508000001</v>
      </c>
      <c r="L8" s="89"/>
      <c r="M8" s="80"/>
      <c r="N8" s="91">
        <f t="shared" ref="N8:N16" si="3">L8*M8</f>
        <v>0</v>
      </c>
      <c r="O8" s="88">
        <f t="shared" ref="O8:O11" si="4">ROUND(((E8*(B8/12))+(H8+K8+N8)/2*(B8/12)),2)</f>
        <v>19865.91</v>
      </c>
      <c r="P8" s="50">
        <f t="shared" ref="P8:P16" si="5">E8+H8+K8+N8+O8</f>
        <v>7039422.3188469987</v>
      </c>
      <c r="Q8" s="39"/>
      <c r="R8" s="71">
        <v>7039422.2999999998</v>
      </c>
      <c r="S8" s="72">
        <f t="shared" ref="S8:S12" si="6">R8-P8</f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0"/>
        <v>7039422.3188469987</v>
      </c>
      <c r="F9" s="224">
        <f>14466885+38681</f>
        <v>14505566</v>
      </c>
      <c r="G9" s="80">
        <v>-2.0060000000000001E-2</v>
      </c>
      <c r="H9" s="91">
        <f t="shared" si="1"/>
        <v>-290981.65396000003</v>
      </c>
      <c r="I9" s="224">
        <v>6530840</v>
      </c>
      <c r="J9" s="80">
        <v>-2.9020000000000001E-2</v>
      </c>
      <c r="K9" s="91">
        <f t="shared" si="2"/>
        <v>-189524.9768</v>
      </c>
      <c r="L9" s="89"/>
      <c r="M9" s="80"/>
      <c r="N9" s="91">
        <f t="shared" si="3"/>
        <v>0</v>
      </c>
      <c r="O9" s="88">
        <f t="shared" si="4"/>
        <v>18414.419999999998</v>
      </c>
      <c r="P9" s="50">
        <f t="shared" si="5"/>
        <v>6577330.1080869986</v>
      </c>
      <c r="Q9" s="39"/>
      <c r="R9" s="71">
        <v>6577330.0899999999</v>
      </c>
      <c r="S9" s="72">
        <f t="shared" si="6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0"/>
        <v>6577330.1080869986</v>
      </c>
      <c r="F10" s="224">
        <f>12130478+33753</f>
        <v>12164231</v>
      </c>
      <c r="G10" s="80">
        <v>-2.0060000000000001E-2</v>
      </c>
      <c r="H10" s="91">
        <f t="shared" si="1"/>
        <v>-244014.47386000003</v>
      </c>
      <c r="I10" s="224">
        <v>5534897</v>
      </c>
      <c r="J10" s="80">
        <v>-2.9020000000000001E-2</v>
      </c>
      <c r="K10" s="91">
        <f t="shared" si="2"/>
        <v>-160622.71093999999</v>
      </c>
      <c r="L10" s="89"/>
      <c r="M10" s="80"/>
      <c r="N10" s="91">
        <f t="shared" si="3"/>
        <v>0</v>
      </c>
      <c r="O10" s="88">
        <f t="shared" si="4"/>
        <v>17265.66</v>
      </c>
      <c r="P10" s="50">
        <f t="shared" si="5"/>
        <v>6189958.5832869988</v>
      </c>
      <c r="Q10" s="39"/>
      <c r="R10" s="71">
        <v>6189958.5700000003</v>
      </c>
      <c r="S10" s="72">
        <f t="shared" si="6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0"/>
        <v>6189958.5832869988</v>
      </c>
      <c r="F11" s="224">
        <f>7528936+22516</f>
        <v>7551452</v>
      </c>
      <c r="G11" s="80">
        <v>-2.0060000000000001E-2</v>
      </c>
      <c r="H11" s="91">
        <f t="shared" si="1"/>
        <v>-151482.12712000002</v>
      </c>
      <c r="I11" s="224">
        <v>3861543</v>
      </c>
      <c r="J11" s="80">
        <v>-2.9020000000000001E-2</v>
      </c>
      <c r="K11" s="91">
        <f t="shared" si="2"/>
        <v>-112061.97786</v>
      </c>
      <c r="L11" s="89"/>
      <c r="M11" s="80"/>
      <c r="N11" s="91">
        <f t="shared" si="3"/>
        <v>0</v>
      </c>
      <c r="O11" s="88">
        <f t="shared" si="4"/>
        <v>16407.59</v>
      </c>
      <c r="P11" s="50">
        <f t="shared" si="5"/>
        <v>5942822.0683069983</v>
      </c>
      <c r="Q11" s="39"/>
      <c r="R11" s="71">
        <v>5942822.0599999996</v>
      </c>
      <c r="S11" s="72">
        <f t="shared" si="6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0"/>
        <v>5942822.0683069983</v>
      </c>
      <c r="F12" s="224">
        <f>3513630+10109</f>
        <v>3523739</v>
      </c>
      <c r="G12" s="80">
        <v>-2.0060000000000001E-2</v>
      </c>
      <c r="H12" s="91">
        <f t="shared" si="1"/>
        <v>-70686.204340000011</v>
      </c>
      <c r="I12" s="224">
        <v>2400538</v>
      </c>
      <c r="J12" s="80">
        <v>-2.9020000000000001E-2</v>
      </c>
      <c r="K12" s="91">
        <f t="shared" si="2"/>
        <v>-69663.612760000004</v>
      </c>
      <c r="L12" s="89"/>
      <c r="M12" s="80"/>
      <c r="N12" s="91">
        <f t="shared" si="3"/>
        <v>0</v>
      </c>
      <c r="O12" s="88">
        <f>ROUND(((E12*(B12/12))+(H12+K12+N12)/2*(B12/12)),2)</f>
        <v>15905.09</v>
      </c>
      <c r="P12" s="50">
        <f t="shared" si="5"/>
        <v>5818377.3412069986</v>
      </c>
      <c r="Q12" s="39"/>
      <c r="R12" s="71">
        <v>5818377.3300000001</v>
      </c>
      <c r="S12" s="72">
        <f t="shared" si="6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0"/>
        <v>5818377.3412069986</v>
      </c>
      <c r="F13" s="224">
        <f>2224703+5190</f>
        <v>2229893</v>
      </c>
      <c r="G13" s="80">
        <v>-2.0060000000000001E-2</v>
      </c>
      <c r="H13" s="91">
        <f t="shared" si="1"/>
        <v>-44731.653580000006</v>
      </c>
      <c r="I13" s="224">
        <v>1968103</v>
      </c>
      <c r="J13" s="80">
        <v>-2.9020000000000001E-2</v>
      </c>
      <c r="K13" s="91">
        <f t="shared" si="2"/>
        <v>-57114.34906</v>
      </c>
      <c r="L13" s="89"/>
      <c r="M13" s="80"/>
      <c r="N13" s="91">
        <f t="shared" si="3"/>
        <v>0</v>
      </c>
      <c r="O13" s="88">
        <f t="shared" ref="O13:O18" si="7">ROUND(((E13*(B13/12))+(H13+K13+N13)/2*(B13/12)),2)</f>
        <v>17302.36</v>
      </c>
      <c r="P13" s="50">
        <f t="shared" si="5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0"/>
        <v>5733833.6985669993</v>
      </c>
      <c r="F14" s="224">
        <f>1985915+4782</f>
        <v>1990697</v>
      </c>
      <c r="G14" s="80">
        <v>-2.0060000000000001E-2</v>
      </c>
      <c r="H14" s="91">
        <f t="shared" si="1"/>
        <v>-39933.381820000002</v>
      </c>
      <c r="I14" s="224">
        <v>1803204</v>
      </c>
      <c r="J14" s="80">
        <v>-2.9020000000000001E-2</v>
      </c>
      <c r="K14" s="91">
        <f t="shared" si="2"/>
        <v>-52328.980080000001</v>
      </c>
      <c r="L14" s="89"/>
      <c r="M14" s="80"/>
      <c r="N14" s="91">
        <f t="shared" si="3"/>
        <v>0</v>
      </c>
      <c r="O14" s="88">
        <f t="shared" si="7"/>
        <v>17063.11</v>
      </c>
      <c r="P14" s="50">
        <f t="shared" si="5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0"/>
        <v>5658634.4466669997</v>
      </c>
      <c r="F15" s="224">
        <f>2606125+6911</f>
        <v>2613036</v>
      </c>
      <c r="G15" s="80">
        <v>-2.0060000000000001E-2</v>
      </c>
      <c r="H15" s="91">
        <f t="shared" si="1"/>
        <v>-52417.502160000004</v>
      </c>
      <c r="I15" s="224">
        <v>2229934</v>
      </c>
      <c r="J15" s="80">
        <v>-2.9020000000000001E-2</v>
      </c>
      <c r="K15" s="91">
        <f t="shared" si="2"/>
        <v>-64712.684679999998</v>
      </c>
      <c r="L15" s="89"/>
      <c r="M15" s="80"/>
      <c r="N15" s="91">
        <f t="shared" si="3"/>
        <v>0</v>
      </c>
      <c r="O15" s="88">
        <f t="shared" si="7"/>
        <v>16800.21</v>
      </c>
      <c r="P15" s="50">
        <f t="shared" si="5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0"/>
        <v>5558304.4698270001</v>
      </c>
      <c r="F16" s="224">
        <f>5688582+17723</f>
        <v>5706305</v>
      </c>
      <c r="G16" s="80">
        <v>-2.0060000000000001E-2</v>
      </c>
      <c r="H16" s="91">
        <f t="shared" si="1"/>
        <v>-114468.4783</v>
      </c>
      <c r="I16" s="224">
        <v>4185171</v>
      </c>
      <c r="J16" s="80">
        <v>-2.9020000000000001E-2</v>
      </c>
      <c r="K16" s="91">
        <f t="shared" si="2"/>
        <v>-121453.66242000001</v>
      </c>
      <c r="L16" s="89"/>
      <c r="M16" s="80"/>
      <c r="N16" s="91">
        <f t="shared" si="3"/>
        <v>0</v>
      </c>
      <c r="O16" s="88">
        <f t="shared" si="7"/>
        <v>22260.07</v>
      </c>
      <c r="P16" s="50">
        <f t="shared" si="5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0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0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/>
      <c r="M19" s="80"/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13489632.18</v>
      </c>
      <c r="S19" s="72">
        <f t="shared" si="14"/>
        <v>6.6310018301010132E-3</v>
      </c>
    </row>
    <row r="20" spans="1:21">
      <c r="A20" s="119" t="s">
        <v>130</v>
      </c>
      <c r="B20" s="79">
        <v>6.3100000000000003E-2</v>
      </c>
      <c r="C20" s="52">
        <v>0</v>
      </c>
      <c r="D20" s="52">
        <v>0</v>
      </c>
      <c r="E20" s="81">
        <f t="shared" ref="E20:E30" si="15">P19+C20+D20</f>
        <v>13489632.173368998</v>
      </c>
      <c r="F20" s="224">
        <f>19928457+60896</f>
        <v>19989353</v>
      </c>
      <c r="G20" s="80">
        <v>-7.9930000000000001E-2</v>
      </c>
      <c r="H20" s="91">
        <f t="shared" ref="H20:H28" si="16">F20*G20</f>
        <v>-1597748.98529</v>
      </c>
      <c r="I20" s="224">
        <v>7728313</v>
      </c>
      <c r="J20" s="80">
        <v>-0.1129</v>
      </c>
      <c r="K20" s="91">
        <f t="shared" ref="K20:K28" si="17">I20*J20</f>
        <v>-872526.53769999999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64438.22</v>
      </c>
      <c r="P20" s="50">
        <f t="shared" si="13"/>
        <v>11083794.870378999</v>
      </c>
      <c r="Q20" s="39"/>
      <c r="R20" s="71">
        <v>11083794.880000001</v>
      </c>
      <c r="S20" s="72">
        <f t="shared" ref="S20" si="20">R20-P20</f>
        <v>9.6210017800331116E-3</v>
      </c>
    </row>
    <row r="21" spans="1:21">
      <c r="A21" s="119" t="s">
        <v>131</v>
      </c>
      <c r="B21" s="79">
        <v>6.3100000000000003E-2</v>
      </c>
      <c r="C21" s="52">
        <v>0</v>
      </c>
      <c r="D21" s="52">
        <v>0</v>
      </c>
      <c r="E21" s="81">
        <f t="shared" si="15"/>
        <v>11083794.870378999</v>
      </c>
      <c r="F21" s="224">
        <f>16463840+55607</f>
        <v>16519447</v>
      </c>
      <c r="G21" s="80">
        <v>-7.9930000000000001E-2</v>
      </c>
      <c r="H21" s="91">
        <f t="shared" si="16"/>
        <v>-1320399.3987100001</v>
      </c>
      <c r="I21" s="224">
        <v>7564231</v>
      </c>
      <c r="J21" s="80">
        <v>-0.1129</v>
      </c>
      <c r="K21" s="91">
        <f t="shared" si="17"/>
        <v>-854001.67989999999</v>
      </c>
      <c r="L21" s="89"/>
      <c r="M21" s="80"/>
      <c r="N21" s="91">
        <f t="shared" si="18"/>
        <v>0</v>
      </c>
      <c r="O21" s="88">
        <f t="shared" si="19"/>
        <v>52565.43</v>
      </c>
      <c r="P21" s="50">
        <f t="shared" si="13"/>
        <v>8961959.2217689995</v>
      </c>
      <c r="Q21" s="39"/>
      <c r="R21" s="71">
        <v>8961959.2300000004</v>
      </c>
      <c r="S21" s="72">
        <f t="shared" ref="S21" si="21">R21-P21</f>
        <v>8.2310009747743607E-3</v>
      </c>
    </row>
    <row r="22" spans="1:21">
      <c r="A22" s="119" t="s">
        <v>132</v>
      </c>
      <c r="B22" s="79">
        <v>7.4999999999999997E-2</v>
      </c>
      <c r="C22" s="52">
        <v>0</v>
      </c>
      <c r="D22" s="52">
        <v>0</v>
      </c>
      <c r="E22" s="81">
        <f t="shared" si="15"/>
        <v>8961959.2217689995</v>
      </c>
      <c r="F22" s="224">
        <f>10827426+37509</f>
        <v>10864935</v>
      </c>
      <c r="G22" s="80">
        <v>-7.9930000000000001E-2</v>
      </c>
      <c r="H22" s="91">
        <f t="shared" si="16"/>
        <v>-868434.25454999995</v>
      </c>
      <c r="I22" s="224">
        <v>4866731</v>
      </c>
      <c r="J22" s="80">
        <v>-0.1129</v>
      </c>
      <c r="K22" s="91">
        <f t="shared" si="17"/>
        <v>-549453.92989999999</v>
      </c>
      <c r="L22" s="89"/>
      <c r="M22" s="80"/>
      <c r="N22" s="91">
        <f t="shared" si="18"/>
        <v>0</v>
      </c>
      <c r="O22" s="88">
        <f t="shared" si="19"/>
        <v>51581.34</v>
      </c>
      <c r="P22" s="50">
        <f t="shared" si="13"/>
        <v>7595652.3773189997</v>
      </c>
      <c r="Q22" s="39"/>
      <c r="R22" s="71">
        <v>7595652.3899999997</v>
      </c>
      <c r="S22" s="72">
        <f t="shared" ref="S22" si="22">R22-P22</f>
        <v>1.2680999934673309E-2</v>
      </c>
    </row>
    <row r="23" spans="1:21">
      <c r="A23" s="119" t="s">
        <v>133</v>
      </c>
      <c r="B23" s="79">
        <v>7.4999999999999997E-2</v>
      </c>
      <c r="C23" s="52">
        <v>0</v>
      </c>
      <c r="D23" s="52">
        <v>0</v>
      </c>
      <c r="E23" s="81">
        <f t="shared" si="15"/>
        <v>7595652.3773189997</v>
      </c>
      <c r="F23" s="224">
        <f>3335686+11814</f>
        <v>3347500</v>
      </c>
      <c r="G23" s="69" t="s">
        <v>71</v>
      </c>
      <c r="H23" s="85">
        <v>-1186097</v>
      </c>
      <c r="I23" s="224">
        <v>2518681</v>
      </c>
      <c r="J23" s="80">
        <v>-0.1129</v>
      </c>
      <c r="K23" s="91">
        <f t="shared" si="17"/>
        <v>-284359.08490000002</v>
      </c>
      <c r="L23" s="89"/>
      <c r="M23" s="80"/>
      <c r="N23" s="91">
        <f t="shared" si="18"/>
        <v>0</v>
      </c>
      <c r="O23" s="88">
        <f t="shared" si="19"/>
        <v>42877.65</v>
      </c>
      <c r="P23" s="50">
        <f t="shared" si="13"/>
        <v>6168073.942419</v>
      </c>
      <c r="Q23" s="39"/>
      <c r="R23" s="71">
        <v>7595652.3899999997</v>
      </c>
      <c r="S23" s="72">
        <f t="shared" ref="S23" si="23">R23-P23</f>
        <v>1427578.4475809997</v>
      </c>
    </row>
    <row r="24" spans="1:21">
      <c r="A24" s="119" t="s">
        <v>134</v>
      </c>
      <c r="B24" s="79"/>
      <c r="C24" s="52">
        <v>0</v>
      </c>
      <c r="D24" s="52">
        <v>0</v>
      </c>
      <c r="E24" s="81">
        <f t="shared" si="15"/>
        <v>6168073.942419</v>
      </c>
      <c r="F24" s="224"/>
      <c r="G24" s="80"/>
      <c r="H24" s="91">
        <f t="shared" si="16"/>
        <v>0</v>
      </c>
      <c r="I24" s="224"/>
      <c r="J24" s="80"/>
      <c r="K24" s="91">
        <f t="shared" si="17"/>
        <v>0</v>
      </c>
      <c r="L24" s="89"/>
      <c r="M24" s="80"/>
      <c r="N24" s="91">
        <f t="shared" si="18"/>
        <v>0</v>
      </c>
      <c r="O24" s="88">
        <f>ROUND(((E24*(B24/12))+(H24+K24+N24)/2*(B24/12)),2)</f>
        <v>0</v>
      </c>
      <c r="P24" s="50">
        <f t="shared" si="13"/>
        <v>6168073.942419</v>
      </c>
      <c r="Q24" s="39"/>
      <c r="R24" s="71"/>
      <c r="S24" s="72"/>
    </row>
    <row r="25" spans="1:21">
      <c r="A25" s="119" t="s">
        <v>135</v>
      </c>
      <c r="B25" s="79"/>
      <c r="C25" s="52">
        <v>0</v>
      </c>
      <c r="D25" s="52">
        <v>0</v>
      </c>
      <c r="E25" s="81">
        <f t="shared" si="15"/>
        <v>6168073.942419</v>
      </c>
      <c r="F25" s="224"/>
      <c r="G25" s="80"/>
      <c r="H25" s="91">
        <f t="shared" si="16"/>
        <v>0</v>
      </c>
      <c r="I25" s="224"/>
      <c r="J25" s="80"/>
      <c r="K25" s="91">
        <f t="shared" si="17"/>
        <v>0</v>
      </c>
      <c r="L25" s="89"/>
      <c r="M25" s="80"/>
      <c r="N25" s="91">
        <f t="shared" si="18"/>
        <v>0</v>
      </c>
      <c r="O25" s="88">
        <f t="shared" ref="O25:O30" si="24">ROUND(((E25*(B25/12))+(H25+K25+N25)/2*(B25/12)),2)</f>
        <v>0</v>
      </c>
      <c r="P25" s="50">
        <f t="shared" si="13"/>
        <v>6168073.942419</v>
      </c>
      <c r="Q25" s="39"/>
      <c r="R25" s="71"/>
      <c r="S25" s="72"/>
    </row>
    <row r="26" spans="1:21">
      <c r="A26" s="119" t="s">
        <v>136</v>
      </c>
      <c r="B26" s="79"/>
      <c r="C26" s="52">
        <v>0</v>
      </c>
      <c r="D26" s="52">
        <v>0</v>
      </c>
      <c r="E26" s="81">
        <f t="shared" si="15"/>
        <v>6168073.942419</v>
      </c>
      <c r="F26" s="224"/>
      <c r="G26" s="80"/>
      <c r="H26" s="91">
        <f t="shared" si="16"/>
        <v>0</v>
      </c>
      <c r="I26" s="224"/>
      <c r="J26" s="80"/>
      <c r="K26" s="91">
        <f t="shared" si="17"/>
        <v>0</v>
      </c>
      <c r="L26" s="89"/>
      <c r="M26" s="80"/>
      <c r="N26" s="91">
        <f t="shared" si="18"/>
        <v>0</v>
      </c>
      <c r="O26" s="88">
        <f t="shared" si="24"/>
        <v>0</v>
      </c>
      <c r="P26" s="50">
        <f t="shared" si="13"/>
        <v>6168073.942419</v>
      </c>
      <c r="Q26" s="39"/>
      <c r="R26" s="71"/>
      <c r="S26" s="72"/>
      <c r="U26" s="129"/>
    </row>
    <row r="27" spans="1:21">
      <c r="A27" s="119" t="s">
        <v>137</v>
      </c>
      <c r="B27" s="79"/>
      <c r="C27" s="52">
        <v>0</v>
      </c>
      <c r="D27" s="52">
        <v>0</v>
      </c>
      <c r="E27" s="81">
        <f t="shared" si="15"/>
        <v>6168073.942419</v>
      </c>
      <c r="F27" s="224"/>
      <c r="G27" s="80"/>
      <c r="H27" s="91">
        <f t="shared" si="16"/>
        <v>0</v>
      </c>
      <c r="I27" s="224"/>
      <c r="J27" s="80"/>
      <c r="K27" s="91">
        <f t="shared" si="17"/>
        <v>0</v>
      </c>
      <c r="L27" s="89"/>
      <c r="M27" s="80"/>
      <c r="N27" s="91">
        <f t="shared" si="18"/>
        <v>0</v>
      </c>
      <c r="O27" s="88">
        <f t="shared" si="24"/>
        <v>0</v>
      </c>
      <c r="P27" s="50">
        <f t="shared" si="13"/>
        <v>6168073.942419</v>
      </c>
      <c r="Q27" s="39"/>
      <c r="R27" s="71"/>
      <c r="S27" s="72"/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6168073.942419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4"/>
        <v>0</v>
      </c>
      <c r="P28" s="50">
        <f t="shared" si="13"/>
        <v>6168073.942419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6168073.942419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4"/>
        <v>0</v>
      </c>
      <c r="P29" s="50">
        <f>E29+H29+K29+N29+O29</f>
        <v>6168073.942419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6168073.942419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4"/>
        <v>0</v>
      </c>
      <c r="P30" s="55">
        <f t="shared" ref="P30" si="25">E30+H30+K30+N30+O30</f>
        <v>6168073.942419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-1186097</v>
      </c>
      <c r="I31" s="42"/>
      <c r="J31" s="61"/>
      <c r="K31" s="58">
        <f>SUMIF($A$7:$A$30,$G34,K$7:K$30)</f>
        <v>-284359.08490000002</v>
      </c>
      <c r="L31" s="61"/>
      <c r="M31" s="61"/>
      <c r="N31" s="58" t="e">
        <f>SUMIF(#REF!,$G34,#REF!)</f>
        <v>#REF!</v>
      </c>
      <c r="O31" s="58">
        <f>SUMIF($A$7:$A$30,$G34,O$7:O$30)</f>
        <v>42877.65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202305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42877.65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2963D7-F4DB-473E-B0CF-68559EC7FFFD}"/>
</file>

<file path=customXml/itemProps2.xml><?xml version="1.0" encoding="utf-8"?>
<ds:datastoreItem xmlns:ds="http://schemas.openxmlformats.org/officeDocument/2006/customXml" ds:itemID="{873000B1-8B84-457D-80A8-A5C82731146B}"/>
</file>

<file path=customXml/itemProps3.xml><?xml version="1.0" encoding="utf-8"?>
<ds:datastoreItem xmlns:ds="http://schemas.openxmlformats.org/officeDocument/2006/customXml" ds:itemID="{02563943-9231-4E6A-A9DE-AEEE550A117D}"/>
</file>

<file path=customXml/itemProps4.xml><?xml version="1.0" encoding="utf-8"?>
<ds:datastoreItem xmlns:ds="http://schemas.openxmlformats.org/officeDocument/2006/customXml" ds:itemID="{B0A1F63A-7257-49B5-9CBB-8148C31CF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Jan 23</vt:lpstr>
      <vt:lpstr>Feb 23</vt:lpstr>
      <vt:lpstr>Mar 23</vt:lpstr>
      <vt:lpstr>Apr 23</vt:lpstr>
      <vt:lpstr>May 23</vt:lpstr>
      <vt:lpstr>191010 WA DEF</vt:lpstr>
      <vt:lpstr>191000 WA Amort</vt:lpstr>
      <vt:lpstr>'191000 WA Amort'!Print_Area</vt:lpstr>
      <vt:lpstr>'191010 WA DEF'!Print_Area</vt:lpstr>
      <vt:lpstr>'Apr 23'!Print_Area</vt:lpstr>
      <vt:lpstr>'Feb 23'!Print_Area</vt:lpstr>
      <vt:lpstr>'Jan 23'!Print_Area</vt:lpstr>
      <vt:lpstr>'Mar 23'!Print_Area</vt:lpstr>
      <vt:lpstr>'May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Doyle, Andrew (UTC)</cp:lastModifiedBy>
  <cp:lastPrinted>2023-06-06T22:17:19Z</cp:lastPrinted>
  <dcterms:created xsi:type="dcterms:W3CDTF">2003-05-01T14:02:57Z</dcterms:created>
  <dcterms:modified xsi:type="dcterms:W3CDTF">2023-06-30T17:02:11Z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