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gc-sea-fp1\Data\Dept\Rates\ENERGY EFFICIENCY\ANNUAL REPORTING\Annual Report 2023\"/>
    </mc:Choice>
  </mc:AlternateContent>
  <xr:revisionPtr revIDLastSave="8" documentId="13_ncr:1_{3191F48B-90DF-425F-9FF7-65CD90D5CEB8}" xr6:coauthVersionLast="47" xr6:coauthVersionMax="47" xr10:uidLastSave="{93D844D5-5B55-43CE-AAAB-98A61C6B2DA3}"/>
  <bookViews>
    <workbookView xWindow="28680" yWindow="-120" windowWidth="29040" windowHeight="15840" firstSheet="1" xr2:uid="{A534C109-7F05-47C7-89AB-54EFA4B2CAEB}"/>
  </bookViews>
  <sheets>
    <sheet name="2023 TOTAL 1ST YEAR by MEASURE" sheetId="5" r:id="rId1"/>
    <sheet name="2022 TOTAL 1ST YEAR by MEASURE" sheetId="4" r:id="rId2"/>
    <sheet name="APP 2885" sheetId="3" r:id="rId3"/>
  </sheets>
  <externalReferences>
    <externalReference r:id="rId4"/>
    <externalReference r:id="rId5"/>
    <externalReference r:id="rId6"/>
    <externalReference r:id="rId7"/>
  </externalReferences>
  <definedNames>
    <definedName name="AC">'APP 2885'!$B$10:$H$54</definedName>
    <definedName name="Case_Flag">#REF!</definedName>
    <definedName name="Cons_Type_Flag">#REF!</definedName>
    <definedName name="ConstType">#REF!</definedName>
    <definedName name="CostPerMeasure">#REF!</definedName>
    <definedName name="DiscountRate">[1]Constants!$A$5</definedName>
    <definedName name="Elect_Avoided_Cost">'[2]Load Profiles'!$G$2:$Z$74</definedName>
    <definedName name="Electric_Load_Profiles">'[2]Load Profiles'!$A$3:$D$20</definedName>
    <definedName name="EndUse_Type_Flag">#REF!</definedName>
    <definedName name="Existing_Process">"Gas_Capacity_Factors"</definedName>
    <definedName name="Gas_Avoided_Cost">'[2]Load Profiles'!$AB$3:$AE$79</definedName>
    <definedName name="Gas_Cap_Factor">'[2]Load Profiles'!$X$4:$Y$25</definedName>
    <definedName name="Index_No.">"Gas_Avoided_Cost"</definedName>
    <definedName name="Inflation">'[3]Rates&amp;NEB'!$B$7</definedName>
    <definedName name="LIbyJOB">#REF!</definedName>
    <definedName name="LTdiscount">'[3]Rates&amp;NEB'!$B$9</definedName>
    <definedName name="MeasureSize">#REF!</definedName>
    <definedName name="NEPercentage">'[3]Rates&amp;NEB'!$B$13</definedName>
    <definedName name="NomInt">'[3]Rates&amp;NEB'!$B$5</definedName>
    <definedName name="OffsetAnchor">#REF!</definedName>
    <definedName name="Raw_results">#REF!</definedName>
    <definedName name="Sector">#REF!</definedName>
    <definedName name="soff">#REF!</definedName>
    <definedName name="SSMeasures">[4]Sheet4!$A$5:$G$115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5" l="1"/>
  <c r="P6" i="5"/>
  <c r="G7" i="5"/>
  <c r="G6" i="5"/>
  <c r="E6" i="5"/>
  <c r="H6" i="5" l="1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B25" i="5" l="1"/>
  <c r="D20" i="5"/>
  <c r="G15" i="5" l="1"/>
  <c r="G16" i="5"/>
  <c r="G17" i="5"/>
  <c r="G11" i="5"/>
  <c r="G10" i="5"/>
  <c r="B36" i="4"/>
  <c r="B35" i="4"/>
  <c r="B34" i="4"/>
  <c r="I11" i="5"/>
  <c r="K11" i="5" s="1"/>
  <c r="E17" i="5"/>
  <c r="I17" i="5"/>
  <c r="K17" i="5" s="1"/>
  <c r="E15" i="5"/>
  <c r="I15" i="5"/>
  <c r="K15" i="5"/>
  <c r="E11" i="5"/>
  <c r="P17" i="5" l="1"/>
  <c r="P15" i="5"/>
  <c r="L17" i="5"/>
  <c r="L11" i="5"/>
  <c r="L15" i="5"/>
  <c r="P11" i="5"/>
  <c r="B29" i="4" l="1"/>
  <c r="I6" i="5" l="1"/>
  <c r="K6" i="5" l="1"/>
  <c r="L6" i="5" l="1"/>
  <c r="J20" i="5" l="1"/>
  <c r="F20" i="5"/>
  <c r="C20" i="5"/>
  <c r="B20" i="5"/>
  <c r="I19" i="5"/>
  <c r="G19" i="5"/>
  <c r="E19" i="5"/>
  <c r="I18" i="5"/>
  <c r="G18" i="5"/>
  <c r="E18" i="5"/>
  <c r="I16" i="5"/>
  <c r="E16" i="5"/>
  <c r="P16" i="5" s="1"/>
  <c r="I14" i="5"/>
  <c r="G14" i="5"/>
  <c r="E14" i="5"/>
  <c r="I13" i="5"/>
  <c r="K13" i="5" s="1"/>
  <c r="G13" i="5"/>
  <c r="E13" i="5"/>
  <c r="P13" i="5" s="1"/>
  <c r="I12" i="5"/>
  <c r="G12" i="5"/>
  <c r="E12" i="5"/>
  <c r="I10" i="5"/>
  <c r="K10" i="5" s="1"/>
  <c r="L10" i="5" s="1"/>
  <c r="E10" i="5"/>
  <c r="I9" i="5"/>
  <c r="K9" i="5"/>
  <c r="G9" i="5"/>
  <c r="E9" i="5"/>
  <c r="I8" i="5"/>
  <c r="G8" i="5"/>
  <c r="E8" i="5"/>
  <c r="I7" i="5"/>
  <c r="E7" i="5"/>
  <c r="E8" i="4"/>
  <c r="P8" i="4" s="1"/>
  <c r="G8" i="4"/>
  <c r="H8" i="4"/>
  <c r="K8" i="4" s="1"/>
  <c r="I8" i="4"/>
  <c r="E9" i="4"/>
  <c r="G9" i="4"/>
  <c r="P9" i="4" s="1"/>
  <c r="H9" i="4"/>
  <c r="I9" i="4"/>
  <c r="K9" i="4"/>
  <c r="L9" i="4" s="1"/>
  <c r="E10" i="4"/>
  <c r="G10" i="4"/>
  <c r="H10" i="4"/>
  <c r="I10" i="4"/>
  <c r="K10" i="4"/>
  <c r="E11" i="4"/>
  <c r="G11" i="4"/>
  <c r="P11" i="4" s="1"/>
  <c r="H11" i="4"/>
  <c r="K11" i="4" s="1"/>
  <c r="L11" i="4" s="1"/>
  <c r="I11" i="4"/>
  <c r="E12" i="4"/>
  <c r="G12" i="4"/>
  <c r="H12" i="4"/>
  <c r="I12" i="4"/>
  <c r="K12" i="4"/>
  <c r="L12" i="4" s="1"/>
  <c r="E13" i="4"/>
  <c r="G13" i="4"/>
  <c r="H13" i="4"/>
  <c r="K13" i="4" s="1"/>
  <c r="L13" i="4" s="1"/>
  <c r="I13" i="4"/>
  <c r="E14" i="4"/>
  <c r="G14" i="4"/>
  <c r="H14" i="4"/>
  <c r="K14" i="4" s="1"/>
  <c r="L14" i="4" s="1"/>
  <c r="I14" i="4"/>
  <c r="E15" i="4"/>
  <c r="G15" i="4"/>
  <c r="H15" i="4"/>
  <c r="I15" i="4"/>
  <c r="K15" i="4"/>
  <c r="L15" i="4" s="1"/>
  <c r="P15" i="4"/>
  <c r="E16" i="4"/>
  <c r="P16" i="4" s="1"/>
  <c r="G16" i="4"/>
  <c r="H16" i="4"/>
  <c r="K16" i="4" s="1"/>
  <c r="L16" i="4" s="1"/>
  <c r="I16" i="4"/>
  <c r="J29" i="4"/>
  <c r="E18" i="4"/>
  <c r="E19" i="4"/>
  <c r="E20" i="4"/>
  <c r="E21" i="4"/>
  <c r="P21" i="4" s="1"/>
  <c r="E22" i="4"/>
  <c r="E23" i="4"/>
  <c r="P23" i="4" s="1"/>
  <c r="E24" i="4"/>
  <c r="E25" i="4"/>
  <c r="E26" i="4"/>
  <c r="E27" i="4"/>
  <c r="P25" i="4"/>
  <c r="P26" i="4"/>
  <c r="E28" i="4"/>
  <c r="P28" i="4" s="1"/>
  <c r="P20" i="4"/>
  <c r="G20" i="4"/>
  <c r="H20" i="4"/>
  <c r="I20" i="4"/>
  <c r="G21" i="4"/>
  <c r="H21" i="4"/>
  <c r="I21" i="4"/>
  <c r="G22" i="4"/>
  <c r="H22" i="4"/>
  <c r="K22" i="4" s="1"/>
  <c r="I22" i="4"/>
  <c r="G23" i="4"/>
  <c r="H23" i="4"/>
  <c r="I23" i="4"/>
  <c r="P24" i="4"/>
  <c r="G24" i="4"/>
  <c r="H24" i="4"/>
  <c r="I24" i="4"/>
  <c r="G25" i="4"/>
  <c r="H25" i="4"/>
  <c r="I25" i="4"/>
  <c r="G26" i="4"/>
  <c r="H26" i="4"/>
  <c r="I26" i="4"/>
  <c r="P27" i="4"/>
  <c r="G27" i="4"/>
  <c r="H27" i="4"/>
  <c r="I27" i="4"/>
  <c r="G28" i="4"/>
  <c r="H28" i="4"/>
  <c r="I28" i="4"/>
  <c r="I18" i="4"/>
  <c r="P18" i="5" l="1"/>
  <c r="B26" i="5"/>
  <c r="J11" i="5"/>
  <c r="J19" i="5"/>
  <c r="J18" i="5"/>
  <c r="P14" i="5"/>
  <c r="L13" i="5"/>
  <c r="N11" i="5"/>
  <c r="R11" i="5"/>
  <c r="Q11" i="5"/>
  <c r="M11" i="5"/>
  <c r="P12" i="5"/>
  <c r="J15" i="5"/>
  <c r="J17" i="5"/>
  <c r="J13" i="5"/>
  <c r="K18" i="5"/>
  <c r="L18" i="5" s="1"/>
  <c r="K14" i="5"/>
  <c r="L14" i="5" s="1"/>
  <c r="K12" i="5"/>
  <c r="L12" i="5" s="1"/>
  <c r="K19" i="5"/>
  <c r="L19" i="5" s="1"/>
  <c r="K16" i="5"/>
  <c r="L16" i="5" s="1"/>
  <c r="K8" i="5"/>
  <c r="H20" i="5"/>
  <c r="J10" i="5"/>
  <c r="J14" i="5"/>
  <c r="G20" i="5"/>
  <c r="Q20" i="5" s="1"/>
  <c r="K7" i="5"/>
  <c r="L7" i="5" s="1"/>
  <c r="I20" i="5"/>
  <c r="J12" i="5"/>
  <c r="J9" i="5"/>
  <c r="R9" i="5" s="1"/>
  <c r="J16" i="5"/>
  <c r="J7" i="5"/>
  <c r="J6" i="5"/>
  <c r="J8" i="5"/>
  <c r="Q8" i="5" s="1"/>
  <c r="L8" i="5"/>
  <c r="L9" i="5"/>
  <c r="E20" i="5"/>
  <c r="R20" i="5" s="1"/>
  <c r="P7" i="5"/>
  <c r="P8" i="5"/>
  <c r="P9" i="5"/>
  <c r="P10" i="5"/>
  <c r="P19" i="5"/>
  <c r="P14" i="4"/>
  <c r="L10" i="4"/>
  <c r="P12" i="4"/>
  <c r="P13" i="4"/>
  <c r="P10" i="4"/>
  <c r="L8" i="4"/>
  <c r="K21" i="4"/>
  <c r="K28" i="4"/>
  <c r="K26" i="4"/>
  <c r="K24" i="4"/>
  <c r="P22" i="4"/>
  <c r="K27" i="4"/>
  <c r="K25" i="4"/>
  <c r="L25" i="4" s="1"/>
  <c r="K23" i="4"/>
  <c r="L23" i="4" s="1"/>
  <c r="K20" i="4"/>
  <c r="L21" i="4"/>
  <c r="L24" i="4"/>
  <c r="L26" i="4"/>
  <c r="L22" i="4"/>
  <c r="L27" i="4"/>
  <c r="I19" i="4"/>
  <c r="H19" i="4"/>
  <c r="I6" i="4"/>
  <c r="I7" i="4"/>
  <c r="E7" i="4"/>
  <c r="F29" i="4"/>
  <c r="H18" i="4"/>
  <c r="H7" i="4"/>
  <c r="C29" i="4"/>
  <c r="M6" i="5" l="1"/>
  <c r="N6" i="5"/>
  <c r="M17" i="5"/>
  <c r="N17" i="5"/>
  <c r="Q17" i="5"/>
  <c r="R17" i="5"/>
  <c r="N9" i="5"/>
  <c r="M14" i="5"/>
  <c r="Q14" i="5"/>
  <c r="R14" i="5"/>
  <c r="R10" i="5"/>
  <c r="N10" i="5"/>
  <c r="R19" i="5"/>
  <c r="N19" i="5"/>
  <c r="M19" i="5"/>
  <c r="M13" i="5"/>
  <c r="N13" i="5"/>
  <c r="Q13" i="5"/>
  <c r="R13" i="5"/>
  <c r="M12" i="5"/>
  <c r="N12" i="5"/>
  <c r="Q12" i="5"/>
  <c r="R12" i="5"/>
  <c r="M9" i="5"/>
  <c r="Q15" i="5"/>
  <c r="R15" i="5"/>
  <c r="N15" i="5"/>
  <c r="M15" i="5"/>
  <c r="M18" i="5"/>
  <c r="N18" i="5"/>
  <c r="Q18" i="5"/>
  <c r="R18" i="5"/>
  <c r="M16" i="5"/>
  <c r="R16" i="5"/>
  <c r="N16" i="5"/>
  <c r="Q16" i="5"/>
  <c r="Q9" i="5"/>
  <c r="N7" i="5"/>
  <c r="P20" i="5"/>
  <c r="Q10" i="5"/>
  <c r="Q19" i="5"/>
  <c r="M10" i="5"/>
  <c r="Q7" i="5"/>
  <c r="R7" i="5"/>
  <c r="M7" i="5"/>
  <c r="R8" i="5"/>
  <c r="M8" i="5"/>
  <c r="N8" i="5"/>
  <c r="Q6" i="5"/>
  <c r="R6" i="5"/>
  <c r="K20" i="5"/>
  <c r="J9" i="4"/>
  <c r="J11" i="4"/>
  <c r="J13" i="4"/>
  <c r="J8" i="4"/>
  <c r="J10" i="4"/>
  <c r="J12" i="4"/>
  <c r="J14" i="4"/>
  <c r="J16" i="4"/>
  <c r="J15" i="4"/>
  <c r="L28" i="4"/>
  <c r="L20" i="4"/>
  <c r="J21" i="4"/>
  <c r="N21" i="4" s="1"/>
  <c r="J23" i="4"/>
  <c r="N23" i="4" s="1"/>
  <c r="J25" i="4"/>
  <c r="N25" i="4" s="1"/>
  <c r="J27" i="4"/>
  <c r="N27" i="4" s="1"/>
  <c r="J20" i="4"/>
  <c r="N20" i="4" s="1"/>
  <c r="J22" i="4"/>
  <c r="N22" i="4" s="1"/>
  <c r="J24" i="4"/>
  <c r="N24" i="4" s="1"/>
  <c r="J26" i="4"/>
  <c r="N26" i="4" s="1"/>
  <c r="J28" i="4"/>
  <c r="N28" i="4" s="1"/>
  <c r="J6" i="4"/>
  <c r="I29" i="4"/>
  <c r="H6" i="4"/>
  <c r="E6" i="4"/>
  <c r="E29" i="4" s="1"/>
  <c r="D29" i="4"/>
  <c r="M20" i="5" l="1"/>
  <c r="L20" i="5"/>
  <c r="N20" i="5"/>
  <c r="N16" i="4"/>
  <c r="M16" i="4"/>
  <c r="R16" i="4"/>
  <c r="Q16" i="4"/>
  <c r="N14" i="4"/>
  <c r="R14" i="4"/>
  <c r="M14" i="4"/>
  <c r="Q14" i="4"/>
  <c r="N8" i="4"/>
  <c r="Q8" i="4"/>
  <c r="M8" i="4"/>
  <c r="R8" i="4"/>
  <c r="R13" i="4"/>
  <c r="M13" i="4"/>
  <c r="N13" i="4"/>
  <c r="Q13" i="4"/>
  <c r="R15" i="4"/>
  <c r="M15" i="4"/>
  <c r="Q15" i="4"/>
  <c r="N15" i="4"/>
  <c r="N12" i="4"/>
  <c r="R12" i="4"/>
  <c r="Q12" i="4"/>
  <c r="M12" i="4"/>
  <c r="R11" i="4"/>
  <c r="N11" i="4"/>
  <c r="M11" i="4"/>
  <c r="Q11" i="4"/>
  <c r="Q9" i="4"/>
  <c r="R9" i="4"/>
  <c r="N9" i="4"/>
  <c r="M9" i="4"/>
  <c r="N10" i="4"/>
  <c r="Q10" i="4"/>
  <c r="M10" i="4"/>
  <c r="R10" i="4"/>
  <c r="R29" i="4"/>
  <c r="Q26" i="4"/>
  <c r="R26" i="4"/>
  <c r="M26" i="4"/>
  <c r="Q24" i="4"/>
  <c r="R24" i="4"/>
  <c r="M24" i="4"/>
  <c r="R23" i="4"/>
  <c r="Q23" i="4"/>
  <c r="M23" i="4"/>
  <c r="Q22" i="4"/>
  <c r="R22" i="4"/>
  <c r="M22" i="4"/>
  <c r="Q20" i="4"/>
  <c r="R20" i="4"/>
  <c r="M20" i="4"/>
  <c r="R27" i="4"/>
  <c r="Q27" i="4"/>
  <c r="M27" i="4"/>
  <c r="R25" i="4"/>
  <c r="Q25" i="4"/>
  <c r="M25" i="4"/>
  <c r="Q28" i="4"/>
  <c r="R28" i="4"/>
  <c r="M28" i="4"/>
  <c r="Q21" i="4"/>
  <c r="R21" i="4"/>
  <c r="M21" i="4"/>
  <c r="K6" i="4"/>
  <c r="H29" i="4"/>
  <c r="G19" i="4"/>
  <c r="P19" i="4" s="1"/>
  <c r="K18" i="4"/>
  <c r="G18" i="4"/>
  <c r="G6" i="4"/>
  <c r="G7" i="4"/>
  <c r="G29" i="4" l="1"/>
  <c r="P29" i="4" s="1"/>
  <c r="K19" i="4"/>
  <c r="J18" i="4"/>
  <c r="N18" i="4" s="1"/>
  <c r="P18" i="4"/>
  <c r="J19" i="4"/>
  <c r="R19" i="4" s="1"/>
  <c r="J7" i="4"/>
  <c r="Q7" i="4" s="1"/>
  <c r="L18" i="4"/>
  <c r="P6" i="4"/>
  <c r="P7" i="4"/>
  <c r="K7" i="4"/>
  <c r="N19" i="4" l="1"/>
  <c r="K29" i="4"/>
  <c r="L29" i="4" s="1"/>
  <c r="M18" i="4"/>
  <c r="R18" i="4"/>
  <c r="M19" i="4"/>
  <c r="M7" i="4"/>
  <c r="L6" i="4"/>
  <c r="M6" i="4"/>
  <c r="L19" i="4"/>
  <c r="Q19" i="4"/>
  <c r="Q18" i="4"/>
  <c r="N7" i="4"/>
  <c r="R7" i="4"/>
  <c r="R6" i="4"/>
  <c r="N6" i="4"/>
  <c r="L7" i="4"/>
  <c r="Q6" i="4"/>
  <c r="N29" i="4" l="1"/>
  <c r="M29" i="4"/>
  <c r="Q29" i="4"/>
</calcChain>
</file>

<file path=xl/sharedStrings.xml><?xml version="1.0" encoding="utf-8"?>
<sst xmlns="http://schemas.openxmlformats.org/spreadsheetml/2006/main" count="122" uniqueCount="70">
  <si>
    <t>CASCADE NATURAL GAS CORPORATION</t>
  </si>
  <si>
    <t>2023 LOW INCOME Program Participant Cost Effectiveness Estimates</t>
  </si>
  <si>
    <t>TOTAL IN FIRST YEAR by MEASURE</t>
  </si>
  <si>
    <t>MEASURE</t>
  </si>
  <si>
    <t>MEASURES</t>
  </si>
  <si>
    <t>TOTAL ANNUAL THERM SAVINGS</t>
  </si>
  <si>
    <t>MEASURE INSTALLED COST</t>
  </si>
  <si>
    <t>NON-ENERGY BENEFITS (10% of cost)</t>
  </si>
  <si>
    <t>MEASURE LIFE</t>
  </si>
  <si>
    <t>DISCOUNTED THERM SAVINGS</t>
  </si>
  <si>
    <t>PROJECT COORDINATION FEE (20% of cost)</t>
  </si>
  <si>
    <t>INDIRECT RATE (10% of cost)</t>
  </si>
  <si>
    <t>CASCADE ADMIN</t>
  </si>
  <si>
    <t>PROGRAM REBATE W/COORDINATION FEE &amp; INDIRECT RATE</t>
  </si>
  <si>
    <t>UTILITY COST</t>
  </si>
  <si>
    <t>UC W/DELIVERY &amp; ADMIN</t>
  </si>
  <si>
    <t>BENEFIT COST RATIO</t>
  </si>
  <si>
    <t>TOTAL RESROUCE COST</t>
  </si>
  <si>
    <t>TRC W/DELIVERY &amp; ADMIN</t>
  </si>
  <si>
    <t>Attic/Ceiling Insulation</t>
  </si>
  <si>
    <t>Wall Insulation</t>
  </si>
  <si>
    <t>Floor Insulation</t>
  </si>
  <si>
    <t>Duct Insulation</t>
  </si>
  <si>
    <t>Furnace Tune Up</t>
  </si>
  <si>
    <t>Water Heater Insulation</t>
  </si>
  <si>
    <t>Duct Sealing</t>
  </si>
  <si>
    <t>Infiltration</t>
  </si>
  <si>
    <t>95%+ Furnace</t>
  </si>
  <si>
    <t>Space Heater</t>
  </si>
  <si>
    <t>Low Flow Faucet Aerator</t>
  </si>
  <si>
    <t>ShowerHead</t>
  </si>
  <si>
    <t>0.91+ Tankless Water Heater</t>
  </si>
  <si>
    <t>0.64+ Storage Water Heater</t>
  </si>
  <si>
    <t>TOTAL PROGRAM</t>
  </si>
  <si>
    <t>IRP discount rate</t>
  </si>
  <si>
    <t>Inflation rate</t>
  </si>
  <si>
    <t>EE discount rate</t>
  </si>
  <si>
    <t>Program Admin costs</t>
  </si>
  <si>
    <t>20% Project Coordination Fee</t>
  </si>
  <si>
    <t>10% Indirect Rate</t>
  </si>
  <si>
    <t>2022 LOW INCOME Program Participant Cost Effectiveness Estimates</t>
  </si>
  <si>
    <t>PROJECT COORDINATION FEE (15% of cost)</t>
  </si>
  <si>
    <t>15% Project Coordination Fee</t>
  </si>
  <si>
    <t>2020 INTEGRATED RESOURCE PLAN</t>
  </si>
  <si>
    <t>BASECASE - MEDIUM FORECAST - AVERAGE WEATHER</t>
  </si>
  <si>
    <t>45 YEAR RESOURCE SUMMARY COSTS - MELDED COST PER THERM</t>
  </si>
  <si>
    <t>IRP ANNUAL</t>
  </si>
  <si>
    <t xml:space="preserve">PV OF </t>
  </si>
  <si>
    <t xml:space="preserve">NON </t>
  </si>
  <si>
    <t>PORTFOLIO COSTS</t>
  </si>
  <si>
    <t>PORTFOLIO</t>
  </si>
  <si>
    <t>NOMINAL</t>
  </si>
  <si>
    <t>RESOURCE</t>
  </si>
  <si>
    <t xml:space="preserve">ENERGY </t>
  </si>
  <si>
    <t>WITH</t>
  </si>
  <si>
    <t>COST-</t>
  </si>
  <si>
    <t>COST PER</t>
  </si>
  <si>
    <t>BENEFIT</t>
  </si>
  <si>
    <t>CONSERVATION</t>
  </si>
  <si>
    <t>EFFECTIVENESS</t>
  </si>
  <si>
    <t>YEAR</t>
  </si>
  <si>
    <t>THERM (PV)*</t>
  </si>
  <si>
    <t>THERM</t>
  </si>
  <si>
    <t>COST/THERM</t>
  </si>
  <si>
    <t>CREDIT</t>
  </si>
  <si>
    <t>LIMIT</t>
  </si>
  <si>
    <t>Cascade's Long Term Real Discount Rate:</t>
  </si>
  <si>
    <t>IRP Discount Rate :</t>
  </si>
  <si>
    <t>Years 21-45 Escalation:</t>
  </si>
  <si>
    <t>(EIA Inflation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</si>
</sst>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&quot;$&quot;#,##0.00"/>
    <numFmt numFmtId="166" formatCode="#,##0.00%"/>
    <numFmt numFmtId="167" formatCode="_(&quot;$&quot;* #,##0_);_(&quot;$&quot;* \(#,##0\);_(&quot;$&quot;* &quot;-&quot;??_);_(@_)"/>
    <numFmt numFmtId="168" formatCode="\$#,##0.00;\$\(#,##0.00\)"/>
  </numFmts>
  <fonts count="19">
    <font>
      <sz val="10"/>
      <name val="Times New Roman"/>
    </font>
    <font>
      <sz val="11"/>
      <color theme="1"/>
      <name val="Calibri"/>
      <family val="2"/>
      <scheme val="minor"/>
    </font>
    <font>
      <sz val="12"/>
      <name val="Helv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1"/>
      <color rgb="FF3634E0"/>
      <name val="Arial"/>
      <family val="2"/>
    </font>
    <font>
      <b/>
      <sz val="11"/>
      <color rgb="FFA61712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FFFF"/>
      <name val="Arial"/>
      <family val="2"/>
    </font>
    <font>
      <b/>
      <u/>
      <sz val="10"/>
      <name val="Calibri"/>
      <family val="2"/>
      <scheme val="minor"/>
    </font>
    <font>
      <sz val="1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5AA6DB"/>
      </patternFill>
    </fill>
    <fill>
      <patternFill patternType="solid">
        <fgColor rgb="FFE8E6E6"/>
      </patternFill>
    </fill>
    <fill>
      <patternFill patternType="solid">
        <fgColor rgb="FFF89842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ck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D6D2D2"/>
      </left>
      <right style="medium">
        <color rgb="FFD6D2D2"/>
      </right>
      <top/>
      <bottom/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2" fillId="0" borderId="0"/>
    <xf numFmtId="44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9" fontId="5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48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4" fontId="7" fillId="3" borderId="2" xfId="2" applyFont="1" applyFill="1" applyBorder="1" applyAlignment="1">
      <alignment horizontal="center" vertical="center" wrapText="1"/>
    </xf>
    <xf numFmtId="44" fontId="7" fillId="0" borderId="2" xfId="2" applyFont="1" applyBorder="1" applyAlignment="1">
      <alignment horizontal="center" vertical="center" wrapText="1"/>
    </xf>
    <xf numFmtId="0" fontId="4" fillId="0" borderId="0" xfId="0" applyFont="1"/>
    <xf numFmtId="0" fontId="4" fillId="0" borderId="0" xfId="7"/>
    <xf numFmtId="0" fontId="4" fillId="0" borderId="0" xfId="7" applyAlignment="1">
      <alignment horizontal="center"/>
    </xf>
    <xf numFmtId="0" fontId="4" fillId="0" borderId="4" xfId="7" applyBorder="1" applyAlignment="1">
      <alignment horizontal="center"/>
    </xf>
    <xf numFmtId="165" fontId="4" fillId="0" borderId="0" xfId="2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9" fontId="4" fillId="0" borderId="0" xfId="8" applyFont="1" applyAlignment="1">
      <alignment horizontal="center" vertical="center"/>
    </xf>
    <xf numFmtId="165" fontId="4" fillId="0" borderId="0" xfId="8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4" fillId="0" borderId="0" xfId="8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165" fontId="9" fillId="0" borderId="2" xfId="0" applyNumberFormat="1" applyFont="1" applyBorder="1" applyAlignment="1">
      <alignment horizontal="left" vertical="center" wrapText="1"/>
    </xf>
    <xf numFmtId="2" fontId="11" fillId="0" borderId="0" xfId="0" applyNumberFormat="1" applyFont="1"/>
    <xf numFmtId="44" fontId="10" fillId="0" borderId="0" xfId="0" applyNumberFormat="1" applyFont="1"/>
    <xf numFmtId="0" fontId="12" fillId="0" borderId="0" xfId="0" applyFont="1" applyAlignment="1">
      <alignment wrapText="1"/>
    </xf>
    <xf numFmtId="0" fontId="13" fillId="0" borderId="0" xfId="0" applyFont="1"/>
    <xf numFmtId="166" fontId="9" fillId="0" borderId="2" xfId="0" applyNumberFormat="1" applyFont="1" applyBorder="1" applyAlignment="1">
      <alignment horizontal="left" vertical="center" wrapText="1"/>
    </xf>
    <xf numFmtId="0" fontId="14" fillId="0" borderId="0" xfId="0" applyFont="1"/>
    <xf numFmtId="44" fontId="15" fillId="0" borderId="0" xfId="0" applyNumberFormat="1" applyFont="1" applyAlignment="1">
      <alignment horizontal="center"/>
    </xf>
    <xf numFmtId="0" fontId="15" fillId="0" borderId="0" xfId="0" applyFont="1"/>
    <xf numFmtId="44" fontId="15" fillId="0" borderId="0" xfId="0" applyNumberFormat="1" applyFont="1"/>
    <xf numFmtId="43" fontId="15" fillId="0" borderId="0" xfId="1" applyFont="1" applyFill="1" applyBorder="1"/>
    <xf numFmtId="44" fontId="14" fillId="0" borderId="0" xfId="0" applyNumberFormat="1" applyFont="1" applyAlignment="1">
      <alignment horizontal="center"/>
    </xf>
    <xf numFmtId="167" fontId="14" fillId="0" borderId="0" xfId="0" applyNumberFormat="1" applyFont="1"/>
    <xf numFmtId="43" fontId="14" fillId="0" borderId="0" xfId="0" applyNumberFormat="1" applyFont="1"/>
    <xf numFmtId="44" fontId="14" fillId="0" borderId="0" xfId="0" applyNumberFormat="1" applyFont="1"/>
    <xf numFmtId="2" fontId="16" fillId="4" borderId="5" xfId="0" applyNumberFormat="1" applyFont="1" applyFill="1" applyBorder="1" applyAlignment="1">
      <alignment horizontal="center" vertical="center" wrapText="1"/>
    </xf>
    <xf numFmtId="168" fontId="16" fillId="4" borderId="5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43" fontId="16" fillId="4" borderId="5" xfId="1" applyFont="1" applyFill="1" applyBorder="1" applyAlignment="1">
      <alignment horizontal="center" vertical="center" wrapText="1"/>
    </xf>
    <xf numFmtId="44" fontId="16" fillId="4" borderId="5" xfId="0" applyNumberFormat="1" applyFont="1" applyFill="1" applyBorder="1" applyAlignment="1">
      <alignment horizontal="center" vertical="center" wrapText="1"/>
    </xf>
    <xf numFmtId="44" fontId="16" fillId="4" borderId="5" xfId="2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10" fontId="9" fillId="0" borderId="2" xfId="9" applyNumberFormat="1" applyFont="1" applyFill="1" applyBorder="1" applyAlignment="1">
      <alignment horizontal="right" vertical="center" wrapText="1"/>
    </xf>
    <xf numFmtId="165" fontId="9" fillId="0" borderId="2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3" fillId="0" borderId="0" xfId="7" applyFont="1" applyAlignment="1">
      <alignment horizontal="center"/>
    </xf>
    <xf numFmtId="0" fontId="10" fillId="0" borderId="0" xfId="0" applyFont="1" applyAlignment="1"/>
  </cellXfs>
  <cellStyles count="10">
    <cellStyle name="Comma" xfId="1" builtinId="3"/>
    <cellStyle name="Currency" xfId="2" builtinId="4"/>
    <cellStyle name="Currency 5" xfId="4" xr:uid="{F1A1A242-0197-4794-9B54-AEE460B7DD25}"/>
    <cellStyle name="Normal" xfId="0" builtinId="0"/>
    <cellStyle name="Normal 2" xfId="6" xr:uid="{ADB5A25B-3224-4762-A394-9C4531353990}"/>
    <cellStyle name="Normal 2 3" xfId="5" xr:uid="{B5F799CF-5928-4E2A-AB01-A59409968D0F}"/>
    <cellStyle name="Normal 5" xfId="3" xr:uid="{DBF7C835-34A0-43B1-B0D6-DA3E6A3889CD}"/>
    <cellStyle name="Normal_Copy of Avoided Cost adjusted Final" xfId="7" xr:uid="{2E3035BC-214C-487E-8DF6-8388F471EB03}"/>
    <cellStyle name="Percent" xfId="9" builtinId="5"/>
    <cellStyle name="Percent 2" xfId="8" xr:uid="{13F4BDA2-58A6-4E5F-A7E7-7B992C1F9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Laron%20T/WA%20CPI/Tools_103006/Comml_Measures_C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Laron%20T/WA%20CPI/Tools_103006/DaveB/loadprofi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im.abrahamson/Local%20Settings/Temporary%20Internet%20Files/Content.Outlook/Y0CQP8DK/Cost%20Effectiveness%20calcula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im.abrahamson/Local%20Settings/Temporary%20Internet%20Files/Content.Outlook/Y0CQP8DK/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phs"/>
      <sheetName val="Summary"/>
      <sheetName val="Results"/>
      <sheetName val="ECMs"/>
      <sheetName val="Applicability"/>
      <sheetName val="AppFuelSat"/>
      <sheetName val="Penetration"/>
      <sheetName val="TechPopRat"/>
      <sheetName val="AchievePopRat"/>
      <sheetName val="MeasElecSavings"/>
      <sheetName val="MeasGasSavings"/>
      <sheetName val="MeasureCost"/>
      <sheetName val="O_M"/>
      <sheetName val="SmOffice"/>
      <sheetName val="LgOffice"/>
      <sheetName val="Restaurant"/>
      <sheetName val="Retail"/>
      <sheetName val="Grocery"/>
      <sheetName val="School"/>
      <sheetName val="Warehouse"/>
      <sheetName val="College"/>
      <sheetName val="Hospital"/>
      <sheetName val="OtherHealth"/>
      <sheetName val="Lodging"/>
      <sheetName val="Other"/>
      <sheetName val="Characteristics"/>
      <sheetName val="Population"/>
      <sheetName val="EUIS"/>
      <sheetName val="Consta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d Profiles"/>
      <sheetName val="loadprofiles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EFF BY MEASURE"/>
      <sheetName val="TOTAL FIRST YEAR"/>
      <sheetName val="Rates&amp;NEB"/>
      <sheetName val="Insulation Calcs"/>
      <sheetName val="Equ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798A9-CDE0-4713-A488-8C629116B30C}">
  <dimension ref="A1:R26"/>
  <sheetViews>
    <sheetView tabSelected="1" zoomScaleNormal="100" workbookViewId="0">
      <pane ySplit="5" topLeftCell="A6" activePane="bottomLeft" state="frozen"/>
      <selection pane="bottomLeft" activeCell="K11" sqref="K11"/>
    </sheetView>
  </sheetViews>
  <sheetFormatPr defaultColWidth="18.33203125" defaultRowHeight="12.75"/>
  <cols>
    <col min="1" max="1" width="50.1640625" style="15" bestFit="1" customWidth="1"/>
    <col min="2" max="2" width="18.1640625" style="15" bestFit="1" customWidth="1"/>
    <col min="3" max="3" width="20" style="16" bestFit="1" customWidth="1"/>
    <col min="4" max="4" width="18.1640625" style="15" bestFit="1" customWidth="1"/>
    <col min="5" max="5" width="16" style="16" customWidth="1"/>
    <col min="6" max="6" width="16" style="15" customWidth="1"/>
    <col min="7" max="7" width="17.5" style="15" bestFit="1" customWidth="1"/>
    <col min="8" max="8" width="24.1640625" style="15" bestFit="1" customWidth="1"/>
    <col min="9" max="9" width="21.1640625" style="15" customWidth="1"/>
    <col min="10" max="10" width="20.33203125" style="16" bestFit="1" customWidth="1"/>
    <col min="11" max="11" width="25" style="15" bestFit="1" customWidth="1"/>
    <col min="12" max="12" width="17" style="15" bestFit="1" customWidth="1"/>
    <col min="13" max="13" width="21" style="16" bestFit="1" customWidth="1"/>
    <col min="14" max="14" width="13.6640625" style="15" customWidth="1"/>
    <col min="15" max="15" width="3.1640625" style="16" customWidth="1"/>
    <col min="16" max="16" width="21.83203125" style="16" bestFit="1" customWidth="1"/>
    <col min="17" max="17" width="22.6640625" style="15" bestFit="1" customWidth="1"/>
    <col min="18" max="18" width="13.6640625" style="15" customWidth="1"/>
    <col min="19" max="16384" width="18.33203125" style="15"/>
  </cols>
  <sheetData>
    <row r="1" spans="1:18">
      <c r="A1" s="42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8">
      <c r="A2" s="42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8">
      <c r="A3" s="43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8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18" s="23" customFormat="1" ht="57" customHeight="1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  <c r="L5" s="1" t="s">
        <v>14</v>
      </c>
      <c r="M5" s="1" t="s">
        <v>15</v>
      </c>
      <c r="N5" s="1" t="s">
        <v>16</v>
      </c>
      <c r="O5" s="1"/>
      <c r="P5" s="1" t="s">
        <v>17</v>
      </c>
      <c r="Q5" s="1" t="s">
        <v>18</v>
      </c>
      <c r="R5" s="1" t="s">
        <v>16</v>
      </c>
    </row>
    <row r="6" spans="1:18" s="23" customFormat="1" ht="25.5" customHeight="1" thickBot="1">
      <c r="A6" s="35" t="s">
        <v>19</v>
      </c>
      <c r="B6" s="35">
        <v>65</v>
      </c>
      <c r="C6" s="35">
        <v>6039.1120000000001</v>
      </c>
      <c r="D6" s="3">
        <v>183714.07</v>
      </c>
      <c r="E6" s="3">
        <f>ROUND(0.1*D6,2)</f>
        <v>18371.41</v>
      </c>
      <c r="F6" s="35">
        <v>45</v>
      </c>
      <c r="G6" s="35">
        <f>PV($B$23,F6,-C6)</f>
        <v>138168.85956344454</v>
      </c>
      <c r="H6" s="3">
        <f>ROUND(D6*0.2,2)</f>
        <v>36742.81</v>
      </c>
      <c r="I6" s="3">
        <f>ROUND(D6*0.1,2)</f>
        <v>18371.41</v>
      </c>
      <c r="J6" s="3">
        <f t="shared" ref="J6:J17" si="0">$B$24*(C6/$C$20)</f>
        <v>25639.312819977884</v>
      </c>
      <c r="K6" s="3">
        <f>D6+H6+I6</f>
        <v>238828.29</v>
      </c>
      <c r="L6" s="3">
        <f>IF(ISERROR(K6/G6),0,K6/G6)</f>
        <v>1.7285247251413736</v>
      </c>
      <c r="M6" s="3">
        <f>IFERROR((K6+J6)/G6,0)</f>
        <v>1.9140897859009929</v>
      </c>
      <c r="N6" s="35">
        <f>IF(B6=0,0,(VLOOKUP($F6,AC,6)*$C6)/($K6+$J6))</f>
        <v>1.3990222004063457</v>
      </c>
      <c r="O6" s="35"/>
      <c r="P6" s="3">
        <f>IF(ISERROR((D6-E6)/G6),0,(D6-E6)/G6)</f>
        <v>1.1966709468574412</v>
      </c>
      <c r="Q6" s="3">
        <f>IF(B6=0,0,((D6-E6+J6)/G6))</f>
        <v>1.3822360076170603</v>
      </c>
      <c r="R6" s="35">
        <f>IF(B6=0,0,(VLOOKUP($F6,AC,4)*$C6)/($D6-$E6+$J6))</f>
        <v>1.7612135760067025</v>
      </c>
    </row>
    <row r="7" spans="1:18" s="23" customFormat="1" ht="25.5" customHeight="1" thickBot="1">
      <c r="A7" s="34" t="s">
        <v>20</v>
      </c>
      <c r="B7" s="34">
        <v>37</v>
      </c>
      <c r="C7" s="34">
        <v>1301.0239999999999</v>
      </c>
      <c r="D7" s="4">
        <v>80444.42</v>
      </c>
      <c r="E7" s="4">
        <f t="shared" ref="E7:E19" si="1">ROUND(0.1*D7,2)</f>
        <v>8044.44</v>
      </c>
      <c r="F7" s="34">
        <v>45</v>
      </c>
      <c r="G7" s="34">
        <f>PV($B$23,F7,-C7)</f>
        <v>29766.131567798511</v>
      </c>
      <c r="H7" s="4">
        <f t="shared" ref="H7:H19" si="2">ROUND(D7*0.2,2)</f>
        <v>16088.88</v>
      </c>
      <c r="I7" s="4">
        <f t="shared" ref="I7:I19" si="3">ROUND(D7*0.1,2)</f>
        <v>8044.44</v>
      </c>
      <c r="J7" s="4">
        <f t="shared" si="0"/>
        <v>5523.5540129573519</v>
      </c>
      <c r="K7" s="4">
        <f t="shared" ref="K7:K19" si="4">D7+H7+I7</f>
        <v>104577.74</v>
      </c>
      <c r="L7" s="4">
        <f t="shared" ref="L7:L9" si="5">IF(ISERROR(K7/G7),0,K7/G7)</f>
        <v>3.5133131008912799</v>
      </c>
      <c r="M7" s="4">
        <f t="shared" ref="M7:M11" si="6">IFERROR((K7+J7)/G7,0)</f>
        <v>3.698878161650899</v>
      </c>
      <c r="N7" s="34">
        <f t="shared" ref="N7:N9" si="7">IF(B7=0,0,(VLOOKUP($F7,AC,6)*$C7)/($K7+$J7))</f>
        <v>0.72396385796371499</v>
      </c>
      <c r="O7" s="34"/>
      <c r="P7" s="4">
        <f t="shared" ref="P7:P19" si="8">IF(ISERROR((D7-E7)/G7),0,(D7-E7)/G7)</f>
        <v>2.4322938919722938</v>
      </c>
      <c r="Q7" s="4">
        <f t="shared" ref="Q7:Q19" si="9">IF(B7=0,0,((D7-E7+J7)/G7))</f>
        <v>2.6178589527319129</v>
      </c>
      <c r="R7" s="34">
        <f t="shared" ref="R7:R19" si="10">IF(B7=0,0,(VLOOKUP($F7,AC,4)*$C7)/($D7-$E7+$J7))</f>
        <v>0.92992512805932392</v>
      </c>
    </row>
    <row r="8" spans="1:18" ht="25.5" customHeight="1" thickBot="1">
      <c r="A8" s="35" t="s">
        <v>21</v>
      </c>
      <c r="B8" s="35">
        <v>29</v>
      </c>
      <c r="C8" s="35">
        <v>1398.13</v>
      </c>
      <c r="D8" s="3">
        <v>107202.51</v>
      </c>
      <c r="E8" s="3">
        <f t="shared" si="1"/>
        <v>10720.25</v>
      </c>
      <c r="F8" s="35">
        <v>45</v>
      </c>
      <c r="G8" s="35">
        <f t="shared" ref="G7:G14" si="11">PV($B$23,F8,-C8)</f>
        <v>31987.820000927073</v>
      </c>
      <c r="H8" s="3">
        <f t="shared" si="2"/>
        <v>21440.5</v>
      </c>
      <c r="I8" s="3">
        <f t="shared" si="3"/>
        <v>10720.25</v>
      </c>
      <c r="J8" s="3">
        <f t="shared" si="0"/>
        <v>5935.8217620397963</v>
      </c>
      <c r="K8" s="3">
        <f t="shared" si="4"/>
        <v>139363.26</v>
      </c>
      <c r="L8" s="3">
        <f t="shared" si="5"/>
        <v>4.3567601667122355</v>
      </c>
      <c r="M8" s="3">
        <f t="shared" si="6"/>
        <v>4.5423252274718546</v>
      </c>
      <c r="N8" s="35">
        <f t="shared" si="7"/>
        <v>0.58953376738656504</v>
      </c>
      <c r="O8" s="35"/>
      <c r="P8" s="3">
        <f t="shared" si="8"/>
        <v>3.0162186731450826</v>
      </c>
      <c r="Q8" s="3">
        <f t="shared" si="9"/>
        <v>3.2017837339047017</v>
      </c>
      <c r="R8" s="35">
        <f t="shared" si="10"/>
        <v>0.76033018597780444</v>
      </c>
    </row>
    <row r="9" spans="1:18" ht="25.5" customHeight="1" thickBot="1">
      <c r="A9" s="34" t="s">
        <v>22</v>
      </c>
      <c r="B9" s="34">
        <v>17</v>
      </c>
      <c r="C9" s="34">
        <v>264.79199999999997</v>
      </c>
      <c r="D9" s="4">
        <v>41403.75</v>
      </c>
      <c r="E9" s="4">
        <f t="shared" si="1"/>
        <v>4140.38</v>
      </c>
      <c r="F9" s="34">
        <v>13</v>
      </c>
      <c r="G9" s="34">
        <f t="shared" si="11"/>
        <v>2745.3486846959595</v>
      </c>
      <c r="H9" s="4">
        <f t="shared" si="2"/>
        <v>8280.75</v>
      </c>
      <c r="I9" s="4">
        <f t="shared" si="3"/>
        <v>4140.38</v>
      </c>
      <c r="J9" s="4">
        <f t="shared" si="0"/>
        <v>1124.1859598277997</v>
      </c>
      <c r="K9" s="4">
        <f t="shared" si="4"/>
        <v>53824.88</v>
      </c>
      <c r="L9" s="4">
        <f t="shared" si="5"/>
        <v>19.605844714752863</v>
      </c>
      <c r="M9" s="4">
        <f t="shared" si="6"/>
        <v>20.015332211220837</v>
      </c>
      <c r="N9" s="34">
        <f t="shared" si="7"/>
        <v>6.2598601966750905E-2</v>
      </c>
      <c r="O9" s="34"/>
      <c r="P9" s="4">
        <f t="shared" si="8"/>
        <v>13.573274028077359</v>
      </c>
      <c r="Q9" s="4">
        <f t="shared" si="9"/>
        <v>13.982761524545335</v>
      </c>
      <c r="R9" s="34">
        <f t="shared" si="10"/>
        <v>8.1459511421396541E-2</v>
      </c>
    </row>
    <row r="10" spans="1:18" ht="25.5" customHeight="1" thickBot="1">
      <c r="A10" s="35" t="s">
        <v>23</v>
      </c>
      <c r="B10" s="35">
        <v>6</v>
      </c>
      <c r="C10" s="35">
        <v>126</v>
      </c>
      <c r="D10" s="3">
        <v>3459.75</v>
      </c>
      <c r="E10" s="3">
        <f t="shared" si="1"/>
        <v>345.98</v>
      </c>
      <c r="F10" s="35">
        <v>18</v>
      </c>
      <c r="G10" s="35">
        <f t="shared" si="11"/>
        <v>1675.7613212826984</v>
      </c>
      <c r="H10" s="3">
        <f t="shared" si="2"/>
        <v>691.95</v>
      </c>
      <c r="I10" s="3">
        <f t="shared" si="3"/>
        <v>345.98</v>
      </c>
      <c r="J10" s="3">
        <f t="shared" si="0"/>
        <v>534.93848355804846</v>
      </c>
      <c r="K10" s="3">
        <f>D10+H10+I10</f>
        <v>4497.68</v>
      </c>
      <c r="L10" s="3">
        <f>IF(ISERROR(K10/G10),0,K10/G10)</f>
        <v>2.6839621746116484</v>
      </c>
      <c r="M10" s="3">
        <f t="shared" si="6"/>
        <v>3.0031833409938535</v>
      </c>
      <c r="N10" s="35">
        <f t="shared" ref="N10:N20" si="12">IF(B10=0,0,(VLOOKUP($F10,AC,6)*$C10)/($K10+$J10))</f>
        <v>0.46817362022124681</v>
      </c>
      <c r="O10" s="35"/>
      <c r="P10" s="3">
        <f t="shared" si="8"/>
        <v>1.8581226099768129</v>
      </c>
      <c r="Q10" s="3">
        <f t="shared" si="9"/>
        <v>2.177343776359018</v>
      </c>
      <c r="R10" s="35">
        <f t="shared" si="10"/>
        <v>0.58704189447682353</v>
      </c>
    </row>
    <row r="11" spans="1:18" ht="25.5" customHeight="1" thickBot="1">
      <c r="A11" s="34" t="s">
        <v>24</v>
      </c>
      <c r="B11" s="34">
        <v>8</v>
      </c>
      <c r="C11" s="34">
        <v>51.2</v>
      </c>
      <c r="D11" s="4">
        <v>1313.4</v>
      </c>
      <c r="E11" s="4">
        <f t="shared" si="1"/>
        <v>131.34</v>
      </c>
      <c r="F11" s="34">
        <v>18</v>
      </c>
      <c r="G11" s="34">
        <f t="shared" si="11"/>
        <v>680.94428293392195</v>
      </c>
      <c r="H11" s="4">
        <f t="shared" si="2"/>
        <v>262.68</v>
      </c>
      <c r="I11" s="4">
        <f>ROUND(D11*0.1,2)</f>
        <v>131.34</v>
      </c>
      <c r="J11" s="4">
        <f t="shared" si="0"/>
        <v>217.37182823946097</v>
      </c>
      <c r="K11" s="4">
        <f>D11+H11+I11</f>
        <v>1707.42</v>
      </c>
      <c r="L11" s="4">
        <f>IF(ISERROR(K11/G11),0,K11/G11)</f>
        <v>2.5074298188442037</v>
      </c>
      <c r="M11" s="4">
        <f t="shared" si="6"/>
        <v>2.8266509852264088</v>
      </c>
      <c r="N11" s="34">
        <f t="shared" si="12"/>
        <v>0.49741238811929694</v>
      </c>
      <c r="O11" s="34"/>
      <c r="P11" s="4">
        <f t="shared" ref="P11:P18" si="13">IF(ISERROR((D11-E11)/G11),0,(D11-E11)/G11)</f>
        <v>1.7359129515075258</v>
      </c>
      <c r="Q11" s="4">
        <f t="shared" ref="Q11:Q18" si="14">IF(B11=0,0,((D11-E11+J11)/G11))</f>
        <v>2.0551341178897311</v>
      </c>
      <c r="R11" s="34">
        <f t="shared" ref="R11:R18" si="15">IF(B11=0,0,(VLOOKUP($F11,AC,4)*$C11)/($D11-$E11+$J11))</f>
        <v>0.62195065727077836</v>
      </c>
    </row>
    <row r="12" spans="1:18" ht="25.5" customHeight="1" thickBot="1">
      <c r="A12" s="35" t="s">
        <v>25</v>
      </c>
      <c r="B12" s="35">
        <v>22</v>
      </c>
      <c r="C12" s="35">
        <v>1617</v>
      </c>
      <c r="D12" s="3">
        <v>36079.370000000003</v>
      </c>
      <c r="E12" s="3">
        <f t="shared" si="1"/>
        <v>3607.94</v>
      </c>
      <c r="F12" s="35">
        <v>18</v>
      </c>
      <c r="G12" s="35">
        <f t="shared" si="11"/>
        <v>21505.603623127961</v>
      </c>
      <c r="H12" s="3">
        <f t="shared" si="2"/>
        <v>7215.87</v>
      </c>
      <c r="I12" s="3">
        <f t="shared" si="3"/>
        <v>3607.94</v>
      </c>
      <c r="J12" s="3">
        <f t="shared" si="0"/>
        <v>6865.0438723282887</v>
      </c>
      <c r="K12" s="3">
        <f t="shared" si="4"/>
        <v>46903.180000000008</v>
      </c>
      <c r="L12" s="3">
        <f t="shared" ref="L12:L19" si="16">IF(ISERROR(K12/G12),0,K12/G12)</f>
        <v>2.1809748204211532</v>
      </c>
      <c r="M12" s="3">
        <f t="shared" ref="M12:M19" si="17">IFERROR((K12+J12)/G12,0)</f>
        <v>2.5001959868033583</v>
      </c>
      <c r="N12" s="35">
        <f t="shared" si="12"/>
        <v>0.56236040068958604</v>
      </c>
      <c r="O12" s="35"/>
      <c r="P12" s="3">
        <f t="shared" si="13"/>
        <v>1.509905537600394</v>
      </c>
      <c r="Q12" s="3">
        <f t="shared" si="14"/>
        <v>1.8291267039825994</v>
      </c>
      <c r="R12" s="35">
        <f t="shared" si="15"/>
        <v>0.69879905674007325</v>
      </c>
    </row>
    <row r="13" spans="1:18" ht="25.5" customHeight="1" thickBot="1">
      <c r="A13" s="34" t="s">
        <v>26</v>
      </c>
      <c r="B13" s="34">
        <v>30</v>
      </c>
      <c r="C13" s="34">
        <v>390</v>
      </c>
      <c r="D13" s="4">
        <v>85945.32</v>
      </c>
      <c r="E13" s="4">
        <f t="shared" si="1"/>
        <v>8594.5300000000007</v>
      </c>
      <c r="F13" s="34">
        <v>10</v>
      </c>
      <c r="G13" s="34">
        <f t="shared" si="11"/>
        <v>3259.8860024789615</v>
      </c>
      <c r="H13" s="4">
        <f t="shared" si="2"/>
        <v>17189.060000000001</v>
      </c>
      <c r="I13" s="4">
        <f t="shared" si="3"/>
        <v>8594.5300000000007</v>
      </c>
      <c r="J13" s="4">
        <f t="shared" si="0"/>
        <v>1655.7619729177691</v>
      </c>
      <c r="K13" s="4">
        <f t="shared" si="4"/>
        <v>111728.91</v>
      </c>
      <c r="L13" s="4">
        <f t="shared" si="16"/>
        <v>34.273870287192985</v>
      </c>
      <c r="M13" s="4">
        <f t="shared" si="17"/>
        <v>34.78179049411392</v>
      </c>
      <c r="N13" s="34">
        <f t="shared" si="12"/>
        <v>3.3601085089405437E-2</v>
      </c>
      <c r="O13" s="34"/>
      <c r="P13" s="4">
        <f t="shared" si="13"/>
        <v>23.728065932728644</v>
      </c>
      <c r="Q13" s="4">
        <f t="shared" si="14"/>
        <v>24.235986139649576</v>
      </c>
      <c r="R13" s="34">
        <f t="shared" si="15"/>
        <v>4.3838113487350575E-2</v>
      </c>
    </row>
    <row r="14" spans="1:18" ht="25.5" customHeight="1" thickBot="1">
      <c r="A14" s="35" t="s">
        <v>27</v>
      </c>
      <c r="B14" s="35">
        <v>55</v>
      </c>
      <c r="C14" s="35">
        <v>6105</v>
      </c>
      <c r="D14" s="3">
        <v>313750.03000000003</v>
      </c>
      <c r="E14" s="3">
        <f t="shared" si="1"/>
        <v>31375</v>
      </c>
      <c r="F14" s="35">
        <v>45</v>
      </c>
      <c r="G14" s="35">
        <f t="shared" si="11"/>
        <v>139676.31129126746</v>
      </c>
      <c r="H14" s="3">
        <f t="shared" si="2"/>
        <v>62750.01</v>
      </c>
      <c r="I14" s="3">
        <f t="shared" si="3"/>
        <v>31375</v>
      </c>
      <c r="J14" s="3">
        <f t="shared" si="0"/>
        <v>25919.043191443536</v>
      </c>
      <c r="K14" s="3">
        <f t="shared" si="4"/>
        <v>407875.04000000004</v>
      </c>
      <c r="L14" s="3">
        <f t="shared" si="16"/>
        <v>2.9201446990496258</v>
      </c>
      <c r="M14" s="3">
        <f t="shared" si="17"/>
        <v>3.1057097598092449</v>
      </c>
      <c r="N14" s="35">
        <f>IF(B14=0,0,(VLOOKUP($F14,AC,6)*$C14)/($K14+$J14))</f>
        <v>0.86223578864336459</v>
      </c>
      <c r="O14" s="35"/>
      <c r="P14" s="3">
        <f t="shared" si="13"/>
        <v>2.0216386543253027</v>
      </c>
      <c r="Q14" s="3">
        <f t="shared" si="14"/>
        <v>2.2072037150849222</v>
      </c>
      <c r="R14" s="35">
        <f t="shared" si="15"/>
        <v>1.1029397989966718</v>
      </c>
    </row>
    <row r="15" spans="1:18" ht="25.5" customHeight="1" thickBot="1">
      <c r="A15" s="34" t="s">
        <v>28</v>
      </c>
      <c r="B15" s="34">
        <v>1</v>
      </c>
      <c r="C15" s="34">
        <v>43</v>
      </c>
      <c r="D15" s="4">
        <v>12136.22</v>
      </c>
      <c r="E15" s="4">
        <f t="shared" si="1"/>
        <v>1213.6199999999999</v>
      </c>
      <c r="F15" s="34">
        <v>20</v>
      </c>
      <c r="G15" s="34">
        <f t="shared" ref="G15:G17" si="18">PV($B$23,F15,-C15)</f>
        <v>616.70027584401703</v>
      </c>
      <c r="H15" s="4">
        <f t="shared" si="2"/>
        <v>2427.2399999999998</v>
      </c>
      <c r="I15" s="4">
        <f t="shared" si="3"/>
        <v>1213.6199999999999</v>
      </c>
      <c r="J15" s="4">
        <f t="shared" si="0"/>
        <v>182.55837137298479</v>
      </c>
      <c r="K15" s="4">
        <f t="shared" si="4"/>
        <v>15777.079999999998</v>
      </c>
      <c r="L15" s="4">
        <f t="shared" si="16"/>
        <v>25.583059742283169</v>
      </c>
      <c r="M15" s="4">
        <f t="shared" si="17"/>
        <v>25.879084210770937</v>
      </c>
      <c r="N15" s="34">
        <f t="shared" si="12"/>
        <v>5.6957553708013933E-2</v>
      </c>
      <c r="O15" s="34"/>
      <c r="P15" s="4">
        <f t="shared" si="13"/>
        <v>17.711359031016016</v>
      </c>
      <c r="Q15" s="4">
        <f t="shared" si="14"/>
        <v>18.007383499503781</v>
      </c>
      <c r="R15" s="34">
        <f t="shared" si="15"/>
        <v>7.4414391230626403E-2</v>
      </c>
    </row>
    <row r="16" spans="1:18" ht="25.5" customHeight="1" thickBot="1">
      <c r="A16" s="35" t="s">
        <v>29</v>
      </c>
      <c r="B16" s="35">
        <v>1</v>
      </c>
      <c r="C16" s="35">
        <v>5</v>
      </c>
      <c r="D16" s="3">
        <v>17.07</v>
      </c>
      <c r="E16" s="3">
        <f t="shared" si="1"/>
        <v>1.71</v>
      </c>
      <c r="F16" s="35">
        <v>20</v>
      </c>
      <c r="G16" s="35">
        <f t="shared" si="18"/>
        <v>71.7093344004671</v>
      </c>
      <c r="H16" s="3">
        <f t="shared" si="2"/>
        <v>3.41</v>
      </c>
      <c r="I16" s="3">
        <f t="shared" si="3"/>
        <v>1.71</v>
      </c>
      <c r="J16" s="3">
        <f t="shared" si="0"/>
        <v>21.227717601509859</v>
      </c>
      <c r="K16" s="3">
        <f t="shared" si="4"/>
        <v>22.19</v>
      </c>
      <c r="L16" s="3">
        <f t="shared" si="16"/>
        <v>0.30944367543670104</v>
      </c>
      <c r="M16" s="3">
        <f t="shared" si="17"/>
        <v>0.60546814392446868</v>
      </c>
      <c r="N16" s="35">
        <f t="shared" si="12"/>
        <v>2.4344952639375883</v>
      </c>
      <c r="O16" s="35"/>
      <c r="P16" s="3">
        <f t="shared" si="13"/>
        <v>0.21419805564252939</v>
      </c>
      <c r="Q16" s="3">
        <f t="shared" si="14"/>
        <v>0.51022252413029701</v>
      </c>
      <c r="R16" s="35">
        <f t="shared" si="15"/>
        <v>2.6263216878873017</v>
      </c>
    </row>
    <row r="17" spans="1:18" ht="25.5" customHeight="1" thickBot="1">
      <c r="A17" s="34" t="s">
        <v>30</v>
      </c>
      <c r="B17" s="34">
        <v>1</v>
      </c>
      <c r="C17" s="34">
        <v>10</v>
      </c>
      <c r="D17" s="4">
        <v>48.72</v>
      </c>
      <c r="E17" s="4">
        <f t="shared" si="1"/>
        <v>4.87</v>
      </c>
      <c r="F17" s="34">
        <v>10</v>
      </c>
      <c r="G17" s="34">
        <f t="shared" si="18"/>
        <v>83.58682057638363</v>
      </c>
      <c r="H17" s="4">
        <f t="shared" si="2"/>
        <v>9.74</v>
      </c>
      <c r="I17" s="4">
        <f t="shared" si="3"/>
        <v>4.87</v>
      </c>
      <c r="J17" s="4">
        <f t="shared" si="0"/>
        <v>42.455435203019718</v>
      </c>
      <c r="K17" s="4">
        <f t="shared" si="4"/>
        <v>63.33</v>
      </c>
      <c r="L17" s="4">
        <f t="shared" si="16"/>
        <v>0.75765532847522932</v>
      </c>
      <c r="M17" s="4">
        <f t="shared" si="17"/>
        <v>1.2655755353961629</v>
      </c>
      <c r="N17" s="34">
        <f t="shared" si="12"/>
        <v>0.92345803886668465</v>
      </c>
      <c r="O17" s="34"/>
      <c r="P17" s="4">
        <f t="shared" si="13"/>
        <v>0.52460423422767744</v>
      </c>
      <c r="Q17" s="4">
        <f t="shared" si="14"/>
        <v>1.032524441148611</v>
      </c>
      <c r="R17" s="34">
        <f t="shared" si="15"/>
        <v>1.028992504706137</v>
      </c>
    </row>
    <row r="18" spans="1:18" ht="25.5" customHeight="1" thickBot="1">
      <c r="A18" s="35" t="s">
        <v>31</v>
      </c>
      <c r="B18" s="35">
        <v>2</v>
      </c>
      <c r="C18" s="35">
        <v>108</v>
      </c>
      <c r="D18" s="3">
        <v>14195.24</v>
      </c>
      <c r="E18" s="3">
        <f t="shared" si="1"/>
        <v>1419.52</v>
      </c>
      <c r="F18" s="35">
        <v>10</v>
      </c>
      <c r="G18" s="35">
        <f>PV($B$23,F18,-C18)</f>
        <v>902.73766222494316</v>
      </c>
      <c r="H18" s="3">
        <f t="shared" si="2"/>
        <v>2839.05</v>
      </c>
      <c r="I18" s="3">
        <f t="shared" si="3"/>
        <v>1419.52</v>
      </c>
      <c r="J18" s="3">
        <f>$B$24*(C18/$C$20)</f>
        <v>458.51870019261298</v>
      </c>
      <c r="K18" s="3">
        <f t="shared" si="4"/>
        <v>18453.810000000001</v>
      </c>
      <c r="L18" s="3">
        <f t="shared" si="16"/>
        <v>20.442051741275087</v>
      </c>
      <c r="M18" s="3">
        <f t="shared" si="17"/>
        <v>20.949971948196023</v>
      </c>
      <c r="N18" s="35">
        <f t="shared" si="12"/>
        <v>5.5785559276380375E-2</v>
      </c>
      <c r="O18" s="35"/>
      <c r="P18" s="3">
        <f t="shared" si="13"/>
        <v>14.152195631798687</v>
      </c>
      <c r="Q18" s="3">
        <f t="shared" si="14"/>
        <v>14.660115838719621</v>
      </c>
      <c r="R18" s="35">
        <f t="shared" si="15"/>
        <v>7.2472818261210034E-2</v>
      </c>
    </row>
    <row r="19" spans="1:18" ht="25.5" customHeight="1" thickBot="1">
      <c r="A19" s="34" t="s">
        <v>32</v>
      </c>
      <c r="B19" s="34">
        <v>2</v>
      </c>
      <c r="C19" s="34">
        <v>66</v>
      </c>
      <c r="D19" s="4">
        <v>6734.36</v>
      </c>
      <c r="E19" s="4">
        <f t="shared" si="1"/>
        <v>673.44</v>
      </c>
      <c r="F19" s="34">
        <v>16</v>
      </c>
      <c r="G19" s="34">
        <f>PV($B$23,F19,-C19)</f>
        <v>804.23947539955111</v>
      </c>
      <c r="H19" s="4">
        <f t="shared" si="2"/>
        <v>1346.87</v>
      </c>
      <c r="I19" s="4">
        <f t="shared" si="3"/>
        <v>673.44</v>
      </c>
      <c r="J19" s="4">
        <f>$B$24*(C19/$C$20)</f>
        <v>280.20587233993012</v>
      </c>
      <c r="K19" s="4">
        <f t="shared" si="4"/>
        <v>8754.67</v>
      </c>
      <c r="L19" s="4">
        <f t="shared" si="16"/>
        <v>10.885650689616581</v>
      </c>
      <c r="M19" s="4">
        <f t="shared" si="17"/>
        <v>11.234061680261775</v>
      </c>
      <c r="N19" s="34">
        <f t="shared" si="12"/>
        <v>0.11943996360508949</v>
      </c>
      <c r="O19" s="34"/>
      <c r="P19" s="4">
        <f t="shared" si="8"/>
        <v>7.5362130129075018</v>
      </c>
      <c r="Q19" s="4">
        <f t="shared" si="9"/>
        <v>7.8846240035526982</v>
      </c>
      <c r="R19" s="34">
        <f t="shared" si="10"/>
        <v>0.15470800770798301</v>
      </c>
    </row>
    <row r="20" spans="1:18" ht="15.75" thickBot="1">
      <c r="A20" s="33" t="s">
        <v>33</v>
      </c>
      <c r="B20" s="32">
        <f>SUM(B6:B19)</f>
        <v>276</v>
      </c>
      <c r="C20" s="36">
        <f>SUM(C6:C19)</f>
        <v>17524.258000000002</v>
      </c>
      <c r="D20" s="38">
        <f>SUM(D6:D19)</f>
        <v>886444.23</v>
      </c>
      <c r="E20" s="38">
        <f>SUM(E6:E19)</f>
        <v>88644.43</v>
      </c>
      <c r="F20" s="32">
        <f>SUMPRODUCT(C6:C19,F6:F19)/SUM(C6:C19)</f>
        <v>40.559826612915643</v>
      </c>
      <c r="G20" s="36">
        <f>SUM(G6:G19)</f>
        <v>371945.63990640256</v>
      </c>
      <c r="H20" s="37">
        <f>SUM(H6:H19)</f>
        <v>177288.81999999995</v>
      </c>
      <c r="I20" s="37">
        <f>SUM(I6:I19)</f>
        <v>88644.43</v>
      </c>
      <c r="J20" s="33">
        <f>B24</f>
        <v>74400</v>
      </c>
      <c r="K20" s="33">
        <f>SUM(K6:K19)</f>
        <v>1152377.4800000004</v>
      </c>
      <c r="L20" s="33">
        <f>K20/G20</f>
        <v>3.0982416685674496</v>
      </c>
      <c r="M20" s="33">
        <f>(K20+J20)/G20</f>
        <v>3.2982708986956002</v>
      </c>
      <c r="N20" s="32">
        <f t="shared" si="12"/>
        <v>0.73679589342631269</v>
      </c>
      <c r="O20" s="33"/>
      <c r="P20" s="33">
        <f>D20/G20</f>
        <v>2.3832628612693707</v>
      </c>
      <c r="Q20" s="33">
        <f>(D20+J20)/G20</f>
        <v>2.5832920913975213</v>
      </c>
      <c r="R20" s="32">
        <f>IF(B20=0,0,(VLOOKUP($F20,AC,4)*$C20)/($D20-$E20+$J20))</f>
        <v>0.94211587904919025</v>
      </c>
    </row>
    <row r="21" spans="1:18" ht="15.75" thickBot="1">
      <c r="A21" s="2" t="s">
        <v>34</v>
      </c>
      <c r="B21" s="40">
        <v>3.4000000000000002E-2</v>
      </c>
      <c r="C21" s="30"/>
      <c r="D21" s="31"/>
      <c r="F21" s="30"/>
      <c r="G21" s="23"/>
      <c r="H21" s="29"/>
      <c r="I21" s="29"/>
      <c r="J21" s="28"/>
    </row>
    <row r="22" spans="1:18" ht="16.5" thickBot="1">
      <c r="A22" s="2" t="s">
        <v>35</v>
      </c>
      <c r="B22" s="40">
        <v>0.02</v>
      </c>
      <c r="C22" s="27"/>
      <c r="D22" s="26"/>
      <c r="E22" s="23"/>
      <c r="F22" s="25"/>
      <c r="G22" s="25"/>
      <c r="H22" s="25"/>
      <c r="I22" s="25"/>
      <c r="J22" s="24"/>
      <c r="K22" s="20"/>
      <c r="L22" s="20"/>
    </row>
    <row r="23" spans="1:18" ht="16.5" thickBot="1">
      <c r="A23" s="2" t="s">
        <v>36</v>
      </c>
      <c r="B23" s="40">
        <v>3.4000000000000002E-2</v>
      </c>
      <c r="C23" s="21"/>
      <c r="D23" s="21"/>
      <c r="F23" s="21"/>
      <c r="G23" s="21"/>
      <c r="H23" s="21"/>
      <c r="I23" s="21"/>
      <c r="J23" s="21"/>
      <c r="K23" s="20"/>
      <c r="L23" s="20"/>
    </row>
    <row r="24" spans="1:18" ht="15.75" thickBot="1">
      <c r="A24" s="2" t="s">
        <v>37</v>
      </c>
      <c r="B24" s="41">
        <v>74400</v>
      </c>
      <c r="C24" s="19"/>
      <c r="D24" s="18"/>
    </row>
    <row r="25" spans="1:18" ht="15.75" thickBot="1">
      <c r="A25" s="2" t="s">
        <v>38</v>
      </c>
      <c r="B25" s="41">
        <f>SUM(H6:H19)</f>
        <v>177288.81999999995</v>
      </c>
      <c r="C25" s="15"/>
      <c r="D25" s="16"/>
      <c r="H25" s="16"/>
      <c r="I25" s="16"/>
      <c r="J25" s="15"/>
      <c r="L25" s="16"/>
      <c r="M25" s="15"/>
      <c r="N25" s="16"/>
      <c r="P25" s="15"/>
    </row>
    <row r="26" spans="1:18" ht="15.75" thickBot="1">
      <c r="A26" s="2" t="s">
        <v>39</v>
      </c>
      <c r="B26" s="41">
        <f>SUM(I6:I19)</f>
        <v>88644.43</v>
      </c>
      <c r="C26" s="15"/>
      <c r="D26" s="16"/>
      <c r="H26" s="16"/>
      <c r="I26" s="16"/>
      <c r="J26" s="15"/>
      <c r="L26" s="16"/>
      <c r="M26" s="15"/>
      <c r="N26" s="16"/>
      <c r="P26" s="15"/>
    </row>
  </sheetData>
  <mergeCells count="4">
    <mergeCell ref="A1:Q1"/>
    <mergeCell ref="A2:Q2"/>
    <mergeCell ref="A3:Q3"/>
    <mergeCell ref="A4: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E9E3E-F7B0-420D-9F14-BEADFB1926C5}">
  <dimension ref="A1:R36"/>
  <sheetViews>
    <sheetView topLeftCell="B1" zoomScaleNormal="100" workbookViewId="0">
      <pane ySplit="5" topLeftCell="A7" activePane="bottomLeft" state="frozen"/>
      <selection pane="bottomLeft" activeCell="F13" sqref="F13"/>
    </sheetView>
  </sheetViews>
  <sheetFormatPr defaultColWidth="18.33203125" defaultRowHeight="12.75"/>
  <cols>
    <col min="1" max="1" width="50.1640625" style="15" bestFit="1" customWidth="1"/>
    <col min="2" max="2" width="18.1640625" style="15" bestFit="1" customWidth="1"/>
    <col min="3" max="3" width="20" style="16" bestFit="1" customWidth="1"/>
    <col min="4" max="4" width="17" style="15" customWidth="1"/>
    <col min="5" max="5" width="16" style="16" customWidth="1"/>
    <col min="6" max="6" width="16" style="15" customWidth="1"/>
    <col min="7" max="7" width="17.5" style="15" bestFit="1" customWidth="1"/>
    <col min="8" max="8" width="24.1640625" style="15" bestFit="1" customWidth="1"/>
    <col min="9" max="9" width="21.1640625" style="15" customWidth="1"/>
    <col min="10" max="10" width="20.33203125" style="16" bestFit="1" customWidth="1"/>
    <col min="11" max="11" width="25" style="15" bestFit="1" customWidth="1"/>
    <col min="12" max="12" width="17" style="15" bestFit="1" customWidth="1"/>
    <col min="13" max="13" width="21" style="16" bestFit="1" customWidth="1"/>
    <col min="14" max="14" width="13.6640625" style="15" customWidth="1"/>
    <col min="15" max="15" width="3.1640625" style="16" customWidth="1"/>
    <col min="16" max="16" width="21.83203125" style="16" bestFit="1" customWidth="1"/>
    <col min="17" max="17" width="22.6640625" style="15" bestFit="1" customWidth="1"/>
    <col min="18" max="18" width="13.6640625" style="15" customWidth="1"/>
    <col min="19" max="16384" width="18.33203125" style="15"/>
  </cols>
  <sheetData>
    <row r="1" spans="1:18">
      <c r="A1" s="42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8">
      <c r="A2" s="42" t="s">
        <v>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8">
      <c r="A3" s="43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8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18" s="23" customFormat="1" ht="57" customHeight="1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41</v>
      </c>
      <c r="I5" s="1" t="s">
        <v>11</v>
      </c>
      <c r="J5" s="1" t="s">
        <v>12</v>
      </c>
      <c r="K5" s="1" t="s">
        <v>13</v>
      </c>
      <c r="L5" s="1" t="s">
        <v>14</v>
      </c>
      <c r="M5" s="1" t="s">
        <v>15</v>
      </c>
      <c r="N5" s="1" t="s">
        <v>16</v>
      </c>
      <c r="O5" s="1"/>
      <c r="P5" s="1" t="s">
        <v>17</v>
      </c>
      <c r="Q5" s="1" t="s">
        <v>18</v>
      </c>
      <c r="R5" s="1" t="s">
        <v>16</v>
      </c>
    </row>
    <row r="6" spans="1:18" s="23" customFormat="1" ht="25.5" customHeight="1" thickBot="1">
      <c r="A6" s="35" t="s">
        <v>19</v>
      </c>
      <c r="B6" s="35">
        <v>14</v>
      </c>
      <c r="C6" s="35">
        <v>1268.0800000000002</v>
      </c>
      <c r="D6" s="3">
        <v>46661.49</v>
      </c>
      <c r="E6" s="3">
        <f>ROUND(0.1*D6,2)</f>
        <v>4666.1499999999996</v>
      </c>
      <c r="F6" s="35">
        <v>45</v>
      </c>
      <c r="G6" s="35">
        <f t="shared" ref="G6:G16" si="0">PV($B$32,F6,-C6)</f>
        <v>29012.405703887056</v>
      </c>
      <c r="H6" s="3">
        <f>ROUND(D6*0.15,2)</f>
        <v>6999.22</v>
      </c>
      <c r="I6" s="3">
        <f>ROUND(D6*0.1,2)</f>
        <v>4666.1499999999996</v>
      </c>
      <c r="J6" s="3">
        <f t="shared" ref="J6:J16" si="1">$B$33*(C6/$C$29)</f>
        <v>5296.9819663493981</v>
      </c>
      <c r="K6" s="3">
        <f t="shared" ref="K6:K16" si="2">D6+H6+I6</f>
        <v>58326.86</v>
      </c>
      <c r="L6" s="3">
        <f t="shared" ref="L6:L16" si="3">IF(ISERROR(K6/G6),0,K6/G6)</f>
        <v>2.0104110150433137</v>
      </c>
      <c r="M6" s="3">
        <f>IFERROR((K6+J6)/G6,0)</f>
        <v>2.1929874625262507</v>
      </c>
      <c r="N6" s="35">
        <f t="shared" ref="N6:N16" si="4">IF(B6=0,0,(VLOOKUP($F6,AC,6)*$C6)/($K6+$J6))</f>
        <v>1.22109868378441</v>
      </c>
      <c r="O6" s="35"/>
      <c r="P6" s="3">
        <f t="shared" ref="P6:P16" si="5">IF(ISERROR((D6-E6)/G6),0,(D6-E6)/G6)</f>
        <v>1.4474959584055969</v>
      </c>
      <c r="Q6" s="3">
        <f t="shared" ref="Q6:Q16" si="6">IF(B6=0,0,((D6-E6+J6)/G6))</f>
        <v>1.6300724058885339</v>
      </c>
      <c r="R6" s="35">
        <f t="shared" ref="R6:R28" si="7">IF(B6=0,0,(VLOOKUP($F6,AC,4)*$C6)/($D6-$E6+$J6))</f>
        <v>1.4934384589704774</v>
      </c>
    </row>
    <row r="7" spans="1:18" s="23" customFormat="1" ht="25.5" customHeight="1" thickBot="1">
      <c r="A7" s="34" t="s">
        <v>20</v>
      </c>
      <c r="B7" s="34">
        <v>15</v>
      </c>
      <c r="C7" s="34">
        <v>1028.8699999999999</v>
      </c>
      <c r="D7" s="4">
        <v>51717.099999999991</v>
      </c>
      <c r="E7" s="4">
        <f t="shared" ref="E7:E16" si="8">ROUND(0.1*D7,2)</f>
        <v>5171.71</v>
      </c>
      <c r="F7" s="34">
        <v>45</v>
      </c>
      <c r="G7" s="34">
        <f t="shared" si="0"/>
        <v>23539.519475552224</v>
      </c>
      <c r="H7" s="4">
        <f t="shared" ref="H7:H16" si="9">ROUND(D7*0.15,2)</f>
        <v>7757.57</v>
      </c>
      <c r="I7" s="4">
        <f t="shared" ref="I7:I16" si="10">ROUND(D7*0.1,2)</f>
        <v>5171.71</v>
      </c>
      <c r="J7" s="4">
        <f t="shared" si="1"/>
        <v>4297.7618413017353</v>
      </c>
      <c r="K7" s="4">
        <f t="shared" si="2"/>
        <v>64646.37999999999</v>
      </c>
      <c r="L7" s="4">
        <f t="shared" si="3"/>
        <v>2.7462914044248317</v>
      </c>
      <c r="M7" s="4">
        <f t="shared" ref="M7:M16" si="11">IFERROR((K7+J7)/G7,0)</f>
        <v>2.9288678519077687</v>
      </c>
      <c r="N7" s="34">
        <f t="shared" si="4"/>
        <v>0.9142966632319216</v>
      </c>
      <c r="O7" s="34"/>
      <c r="P7" s="4">
        <f t="shared" si="5"/>
        <v>1.9773296582515758</v>
      </c>
      <c r="Q7" s="4">
        <f t="shared" si="6"/>
        <v>2.1599061057345126</v>
      </c>
      <c r="R7" s="34">
        <f t="shared" si="7"/>
        <v>1.1270919672837387</v>
      </c>
    </row>
    <row r="8" spans="1:18" ht="25.5" customHeight="1" thickBot="1">
      <c r="A8" s="35" t="s">
        <v>21</v>
      </c>
      <c r="B8" s="35">
        <v>13</v>
      </c>
      <c r="C8" s="35">
        <v>500.81</v>
      </c>
      <c r="D8" s="3">
        <v>37803.67</v>
      </c>
      <c r="E8" s="3">
        <f t="shared" si="8"/>
        <v>3780.37</v>
      </c>
      <c r="F8" s="35">
        <v>45</v>
      </c>
      <c r="G8" s="35">
        <f t="shared" si="0"/>
        <v>11458.033326417633</v>
      </c>
      <c r="H8" s="3">
        <f t="shared" si="9"/>
        <v>5670.55</v>
      </c>
      <c r="I8" s="3">
        <f t="shared" si="10"/>
        <v>3780.37</v>
      </c>
      <c r="J8" s="3">
        <f t="shared" si="1"/>
        <v>2091.967019878432</v>
      </c>
      <c r="K8" s="3">
        <f t="shared" si="2"/>
        <v>47254.590000000004</v>
      </c>
      <c r="L8" s="3">
        <f t="shared" si="3"/>
        <v>4.1241449255562781</v>
      </c>
      <c r="M8" s="3">
        <f t="shared" si="11"/>
        <v>4.3067213730392151</v>
      </c>
      <c r="N8" s="35">
        <f t="shared" si="4"/>
        <v>0.62178485025995101</v>
      </c>
      <c r="O8" s="35"/>
      <c r="P8" s="3">
        <f t="shared" si="5"/>
        <v>2.9693839274804605</v>
      </c>
      <c r="Q8" s="3">
        <f t="shared" si="6"/>
        <v>3.1519603749633971</v>
      </c>
      <c r="R8" s="35">
        <f t="shared" si="7"/>
        <v>0.77234880273161466</v>
      </c>
    </row>
    <row r="9" spans="1:18" ht="25.5" customHeight="1" thickBot="1">
      <c r="A9" s="34" t="s">
        <v>22</v>
      </c>
      <c r="B9" s="34">
        <v>11</v>
      </c>
      <c r="C9" s="34">
        <v>217.45999999999998</v>
      </c>
      <c r="D9" s="4">
        <v>19626.170000000002</v>
      </c>
      <c r="E9" s="4">
        <f t="shared" si="8"/>
        <v>1962.62</v>
      </c>
      <c r="F9" s="34">
        <v>13</v>
      </c>
      <c r="G9" s="34">
        <f t="shared" si="0"/>
        <v>2254.6131490905445</v>
      </c>
      <c r="H9" s="4">
        <f t="shared" si="9"/>
        <v>2943.93</v>
      </c>
      <c r="I9" s="4">
        <f t="shared" si="10"/>
        <v>1962.62</v>
      </c>
      <c r="J9" s="4">
        <f t="shared" si="1"/>
        <v>908.36674216322308</v>
      </c>
      <c r="K9" s="4">
        <f t="shared" si="2"/>
        <v>24532.720000000001</v>
      </c>
      <c r="L9" s="4">
        <f t="shared" si="3"/>
        <v>10.881121672645214</v>
      </c>
      <c r="M9" s="4">
        <f t="shared" si="11"/>
        <v>11.284014178851717</v>
      </c>
      <c r="N9" s="34">
        <f t="shared" si="4"/>
        <v>0.11103600141434793</v>
      </c>
      <c r="O9" s="34"/>
      <c r="P9" s="4">
        <f t="shared" si="5"/>
        <v>7.8344038786099706</v>
      </c>
      <c r="Q9" s="4">
        <f t="shared" si="6"/>
        <v>8.2372963848164726</v>
      </c>
      <c r="R9" s="34">
        <f t="shared" si="7"/>
        <v>0.13827703519456916</v>
      </c>
    </row>
    <row r="10" spans="1:18" ht="25.5" customHeight="1" thickBot="1">
      <c r="A10" s="34" t="s">
        <v>23</v>
      </c>
      <c r="B10" s="34">
        <v>1</v>
      </c>
      <c r="C10" s="34">
        <v>21</v>
      </c>
      <c r="D10" s="4">
        <v>677.68000000000006</v>
      </c>
      <c r="E10" s="4">
        <f t="shared" si="8"/>
        <v>67.77</v>
      </c>
      <c r="F10" s="34">
        <v>18</v>
      </c>
      <c r="G10" s="34">
        <f t="shared" si="0"/>
        <v>279.2935535471164</v>
      </c>
      <c r="H10" s="4">
        <f t="shared" si="9"/>
        <v>101.65</v>
      </c>
      <c r="I10" s="4">
        <f t="shared" si="10"/>
        <v>67.77</v>
      </c>
      <c r="J10" s="4">
        <f t="shared" si="1"/>
        <v>87.720507612561775</v>
      </c>
      <c r="K10" s="4">
        <f t="shared" si="2"/>
        <v>847.1</v>
      </c>
      <c r="L10" s="4">
        <f t="shared" si="3"/>
        <v>3.0330094957136042</v>
      </c>
      <c r="M10" s="4">
        <f t="shared" si="11"/>
        <v>3.3470894538740543</v>
      </c>
      <c r="N10" s="34">
        <f t="shared" si="4"/>
        <v>0.42006980581706843</v>
      </c>
      <c r="O10" s="34"/>
      <c r="P10" s="4">
        <f t="shared" si="5"/>
        <v>2.1837596759894753</v>
      </c>
      <c r="Q10" s="4">
        <f t="shared" si="6"/>
        <v>2.4978396341499254</v>
      </c>
      <c r="R10" s="34">
        <f t="shared" si="7"/>
        <v>0.51171900626683697</v>
      </c>
    </row>
    <row r="11" spans="1:18" ht="25.5" customHeight="1" thickBot="1">
      <c r="A11" s="35" t="s">
        <v>25</v>
      </c>
      <c r="B11" s="35">
        <v>8</v>
      </c>
      <c r="C11" s="35">
        <v>616</v>
      </c>
      <c r="D11" s="3">
        <v>6168.09</v>
      </c>
      <c r="E11" s="3">
        <f t="shared" si="8"/>
        <v>616.80999999999995</v>
      </c>
      <c r="F11" s="35">
        <v>18</v>
      </c>
      <c r="G11" s="35">
        <f t="shared" si="0"/>
        <v>8192.6109040487463</v>
      </c>
      <c r="H11" s="3">
        <f t="shared" si="9"/>
        <v>925.21</v>
      </c>
      <c r="I11" s="3">
        <f t="shared" si="10"/>
        <v>616.80999999999995</v>
      </c>
      <c r="J11" s="3">
        <f t="shared" si="1"/>
        <v>2573.134889968479</v>
      </c>
      <c r="K11" s="3">
        <f t="shared" si="2"/>
        <v>7710.1100000000006</v>
      </c>
      <c r="L11" s="3">
        <f t="shared" si="3"/>
        <v>0.94110535582615107</v>
      </c>
      <c r="M11" s="3">
        <f t="shared" si="11"/>
        <v>1.2551853139866012</v>
      </c>
      <c r="N11" s="35">
        <f t="shared" si="4"/>
        <v>1.1201622591293643</v>
      </c>
      <c r="O11" s="35"/>
      <c r="P11" s="3">
        <f t="shared" si="5"/>
        <v>0.67759595384379678</v>
      </c>
      <c r="Q11" s="3">
        <f t="shared" si="6"/>
        <v>0.9916759120042471</v>
      </c>
      <c r="R11" s="35">
        <f t="shared" si="7"/>
        <v>1.2889211081247334</v>
      </c>
    </row>
    <row r="12" spans="1:18" ht="25.5" customHeight="1" thickBot="1">
      <c r="A12" s="34" t="s">
        <v>26</v>
      </c>
      <c r="B12" s="34">
        <v>19</v>
      </c>
      <c r="C12" s="34">
        <v>247</v>
      </c>
      <c r="D12" s="4">
        <v>45732.619999999981</v>
      </c>
      <c r="E12" s="4">
        <f t="shared" si="8"/>
        <v>4573.26</v>
      </c>
      <c r="F12" s="34">
        <v>10</v>
      </c>
      <c r="G12" s="34">
        <f t="shared" si="0"/>
        <v>2064.5944682366758</v>
      </c>
      <c r="H12" s="4">
        <f t="shared" si="9"/>
        <v>6859.89</v>
      </c>
      <c r="I12" s="4">
        <f t="shared" si="10"/>
        <v>4573.26</v>
      </c>
      <c r="J12" s="4">
        <f t="shared" si="1"/>
        <v>1031.7602562048933</v>
      </c>
      <c r="K12" s="4">
        <f t="shared" si="2"/>
        <v>57165.769999999982</v>
      </c>
      <c r="L12" s="4">
        <f t="shared" si="3"/>
        <v>27.688619183807074</v>
      </c>
      <c r="M12" s="4">
        <f t="shared" si="11"/>
        <v>28.188359094999459</v>
      </c>
      <c r="N12" s="34">
        <f t="shared" si="4"/>
        <v>4.1460586549783247E-2</v>
      </c>
      <c r="O12" s="34"/>
      <c r="P12" s="4">
        <f t="shared" si="5"/>
        <v>19.935808524738164</v>
      </c>
      <c r="Q12" s="4">
        <f t="shared" si="6"/>
        <v>20.435548435930553</v>
      </c>
      <c r="R12" s="34">
        <f t="shared" si="7"/>
        <v>5.1990770602454515E-2</v>
      </c>
    </row>
    <row r="13" spans="1:18" ht="25.5" customHeight="1" thickBot="1">
      <c r="A13" s="35" t="s">
        <v>27</v>
      </c>
      <c r="B13" s="35">
        <v>6</v>
      </c>
      <c r="C13" s="35">
        <v>666</v>
      </c>
      <c r="D13" s="3">
        <v>37844.910000000003</v>
      </c>
      <c r="E13" s="3">
        <f t="shared" si="8"/>
        <v>3784.49</v>
      </c>
      <c r="F13" s="35">
        <v>45</v>
      </c>
      <c r="G13" s="35">
        <f t="shared" si="0"/>
        <v>15237.415777229178</v>
      </c>
      <c r="H13" s="3">
        <f t="shared" si="9"/>
        <v>5676.74</v>
      </c>
      <c r="I13" s="3">
        <f t="shared" si="10"/>
        <v>3784.49</v>
      </c>
      <c r="J13" s="3">
        <f t="shared" si="1"/>
        <v>2781.9932414269592</v>
      </c>
      <c r="K13" s="3">
        <f t="shared" si="2"/>
        <v>47306.14</v>
      </c>
      <c r="L13" s="3">
        <f t="shared" si="3"/>
        <v>3.1046038706047767</v>
      </c>
      <c r="M13" s="3">
        <f t="shared" si="11"/>
        <v>3.2871803180877137</v>
      </c>
      <c r="N13" s="35">
        <f t="shared" si="4"/>
        <v>0.81463559796571638</v>
      </c>
      <c r="O13" s="35"/>
      <c r="P13" s="3">
        <f t="shared" si="5"/>
        <v>2.2353147343330986</v>
      </c>
      <c r="Q13" s="3">
        <f t="shared" si="6"/>
        <v>2.4178911818160356</v>
      </c>
      <c r="R13" s="35">
        <f t="shared" si="7"/>
        <v>1.0068330784150619</v>
      </c>
    </row>
    <row r="14" spans="1:18" ht="25.5" customHeight="1" thickBot="1">
      <c r="A14" s="35" t="s">
        <v>29</v>
      </c>
      <c r="B14" s="35">
        <v>1</v>
      </c>
      <c r="C14" s="35">
        <v>5</v>
      </c>
      <c r="D14" s="3">
        <v>3.44</v>
      </c>
      <c r="E14" s="3">
        <f t="shared" si="8"/>
        <v>0.34</v>
      </c>
      <c r="F14" s="35">
        <v>20</v>
      </c>
      <c r="G14" s="35">
        <f t="shared" si="0"/>
        <v>71.7093344004671</v>
      </c>
      <c r="H14" s="3">
        <f t="shared" si="9"/>
        <v>0.52</v>
      </c>
      <c r="I14" s="3">
        <f t="shared" si="10"/>
        <v>0.34</v>
      </c>
      <c r="J14" s="3">
        <f t="shared" si="1"/>
        <v>20.885835145848045</v>
      </c>
      <c r="K14" s="3">
        <f t="shared" si="2"/>
        <v>4.3</v>
      </c>
      <c r="L14" s="3">
        <f t="shared" si="3"/>
        <v>5.996429943117685E-2</v>
      </c>
      <c r="M14" s="3">
        <f t="shared" si="11"/>
        <v>0.35122115351392791</v>
      </c>
      <c r="N14" s="35">
        <f t="shared" si="4"/>
        <v>4.1968125043207234</v>
      </c>
      <c r="O14" s="35"/>
      <c r="P14" s="3">
        <f t="shared" si="5"/>
        <v>4.3230076334104243E-2</v>
      </c>
      <c r="Q14" s="3">
        <f t="shared" si="6"/>
        <v>0.33448693041685529</v>
      </c>
      <c r="R14" s="35">
        <f t="shared" si="7"/>
        <v>4.006160955532736</v>
      </c>
    </row>
    <row r="15" spans="1:18" ht="25.5" customHeight="1" thickBot="1">
      <c r="A15" s="35" t="s">
        <v>31</v>
      </c>
      <c r="B15" s="35">
        <v>3</v>
      </c>
      <c r="C15" s="35">
        <v>162</v>
      </c>
      <c r="D15" s="3">
        <v>15908.599999999999</v>
      </c>
      <c r="E15" s="3">
        <f t="shared" si="8"/>
        <v>1590.86</v>
      </c>
      <c r="F15" s="35">
        <v>10</v>
      </c>
      <c r="G15" s="35">
        <f t="shared" si="0"/>
        <v>1354.1064933374146</v>
      </c>
      <c r="H15" s="3">
        <f t="shared" si="9"/>
        <v>2386.29</v>
      </c>
      <c r="I15" s="3">
        <f t="shared" si="10"/>
        <v>1590.86</v>
      </c>
      <c r="J15" s="3">
        <f t="shared" si="1"/>
        <v>676.70105872547663</v>
      </c>
      <c r="K15" s="3">
        <f t="shared" si="2"/>
        <v>19885.75</v>
      </c>
      <c r="L15" s="3">
        <f t="shared" si="3"/>
        <v>14.68551409940318</v>
      </c>
      <c r="M15" s="3">
        <f t="shared" si="11"/>
        <v>15.185254010595569</v>
      </c>
      <c r="N15" s="35">
        <f t="shared" si="4"/>
        <v>7.6963210568563839E-2</v>
      </c>
      <c r="O15" s="35"/>
      <c r="P15" s="3">
        <f t="shared" si="5"/>
        <v>10.573570151570289</v>
      </c>
      <c r="Q15" s="3">
        <f t="shared" si="6"/>
        <v>11.073310062762678</v>
      </c>
      <c r="R15" s="35">
        <f t="shared" si="7"/>
        <v>9.5947815499238448E-2</v>
      </c>
    </row>
    <row r="16" spans="1:18" ht="25.5" customHeight="1" thickBot="1">
      <c r="A16" s="34" t="s">
        <v>32</v>
      </c>
      <c r="B16" s="34">
        <v>1</v>
      </c>
      <c r="C16" s="34">
        <v>33</v>
      </c>
      <c r="D16" s="4">
        <v>6558.71</v>
      </c>
      <c r="E16" s="4">
        <f t="shared" si="8"/>
        <v>655.87</v>
      </c>
      <c r="F16" s="34">
        <v>16</v>
      </c>
      <c r="G16" s="34">
        <f t="shared" si="0"/>
        <v>402.11973769977556</v>
      </c>
      <c r="H16" s="4">
        <f t="shared" si="9"/>
        <v>983.81</v>
      </c>
      <c r="I16" s="4">
        <f t="shared" si="10"/>
        <v>655.87</v>
      </c>
      <c r="J16" s="4">
        <f t="shared" si="1"/>
        <v>137.84651196259708</v>
      </c>
      <c r="K16" s="4">
        <f t="shared" si="2"/>
        <v>8198.3900000000012</v>
      </c>
      <c r="L16" s="4">
        <f t="shared" si="3"/>
        <v>20.387932328059353</v>
      </c>
      <c r="M16" s="4">
        <f t="shared" si="11"/>
        <v>20.73073199452465</v>
      </c>
      <c r="N16" s="34">
        <f t="shared" si="4"/>
        <v>6.4724965745647026E-2</v>
      </c>
      <c r="O16" s="34"/>
      <c r="P16" s="4">
        <f t="shared" si="5"/>
        <v>14.67930928674555</v>
      </c>
      <c r="Q16" s="4">
        <f t="shared" si="6"/>
        <v>15.02210895321085</v>
      </c>
      <c r="R16" s="34">
        <f t="shared" si="7"/>
        <v>8.1201279721477032E-2</v>
      </c>
    </row>
    <row r="17" spans="1:18" ht="39" thickBot="1">
      <c r="A17" s="1"/>
      <c r="B17" s="1"/>
      <c r="C17" s="1"/>
      <c r="D17" s="39"/>
      <c r="E17" s="39"/>
      <c r="F17" s="1"/>
      <c r="G17" s="1"/>
      <c r="H17" s="1" t="s">
        <v>10</v>
      </c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25.5" customHeight="1" thickBot="1">
      <c r="A18" s="35" t="s">
        <v>19</v>
      </c>
      <c r="B18" s="35">
        <v>8</v>
      </c>
      <c r="C18" s="35">
        <v>1007.5119999999999</v>
      </c>
      <c r="D18" s="3">
        <v>22941.1</v>
      </c>
      <c r="E18" s="3">
        <f>ROUND(0.1*D18,2)</f>
        <v>2294.11</v>
      </c>
      <c r="F18" s="35">
        <v>45</v>
      </c>
      <c r="G18" s="35">
        <f t="shared" ref="G18:G28" si="12">PV($B$32,F18,-C18)</f>
        <v>23050.869736558139</v>
      </c>
      <c r="H18" s="3">
        <f>ROUND(D18*0.2,2)</f>
        <v>4588.22</v>
      </c>
      <c r="I18" s="3">
        <f>ROUND(D18*0.1,2)</f>
        <v>2294.11</v>
      </c>
      <c r="J18" s="3">
        <f t="shared" ref="J18:J28" si="13">$B$33*(C18/$C$29)</f>
        <v>4208.5459078927306</v>
      </c>
      <c r="K18" s="3">
        <f>D18+H18+I18</f>
        <v>29823.43</v>
      </c>
      <c r="L18" s="3">
        <f>IF(ISERROR(K18/G18),0,K18/G18)</f>
        <v>1.2938093156936608</v>
      </c>
      <c r="M18" s="3">
        <f>IFERROR((K18+J18)/G18,0)</f>
        <v>1.4763857631765978</v>
      </c>
      <c r="N18" s="35">
        <f t="shared" ref="N18:N28" si="14">IF(B6=0,0,(VLOOKUP($F6,AC,6)*$C6)/($K18+$J18))</f>
        <v>2.2828821309901781</v>
      </c>
      <c r="O18" s="35"/>
      <c r="P18" s="3">
        <f>IF(ISERROR((D18-E18)/G18),0,(D18-E18)/G18)</f>
        <v>0.8957141416340727</v>
      </c>
      <c r="Q18" s="3">
        <f>IF(B18=0,0,((D18-E18+J18)/G18))</f>
        <v>1.0782905891170098</v>
      </c>
      <c r="R18" s="35">
        <f t="shared" si="7"/>
        <v>2.2576593419534174</v>
      </c>
    </row>
    <row r="19" spans="1:18" ht="27" customHeight="1" thickBot="1">
      <c r="A19" s="34" t="s">
        <v>20</v>
      </c>
      <c r="B19" s="34">
        <v>4</v>
      </c>
      <c r="C19" s="34">
        <v>240.27799999999996</v>
      </c>
      <c r="D19" s="4">
        <v>11126.26</v>
      </c>
      <c r="E19" s="4">
        <f t="shared" ref="E19:E27" si="15">ROUND(0.1*D19,2)</f>
        <v>1112.6300000000001</v>
      </c>
      <c r="F19" s="34">
        <v>45</v>
      </c>
      <c r="G19" s="34">
        <f t="shared" si="12"/>
        <v>5497.321003184793</v>
      </c>
      <c r="H19" s="4">
        <f t="shared" ref="H19:H28" si="16">ROUND(D19*0.2,2)</f>
        <v>2225.25</v>
      </c>
      <c r="I19" s="4">
        <f t="shared" ref="I19:I28" si="17">ROUND(D19*0.1,2)</f>
        <v>1112.6300000000001</v>
      </c>
      <c r="J19" s="4">
        <f t="shared" si="13"/>
        <v>1003.6813394348151</v>
      </c>
      <c r="K19" s="4">
        <f t="shared" ref="K19:K28" si="18">D19+H19+I19</f>
        <v>14464.14</v>
      </c>
      <c r="L19" s="4">
        <f t="shared" ref="L19:L28" si="19">IF(ISERROR(K19/G19),0,K19/G19)</f>
        <v>2.6311252320212719</v>
      </c>
      <c r="M19" s="4">
        <f t="shared" ref="M19:M28" si="20">IFERROR((K19+J19)/G19,0)</f>
        <v>2.8137016795042089</v>
      </c>
      <c r="N19" s="34">
        <f t="shared" si="14"/>
        <v>4.0752603389711606</v>
      </c>
      <c r="O19" s="34"/>
      <c r="P19" s="4">
        <f t="shared" ref="P19:P28" si="21">IF(ISERROR((D19-E19)/G19),0,(D19-E19)/G19)</f>
        <v>1.8215472580551053</v>
      </c>
      <c r="Q19" s="4">
        <f t="shared" ref="Q19:Q28" si="22">IF(B19=0,0,((D19-E19+J19)/G19))</f>
        <v>2.0041237055380425</v>
      </c>
      <c r="R19" s="34">
        <f t="shared" si="7"/>
        <v>1.2147018745067484</v>
      </c>
    </row>
    <row r="20" spans="1:18" s="23" customFormat="1" ht="27" customHeight="1" thickBot="1">
      <c r="A20" s="35" t="s">
        <v>21</v>
      </c>
      <c r="B20" s="35">
        <v>6</v>
      </c>
      <c r="C20" s="35">
        <v>406.74400000000003</v>
      </c>
      <c r="D20" s="3">
        <v>33618.79</v>
      </c>
      <c r="E20" s="3">
        <f t="shared" si="15"/>
        <v>3361.88</v>
      </c>
      <c r="F20" s="35">
        <v>45</v>
      </c>
      <c r="G20" s="35">
        <f t="shared" si="12"/>
        <v>9305.8970614013579</v>
      </c>
      <c r="H20" s="3">
        <f t="shared" si="16"/>
        <v>6723.76</v>
      </c>
      <c r="I20" s="3">
        <f t="shared" si="17"/>
        <v>3361.88</v>
      </c>
      <c r="J20" s="3">
        <f t="shared" si="13"/>
        <v>1699.0376261125634</v>
      </c>
      <c r="K20" s="3">
        <f t="shared" si="18"/>
        <v>43704.43</v>
      </c>
      <c r="L20" s="3">
        <f t="shared" si="19"/>
        <v>4.6964231080177701</v>
      </c>
      <c r="M20" s="3">
        <f t="shared" si="20"/>
        <v>4.8789995555007071</v>
      </c>
      <c r="N20" s="35">
        <f t="shared" si="14"/>
        <v>0.67578410134037403</v>
      </c>
      <c r="O20" s="35"/>
      <c r="P20" s="3">
        <f t="shared" si="21"/>
        <v>3.2513695133700167</v>
      </c>
      <c r="Q20" s="3">
        <f t="shared" si="22"/>
        <v>3.4339459608529537</v>
      </c>
      <c r="R20" s="35">
        <f t="shared" si="7"/>
        <v>0.70892578089836644</v>
      </c>
    </row>
    <row r="21" spans="1:18" ht="27" customHeight="1" thickBot="1">
      <c r="A21" s="34" t="s">
        <v>22</v>
      </c>
      <c r="B21" s="34">
        <v>7</v>
      </c>
      <c r="C21" s="34">
        <v>100.63999999999999</v>
      </c>
      <c r="D21" s="4">
        <v>6603.87</v>
      </c>
      <c r="E21" s="4">
        <f t="shared" si="15"/>
        <v>660.39</v>
      </c>
      <c r="F21" s="34">
        <v>13</v>
      </c>
      <c r="G21" s="34">
        <f t="shared" si="12"/>
        <v>1043.4299058423267</v>
      </c>
      <c r="H21" s="4">
        <f t="shared" si="16"/>
        <v>1320.77</v>
      </c>
      <c r="I21" s="4">
        <f t="shared" si="17"/>
        <v>660.39</v>
      </c>
      <c r="J21" s="4">
        <f t="shared" si="13"/>
        <v>420.39008981562938</v>
      </c>
      <c r="K21" s="4">
        <f t="shared" si="18"/>
        <v>8585.0299999999988</v>
      </c>
      <c r="L21" s="4">
        <f t="shared" si="19"/>
        <v>8.2277016902918714</v>
      </c>
      <c r="M21" s="4">
        <f t="shared" si="20"/>
        <v>8.6305941964983734</v>
      </c>
      <c r="N21" s="34">
        <f t="shared" si="14"/>
        <v>0.31368625953164375</v>
      </c>
      <c r="O21" s="34"/>
      <c r="P21" s="4">
        <f t="shared" si="21"/>
        <v>5.696098958561115</v>
      </c>
      <c r="Q21" s="4">
        <f t="shared" si="22"/>
        <v>6.098991464767618</v>
      </c>
      <c r="R21" s="34">
        <f t="shared" si="7"/>
        <v>0.18675693000904436</v>
      </c>
    </row>
    <row r="22" spans="1:18" ht="27" customHeight="1" thickBot="1">
      <c r="A22" s="35" t="s">
        <v>24</v>
      </c>
      <c r="B22" s="35">
        <v>2</v>
      </c>
      <c r="C22" s="35">
        <v>12.8</v>
      </c>
      <c r="D22" s="3">
        <v>456</v>
      </c>
      <c r="E22" s="3">
        <f t="shared" si="15"/>
        <v>45.6</v>
      </c>
      <c r="F22" s="35">
        <v>13</v>
      </c>
      <c r="G22" s="35">
        <f t="shared" si="12"/>
        <v>132.70968595768863</v>
      </c>
      <c r="H22" s="3">
        <f t="shared" si="16"/>
        <v>91.2</v>
      </c>
      <c r="I22" s="3">
        <f t="shared" si="17"/>
        <v>45.6</v>
      </c>
      <c r="J22" s="3">
        <f t="shared" si="13"/>
        <v>53.467737973370994</v>
      </c>
      <c r="K22" s="3">
        <f t="shared" si="18"/>
        <v>592.80000000000007</v>
      </c>
      <c r="L22" s="3">
        <f t="shared" si="19"/>
        <v>4.4668932468802645</v>
      </c>
      <c r="M22" s="3">
        <f t="shared" si="20"/>
        <v>4.8697857530867665</v>
      </c>
      <c r="N22" s="35">
        <f t="shared" si="14"/>
        <v>0.60762722016428838</v>
      </c>
      <c r="O22" s="35"/>
      <c r="P22" s="3">
        <f t="shared" si="21"/>
        <v>3.0924645555324903</v>
      </c>
      <c r="Q22" s="3">
        <f t="shared" si="22"/>
        <v>3.4953570617389924</v>
      </c>
      <c r="R22" s="35">
        <f t="shared" si="7"/>
        <v>0.32586911780185362</v>
      </c>
    </row>
    <row r="23" spans="1:18" ht="27" customHeight="1" thickBot="1">
      <c r="A23" s="34" t="s">
        <v>23</v>
      </c>
      <c r="B23" s="34">
        <v>1</v>
      </c>
      <c r="C23" s="34">
        <v>21</v>
      </c>
      <c r="D23" s="4">
        <v>989.11</v>
      </c>
      <c r="E23" s="4">
        <f t="shared" si="15"/>
        <v>98.91</v>
      </c>
      <c r="F23" s="34">
        <v>18</v>
      </c>
      <c r="G23" s="34">
        <f t="shared" si="12"/>
        <v>279.2935535471164</v>
      </c>
      <c r="H23" s="4">
        <f t="shared" si="16"/>
        <v>197.82</v>
      </c>
      <c r="I23" s="4">
        <f t="shared" si="17"/>
        <v>98.91</v>
      </c>
      <c r="J23" s="4">
        <f t="shared" si="13"/>
        <v>87.720507612561775</v>
      </c>
      <c r="K23" s="4">
        <f t="shared" si="18"/>
        <v>1285.8400000000001</v>
      </c>
      <c r="L23" s="4">
        <f t="shared" si="19"/>
        <v>4.6039014637804048</v>
      </c>
      <c r="M23" s="4">
        <f t="shared" si="20"/>
        <v>4.9179814219408549</v>
      </c>
      <c r="N23" s="34">
        <f t="shared" si="14"/>
        <v>8.3861633785242038</v>
      </c>
      <c r="O23" s="34"/>
      <c r="P23" s="4">
        <f t="shared" si="21"/>
        <v>3.1873274148084647</v>
      </c>
      <c r="Q23" s="4">
        <f t="shared" si="22"/>
        <v>3.5014073729689148</v>
      </c>
      <c r="R23" s="34">
        <f t="shared" si="7"/>
        <v>0.36505092931169397</v>
      </c>
    </row>
    <row r="24" spans="1:18" ht="27" customHeight="1" thickBot="1">
      <c r="A24" s="35" t="s">
        <v>25</v>
      </c>
      <c r="B24" s="35">
        <v>5</v>
      </c>
      <c r="C24" s="35">
        <v>385</v>
      </c>
      <c r="D24" s="3">
        <v>5635.92</v>
      </c>
      <c r="E24" s="3">
        <f t="shared" si="15"/>
        <v>563.59</v>
      </c>
      <c r="F24" s="35">
        <v>18</v>
      </c>
      <c r="G24" s="35">
        <f t="shared" si="12"/>
        <v>5120.3818150304669</v>
      </c>
      <c r="H24" s="3">
        <f t="shared" si="16"/>
        <v>1127.18</v>
      </c>
      <c r="I24" s="3">
        <f t="shared" si="17"/>
        <v>563.59</v>
      </c>
      <c r="J24" s="3">
        <f t="shared" si="13"/>
        <v>1608.2093062302995</v>
      </c>
      <c r="K24" s="3">
        <f t="shared" si="18"/>
        <v>7326.6900000000005</v>
      </c>
      <c r="L24" s="3">
        <f t="shared" si="19"/>
        <v>1.4308874347012746</v>
      </c>
      <c r="M24" s="3">
        <f t="shared" si="20"/>
        <v>1.7449673928617246</v>
      </c>
      <c r="N24" s="35">
        <f t="shared" si="14"/>
        <v>0.27005382573125308</v>
      </c>
      <c r="O24" s="35"/>
      <c r="P24" s="3">
        <f t="shared" si="21"/>
        <v>0.99061557970356529</v>
      </c>
      <c r="Q24" s="3">
        <f t="shared" si="22"/>
        <v>1.3046955378640155</v>
      </c>
      <c r="R24" s="35">
        <f t="shared" si="7"/>
        <v>0.97968604805203352</v>
      </c>
    </row>
    <row r="25" spans="1:18" ht="13.5" thickBot="1">
      <c r="A25" s="34" t="s">
        <v>26</v>
      </c>
      <c r="B25" s="34">
        <v>9</v>
      </c>
      <c r="C25" s="34">
        <v>117</v>
      </c>
      <c r="D25" s="4">
        <v>26534.280000000002</v>
      </c>
      <c r="E25" s="4">
        <f t="shared" si="15"/>
        <v>2653.43</v>
      </c>
      <c r="F25" s="34">
        <v>10</v>
      </c>
      <c r="G25" s="34">
        <f t="shared" si="12"/>
        <v>977.96580074368842</v>
      </c>
      <c r="H25" s="4">
        <f t="shared" si="16"/>
        <v>5306.86</v>
      </c>
      <c r="I25" s="4">
        <f t="shared" si="17"/>
        <v>2653.43</v>
      </c>
      <c r="J25" s="4">
        <f t="shared" si="13"/>
        <v>488.72854241284426</v>
      </c>
      <c r="K25" s="4">
        <f t="shared" si="18"/>
        <v>34494.57</v>
      </c>
      <c r="L25" s="4">
        <f t="shared" si="19"/>
        <v>35.271754875036329</v>
      </c>
      <c r="M25" s="4">
        <f t="shared" si="20"/>
        <v>35.771494786228715</v>
      </c>
      <c r="N25" s="34">
        <f t="shared" si="14"/>
        <v>1.1663730429721237</v>
      </c>
      <c r="O25" s="34"/>
      <c r="P25" s="4">
        <f t="shared" si="21"/>
        <v>24.418900928682728</v>
      </c>
      <c r="Q25" s="4">
        <f t="shared" si="22"/>
        <v>24.91864083987512</v>
      </c>
      <c r="R25" s="34">
        <f t="shared" si="7"/>
        <v>4.2637153354193068E-2</v>
      </c>
    </row>
    <row r="26" spans="1:18" ht="13.5" thickBot="1">
      <c r="A26" s="35" t="s">
        <v>27</v>
      </c>
      <c r="B26" s="35">
        <v>1</v>
      </c>
      <c r="C26" s="35">
        <v>111</v>
      </c>
      <c r="D26" s="3">
        <v>9064.92</v>
      </c>
      <c r="E26" s="3">
        <f t="shared" si="15"/>
        <v>906.49</v>
      </c>
      <c r="F26" s="35">
        <v>45</v>
      </c>
      <c r="G26" s="35">
        <f t="shared" si="12"/>
        <v>2539.5692962048629</v>
      </c>
      <c r="H26" s="3">
        <f t="shared" si="16"/>
        <v>1812.98</v>
      </c>
      <c r="I26" s="3">
        <f t="shared" si="17"/>
        <v>906.49</v>
      </c>
      <c r="J26" s="3">
        <f t="shared" si="13"/>
        <v>463.66554023782658</v>
      </c>
      <c r="K26" s="3">
        <f t="shared" si="18"/>
        <v>11784.39</v>
      </c>
      <c r="L26" s="3">
        <f t="shared" si="19"/>
        <v>4.6403104721775517</v>
      </c>
      <c r="M26" s="3">
        <f t="shared" si="20"/>
        <v>4.8228869196604887</v>
      </c>
      <c r="N26" s="35">
        <f t="shared" si="14"/>
        <v>8.6299598760476385E-3</v>
      </c>
      <c r="O26" s="35"/>
      <c r="P26" s="3">
        <f t="shared" si="21"/>
        <v>3.2125250577694309</v>
      </c>
      <c r="Q26" s="3">
        <f t="shared" si="22"/>
        <v>3.3951015052523683</v>
      </c>
      <c r="R26" s="35">
        <f t="shared" si="7"/>
        <v>0.71703683029633414</v>
      </c>
    </row>
    <row r="27" spans="1:18" ht="13.5" thickBot="1">
      <c r="A27" s="34" t="s">
        <v>31</v>
      </c>
      <c r="B27" s="34">
        <v>1</v>
      </c>
      <c r="C27" s="34">
        <v>54</v>
      </c>
      <c r="D27" s="4">
        <v>3266.42</v>
      </c>
      <c r="E27" s="4">
        <f t="shared" si="15"/>
        <v>326.64</v>
      </c>
      <c r="F27" s="34">
        <v>10</v>
      </c>
      <c r="G27" s="34">
        <f t="shared" si="12"/>
        <v>451.36883111247158</v>
      </c>
      <c r="H27" s="4">
        <f t="shared" si="16"/>
        <v>653.28</v>
      </c>
      <c r="I27" s="4">
        <f t="shared" si="17"/>
        <v>326.64</v>
      </c>
      <c r="J27" s="4">
        <f t="shared" si="13"/>
        <v>225.56701957515887</v>
      </c>
      <c r="K27" s="4">
        <f t="shared" si="18"/>
        <v>4246.34</v>
      </c>
      <c r="L27" s="4">
        <f t="shared" si="19"/>
        <v>9.4076943450751962</v>
      </c>
      <c r="M27" s="4">
        <f t="shared" si="20"/>
        <v>9.9074342562675852</v>
      </c>
      <c r="N27" s="34">
        <f t="shared" si="14"/>
        <v>0.35388755707823799</v>
      </c>
      <c r="O27" s="34"/>
      <c r="P27" s="4">
        <f t="shared" si="21"/>
        <v>6.5130327957170557</v>
      </c>
      <c r="Q27" s="4">
        <f t="shared" si="22"/>
        <v>7.0127727069094448</v>
      </c>
      <c r="R27" s="34">
        <f t="shared" si="7"/>
        <v>0.15150354293117305</v>
      </c>
    </row>
    <row r="28" spans="1:18" ht="13.5" thickBot="1">
      <c r="A28" s="35" t="s">
        <v>32</v>
      </c>
      <c r="B28" s="35">
        <v>1</v>
      </c>
      <c r="C28" s="35">
        <v>33</v>
      </c>
      <c r="D28" s="3">
        <v>2502.02</v>
      </c>
      <c r="E28" s="3">
        <f>ROUND(0.1*D28,3)</f>
        <v>250.202</v>
      </c>
      <c r="F28" s="35">
        <v>16</v>
      </c>
      <c r="G28" s="35">
        <f t="shared" si="12"/>
        <v>402.11973769977556</v>
      </c>
      <c r="H28" s="3">
        <f t="shared" si="16"/>
        <v>500.4</v>
      </c>
      <c r="I28" s="3">
        <f t="shared" si="17"/>
        <v>250.2</v>
      </c>
      <c r="J28" s="3">
        <f t="shared" si="13"/>
        <v>137.84651196259708</v>
      </c>
      <c r="K28" s="3">
        <f t="shared" si="18"/>
        <v>3252.62</v>
      </c>
      <c r="L28" s="3">
        <f t="shared" si="19"/>
        <v>8.0886852722171554</v>
      </c>
      <c r="M28" s="3">
        <f t="shared" si="20"/>
        <v>8.4314849386824555</v>
      </c>
      <c r="N28" s="35">
        <f t="shared" si="14"/>
        <v>0.1591411154720597</v>
      </c>
      <c r="O28" s="35"/>
      <c r="P28" s="3">
        <f t="shared" si="21"/>
        <v>5.5998693644857038</v>
      </c>
      <c r="Q28" s="3">
        <f t="shared" si="22"/>
        <v>5.9426690309510048</v>
      </c>
      <c r="R28" s="35">
        <f t="shared" si="7"/>
        <v>0.20526374004055414</v>
      </c>
    </row>
    <row r="29" spans="1:18" ht="15.75" thickBot="1">
      <c r="A29" s="33" t="s">
        <v>33</v>
      </c>
      <c r="B29" s="32">
        <f>SUM(B6:B28)</f>
        <v>137</v>
      </c>
      <c r="C29" s="32">
        <f>SUM(C6:C28)</f>
        <v>7254.1939999999995</v>
      </c>
      <c r="D29" s="38">
        <f>SUM(D6:D28)</f>
        <v>391441.17</v>
      </c>
      <c r="E29" s="38">
        <f>SUM(E6:E28)</f>
        <v>39144.121999999996</v>
      </c>
      <c r="F29" s="32">
        <f>SUMPRODUCT(C6:C28,F6:F28)/SUM(C6:C28)</f>
        <v>36.578830122271349</v>
      </c>
      <c r="G29" s="36">
        <f>SUM(G6:G28)</f>
        <v>142667.34835072956</v>
      </c>
      <c r="H29" s="37">
        <f t="shared" ref="H29:I29" si="23">SUM(H6:H28)</f>
        <v>64853.1</v>
      </c>
      <c r="I29" s="37">
        <f t="shared" si="23"/>
        <v>39144.119999999995</v>
      </c>
      <c r="J29" s="33">
        <f>B33</f>
        <v>30301.98</v>
      </c>
      <c r="K29" s="33">
        <f>SUM(K6:K28)</f>
        <v>495438.39000000007</v>
      </c>
      <c r="L29" s="33">
        <f>K29/G29</f>
        <v>3.4726824022973197</v>
      </c>
      <c r="M29" s="33">
        <f>(K29+J29)/G29</f>
        <v>3.6850784435099624</v>
      </c>
      <c r="N29" s="32">
        <f>IF(B29=0,0,(VLOOKUP($F29,AC,6)*$C29)/($K29+$J29))</f>
        <v>0.61388612041959156</v>
      </c>
      <c r="O29" s="33"/>
      <c r="P29" s="33">
        <f>D29/G29</f>
        <v>2.7437334086962322</v>
      </c>
      <c r="Q29" s="33">
        <f>(D29+J29)/G29</f>
        <v>2.9561294499088748</v>
      </c>
      <c r="R29" s="32">
        <f>IF(B29=0,0,(VLOOKUP($F29,AC,4)*$C29)/($D29-$E29+$J29))</f>
        <v>0.76687149176985137</v>
      </c>
    </row>
    <row r="30" spans="1:18" ht="15.75" thickBot="1">
      <c r="A30" s="2" t="s">
        <v>34</v>
      </c>
      <c r="B30" s="22">
        <v>3.4000000000000002E-2</v>
      </c>
      <c r="C30" s="30"/>
      <c r="D30" s="31"/>
      <c r="F30" s="30"/>
      <c r="G30" s="23"/>
      <c r="H30" s="29"/>
      <c r="I30" s="29"/>
      <c r="J30" s="28"/>
    </row>
    <row r="31" spans="1:18" ht="16.5" thickBot="1">
      <c r="A31" s="2" t="s">
        <v>35</v>
      </c>
      <c r="B31" s="22">
        <v>0.02</v>
      </c>
      <c r="C31" s="27"/>
      <c r="D31" s="26"/>
      <c r="E31" s="23"/>
      <c r="F31" s="25"/>
      <c r="G31" s="25"/>
      <c r="H31" s="25"/>
      <c r="I31" s="25"/>
      <c r="J31" s="24"/>
      <c r="K31" s="20"/>
      <c r="L31" s="20"/>
    </row>
    <row r="32" spans="1:18" ht="16.5" thickBot="1">
      <c r="A32" s="2" t="s">
        <v>36</v>
      </c>
      <c r="B32" s="22">
        <v>3.4000000000000002E-2</v>
      </c>
      <c r="C32" s="21"/>
      <c r="D32" s="21"/>
      <c r="F32" s="21"/>
      <c r="G32" s="21"/>
      <c r="H32" s="21"/>
      <c r="I32" s="21"/>
      <c r="J32" s="21"/>
      <c r="K32" s="20"/>
      <c r="L32" s="20"/>
    </row>
    <row r="33" spans="1:16" ht="15.75" thickBot="1">
      <c r="A33" s="2" t="s">
        <v>37</v>
      </c>
      <c r="B33" s="17">
        <v>30301.98</v>
      </c>
      <c r="C33" s="19"/>
      <c r="D33" s="18"/>
    </row>
    <row r="34" spans="1:16" ht="15.75" thickBot="1">
      <c r="A34" s="2" t="s">
        <v>38</v>
      </c>
      <c r="B34" s="17">
        <f>SUM(H18:H28)</f>
        <v>24547.72</v>
      </c>
      <c r="C34" s="19"/>
      <c r="D34" s="18"/>
    </row>
    <row r="35" spans="1:16" ht="15.75" thickBot="1">
      <c r="A35" s="2" t="s">
        <v>42</v>
      </c>
      <c r="B35" s="17">
        <f>SUM(H6:H16)</f>
        <v>40305.379999999997</v>
      </c>
      <c r="C35" s="15"/>
      <c r="D35" s="16"/>
      <c r="H35" s="16"/>
      <c r="I35" s="16"/>
      <c r="J35" s="15"/>
      <c r="L35" s="16"/>
      <c r="M35" s="15"/>
      <c r="N35" s="16"/>
      <c r="P35" s="15"/>
    </row>
    <row r="36" spans="1:16" ht="15.75" thickBot="1">
      <c r="A36" s="2" t="s">
        <v>39</v>
      </c>
      <c r="B36" s="17">
        <f>SUM(I18:I28,I6:I16)</f>
        <v>39144.119999999995</v>
      </c>
      <c r="C36" s="15"/>
      <c r="D36" s="16"/>
      <c r="H36" s="16"/>
      <c r="I36" s="16"/>
      <c r="J36" s="15"/>
      <c r="L36" s="16"/>
      <c r="M36" s="15"/>
      <c r="N36" s="16"/>
      <c r="P36" s="15"/>
    </row>
  </sheetData>
  <mergeCells count="4">
    <mergeCell ref="A1:Q1"/>
    <mergeCell ref="A2:Q2"/>
    <mergeCell ref="A3:Q3"/>
    <mergeCell ref="A4:R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5149B-752A-4EDE-88E1-43DD5798BAD7}">
  <dimension ref="A1:H58"/>
  <sheetViews>
    <sheetView zoomScaleNormal="100" workbookViewId="0">
      <selection activeCell="H62" sqref="H62"/>
    </sheetView>
  </sheetViews>
  <sheetFormatPr defaultColWidth="8.83203125" defaultRowHeight="12.75"/>
  <cols>
    <col min="1" max="1" width="8.83203125" style="5"/>
    <col min="2" max="2" width="7.1640625" style="5" bestFit="1" customWidth="1"/>
    <col min="3" max="3" width="17.83203125" style="5" customWidth="1"/>
    <col min="4" max="4" width="12.1640625" style="5" bestFit="1" customWidth="1"/>
    <col min="5" max="5" width="15.33203125" style="5" bestFit="1" customWidth="1"/>
    <col min="6" max="6" width="18.83203125" style="5" bestFit="1" customWidth="1"/>
    <col min="7" max="7" width="17.6640625" style="5" customWidth="1"/>
    <col min="8" max="8" width="19.33203125" style="5" bestFit="1" customWidth="1"/>
    <col min="9" max="16384" width="8.83203125" style="5"/>
  </cols>
  <sheetData>
    <row r="1" spans="1:8">
      <c r="A1" s="46" t="s">
        <v>0</v>
      </c>
      <c r="B1" s="46"/>
      <c r="C1" s="46"/>
      <c r="D1" s="46"/>
      <c r="E1" s="46"/>
      <c r="F1" s="46"/>
      <c r="G1" s="46"/>
      <c r="H1" s="46"/>
    </row>
    <row r="2" spans="1:8">
      <c r="A2" s="46" t="s">
        <v>43</v>
      </c>
      <c r="B2" s="46"/>
      <c r="C2" s="46"/>
      <c r="D2" s="46"/>
      <c r="E2" s="46"/>
      <c r="F2" s="46"/>
      <c r="G2" s="46"/>
      <c r="H2" s="46"/>
    </row>
    <row r="3" spans="1:8">
      <c r="A3" s="46" t="s">
        <v>44</v>
      </c>
      <c r="B3" s="46"/>
      <c r="C3" s="46"/>
      <c r="D3" s="46"/>
      <c r="E3" s="46"/>
      <c r="F3" s="46"/>
      <c r="G3" s="46"/>
      <c r="H3" s="46"/>
    </row>
    <row r="4" spans="1:8">
      <c r="A4" s="46" t="s">
        <v>45</v>
      </c>
      <c r="B4" s="46"/>
      <c r="C4" s="46"/>
      <c r="D4" s="46"/>
      <c r="E4" s="46"/>
      <c r="F4" s="46"/>
      <c r="G4" s="46"/>
      <c r="H4" s="46"/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7"/>
      <c r="B6" s="7"/>
      <c r="C6" s="7" t="s">
        <v>46</v>
      </c>
      <c r="D6" s="7"/>
      <c r="E6" s="7" t="s">
        <v>47</v>
      </c>
      <c r="F6" s="7" t="s">
        <v>48</v>
      </c>
      <c r="G6" s="7" t="s">
        <v>49</v>
      </c>
      <c r="H6" s="7"/>
    </row>
    <row r="7" spans="1:8">
      <c r="A7" s="7"/>
      <c r="B7" s="7"/>
      <c r="C7" s="7" t="s">
        <v>50</v>
      </c>
      <c r="D7" s="7" t="s">
        <v>51</v>
      </c>
      <c r="E7" s="7" t="s">
        <v>52</v>
      </c>
      <c r="F7" s="7" t="s">
        <v>53</v>
      </c>
      <c r="G7" s="7" t="s">
        <v>54</v>
      </c>
      <c r="H7" s="7" t="s">
        <v>55</v>
      </c>
    </row>
    <row r="8" spans="1:8">
      <c r="A8" s="7"/>
      <c r="B8" s="7"/>
      <c r="C8" s="7" t="s">
        <v>56</v>
      </c>
      <c r="D8" s="7" t="s">
        <v>56</v>
      </c>
      <c r="E8" s="7" t="s">
        <v>50</v>
      </c>
      <c r="F8" s="7" t="s">
        <v>57</v>
      </c>
      <c r="G8" s="7" t="s">
        <v>58</v>
      </c>
      <c r="H8" s="7" t="s">
        <v>59</v>
      </c>
    </row>
    <row r="9" spans="1:8">
      <c r="A9" s="7"/>
      <c r="B9" s="8" t="s">
        <v>60</v>
      </c>
      <c r="C9" s="8" t="s">
        <v>61</v>
      </c>
      <c r="D9" s="8" t="s">
        <v>62</v>
      </c>
      <c r="E9" s="8" t="s">
        <v>63</v>
      </c>
      <c r="F9" s="8"/>
      <c r="G9" s="8" t="s">
        <v>64</v>
      </c>
      <c r="H9" s="8" t="s">
        <v>65</v>
      </c>
    </row>
    <row r="10" spans="1:8">
      <c r="A10" s="5">
        <v>2021</v>
      </c>
      <c r="B10" s="5">
        <v>1</v>
      </c>
      <c r="C10" s="9">
        <v>0.88445163236383117</v>
      </c>
      <c r="D10" s="9">
        <v>0.88445163236383117</v>
      </c>
      <c r="E10" s="10">
        <v>0.88445163236383117</v>
      </c>
      <c r="F10" s="11">
        <v>0.1</v>
      </c>
      <c r="G10" s="9">
        <v>0.97289679560021436</v>
      </c>
      <c r="H10" s="9">
        <v>0.57011051999999995</v>
      </c>
    </row>
    <row r="11" spans="1:8">
      <c r="A11" s="5">
        <v>2022</v>
      </c>
      <c r="B11" s="5">
        <v>2</v>
      </c>
      <c r="C11" s="9">
        <v>0.81371500359565097</v>
      </c>
      <c r="D11" s="9">
        <v>0.84138131371790315</v>
      </c>
      <c r="E11" s="12">
        <v>1.7258329460817343</v>
      </c>
      <c r="F11" s="11">
        <v>0.1</v>
      </c>
      <c r="G11" s="9">
        <v>1.8984162406899079</v>
      </c>
      <c r="H11" s="9">
        <v>0.57615605137735904</v>
      </c>
    </row>
    <row r="12" spans="1:8">
      <c r="A12" s="5">
        <v>2023</v>
      </c>
      <c r="B12" s="5">
        <v>3</v>
      </c>
      <c r="C12" s="9">
        <v>0.76115943272610243</v>
      </c>
      <c r="D12" s="9">
        <v>0.81379817445570879</v>
      </c>
      <c r="E12" s="12">
        <v>2.5396311205374431</v>
      </c>
      <c r="F12" s="11">
        <v>0.1</v>
      </c>
      <c r="G12" s="9">
        <v>2.7935942325911878</v>
      </c>
      <c r="H12" s="9">
        <v>0.58293196065410902</v>
      </c>
    </row>
    <row r="13" spans="1:8">
      <c r="A13" s="5">
        <v>2024</v>
      </c>
      <c r="B13" s="5">
        <v>4</v>
      </c>
      <c r="C13" s="9">
        <v>0.75798388048815024</v>
      </c>
      <c r="D13" s="9">
        <v>0.83795671619391321</v>
      </c>
      <c r="E13" s="12">
        <v>3.3775878367313563</v>
      </c>
      <c r="F13" s="11">
        <v>0.1</v>
      </c>
      <c r="G13" s="9">
        <v>3.715346620404492</v>
      </c>
      <c r="H13" s="9">
        <v>0.58975943021046795</v>
      </c>
    </row>
    <row r="14" spans="1:8">
      <c r="A14" s="5">
        <v>2025</v>
      </c>
      <c r="B14" s="5">
        <v>5</v>
      </c>
      <c r="C14" s="9">
        <v>0.77075836546405829</v>
      </c>
      <c r="D14" s="9">
        <v>0.88104968872936473</v>
      </c>
      <c r="E14" s="12">
        <v>4.2586375254607214</v>
      </c>
      <c r="F14" s="11">
        <v>0.1</v>
      </c>
      <c r="G14" s="9">
        <v>4.6845012780067936</v>
      </c>
      <c r="H14" s="9">
        <v>0.61455510299969196</v>
      </c>
    </row>
    <row r="15" spans="1:8">
      <c r="A15" s="5">
        <v>2026</v>
      </c>
      <c r="B15" s="5">
        <v>6</v>
      </c>
      <c r="C15" s="9">
        <v>0.76378755722747937</v>
      </c>
      <c r="D15" s="9">
        <v>0.90276616326625003</v>
      </c>
      <c r="E15" s="12">
        <v>5.1614036887269714</v>
      </c>
      <c r="F15" s="11">
        <v>0.1</v>
      </c>
      <c r="G15" s="9">
        <v>5.6775440575996692</v>
      </c>
      <c r="H15" s="9">
        <v>0.629247118316003</v>
      </c>
    </row>
    <row r="16" spans="1:8">
      <c r="A16" s="5">
        <v>2027</v>
      </c>
      <c r="B16" s="5">
        <v>7</v>
      </c>
      <c r="C16" s="9">
        <v>0.74933499617350652</v>
      </c>
      <c r="D16" s="9">
        <v>0.91579706736600974</v>
      </c>
      <c r="E16" s="12">
        <v>6.0772007560929815</v>
      </c>
      <c r="F16" s="11">
        <v>0.1</v>
      </c>
      <c r="G16" s="9">
        <v>6.6849208317022804</v>
      </c>
      <c r="H16" s="9">
        <v>0.64174689766763904</v>
      </c>
    </row>
    <row r="17" spans="1:8">
      <c r="A17" s="5">
        <v>2028</v>
      </c>
      <c r="B17" s="5">
        <v>8</v>
      </c>
      <c r="C17" s="9">
        <v>0.72707320786116503</v>
      </c>
      <c r="D17" s="9">
        <v>0.91880195964036115</v>
      </c>
      <c r="E17" s="12">
        <v>6.9960027157333426</v>
      </c>
      <c r="F17" s="11">
        <v>0.1</v>
      </c>
      <c r="G17" s="9">
        <v>7.6956029873066774</v>
      </c>
      <c r="H17" s="9">
        <v>0.65668675188056402</v>
      </c>
    </row>
    <row r="18" spans="1:8">
      <c r="A18" s="5">
        <v>2029</v>
      </c>
      <c r="B18" s="5">
        <v>9</v>
      </c>
      <c r="C18" s="9">
        <v>0.7149322508405066</v>
      </c>
      <c r="D18" s="9">
        <v>0.93417706077384166</v>
      </c>
      <c r="E18" s="12">
        <v>7.9301797765071846</v>
      </c>
      <c r="F18" s="11">
        <v>0.1</v>
      </c>
      <c r="G18" s="9">
        <v>8.7231977541579031</v>
      </c>
      <c r="H18" s="9">
        <v>0.671362515855918</v>
      </c>
    </row>
    <row r="19" spans="1:8">
      <c r="A19" s="5">
        <v>2030</v>
      </c>
      <c r="B19" s="5">
        <v>10</v>
      </c>
      <c r="C19" s="9">
        <v>0.70356791294168164</v>
      </c>
      <c r="D19" s="9">
        <v>0.95058481742366419</v>
      </c>
      <c r="E19" s="12">
        <v>8.8807645939308486</v>
      </c>
      <c r="F19" s="11">
        <v>0.1</v>
      </c>
      <c r="G19" s="9">
        <v>9.7688410533239338</v>
      </c>
      <c r="H19" s="9">
        <v>0.70168753835864495</v>
      </c>
    </row>
    <row r="20" spans="1:8">
      <c r="A20" s="5">
        <v>2031</v>
      </c>
      <c r="B20" s="5">
        <v>11</v>
      </c>
      <c r="C20" s="9">
        <v>0.6851545172570157</v>
      </c>
      <c r="D20" s="9">
        <v>0.95718065546171105</v>
      </c>
      <c r="E20" s="12">
        <v>9.8379452493925594</v>
      </c>
      <c r="F20" s="11">
        <v>0.1</v>
      </c>
      <c r="G20" s="9">
        <v>10.821739774331816</v>
      </c>
      <c r="H20" s="9">
        <v>0.71753017552309395</v>
      </c>
    </row>
    <row r="21" spans="1:8">
      <c r="A21" s="5">
        <v>2032</v>
      </c>
      <c r="B21" s="5">
        <v>12</v>
      </c>
      <c r="C21" s="9">
        <v>0.67625670713780228</v>
      </c>
      <c r="D21" s="9">
        <v>0.97687166301819628</v>
      </c>
      <c r="E21" s="12">
        <v>10.814816912410755</v>
      </c>
      <c r="F21" s="11">
        <v>0.1</v>
      </c>
      <c r="G21" s="9">
        <v>11.896298603651832</v>
      </c>
      <c r="H21" s="9">
        <v>0.73540219867662504</v>
      </c>
    </row>
    <row r="22" spans="1:8">
      <c r="A22" s="5">
        <v>2033</v>
      </c>
      <c r="B22" s="5">
        <v>13</v>
      </c>
      <c r="C22" s="9">
        <v>0.66587008865652375</v>
      </c>
      <c r="D22" s="9">
        <v>0.99457141181766762</v>
      </c>
      <c r="E22" s="12">
        <v>11.809388324228422</v>
      </c>
      <c r="F22" s="11">
        <v>0.1</v>
      </c>
      <c r="G22" s="9">
        <v>12.990327156651265</v>
      </c>
      <c r="H22" s="9">
        <v>0.75283800222888697</v>
      </c>
    </row>
    <row r="23" spans="1:8">
      <c r="A23" s="5">
        <v>2034</v>
      </c>
      <c r="B23" s="5">
        <v>14</v>
      </c>
      <c r="C23" s="9">
        <v>0.64881311732878166</v>
      </c>
      <c r="D23" s="9">
        <v>1.0020436159092017</v>
      </c>
      <c r="E23" s="12">
        <v>12.811431940137624</v>
      </c>
      <c r="F23" s="11">
        <v>0.1</v>
      </c>
      <c r="G23" s="9">
        <v>14.092575134151387</v>
      </c>
      <c r="H23" s="9">
        <v>0.77211629283704597</v>
      </c>
    </row>
    <row r="24" spans="1:8">
      <c r="A24" s="5">
        <v>2035</v>
      </c>
      <c r="B24" s="5">
        <v>15</v>
      </c>
      <c r="C24" s="9">
        <v>0.63835970106897866</v>
      </c>
      <c r="D24" s="9">
        <v>1.0194196609012849</v>
      </c>
      <c r="E24" s="12">
        <v>13.830851601038908</v>
      </c>
      <c r="F24" s="11">
        <v>0.1</v>
      </c>
      <c r="G24" s="9">
        <v>15.213936761142801</v>
      </c>
      <c r="H24" s="9">
        <v>0.81064038086745605</v>
      </c>
    </row>
    <row r="25" spans="1:8">
      <c r="A25" s="5">
        <v>2036</v>
      </c>
      <c r="B25" s="5">
        <v>16</v>
      </c>
      <c r="C25" s="9">
        <v>0.62567375799839731</v>
      </c>
      <c r="D25" s="9">
        <v>1.0331324949498273</v>
      </c>
      <c r="E25" s="12">
        <v>14.863984095988735</v>
      </c>
      <c r="F25" s="11">
        <v>0.1</v>
      </c>
      <c r="G25" s="9">
        <v>16.350382505587611</v>
      </c>
      <c r="H25" s="9">
        <v>0.83101695530386399</v>
      </c>
    </row>
    <row r="26" spans="1:8">
      <c r="A26" s="5">
        <v>2037</v>
      </c>
      <c r="B26" s="5">
        <v>17</v>
      </c>
      <c r="C26" s="9">
        <v>0.61894833994618093</v>
      </c>
      <c r="D26" s="9">
        <v>1.0567761970079774</v>
      </c>
      <c r="E26" s="12">
        <v>15.920760292996713</v>
      </c>
      <c r="F26" s="11">
        <v>0.1</v>
      </c>
      <c r="G26" s="9">
        <v>17.512836322296387</v>
      </c>
      <c r="H26" s="9">
        <v>0.85329665766642104</v>
      </c>
    </row>
    <row r="27" spans="1:8">
      <c r="A27" s="5">
        <v>2038</v>
      </c>
      <c r="B27" s="5">
        <v>18</v>
      </c>
      <c r="C27" s="9">
        <v>0.61107179398866485</v>
      </c>
      <c r="D27" s="9">
        <v>1.078801140190391</v>
      </c>
      <c r="E27" s="12">
        <v>16.999561433187104</v>
      </c>
      <c r="F27" s="11">
        <v>0.1</v>
      </c>
      <c r="G27" s="9">
        <v>18.699517576505816</v>
      </c>
      <c r="H27" s="9">
        <v>0.87508084147130905</v>
      </c>
    </row>
    <row r="28" spans="1:8">
      <c r="A28" s="5">
        <v>2039</v>
      </c>
      <c r="B28" s="5">
        <v>19</v>
      </c>
      <c r="C28" s="9">
        <v>0.60374811403143069</v>
      </c>
      <c r="D28" s="9">
        <v>1.1021113748980613</v>
      </c>
      <c r="E28" s="12">
        <v>18.101672808085166</v>
      </c>
      <c r="F28" s="11">
        <v>0.1</v>
      </c>
      <c r="G28" s="9">
        <v>19.911840088893683</v>
      </c>
      <c r="H28" s="9">
        <v>0.897067740402681</v>
      </c>
    </row>
    <row r="29" spans="1:8">
      <c r="A29" s="5">
        <v>2040</v>
      </c>
      <c r="B29" s="5">
        <v>20</v>
      </c>
      <c r="C29" s="9">
        <v>0.59154544035996659</v>
      </c>
      <c r="D29" s="9">
        <v>1.1165504413430951</v>
      </c>
      <c r="E29" s="12">
        <v>19.218223249428259</v>
      </c>
      <c r="F29" s="11">
        <v>0.1</v>
      </c>
      <c r="G29" s="9">
        <v>21.140045574371086</v>
      </c>
      <c r="H29" s="9">
        <v>0.91930355234543903</v>
      </c>
    </row>
    <row r="30" spans="1:8">
      <c r="A30" s="5">
        <v>2041</v>
      </c>
      <c r="B30" s="5">
        <v>21</v>
      </c>
      <c r="C30" s="9">
        <v>0.58353612105141783</v>
      </c>
      <c r="D30" s="9">
        <v>1.1388814501699571</v>
      </c>
      <c r="E30" s="12">
        <v>20.357104699598217</v>
      </c>
      <c r="F30" s="11">
        <v>0.1</v>
      </c>
      <c r="G30" s="9">
        <v>22.392815169558041</v>
      </c>
      <c r="H30" s="9">
        <v>0.96256067436903203</v>
      </c>
    </row>
    <row r="31" spans="1:8">
      <c r="A31" s="5">
        <v>2042</v>
      </c>
      <c r="B31" s="5">
        <v>22</v>
      </c>
      <c r="C31" s="9">
        <v>0.57563524513776232</v>
      </c>
      <c r="D31" s="9">
        <v>1.1616590791733563</v>
      </c>
      <c r="E31" s="12">
        <v>21.518763778771575</v>
      </c>
      <c r="F31" s="11">
        <v>0.1</v>
      </c>
      <c r="G31" s="9">
        <v>23.670640156648734</v>
      </c>
      <c r="H31" s="9">
        <v>0.98552212265613304</v>
      </c>
    </row>
    <row r="32" spans="1:8">
      <c r="A32" s="5">
        <v>2043</v>
      </c>
      <c r="B32" s="5">
        <v>23</v>
      </c>
      <c r="C32" s="9">
        <v>0.56784134433318922</v>
      </c>
      <c r="D32" s="9">
        <v>1.1848922607568235</v>
      </c>
      <c r="E32" s="12">
        <v>22.703656039528397</v>
      </c>
      <c r="F32" s="11">
        <v>0.1</v>
      </c>
      <c r="G32" s="9">
        <v>24.97402164348124</v>
      </c>
      <c r="H32" s="9">
        <v>1.0086464310452701</v>
      </c>
    </row>
    <row r="33" spans="1:8">
      <c r="A33" s="5">
        <v>2044</v>
      </c>
      <c r="B33" s="5">
        <v>24</v>
      </c>
      <c r="C33" s="9">
        <v>0.56015297023196597</v>
      </c>
      <c r="D33" s="9">
        <v>1.2085901059719599</v>
      </c>
      <c r="E33" s="12">
        <v>23.912246145500358</v>
      </c>
      <c r="F33" s="11">
        <v>0.1</v>
      </c>
      <c r="G33" s="9">
        <v>26.303470760050395</v>
      </c>
      <c r="H33" s="9">
        <v>1.03195880055061</v>
      </c>
    </row>
    <row r="34" spans="1:8">
      <c r="A34" s="5">
        <v>2045</v>
      </c>
      <c r="B34" s="5">
        <v>25</v>
      </c>
      <c r="C34" s="9">
        <v>0.55256869403927023</v>
      </c>
      <c r="D34" s="9">
        <v>1.2327619080913992</v>
      </c>
      <c r="E34" s="12">
        <v>25.145008053591756</v>
      </c>
      <c r="F34" s="11">
        <v>0.1</v>
      </c>
      <c r="G34" s="9">
        <v>27.659508858950932</v>
      </c>
      <c r="H34" s="9">
        <v>1.0554809412422199</v>
      </c>
    </row>
    <row r="35" spans="1:8">
      <c r="A35" s="5">
        <v>2046</v>
      </c>
      <c r="B35" s="5">
        <v>26</v>
      </c>
      <c r="C35" s="9">
        <v>0.54508710630566315</v>
      </c>
      <c r="D35" s="9">
        <v>1.2574171462532271</v>
      </c>
      <c r="E35" s="12">
        <v>26.402425199844984</v>
      </c>
      <c r="F35" s="11">
        <v>0.1</v>
      </c>
      <c r="G35" s="9">
        <v>29.042667719829485</v>
      </c>
      <c r="H35" s="9">
        <v>1.1026933043184499</v>
      </c>
    </row>
    <row r="36" spans="1:8">
      <c r="A36" s="5">
        <v>2047</v>
      </c>
      <c r="B36" s="5">
        <v>27</v>
      </c>
      <c r="C36" s="9">
        <v>0.53770681666516085</v>
      </c>
      <c r="D36" s="9">
        <v>1.2825654891782916</v>
      </c>
      <c r="E36" s="12">
        <v>27.684990689023277</v>
      </c>
      <c r="F36" s="11">
        <v>0.1</v>
      </c>
      <c r="G36" s="9">
        <v>30.453489757925606</v>
      </c>
      <c r="H36" s="9">
        <v>1.1272110200121499</v>
      </c>
    </row>
    <row r="37" spans="1:8">
      <c r="A37" s="5">
        <v>2048</v>
      </c>
      <c r="B37" s="5">
        <v>28</v>
      </c>
      <c r="C37" s="9">
        <v>0.53042645357685103</v>
      </c>
      <c r="D37" s="9">
        <v>1.3082167989618574</v>
      </c>
      <c r="E37" s="12">
        <v>28.993207487985135</v>
      </c>
      <c r="F37" s="11">
        <v>0.1</v>
      </c>
      <c r="G37" s="9">
        <v>31.892528236783651</v>
      </c>
      <c r="H37" s="9">
        <v>1.1519943575740099</v>
      </c>
    </row>
    <row r="38" spans="1:8">
      <c r="A38" s="5">
        <v>2049</v>
      </c>
      <c r="B38" s="5">
        <v>29</v>
      </c>
      <c r="C38" s="9">
        <v>0.52324466407000791</v>
      </c>
      <c r="D38" s="9">
        <v>1.3343811349410946</v>
      </c>
      <c r="E38" s="12">
        <v>30.327588622926228</v>
      </c>
      <c r="F38" s="11">
        <v>0.1</v>
      </c>
      <c r="G38" s="9">
        <v>33.360347485218853</v>
      </c>
      <c r="H38" s="9">
        <v>1.1770567561259799</v>
      </c>
    </row>
    <row r="39" spans="1:8">
      <c r="A39" s="5">
        <v>2050</v>
      </c>
      <c r="B39" s="5">
        <v>30</v>
      </c>
      <c r="C39" s="9">
        <v>0.51616011349265778</v>
      </c>
      <c r="D39" s="9">
        <v>1.3610687576399165</v>
      </c>
      <c r="E39" s="12">
        <v>31.688657380566145</v>
      </c>
      <c r="F39" s="11">
        <v>0.1</v>
      </c>
      <c r="G39" s="9">
        <v>34.857523118622765</v>
      </c>
      <c r="H39" s="9">
        <v>1.2024103291102399</v>
      </c>
    </row>
    <row r="40" spans="1:8">
      <c r="A40" s="5">
        <v>2051</v>
      </c>
      <c r="B40" s="5">
        <v>31</v>
      </c>
      <c r="C40" s="9">
        <v>0.50917148526355016</v>
      </c>
      <c r="D40" s="9">
        <v>1.3882901327927148</v>
      </c>
      <c r="E40" s="12">
        <v>33.07694751335886</v>
      </c>
      <c r="F40" s="11">
        <v>0.1</v>
      </c>
      <c r="G40" s="9">
        <v>36.384642264694747</v>
      </c>
      <c r="H40" s="9">
        <v>1.2541951448828901</v>
      </c>
    </row>
    <row r="41" spans="1:8">
      <c r="A41" s="5">
        <v>2052</v>
      </c>
      <c r="B41" s="5">
        <v>32</v>
      </c>
      <c r="C41" s="9">
        <v>0.50227748062748667</v>
      </c>
      <c r="D41" s="9">
        <v>1.4160559354485691</v>
      </c>
      <c r="E41" s="12">
        <v>34.493003448807428</v>
      </c>
      <c r="F41" s="11">
        <v>0.1</v>
      </c>
      <c r="G41" s="9">
        <v>37.942303793688176</v>
      </c>
      <c r="H41" s="9">
        <v>1.2807156499932999</v>
      </c>
    </row>
    <row r="42" spans="1:8">
      <c r="A42" s="5">
        <v>2053</v>
      </c>
      <c r="B42" s="5">
        <v>33</v>
      </c>
      <c r="C42" s="9">
        <v>0.49547681841396168</v>
      </c>
      <c r="D42" s="9">
        <v>1.4443770541575405</v>
      </c>
      <c r="E42" s="12">
        <v>35.93738050296497</v>
      </c>
      <c r="F42" s="11">
        <v>0.1</v>
      </c>
      <c r="G42" s="9">
        <v>39.531118553261472</v>
      </c>
      <c r="H42" s="9">
        <v>1.30756451467569</v>
      </c>
    </row>
    <row r="43" spans="1:8">
      <c r="A43" s="5">
        <v>2054</v>
      </c>
      <c r="B43" s="5">
        <v>34</v>
      </c>
      <c r="C43" s="9">
        <v>0.48876823479907244</v>
      </c>
      <c r="D43" s="9">
        <v>1.4732645952406913</v>
      </c>
      <c r="E43" s="12">
        <v>37.410645098205663</v>
      </c>
      <c r="F43" s="11">
        <v>0.1</v>
      </c>
      <c r="G43" s="9">
        <v>41.151709608026231</v>
      </c>
      <c r="H43" s="9">
        <v>1.33475052162326</v>
      </c>
    </row>
    <row r="44" spans="1:8">
      <c r="A44" s="5">
        <v>2055</v>
      </c>
      <c r="B44" s="5">
        <v>35</v>
      </c>
      <c r="C44" s="9">
        <v>0.48215048307065178</v>
      </c>
      <c r="D44" s="9">
        <v>1.5027298871455053</v>
      </c>
      <c r="E44" s="12">
        <v>38.913374985351169</v>
      </c>
      <c r="F44" s="11">
        <v>0.1</v>
      </c>
      <c r="G44" s="9">
        <v>42.804712483886291</v>
      </c>
      <c r="H44" s="9">
        <v>1.3622818643825101</v>
      </c>
    </row>
    <row r="45" spans="1:8">
      <c r="A45" s="5">
        <v>2056</v>
      </c>
      <c r="B45" s="5">
        <v>36</v>
      </c>
      <c r="C45" s="9">
        <v>0.47562233339658105</v>
      </c>
      <c r="D45" s="9">
        <v>1.5327844848884153</v>
      </c>
      <c r="E45" s="12">
        <v>40.446159470239586</v>
      </c>
      <c r="F45" s="11">
        <v>0.1</v>
      </c>
      <c r="G45" s="9">
        <v>44.490775417263549</v>
      </c>
      <c r="H45" s="9">
        <v>1.3901662306967699</v>
      </c>
    </row>
    <row r="46" spans="1:8">
      <c r="A46" s="5">
        <v>2057</v>
      </c>
      <c r="B46" s="5">
        <v>37</v>
      </c>
      <c r="C46" s="9">
        <v>0.46918257259624058</v>
      </c>
      <c r="D46" s="9">
        <v>1.5634401745861837</v>
      </c>
      <c r="E46" s="12">
        <v>42.009599644825769</v>
      </c>
      <c r="F46" s="11">
        <v>0.1</v>
      </c>
      <c r="G46" s="9">
        <v>46.210559609308348</v>
      </c>
      <c r="H46" s="9">
        <v>1.41841087242749</v>
      </c>
    </row>
    <row r="47" spans="1:8">
      <c r="A47" s="5">
        <v>2058</v>
      </c>
      <c r="B47" s="5">
        <v>38</v>
      </c>
      <c r="C47" s="9">
        <v>0.46283000391505358</v>
      </c>
      <c r="D47" s="9">
        <v>1.5947089780779073</v>
      </c>
      <c r="E47" s="12">
        <v>43.604308622903673</v>
      </c>
      <c r="F47" s="11">
        <v>0.1</v>
      </c>
      <c r="G47" s="9">
        <v>47.964739485194045</v>
      </c>
      <c r="H47" s="9">
        <v>1.4470226645295901</v>
      </c>
    </row>
    <row r="48" spans="1:8">
      <c r="A48" s="5">
        <v>2059</v>
      </c>
      <c r="B48" s="5">
        <v>39</v>
      </c>
      <c r="C48" s="9">
        <v>0.45656344680208383</v>
      </c>
      <c r="D48" s="9">
        <v>1.6266031576394655</v>
      </c>
      <c r="E48" s="12">
        <v>45.230911780543138</v>
      </c>
      <c r="F48" s="11">
        <v>0.1</v>
      </c>
      <c r="G48" s="9">
        <v>49.754002958597454</v>
      </c>
      <c r="H48" s="9">
        <v>1.4760081550492099</v>
      </c>
    </row>
    <row r="49" spans="1:8">
      <c r="A49" s="5">
        <v>2060</v>
      </c>
      <c r="B49" s="5">
        <v>40</v>
      </c>
      <c r="C49" s="9">
        <v>0.45038173669064363</v>
      </c>
      <c r="D49" s="9">
        <v>1.6591352207922549</v>
      </c>
      <c r="E49" s="12">
        <v>46.890047001335397</v>
      </c>
      <c r="F49" s="11">
        <v>0.1</v>
      </c>
      <c r="G49" s="9">
        <v>51.579051701468941</v>
      </c>
      <c r="H49" s="9">
        <v>1.5053736077183399</v>
      </c>
    </row>
    <row r="50" spans="1:8">
      <c r="A50" s="5">
        <v>2061</v>
      </c>
      <c r="B50" s="5">
        <v>41</v>
      </c>
      <c r="C50" s="9">
        <v>0.44428372478187284</v>
      </c>
      <c r="D50" s="9">
        <v>1.6923179252081</v>
      </c>
      <c r="E50" s="12">
        <v>48.582364926543498</v>
      </c>
      <c r="F50" s="11">
        <v>0.1</v>
      </c>
      <c r="G50" s="9">
        <v>53.440601419197854</v>
      </c>
      <c r="H50" s="9">
        <v>1.53512503841349</v>
      </c>
    </row>
    <row r="51" spans="1:8">
      <c r="A51" s="5">
        <v>2062</v>
      </c>
      <c r="B51" s="5">
        <v>42</v>
      </c>
      <c r="C51" s="9">
        <v>0.43826827783124789</v>
      </c>
      <c r="D51" s="9">
        <v>1.7261642837122619</v>
      </c>
      <c r="E51" s="12">
        <v>50.308529210255763</v>
      </c>
      <c r="F51" s="11">
        <v>0.1</v>
      </c>
      <c r="G51" s="9">
        <v>55.339382131281347</v>
      </c>
      <c r="H51" s="9">
        <v>1.5652682465040999</v>
      </c>
    </row>
    <row r="52" spans="1:8">
      <c r="A52" s="5">
        <v>2063</v>
      </c>
      <c r="B52" s="5">
        <v>43</v>
      </c>
      <c r="C52" s="9">
        <v>0.43233427793798146</v>
      </c>
      <c r="D52" s="9">
        <v>1.7606875693865072</v>
      </c>
      <c r="E52" s="12">
        <v>52.069216779642268</v>
      </c>
      <c r="F52" s="11">
        <v>0.1</v>
      </c>
      <c r="G52" s="9">
        <v>57.2761384576065</v>
      </c>
      <c r="H52" s="9">
        <v>1.5958088419255401</v>
      </c>
    </row>
    <row r="53" spans="1:8">
      <c r="A53" s="5">
        <v>2064</v>
      </c>
      <c r="B53" s="5">
        <v>44</v>
      </c>
      <c r="C53" s="9">
        <v>0.42648062233727368</v>
      </c>
      <c r="D53" s="9">
        <v>1.7959013207742374</v>
      </c>
      <c r="E53" s="12">
        <v>53.865118100416503</v>
      </c>
      <c r="F53" s="11">
        <v>0.1</v>
      </c>
      <c r="G53" s="9">
        <v>59.251629910458156</v>
      </c>
      <c r="H53" s="9">
        <v>1.62675226865943</v>
      </c>
    </row>
    <row r="54" spans="1:8">
      <c r="A54" s="5">
        <v>2065</v>
      </c>
      <c r="B54" s="5">
        <v>45</v>
      </c>
      <c r="C54" s="9">
        <v>0.42070622319537654</v>
      </c>
      <c r="D54" s="9">
        <v>1.8318193471897222</v>
      </c>
      <c r="E54" s="12">
        <v>55.696937447606224</v>
      </c>
      <c r="F54" s="11">
        <v>0.1</v>
      </c>
      <c r="G54" s="9">
        <v>61.266631192366852</v>
      </c>
      <c r="H54" s="9">
        <v>1.65810382518273</v>
      </c>
    </row>
    <row r="55" spans="1:8">
      <c r="G55" s="13"/>
    </row>
    <row r="56" spans="1:8">
      <c r="C56" s="5" t="s">
        <v>66</v>
      </c>
      <c r="E56" s="14"/>
      <c r="F56" s="14">
        <v>3.4000000000000002E-2</v>
      </c>
    </row>
    <row r="57" spans="1:8">
      <c r="C57" s="5" t="s">
        <v>67</v>
      </c>
      <c r="E57" s="14"/>
      <c r="F57" s="14">
        <v>3.4000000000000002E-2</v>
      </c>
    </row>
    <row r="58" spans="1:8">
      <c r="C58" s="5" t="s">
        <v>68</v>
      </c>
      <c r="E58" s="14"/>
      <c r="F58" s="14">
        <v>0.02</v>
      </c>
      <c r="G58" s="5" t="s">
        <v>69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2C9CC07A93E8F408AFF0ECAED90C02A" ma:contentTypeVersion="44" ma:contentTypeDescription="" ma:contentTypeScope="" ma:versionID="7fee11da47926caa4f923d3d4737414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Pending</CaseStatus>
    <OpenedDate xmlns="dc463f71-b30c-4ab2-9473-d307f9d35888">2021-11-01T07:00:00+00:00</OpenedDate>
    <SignificantOrder xmlns="dc463f71-b30c-4ab2-9473-d307f9d35888">false</SignificantOrder>
    <Date1 xmlns="dc463f71-b30c-4ab2-9473-d307f9d35888">2024-06-14T07:00:00+00:00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210838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3EC45EE-B275-4163-B7E8-B213DD25A790}"/>
</file>

<file path=customXml/itemProps2.xml><?xml version="1.0" encoding="utf-8"?>
<ds:datastoreItem xmlns:ds="http://schemas.openxmlformats.org/officeDocument/2006/customXml" ds:itemID="{B127E193-51AF-40A8-8737-7C9EA8F0E4DC}"/>
</file>

<file path=customXml/itemProps3.xml><?xml version="1.0" encoding="utf-8"?>
<ds:datastoreItem xmlns:ds="http://schemas.openxmlformats.org/officeDocument/2006/customXml" ds:itemID="{B372F320-8498-4FDF-80B8-BC6E3FF7D488}"/>
</file>

<file path=customXml/itemProps4.xml><?xml version="1.0" encoding="utf-8"?>
<ds:datastoreItem xmlns:ds="http://schemas.openxmlformats.org/officeDocument/2006/customXml" ds:itemID="{547651D0-C78D-4620-B752-0B6D873AC0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Storvick, Jon</dc:creator>
  <cp:keywords/>
  <dc:description/>
  <cp:lastModifiedBy>Pettit, David</cp:lastModifiedBy>
  <cp:revision/>
  <dcterms:created xsi:type="dcterms:W3CDTF">2023-02-01T00:07:20Z</dcterms:created>
  <dcterms:modified xsi:type="dcterms:W3CDTF">2024-05-07T20:36:30Z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0x0101006E56B4D1795A2E4DB2F0B01679ED314A00F2C9CC07A93E8F408AFF0ECAED90C02A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