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G:\Dept\Rates\Deferrals\Deferrals 2019\07-2019\WA\"/>
    </mc:Choice>
  </mc:AlternateContent>
  <xr:revisionPtr revIDLastSave="0" documentId="13_ncr:1_{2F2AFA5D-AF55-4E06-9717-6CD40366D081}" xr6:coauthVersionLast="36" xr6:coauthVersionMax="36" xr10:uidLastSave="{00000000-0000-0000-0000-000000000000}"/>
  <bookViews>
    <workbookView xWindow="0" yWindow="0" windowWidth="21570" windowHeight="10305" firstSheet="2" activeTab="4" xr2:uid="{31B8C091-65CD-4756-9F3C-B2014A17F4CB}"/>
  </bookViews>
  <sheets>
    <sheet name="DG 2530.01253" sheetId="7" r:id="rId1"/>
    <sheet name="DG 2530.01254" sheetId="8" r:id="rId2"/>
    <sheet name="DG 2530.01286" sheetId="19" r:id="rId3"/>
    <sheet name="DG 2530.01288" sheetId="20" r:id="rId4"/>
    <sheet name="DEFERRALS" sheetId="36" r:id="rId5"/>
    <sheet name="RA 1860.20479" sheetId="13" r:id="rId6"/>
    <sheet name="RA 1823.47020430" sheetId="14" r:id="rId7"/>
    <sheet name="RA 1823.47020431" sheetId="15" r:id="rId8"/>
    <sheet name="RA 1823.47020444" sheetId="16" r:id="rId9"/>
    <sheet name="RA 1823.47020449" sheetId="17" r:id="rId10"/>
    <sheet name="RA 1862.20477" sheetId="9" r:id="rId11"/>
    <sheet name="RA 1823.47020478" sheetId="21" r:id="rId12"/>
    <sheet name="RA 1860.20481" sheetId="23" r:id="rId13"/>
    <sheet name="FERC Interest Rates" sheetId="3" r:id="rId14"/>
    <sheet name="Therm Sales" sheetId="4" r:id="rId15"/>
  </sheets>
  <externalReferences>
    <externalReference r:id="rId16"/>
    <externalReference r:id="rId17"/>
  </externalReferences>
  <definedNames>
    <definedName name="_Regression_Int" localSheetId="13" hidden="1">1</definedName>
    <definedName name="FERCINT13" localSheetId="2">'FERC Interest Rates'!$A$10:$C$21</definedName>
    <definedName name="FERCINT13" localSheetId="12">'[1]FERC Interest Rates'!$A$10:$C$21</definedName>
    <definedName name="FERCINT13">'FERC Interest Rates'!$A$10:$C$21</definedName>
    <definedName name="FERCINT14" localSheetId="2">'FERC Interest Rates'!$A$22:$C$33</definedName>
    <definedName name="FERCINT14" localSheetId="12">'[1]FERC Interest Rates'!$A$22:$C$33</definedName>
    <definedName name="FERCINT14">'FERC Interest Rates'!$A$22:$C$33</definedName>
    <definedName name="FERCINT15" localSheetId="2">'FERC Interest Rates'!$A$34:$C$45</definedName>
    <definedName name="FERCINT15" localSheetId="12">'[1]FERC Interest Rates'!$A$34:$C$45</definedName>
    <definedName name="FERCINT15">'FERC Interest Rates'!$A$34:$C$45</definedName>
    <definedName name="FERCINT16" localSheetId="2">'FERC Interest Rates'!$A$46:$C$57</definedName>
    <definedName name="FERCINT16" localSheetId="12">'[1]FERC Interest Rates'!$A$46:$C$57</definedName>
    <definedName name="FERCINT16">'FERC Interest Rates'!$A$46:$C$57</definedName>
    <definedName name="FERCINT17" localSheetId="2">'FERC Interest Rates'!$A$58:$C$69</definedName>
    <definedName name="FERCINT17" localSheetId="12">'[1]FERC Interest Rates'!$A$58:$C$69</definedName>
    <definedName name="FERCINT17">'FERC Interest Rates'!$A$58:$C$69</definedName>
    <definedName name="FERCINT18" localSheetId="2">'FERC Interest Rates'!$A$70:$C$81</definedName>
    <definedName name="FERCINT18" localSheetId="12">'[1]FERC Interest Rates'!$A$70:$C$81</definedName>
    <definedName name="FERCINT18">'FERC Interest Rates'!$A$70:$C$81</definedName>
    <definedName name="FERCINT19" localSheetId="2">'FERC Interest Rates'!$A$82:$C$93</definedName>
    <definedName name="FERCINT19" localSheetId="12">'[1]FERC Interest Rates'!$A$82:$C$93</definedName>
    <definedName name="FERCINT19">'FERC Interest Rates'!$A$82:$C$93</definedName>
    <definedName name="_xlnm.Print_Area" localSheetId="4">DEFERRALS!$B$1:$H$22</definedName>
    <definedName name="_xlnm.Print_Area" localSheetId="0">'DG 2530.01253'!$A$1:$H$86</definedName>
    <definedName name="_xlnm.Print_Area" localSheetId="1">'DG 2530.01254'!$A$1:$H$85</definedName>
    <definedName name="_xlnm.Print_Area" localSheetId="2">'DG 2530.01286'!$A$1:$H$54</definedName>
    <definedName name="_xlnm.Print_Area" localSheetId="3">'DG 2530.01288'!$A$1:$H$17</definedName>
    <definedName name="_xlnm.Print_Area" localSheetId="13">'FERC Interest Rates'!$A$1:$D$98</definedName>
    <definedName name="_xlnm.Print_Area" localSheetId="6">'RA 1823.47020430'!$A$1:$H$85</definedName>
    <definedName name="_xlnm.Print_Area" localSheetId="7">'RA 1823.47020431'!$A$1:$H$85</definedName>
    <definedName name="_xlnm.Print_Area" localSheetId="8">'RA 1823.47020444'!$A$1:$H$85</definedName>
    <definedName name="_xlnm.Print_Area" localSheetId="9">'RA 1823.47020449'!$A$1:$H$85</definedName>
    <definedName name="_xlnm.Print_Area" localSheetId="11">'RA 1823.47020478'!$A$1:$H$52</definedName>
    <definedName name="_xlnm.Print_Area" localSheetId="5">'RA 1860.20479'!$A$1:$H$45</definedName>
    <definedName name="_xlnm.Print_Area" localSheetId="12">'RA 1860.20481'!$A$1:$H$25</definedName>
    <definedName name="_xlnm.Print_Area" localSheetId="10">'RA 1862.20477'!$A$1:$H$48</definedName>
    <definedName name="_xlnm.Print_Area" localSheetId="14">'Therm Sales'!$A$1:$R$73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42" i="21" l="1"/>
  <c r="W42" i="21"/>
  <c r="Q43" i="21"/>
  <c r="W43" i="21" s="1"/>
  <c r="W44" i="21" s="1"/>
  <c r="R43" i="21"/>
  <c r="R44" i="21" s="1"/>
  <c r="S43" i="21"/>
  <c r="S44" i="21" s="1"/>
  <c r="O44" i="21"/>
  <c r="P44" i="21"/>
  <c r="T44" i="21"/>
  <c r="U44" i="21"/>
  <c r="V44" i="21"/>
  <c r="E8" i="36"/>
  <c r="E9" i="36" s="1"/>
  <c r="D8" i="36"/>
  <c r="G8" i="36" s="1"/>
  <c r="C2" i="36"/>
  <c r="Q44" i="21" l="1"/>
  <c r="D9" i="36"/>
  <c r="D12" i="36"/>
  <c r="D18" i="36" s="1"/>
  <c r="E18" i="36"/>
  <c r="E12" i="36"/>
  <c r="F9" i="36"/>
  <c r="F12" i="36"/>
  <c r="F18" i="36" s="1"/>
  <c r="G9" i="36"/>
  <c r="G12" i="36" s="1"/>
  <c r="G18" i="36" l="1"/>
  <c r="E25" i="23" l="1"/>
  <c r="A25" i="23"/>
  <c r="E24" i="23"/>
  <c r="A24" i="23"/>
  <c r="E23" i="23"/>
  <c r="A23" i="23"/>
  <c r="E22" i="23"/>
  <c r="A22" i="23"/>
  <c r="E21" i="23"/>
  <c r="A21" i="23"/>
  <c r="E20" i="23"/>
  <c r="A20" i="23"/>
  <c r="E19" i="23"/>
  <c r="A19" i="23"/>
  <c r="E18" i="23"/>
  <c r="A18" i="23"/>
  <c r="E17" i="23"/>
  <c r="A17" i="23"/>
  <c r="E16" i="23"/>
  <c r="A16" i="23"/>
  <c r="E15" i="23"/>
  <c r="A15" i="23"/>
  <c r="E14" i="23"/>
  <c r="A14" i="23"/>
  <c r="H13" i="23"/>
  <c r="H14" i="23" s="1"/>
  <c r="A52" i="21"/>
  <c r="A51" i="21"/>
  <c r="A50" i="21"/>
  <c r="A49" i="21"/>
  <c r="A48" i="21"/>
  <c r="A47" i="21"/>
  <c r="A46" i="21"/>
  <c r="A45" i="21"/>
  <c r="A44" i="21"/>
  <c r="A42" i="21"/>
  <c r="A41" i="21"/>
  <c r="A40" i="21"/>
  <c r="A39" i="21"/>
  <c r="A38" i="21"/>
  <c r="A37" i="21"/>
  <c r="A36" i="21"/>
  <c r="A35" i="21"/>
  <c r="A34" i="21"/>
  <c r="A33" i="21"/>
  <c r="A32" i="21"/>
  <c r="W31" i="21"/>
  <c r="V31" i="21"/>
  <c r="U31" i="21"/>
  <c r="T31" i="21"/>
  <c r="Q31" i="21"/>
  <c r="P31" i="21"/>
  <c r="O31" i="21"/>
  <c r="E31" i="21"/>
  <c r="A31" i="21"/>
  <c r="S30" i="21"/>
  <c r="R30" i="21"/>
  <c r="R31" i="21" s="1"/>
  <c r="Q30" i="21"/>
  <c r="W30" i="21" s="1"/>
  <c r="W29" i="21"/>
  <c r="S29" i="21"/>
  <c r="S31" i="21" s="1"/>
  <c r="A29" i="21"/>
  <c r="A28" i="21"/>
  <c r="A27" i="21"/>
  <c r="A26" i="21"/>
  <c r="A25" i="21"/>
  <c r="A24" i="21"/>
  <c r="A23" i="21"/>
  <c r="A22" i="21"/>
  <c r="A21" i="21"/>
  <c r="A20" i="21"/>
  <c r="A19" i="21"/>
  <c r="E18" i="21"/>
  <c r="A18" i="21"/>
  <c r="H17" i="21"/>
  <c r="A17" i="20"/>
  <c r="A16" i="20"/>
  <c r="S15" i="20"/>
  <c r="Q15" i="20"/>
  <c r="P15" i="20"/>
  <c r="O15" i="20"/>
  <c r="A15" i="20"/>
  <c r="T14" i="20"/>
  <c r="C14" i="20"/>
  <c r="A14" i="20"/>
  <c r="R13" i="20"/>
  <c r="H13" i="20"/>
  <c r="F14" i="20" s="1"/>
  <c r="T12" i="20"/>
  <c r="R12" i="20"/>
  <c r="A54" i="19"/>
  <c r="A53" i="19"/>
  <c r="A52" i="19"/>
  <c r="A51" i="19"/>
  <c r="A50" i="19"/>
  <c r="A49" i="19"/>
  <c r="A48" i="19"/>
  <c r="A47" i="19"/>
  <c r="V46" i="19"/>
  <c r="U46" i="19"/>
  <c r="T46" i="19"/>
  <c r="S46" i="19"/>
  <c r="P46" i="19"/>
  <c r="O46" i="19"/>
  <c r="A46" i="19"/>
  <c r="S45" i="19"/>
  <c r="R45" i="19"/>
  <c r="Q45" i="19"/>
  <c r="W44" i="19"/>
  <c r="U44" i="19"/>
  <c r="S44" i="19"/>
  <c r="R44" i="19"/>
  <c r="R46" i="19" s="1"/>
  <c r="Q44" i="19"/>
  <c r="A44" i="19"/>
  <c r="A43" i="19"/>
  <c r="A42" i="19"/>
  <c r="A41" i="19"/>
  <c r="A40" i="19"/>
  <c r="A39" i="19"/>
  <c r="A38" i="19"/>
  <c r="A37" i="19"/>
  <c r="A36" i="19"/>
  <c r="A35" i="19"/>
  <c r="A34" i="19"/>
  <c r="V33" i="19"/>
  <c r="U33" i="19"/>
  <c r="T33" i="19"/>
  <c r="S33" i="19"/>
  <c r="P33" i="19"/>
  <c r="O33" i="19"/>
  <c r="E33" i="19"/>
  <c r="A33" i="19"/>
  <c r="S32" i="19"/>
  <c r="R32" i="19"/>
  <c r="Q32" i="19"/>
  <c r="Q33" i="19" s="1"/>
  <c r="W31" i="19"/>
  <c r="S31" i="19"/>
  <c r="A31" i="19"/>
  <c r="A30" i="19"/>
  <c r="A29" i="19"/>
  <c r="A28" i="19"/>
  <c r="A27" i="19"/>
  <c r="A26" i="19"/>
  <c r="A25" i="19"/>
  <c r="A24" i="19"/>
  <c r="A23" i="19"/>
  <c r="A22" i="19"/>
  <c r="A21" i="19"/>
  <c r="A20" i="19"/>
  <c r="A19" i="19"/>
  <c r="E18" i="19"/>
  <c r="A18" i="19"/>
  <c r="H17" i="19"/>
  <c r="A85" i="17"/>
  <c r="A84" i="17"/>
  <c r="A83" i="17"/>
  <c r="A82" i="17"/>
  <c r="A81" i="17"/>
  <c r="A80" i="17"/>
  <c r="A79" i="17"/>
  <c r="A78" i="17"/>
  <c r="A77" i="17"/>
  <c r="A75" i="17"/>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85" i="16"/>
  <c r="A84" i="16"/>
  <c r="A83" i="16"/>
  <c r="A82" i="16"/>
  <c r="A81" i="16"/>
  <c r="A80" i="16"/>
  <c r="A79" i="16"/>
  <c r="D78" i="16"/>
  <c r="A78" i="16"/>
  <c r="A77" i="16"/>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D45" i="13"/>
  <c r="A45" i="13"/>
  <c r="A44" i="13"/>
  <c r="A43" i="13"/>
  <c r="A42" i="13"/>
  <c r="A41" i="13"/>
  <c r="A40" i="13"/>
  <c r="A39" i="13"/>
  <c r="A38" i="13"/>
  <c r="A37" i="13"/>
  <c r="A36" i="13"/>
  <c r="A35" i="13"/>
  <c r="A34" i="13"/>
  <c r="A32" i="13"/>
  <c r="A31" i="13"/>
  <c r="D30" i="13"/>
  <c r="A30" i="13"/>
  <c r="A29" i="13"/>
  <c r="A28" i="13"/>
  <c r="A27" i="13"/>
  <c r="A26" i="13"/>
  <c r="A25" i="13"/>
  <c r="A24" i="13"/>
  <c r="A23" i="13"/>
  <c r="A22" i="13"/>
  <c r="D21" i="13"/>
  <c r="A21" i="13"/>
  <c r="A20" i="13"/>
  <c r="D19" i="13"/>
  <c r="A19" i="13"/>
  <c r="A18" i="13"/>
  <c r="A17" i="13"/>
  <c r="A16" i="13"/>
  <c r="A15" i="13"/>
  <c r="D14" i="13"/>
  <c r="A14" i="13"/>
  <c r="A13" i="13"/>
  <c r="H12" i="13"/>
  <c r="D12" i="13"/>
  <c r="A12" i="13"/>
  <c r="A48" i="9"/>
  <c r="A47" i="9"/>
  <c r="A46" i="9"/>
  <c r="A45" i="9"/>
  <c r="A44" i="9"/>
  <c r="A43" i="9"/>
  <c r="A42" i="9"/>
  <c r="D41" i="9"/>
  <c r="A41" i="9"/>
  <c r="A40" i="9"/>
  <c r="A38" i="9"/>
  <c r="A37" i="9"/>
  <c r="A36" i="9"/>
  <c r="A35" i="9"/>
  <c r="A34" i="9"/>
  <c r="A33" i="9"/>
  <c r="A32" i="9"/>
  <c r="A31" i="9"/>
  <c r="A30" i="9"/>
  <c r="A29" i="9"/>
  <c r="A28" i="9"/>
  <c r="A27" i="9"/>
  <c r="A25" i="9"/>
  <c r="A24" i="9"/>
  <c r="A23" i="9"/>
  <c r="A22" i="9"/>
  <c r="A21" i="9"/>
  <c r="A20" i="9"/>
  <c r="A19" i="9"/>
  <c r="A18" i="9"/>
  <c r="A17" i="9"/>
  <c r="A16" i="9"/>
  <c r="A15" i="9"/>
  <c r="A14" i="9"/>
  <c r="A13" i="9"/>
  <c r="A12" i="9"/>
  <c r="D85" i="8"/>
  <c r="A85" i="8"/>
  <c r="D84" i="8"/>
  <c r="A84" i="8"/>
  <c r="D83" i="8"/>
  <c r="A83" i="8"/>
  <c r="D82" i="8"/>
  <c r="A82" i="8"/>
  <c r="D81" i="8"/>
  <c r="A81" i="8"/>
  <c r="D80" i="8"/>
  <c r="A80" i="8"/>
  <c r="D79" i="8"/>
  <c r="A79" i="8"/>
  <c r="D78" i="8"/>
  <c r="A78" i="8"/>
  <c r="D77" i="8"/>
  <c r="A77" i="8"/>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86" i="7"/>
  <c r="A86" i="7"/>
  <c r="G85" i="7"/>
  <c r="A85" i="7"/>
  <c r="G84" i="7"/>
  <c r="A84" i="7"/>
  <c r="G83" i="7"/>
  <c r="A83" i="7"/>
  <c r="A81" i="7"/>
  <c r="G80" i="7"/>
  <c r="A80" i="7"/>
  <c r="A79" i="7"/>
  <c r="G78" i="7"/>
  <c r="D78" i="7"/>
  <c r="A78" i="7"/>
  <c r="A77" i="7"/>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77" i="4"/>
  <c r="H77" i="4"/>
  <c r="E77" i="4"/>
  <c r="I77" i="4" s="1"/>
  <c r="A77" i="4"/>
  <c r="N76" i="4"/>
  <c r="I76" i="4"/>
  <c r="H76" i="4"/>
  <c r="E76" i="4"/>
  <c r="A76" i="4"/>
  <c r="N75" i="4"/>
  <c r="H75" i="4"/>
  <c r="I75" i="4" s="1"/>
  <c r="E75" i="4"/>
  <c r="A75" i="4"/>
  <c r="N74" i="4"/>
  <c r="H74" i="4"/>
  <c r="E74" i="4"/>
  <c r="I74" i="4" s="1"/>
  <c r="A74" i="4"/>
  <c r="R73" i="4"/>
  <c r="Q73" i="4"/>
  <c r="N73" i="4"/>
  <c r="M73" i="4"/>
  <c r="J73" i="4"/>
  <c r="G73" i="4"/>
  <c r="H73" i="4" s="1"/>
  <c r="F73" i="4"/>
  <c r="E73" i="4"/>
  <c r="I73" i="4" s="1"/>
  <c r="C73" i="4"/>
  <c r="A73" i="4"/>
  <c r="R72" i="4"/>
  <c r="Q72" i="4"/>
  <c r="N72" i="4"/>
  <c r="M72" i="4"/>
  <c r="J72" i="4"/>
  <c r="H72" i="4"/>
  <c r="G72" i="4"/>
  <c r="F72" i="4"/>
  <c r="D72" i="4"/>
  <c r="C72" i="4"/>
  <c r="E72" i="4" s="1"/>
  <c r="I72" i="4" s="1"/>
  <c r="A72" i="4"/>
  <c r="R71" i="4"/>
  <c r="Q71" i="4"/>
  <c r="M71" i="4"/>
  <c r="J71" i="4"/>
  <c r="N71" i="4" s="1"/>
  <c r="G71" i="4"/>
  <c r="H71" i="4" s="1"/>
  <c r="F71" i="4"/>
  <c r="C71" i="4"/>
  <c r="E71" i="4" s="1"/>
  <c r="A71" i="4"/>
  <c r="R70" i="4"/>
  <c r="Q70" i="4"/>
  <c r="M70" i="4"/>
  <c r="J70" i="4"/>
  <c r="N70" i="4" s="1"/>
  <c r="H70" i="4"/>
  <c r="G70" i="4"/>
  <c r="F70" i="4"/>
  <c r="E70" i="4"/>
  <c r="I70" i="4" s="1"/>
  <c r="C70" i="4"/>
  <c r="A70" i="4"/>
  <c r="R69" i="4"/>
  <c r="Q69" i="4"/>
  <c r="M69" i="4"/>
  <c r="N69" i="4" s="1"/>
  <c r="J69" i="4"/>
  <c r="H69" i="4"/>
  <c r="G69" i="4"/>
  <c r="E69" i="4"/>
  <c r="I69" i="4" s="1"/>
  <c r="C69" i="4"/>
  <c r="A69" i="4"/>
  <c r="R68" i="4"/>
  <c r="Q68" i="4"/>
  <c r="N68" i="4"/>
  <c r="M68" i="4"/>
  <c r="J68" i="4"/>
  <c r="H68" i="4"/>
  <c r="G68" i="4"/>
  <c r="F68" i="4"/>
  <c r="E68" i="4"/>
  <c r="I68" i="4" s="1"/>
  <c r="C68" i="4"/>
  <c r="A68" i="4"/>
  <c r="R67" i="4"/>
  <c r="Q67" i="4"/>
  <c r="M67" i="4"/>
  <c r="J67" i="4"/>
  <c r="N67" i="4" s="1"/>
  <c r="G67" i="4"/>
  <c r="F67" i="4"/>
  <c r="H67" i="4" s="1"/>
  <c r="C67" i="4"/>
  <c r="E67" i="4" s="1"/>
  <c r="A67" i="4"/>
  <c r="R66" i="4"/>
  <c r="Q66" i="4"/>
  <c r="M66" i="4"/>
  <c r="N66" i="4" s="1"/>
  <c r="J66" i="4"/>
  <c r="G66" i="4"/>
  <c r="H66" i="4" s="1"/>
  <c r="F66" i="4"/>
  <c r="C66" i="4"/>
  <c r="E66" i="4" s="1"/>
  <c r="A66" i="4"/>
  <c r="R65" i="4"/>
  <c r="Q65" i="4"/>
  <c r="N65" i="4"/>
  <c r="M65" i="4"/>
  <c r="J65" i="4"/>
  <c r="G65" i="4"/>
  <c r="H65" i="4" s="1"/>
  <c r="F65" i="4"/>
  <c r="E65" i="4"/>
  <c r="C65" i="4"/>
  <c r="A65" i="4"/>
  <c r="R64" i="4"/>
  <c r="Q64" i="4"/>
  <c r="N64" i="4"/>
  <c r="M64" i="4"/>
  <c r="J64" i="4"/>
  <c r="H64" i="4"/>
  <c r="G64" i="4"/>
  <c r="F64" i="4"/>
  <c r="E64" i="4"/>
  <c r="I64" i="4" s="1"/>
  <c r="C64" i="4"/>
  <c r="A64" i="4"/>
  <c r="R63" i="4"/>
  <c r="Q63" i="4"/>
  <c r="M63" i="4"/>
  <c r="J63" i="4"/>
  <c r="N63" i="4" s="1"/>
  <c r="G63" i="4"/>
  <c r="F63" i="4"/>
  <c r="H63" i="4" s="1"/>
  <c r="C63" i="4"/>
  <c r="E63" i="4" s="1"/>
  <c r="A63" i="4"/>
  <c r="R62" i="4"/>
  <c r="Q62" i="4"/>
  <c r="M62" i="4"/>
  <c r="N62" i="4" s="1"/>
  <c r="J62" i="4"/>
  <c r="G62" i="4"/>
  <c r="H62" i="4" s="1"/>
  <c r="F62" i="4"/>
  <c r="C62" i="4"/>
  <c r="E62" i="4" s="1"/>
  <c r="I62" i="4" s="1"/>
  <c r="B62" i="4"/>
  <c r="A62" i="4"/>
  <c r="R61" i="4"/>
  <c r="Q61" i="4"/>
  <c r="M61" i="4"/>
  <c r="N61" i="4" s="1"/>
  <c r="J61" i="4"/>
  <c r="G61" i="4"/>
  <c r="F61" i="4"/>
  <c r="H61" i="4" s="1"/>
  <c r="C61" i="4"/>
  <c r="E61" i="4" s="1"/>
  <c r="I61" i="4" s="1"/>
  <c r="A61" i="4"/>
  <c r="R60" i="4"/>
  <c r="Q60" i="4"/>
  <c r="M60" i="4"/>
  <c r="J60" i="4"/>
  <c r="N60" i="4" s="1"/>
  <c r="G60" i="4"/>
  <c r="F60" i="4"/>
  <c r="H60" i="4" s="1"/>
  <c r="C60" i="4"/>
  <c r="E60" i="4" s="1"/>
  <c r="I60" i="4" s="1"/>
  <c r="A60" i="4"/>
  <c r="R59" i="4"/>
  <c r="Q59" i="4"/>
  <c r="M59" i="4"/>
  <c r="J59" i="4"/>
  <c r="N59" i="4" s="1"/>
  <c r="G59" i="4"/>
  <c r="H59" i="4" s="1"/>
  <c r="F59" i="4"/>
  <c r="C59" i="4"/>
  <c r="E59" i="4" s="1"/>
  <c r="I59" i="4" s="1"/>
  <c r="A59" i="4"/>
  <c r="R58" i="4"/>
  <c r="Q58" i="4"/>
  <c r="M58" i="4"/>
  <c r="J58" i="4"/>
  <c r="N58" i="4" s="1"/>
  <c r="H58" i="4"/>
  <c r="G58" i="4"/>
  <c r="F58" i="4"/>
  <c r="E58" i="4"/>
  <c r="I58" i="4" s="1"/>
  <c r="C58" i="4"/>
  <c r="A58" i="4"/>
  <c r="R57" i="4"/>
  <c r="Q57" i="4"/>
  <c r="M57" i="4"/>
  <c r="N57" i="4" s="1"/>
  <c r="J57" i="4"/>
  <c r="G57" i="4"/>
  <c r="F57" i="4"/>
  <c r="H57" i="4" s="1"/>
  <c r="C57" i="4"/>
  <c r="E57" i="4" s="1"/>
  <c r="A57" i="4"/>
  <c r="R56" i="4"/>
  <c r="Q56" i="4"/>
  <c r="M56" i="4"/>
  <c r="J56" i="4"/>
  <c r="N56" i="4" s="1"/>
  <c r="G56" i="4"/>
  <c r="F56" i="4"/>
  <c r="H56" i="4" s="1"/>
  <c r="C56" i="4"/>
  <c r="E56" i="4" s="1"/>
  <c r="A56" i="4"/>
  <c r="R55" i="4"/>
  <c r="Q55" i="4"/>
  <c r="M55" i="4"/>
  <c r="J55" i="4"/>
  <c r="N55" i="4" s="1"/>
  <c r="G55" i="4"/>
  <c r="H55" i="4" s="1"/>
  <c r="F55" i="4"/>
  <c r="C55" i="4"/>
  <c r="E55" i="4" s="1"/>
  <c r="A55" i="4"/>
  <c r="M54" i="4"/>
  <c r="N54" i="4" s="1"/>
  <c r="J54" i="4"/>
  <c r="G54" i="4"/>
  <c r="F54" i="4"/>
  <c r="H54" i="4" s="1"/>
  <c r="C54" i="4"/>
  <c r="E54" i="4" s="1"/>
  <c r="I54" i="4" s="1"/>
  <c r="A54" i="4"/>
  <c r="M53" i="4"/>
  <c r="J53" i="4"/>
  <c r="N53" i="4" s="1"/>
  <c r="G53" i="4"/>
  <c r="H53" i="4" s="1"/>
  <c r="F53" i="4"/>
  <c r="C53" i="4"/>
  <c r="E53" i="4" s="1"/>
  <c r="I53" i="4" s="1"/>
  <c r="A53" i="4"/>
  <c r="M52" i="4"/>
  <c r="N52" i="4" s="1"/>
  <c r="J52" i="4"/>
  <c r="H52" i="4"/>
  <c r="G52" i="4"/>
  <c r="E52" i="4"/>
  <c r="I52" i="4" s="1"/>
  <c r="C52" i="4"/>
  <c r="A52" i="4"/>
  <c r="M51" i="4"/>
  <c r="J51" i="4"/>
  <c r="N51" i="4" s="1"/>
  <c r="G51" i="4"/>
  <c r="H51" i="4" s="1"/>
  <c r="I51" i="4" s="1"/>
  <c r="E51" i="4"/>
  <c r="A51" i="4"/>
  <c r="N50" i="4"/>
  <c r="M50" i="4"/>
  <c r="J50" i="4"/>
  <c r="H50" i="4"/>
  <c r="I50" i="4" s="1"/>
  <c r="G50" i="4"/>
  <c r="E50" i="4"/>
  <c r="A50" i="4"/>
  <c r="N49" i="4"/>
  <c r="M49" i="4"/>
  <c r="J49" i="4"/>
  <c r="G49" i="4"/>
  <c r="H49" i="4" s="1"/>
  <c r="E49" i="4"/>
  <c r="A49" i="4"/>
  <c r="M48" i="4"/>
  <c r="N48" i="4" s="1"/>
  <c r="J48" i="4"/>
  <c r="G48" i="4"/>
  <c r="H48" i="4" s="1"/>
  <c r="I48" i="4" s="1"/>
  <c r="E48" i="4"/>
  <c r="A48" i="4"/>
  <c r="M47" i="4"/>
  <c r="J47" i="4"/>
  <c r="N47" i="4" s="1"/>
  <c r="G47" i="4"/>
  <c r="H47" i="4" s="1"/>
  <c r="I47" i="4" s="1"/>
  <c r="E47" i="4"/>
  <c r="A47" i="4"/>
  <c r="N46" i="4"/>
  <c r="M46" i="4"/>
  <c r="J46" i="4"/>
  <c r="H46" i="4"/>
  <c r="I46" i="4" s="1"/>
  <c r="G46" i="4"/>
  <c r="E46" i="4"/>
  <c r="A46" i="4"/>
  <c r="N45" i="4"/>
  <c r="M45" i="4"/>
  <c r="J45" i="4"/>
  <c r="G45" i="4"/>
  <c r="H45" i="4" s="1"/>
  <c r="E45" i="4"/>
  <c r="I45" i="4" s="1"/>
  <c r="A45" i="4"/>
  <c r="M44" i="4"/>
  <c r="N44" i="4" s="1"/>
  <c r="J44" i="4"/>
  <c r="G44" i="4"/>
  <c r="H44" i="4" s="1"/>
  <c r="I44" i="4" s="1"/>
  <c r="F44" i="4"/>
  <c r="E44" i="4"/>
  <c r="A44" i="4"/>
  <c r="M43" i="4"/>
  <c r="J43" i="4"/>
  <c r="N43" i="4" s="1"/>
  <c r="G43" i="4"/>
  <c r="H43" i="4" s="1"/>
  <c r="F43" i="4"/>
  <c r="E43" i="4"/>
  <c r="A43" i="4"/>
  <c r="N42" i="4"/>
  <c r="M42" i="4"/>
  <c r="J42" i="4"/>
  <c r="G42" i="4"/>
  <c r="H42" i="4" s="1"/>
  <c r="F42" i="4"/>
  <c r="E42" i="4"/>
  <c r="I42" i="4" s="1"/>
  <c r="A42" i="4"/>
  <c r="M41" i="4"/>
  <c r="J41" i="4"/>
  <c r="N41" i="4" s="1"/>
  <c r="H41" i="4"/>
  <c r="G41" i="4"/>
  <c r="F41" i="4"/>
  <c r="E41" i="4"/>
  <c r="I41" i="4" s="1"/>
  <c r="A41" i="4"/>
  <c r="N40" i="4"/>
  <c r="M40" i="4"/>
  <c r="J40" i="4"/>
  <c r="H40" i="4"/>
  <c r="G40" i="4"/>
  <c r="F40" i="4"/>
  <c r="E40" i="4"/>
  <c r="I40" i="4" s="1"/>
  <c r="A40" i="4"/>
  <c r="M39" i="4"/>
  <c r="N39" i="4" s="1"/>
  <c r="J39" i="4"/>
  <c r="G39" i="4"/>
  <c r="F39" i="4"/>
  <c r="H39" i="4" s="1"/>
  <c r="I39" i="4" s="1"/>
  <c r="E39" i="4"/>
  <c r="A39" i="4"/>
  <c r="M38" i="4"/>
  <c r="J38" i="4"/>
  <c r="N38" i="4" s="1"/>
  <c r="G38" i="4"/>
  <c r="F38" i="4"/>
  <c r="H38" i="4" s="1"/>
  <c r="I38" i="4" s="1"/>
  <c r="E38" i="4"/>
  <c r="A38" i="4"/>
  <c r="M37" i="4"/>
  <c r="J37" i="4"/>
  <c r="N37" i="4" s="1"/>
  <c r="G37" i="4"/>
  <c r="F37" i="4"/>
  <c r="H37" i="4" s="1"/>
  <c r="I37" i="4" s="1"/>
  <c r="E37" i="4"/>
  <c r="A37" i="4"/>
  <c r="M36" i="4"/>
  <c r="N36" i="4" s="1"/>
  <c r="J36" i="4"/>
  <c r="G36" i="4"/>
  <c r="H36" i="4" s="1"/>
  <c r="I36" i="4" s="1"/>
  <c r="F36" i="4"/>
  <c r="E36" i="4"/>
  <c r="A36" i="4"/>
  <c r="M35" i="4"/>
  <c r="J35" i="4"/>
  <c r="N35" i="4" s="1"/>
  <c r="G35" i="4"/>
  <c r="H35" i="4" s="1"/>
  <c r="F35" i="4"/>
  <c r="E35" i="4"/>
  <c r="I35" i="4" s="1"/>
  <c r="A35" i="4"/>
  <c r="P34" i="4"/>
  <c r="M34" i="4"/>
  <c r="N34" i="4" s="1"/>
  <c r="J34" i="4"/>
  <c r="G34" i="4"/>
  <c r="F34" i="4"/>
  <c r="H34" i="4" s="1"/>
  <c r="I34" i="4" s="1"/>
  <c r="E34" i="4"/>
  <c r="A34" i="4"/>
  <c r="M33" i="4"/>
  <c r="J33" i="4"/>
  <c r="N33" i="4" s="1"/>
  <c r="G33" i="4"/>
  <c r="F33" i="4"/>
  <c r="H33" i="4" s="1"/>
  <c r="I33" i="4" s="1"/>
  <c r="E33" i="4"/>
  <c r="A33" i="4"/>
  <c r="P32" i="4"/>
  <c r="N32" i="4"/>
  <c r="M32" i="4"/>
  <c r="J32" i="4"/>
  <c r="G32" i="4"/>
  <c r="H32" i="4" s="1"/>
  <c r="F32" i="4"/>
  <c r="E32" i="4"/>
  <c r="A32" i="4"/>
  <c r="P31" i="4"/>
  <c r="M31" i="4"/>
  <c r="J31" i="4"/>
  <c r="N31" i="4" s="1"/>
  <c r="G31" i="4"/>
  <c r="F31" i="4"/>
  <c r="H31" i="4" s="1"/>
  <c r="I31" i="4" s="1"/>
  <c r="E31" i="4"/>
  <c r="A31" i="4"/>
  <c r="P30" i="4"/>
  <c r="N30" i="4"/>
  <c r="M30" i="4"/>
  <c r="J30" i="4"/>
  <c r="G30" i="4"/>
  <c r="H30" i="4" s="1"/>
  <c r="F30" i="4"/>
  <c r="E30" i="4"/>
  <c r="A30" i="4"/>
  <c r="P29" i="4"/>
  <c r="M29" i="4"/>
  <c r="J29" i="4"/>
  <c r="N29" i="4" s="1"/>
  <c r="G29" i="4"/>
  <c r="F29" i="4"/>
  <c r="H29" i="4" s="1"/>
  <c r="I29" i="4" s="1"/>
  <c r="E29" i="4"/>
  <c r="A29" i="4"/>
  <c r="P28" i="4"/>
  <c r="N28" i="4"/>
  <c r="M28" i="4"/>
  <c r="J28" i="4"/>
  <c r="G28" i="4"/>
  <c r="H28" i="4" s="1"/>
  <c r="F28" i="4"/>
  <c r="E28" i="4"/>
  <c r="I28" i="4" s="1"/>
  <c r="D28" i="4"/>
  <c r="C28" i="4"/>
  <c r="A28" i="4"/>
  <c r="P27" i="4"/>
  <c r="N27" i="4"/>
  <c r="M27" i="4"/>
  <c r="J27" i="4"/>
  <c r="H27" i="4"/>
  <c r="G27" i="4"/>
  <c r="F27" i="4"/>
  <c r="D27" i="4"/>
  <c r="C27" i="4"/>
  <c r="E27" i="4" s="1"/>
  <c r="I27" i="4" s="1"/>
  <c r="A27" i="4"/>
  <c r="P26" i="4"/>
  <c r="M26" i="4"/>
  <c r="J26" i="4"/>
  <c r="N26" i="4" s="1"/>
  <c r="G26" i="4"/>
  <c r="F26" i="4"/>
  <c r="H26" i="4" s="1"/>
  <c r="I26" i="4" s="1"/>
  <c r="E26" i="4"/>
  <c r="A26" i="4"/>
  <c r="P25" i="4"/>
  <c r="N25" i="4"/>
  <c r="M25" i="4"/>
  <c r="J25" i="4"/>
  <c r="G25" i="4"/>
  <c r="H25" i="4" s="1"/>
  <c r="F25" i="4"/>
  <c r="E25" i="4"/>
  <c r="A25" i="4"/>
  <c r="P24" i="4"/>
  <c r="M24" i="4"/>
  <c r="J24" i="4"/>
  <c r="N24" i="4" s="1"/>
  <c r="G24" i="4"/>
  <c r="F24" i="4"/>
  <c r="H24" i="4" s="1"/>
  <c r="I24" i="4" s="1"/>
  <c r="E24" i="4"/>
  <c r="A24" i="4"/>
  <c r="P23" i="4"/>
  <c r="N23" i="4"/>
  <c r="M23" i="4"/>
  <c r="J23" i="4"/>
  <c r="G23" i="4"/>
  <c r="H23" i="4" s="1"/>
  <c r="F23" i="4"/>
  <c r="E23" i="4"/>
  <c r="A23" i="4"/>
  <c r="P22" i="4"/>
  <c r="M22" i="4"/>
  <c r="J22" i="4"/>
  <c r="N22" i="4" s="1"/>
  <c r="G22" i="4"/>
  <c r="F22" i="4"/>
  <c r="H22" i="4" s="1"/>
  <c r="I22" i="4" s="1"/>
  <c r="E22" i="4"/>
  <c r="A22" i="4"/>
  <c r="P21" i="4"/>
  <c r="N21" i="4"/>
  <c r="M21" i="4"/>
  <c r="J21" i="4"/>
  <c r="G21" i="4"/>
  <c r="H21" i="4" s="1"/>
  <c r="F21" i="4"/>
  <c r="E21" i="4"/>
  <c r="A21" i="4"/>
  <c r="P20" i="4"/>
  <c r="M20" i="4"/>
  <c r="J20" i="4"/>
  <c r="N20" i="4" s="1"/>
  <c r="G20" i="4"/>
  <c r="H20" i="4" s="1"/>
  <c r="I20" i="4" s="1"/>
  <c r="E20" i="4"/>
  <c r="A20" i="4"/>
  <c r="P19" i="4"/>
  <c r="M19" i="4"/>
  <c r="J19" i="4"/>
  <c r="N19" i="4" s="1"/>
  <c r="G19" i="4"/>
  <c r="F19" i="4"/>
  <c r="H19" i="4" s="1"/>
  <c r="I19" i="4" s="1"/>
  <c r="E19" i="4"/>
  <c r="A19" i="4"/>
  <c r="P18" i="4"/>
  <c r="M18" i="4"/>
  <c r="J18" i="4"/>
  <c r="N18" i="4" s="1"/>
  <c r="H18" i="4"/>
  <c r="G18" i="4"/>
  <c r="F18" i="4"/>
  <c r="E18" i="4"/>
  <c r="I18" i="4" s="1"/>
  <c r="A18" i="4"/>
  <c r="P17" i="4"/>
  <c r="M17" i="4"/>
  <c r="J17" i="4"/>
  <c r="N17" i="4" s="1"/>
  <c r="G17" i="4"/>
  <c r="F17" i="4"/>
  <c r="H17" i="4" s="1"/>
  <c r="I17" i="4" s="1"/>
  <c r="E17" i="4"/>
  <c r="A17" i="4"/>
  <c r="P16" i="4"/>
  <c r="M16" i="4"/>
  <c r="J16" i="4"/>
  <c r="N16" i="4" s="1"/>
  <c r="H16" i="4"/>
  <c r="G16" i="4"/>
  <c r="F16" i="4"/>
  <c r="E16" i="4"/>
  <c r="I16" i="4" s="1"/>
  <c r="A16" i="4"/>
  <c r="P15" i="4"/>
  <c r="M15" i="4"/>
  <c r="J15" i="4"/>
  <c r="N15" i="4" s="1"/>
  <c r="G15" i="4"/>
  <c r="F15" i="4"/>
  <c r="H15" i="4" s="1"/>
  <c r="I15" i="4" s="1"/>
  <c r="E15" i="4"/>
  <c r="A15" i="4"/>
  <c r="P14" i="4"/>
  <c r="M14" i="4"/>
  <c r="J14" i="4"/>
  <c r="N14" i="4" s="1"/>
  <c r="H14" i="4"/>
  <c r="G14" i="4"/>
  <c r="F14" i="4"/>
  <c r="E14" i="4"/>
  <c r="I14" i="4" s="1"/>
  <c r="A14" i="4"/>
  <c r="P13" i="4"/>
  <c r="M13" i="4"/>
  <c r="J13" i="4"/>
  <c r="N13" i="4" s="1"/>
  <c r="G13" i="4"/>
  <c r="F13" i="4"/>
  <c r="H13" i="4" s="1"/>
  <c r="I13" i="4" s="1"/>
  <c r="E13" i="4"/>
  <c r="A13" i="4"/>
  <c r="P12" i="4"/>
  <c r="M12" i="4"/>
  <c r="J12" i="4"/>
  <c r="N12" i="4" s="1"/>
  <c r="H12" i="4"/>
  <c r="G12" i="4"/>
  <c r="F12" i="4"/>
  <c r="E12" i="4"/>
  <c r="I12" i="4" s="1"/>
  <c r="A12" i="4"/>
  <c r="P11" i="4"/>
  <c r="M11" i="4"/>
  <c r="J11" i="4"/>
  <c r="N11" i="4" s="1"/>
  <c r="G11" i="4"/>
  <c r="F11" i="4"/>
  <c r="H11" i="4" s="1"/>
  <c r="I11" i="4" s="1"/>
  <c r="E11" i="4"/>
  <c r="A11" i="4"/>
  <c r="P10" i="4"/>
  <c r="M10" i="4"/>
  <c r="J10" i="4"/>
  <c r="N10" i="4" s="1"/>
  <c r="H10" i="4"/>
  <c r="G10" i="4"/>
  <c r="F10" i="4"/>
  <c r="E10" i="4"/>
  <c r="I10" i="4" s="1"/>
  <c r="A10" i="4"/>
  <c r="P9" i="4"/>
  <c r="M9" i="4"/>
  <c r="J9" i="4"/>
  <c r="N9" i="4" s="1"/>
  <c r="G9" i="4"/>
  <c r="F9" i="4"/>
  <c r="H9" i="4" s="1"/>
  <c r="I9" i="4" s="1"/>
  <c r="E9" i="4"/>
  <c r="A9" i="4"/>
  <c r="P8" i="4"/>
  <c r="M8" i="4"/>
  <c r="J8" i="4"/>
  <c r="N8" i="4" s="1"/>
  <c r="H8" i="4"/>
  <c r="G8" i="4"/>
  <c r="F8" i="4"/>
  <c r="E8" i="4"/>
  <c r="I8" i="4" s="1"/>
  <c r="A8" i="4"/>
  <c r="P7" i="4"/>
  <c r="M7" i="4"/>
  <c r="J7" i="4"/>
  <c r="N7" i="4" s="1"/>
  <c r="G7" i="4"/>
  <c r="F7" i="4"/>
  <c r="H7" i="4" s="1"/>
  <c r="I7" i="4" s="1"/>
  <c r="E7" i="4"/>
  <c r="A7" i="4"/>
  <c r="P6" i="4"/>
  <c r="M6" i="4"/>
  <c r="J6" i="4"/>
  <c r="N6" i="4" s="1"/>
  <c r="H6" i="4"/>
  <c r="G6" i="4"/>
  <c r="F6" i="4"/>
  <c r="E6" i="4"/>
  <c r="I6" i="4" s="1"/>
  <c r="A6" i="4"/>
  <c r="P5" i="4"/>
  <c r="M5" i="4"/>
  <c r="J5" i="4"/>
  <c r="N5" i="4" s="1"/>
  <c r="G5" i="4"/>
  <c r="F5" i="4"/>
  <c r="H5" i="4" s="1"/>
  <c r="I5" i="4" s="1"/>
  <c r="E5" i="4"/>
  <c r="A5" i="4"/>
  <c r="B89" i="3"/>
  <c r="B90" i="3" s="1"/>
  <c r="B91" i="3" s="1"/>
  <c r="B92" i="3" s="1"/>
  <c r="B93" i="3" s="1"/>
  <c r="B87" i="3"/>
  <c r="B86" i="3"/>
  <c r="B84" i="3"/>
  <c r="B83" i="3"/>
  <c r="B81" i="3"/>
  <c r="B80" i="3"/>
  <c r="B77" i="3"/>
  <c r="B78" i="3" s="1"/>
  <c r="B75" i="3"/>
  <c r="B74" i="3"/>
  <c r="B72" i="3"/>
  <c r="B71" i="3"/>
  <c r="B69" i="3"/>
  <c r="B68" i="3"/>
  <c r="B65" i="3"/>
  <c r="B66" i="3" s="1"/>
  <c r="B63" i="3"/>
  <c r="B62" i="3"/>
  <c r="B54" i="3"/>
  <c r="F12" i="9" s="1"/>
  <c r="H12" i="9" s="1"/>
  <c r="B53" i="3"/>
  <c r="B51" i="3"/>
  <c r="B50" i="3"/>
  <c r="B12" i="3"/>
  <c r="B13" i="3" s="1"/>
  <c r="B14" i="3" s="1"/>
  <c r="B15" i="3" s="1"/>
  <c r="B16" i="3" s="1"/>
  <c r="B17" i="3" s="1"/>
  <c r="B18" i="3" s="1"/>
  <c r="B19" i="3" s="1"/>
  <c r="B20" i="3" s="1"/>
  <c r="B11" i="3"/>
  <c r="K7" i="4" l="1"/>
  <c r="O7" i="4" s="1"/>
  <c r="K29" i="4"/>
  <c r="O29" i="4" s="1"/>
  <c r="C34" i="19"/>
  <c r="E34" i="19" s="1"/>
  <c r="C32" i="21"/>
  <c r="E32" i="21" s="1"/>
  <c r="K54" i="4"/>
  <c r="O54" i="4" s="1"/>
  <c r="C41" i="19"/>
  <c r="E41" i="19" s="1"/>
  <c r="C39" i="21"/>
  <c r="E39" i="21" s="1"/>
  <c r="K61" i="4"/>
  <c r="O61" i="4" s="1"/>
  <c r="F12" i="16"/>
  <c r="H12" i="16" s="1"/>
  <c r="F12" i="14"/>
  <c r="H12" i="14" s="1"/>
  <c r="F12" i="8"/>
  <c r="H12" i="8" s="1"/>
  <c r="F12" i="7"/>
  <c r="H12" i="7" s="1"/>
  <c r="B21" i="3"/>
  <c r="K5" i="4"/>
  <c r="O5" i="4" s="1"/>
  <c r="K18" i="4"/>
  <c r="O18" i="4" s="1"/>
  <c r="K20" i="4"/>
  <c r="O20" i="4" s="1"/>
  <c r="I49" i="4"/>
  <c r="C29" i="19"/>
  <c r="E29" i="19" s="1"/>
  <c r="C27" i="21"/>
  <c r="E27" i="21" s="1"/>
  <c r="K50" i="4"/>
  <c r="O50" i="4" s="1"/>
  <c r="C42" i="19"/>
  <c r="E42" i="19" s="1"/>
  <c r="C40" i="21"/>
  <c r="E40" i="21" s="1"/>
  <c r="K62" i="4"/>
  <c r="O62" i="4" s="1"/>
  <c r="I63" i="4"/>
  <c r="K74" i="4"/>
  <c r="O74" i="4" s="1"/>
  <c r="C39" i="19"/>
  <c r="E39" i="19" s="1"/>
  <c r="C37" i="21"/>
  <c r="E37" i="21" s="1"/>
  <c r="K59" i="4"/>
  <c r="O59" i="4" s="1"/>
  <c r="C52" i="21"/>
  <c r="E52" i="21" s="1"/>
  <c r="C17" i="20"/>
  <c r="E17" i="20" s="1"/>
  <c r="C54" i="19"/>
  <c r="E54" i="19" s="1"/>
  <c r="K73" i="4"/>
  <c r="O73" i="4" s="1"/>
  <c r="K36" i="4"/>
  <c r="O36" i="4" s="1"/>
  <c r="C24" i="19"/>
  <c r="E24" i="19" s="1"/>
  <c r="C22" i="21"/>
  <c r="E22" i="21" s="1"/>
  <c r="K45" i="4"/>
  <c r="O45" i="4" s="1"/>
  <c r="C33" i="19"/>
  <c r="C31" i="21"/>
  <c r="K53" i="4"/>
  <c r="O53" i="4" s="1"/>
  <c r="C44" i="19"/>
  <c r="E44" i="19" s="1"/>
  <c r="C42" i="21"/>
  <c r="E42" i="21" s="1"/>
  <c r="K64" i="4"/>
  <c r="O64" i="4" s="1"/>
  <c r="C48" i="21"/>
  <c r="E48" i="21" s="1"/>
  <c r="C50" i="19"/>
  <c r="E50" i="19" s="1"/>
  <c r="K69" i="4"/>
  <c r="O69" i="4" s="1"/>
  <c r="K14" i="4"/>
  <c r="O14" i="4" s="1"/>
  <c r="K17" i="4"/>
  <c r="O17" i="4" s="1"/>
  <c r="K27" i="4"/>
  <c r="O27" i="4" s="1"/>
  <c r="C18" i="19"/>
  <c r="K39" i="4"/>
  <c r="O39" i="4" s="1"/>
  <c r="C49" i="21"/>
  <c r="E49" i="21" s="1"/>
  <c r="C51" i="19"/>
  <c r="E51" i="19" s="1"/>
  <c r="K70" i="4"/>
  <c r="O70" i="4" s="1"/>
  <c r="C20" i="19"/>
  <c r="E20" i="19" s="1"/>
  <c r="C18" i="21"/>
  <c r="K41" i="4"/>
  <c r="O41" i="4" s="1"/>
  <c r="C40" i="19"/>
  <c r="E40" i="19" s="1"/>
  <c r="C38" i="21"/>
  <c r="E38" i="21" s="1"/>
  <c r="K60" i="4"/>
  <c r="O60" i="4" s="1"/>
  <c r="K35" i="4"/>
  <c r="O35" i="4" s="1"/>
  <c r="C25" i="19"/>
  <c r="E25" i="19" s="1"/>
  <c r="C23" i="21"/>
  <c r="E23" i="21" s="1"/>
  <c r="K46" i="4"/>
  <c r="O46" i="4" s="1"/>
  <c r="K12" i="4"/>
  <c r="O12" i="4" s="1"/>
  <c r="K15" i="4"/>
  <c r="O15" i="4" s="1"/>
  <c r="I25" i="4"/>
  <c r="K34" i="4"/>
  <c r="O34" i="4" s="1"/>
  <c r="C31" i="19"/>
  <c r="E31" i="19" s="1"/>
  <c r="C29" i="21"/>
  <c r="E29" i="21" s="1"/>
  <c r="K52" i="4"/>
  <c r="O52" i="4" s="1"/>
  <c r="I71" i="4"/>
  <c r="C51" i="21"/>
  <c r="E51" i="21" s="1"/>
  <c r="C16" i="20"/>
  <c r="E16" i="20" s="1"/>
  <c r="C53" i="19"/>
  <c r="E53" i="19" s="1"/>
  <c r="K72" i="4"/>
  <c r="O72" i="4" s="1"/>
  <c r="C19" i="19"/>
  <c r="E19" i="19" s="1"/>
  <c r="K40" i="4"/>
  <c r="O40" i="4" s="1"/>
  <c r="K19" i="4"/>
  <c r="O19" i="4" s="1"/>
  <c r="F13" i="9"/>
  <c r="H13" i="9" s="1"/>
  <c r="K10" i="4"/>
  <c r="O10" i="4" s="1"/>
  <c r="K13" i="4"/>
  <c r="O13" i="4" s="1"/>
  <c r="I23" i="4"/>
  <c r="K26" i="4"/>
  <c r="O26" i="4" s="1"/>
  <c r="I32" i="4"/>
  <c r="K38" i="4"/>
  <c r="O38" i="4" s="1"/>
  <c r="C27" i="19"/>
  <c r="E27" i="19" s="1"/>
  <c r="C25" i="21"/>
  <c r="E25" i="21" s="1"/>
  <c r="K48" i="4"/>
  <c r="O48" i="4" s="1"/>
  <c r="I65" i="4"/>
  <c r="K16" i="4"/>
  <c r="O16" i="4" s="1"/>
  <c r="K8" i="4"/>
  <c r="O8" i="4" s="1"/>
  <c r="K11" i="4"/>
  <c r="O11" i="4" s="1"/>
  <c r="I21" i="4"/>
  <c r="K24" i="4"/>
  <c r="O24" i="4" s="1"/>
  <c r="I30" i="4"/>
  <c r="K33" i="4"/>
  <c r="O33" i="4" s="1"/>
  <c r="I43" i="4"/>
  <c r="C23" i="19"/>
  <c r="E23" i="19" s="1"/>
  <c r="C21" i="21"/>
  <c r="E21" i="21" s="1"/>
  <c r="K44" i="4"/>
  <c r="O44" i="4" s="1"/>
  <c r="I55" i="4"/>
  <c r="I56" i="4"/>
  <c r="I57" i="4"/>
  <c r="I66" i="4"/>
  <c r="I67" i="4"/>
  <c r="K75" i="4"/>
  <c r="O75" i="4" s="1"/>
  <c r="K77" i="4"/>
  <c r="O77" i="4" s="1"/>
  <c r="C26" i="19"/>
  <c r="E26" i="19" s="1"/>
  <c r="C24" i="21"/>
  <c r="E24" i="21" s="1"/>
  <c r="K47" i="4"/>
  <c r="O47" i="4" s="1"/>
  <c r="K6" i="4"/>
  <c r="O6" i="4" s="1"/>
  <c r="K9" i="4"/>
  <c r="O9" i="4" s="1"/>
  <c r="K22" i="4"/>
  <c r="O22" i="4" s="1"/>
  <c r="K28" i="4"/>
  <c r="O28" i="4" s="1"/>
  <c r="K31" i="4"/>
  <c r="O31" i="4" s="1"/>
  <c r="K37" i="4"/>
  <c r="O37" i="4" s="1"/>
  <c r="C21" i="19"/>
  <c r="E21" i="19" s="1"/>
  <c r="C19" i="21"/>
  <c r="E19" i="21" s="1"/>
  <c r="K42" i="4"/>
  <c r="O42" i="4" s="1"/>
  <c r="C30" i="19"/>
  <c r="E30" i="19" s="1"/>
  <c r="C28" i="21"/>
  <c r="E28" i="21" s="1"/>
  <c r="K51" i="4"/>
  <c r="O51" i="4" s="1"/>
  <c r="C38" i="19"/>
  <c r="E38" i="19" s="1"/>
  <c r="C36" i="21"/>
  <c r="E36" i="21" s="1"/>
  <c r="K58" i="4"/>
  <c r="O58" i="4" s="1"/>
  <c r="C47" i="21"/>
  <c r="E47" i="21" s="1"/>
  <c r="C49" i="19"/>
  <c r="E49" i="19" s="1"/>
  <c r="K68" i="4"/>
  <c r="O68" i="4" s="1"/>
  <c r="B55" i="3"/>
  <c r="B56" i="3" s="1"/>
  <c r="B57" i="3" s="1"/>
  <c r="B58" i="3" s="1"/>
  <c r="B59" i="3" s="1"/>
  <c r="B60" i="3" s="1"/>
  <c r="K76" i="4"/>
  <c r="O76" i="4" s="1"/>
  <c r="F12" i="15"/>
  <c r="H12" i="15" s="1"/>
  <c r="F18" i="21"/>
  <c r="H18" i="21" s="1"/>
  <c r="H13" i="13"/>
  <c r="R33" i="19"/>
  <c r="W32" i="19"/>
  <c r="R15" i="20"/>
  <c r="T13" i="20"/>
  <c r="T15" i="20" s="1"/>
  <c r="H15" i="23"/>
  <c r="F12" i="17"/>
  <c r="H12" i="17" s="1"/>
  <c r="W33" i="19"/>
  <c r="Q46" i="19"/>
  <c r="W45" i="19"/>
  <c r="E46" i="19" s="1"/>
  <c r="F18" i="19"/>
  <c r="H18" i="19" s="1"/>
  <c r="F14" i="9" l="1"/>
  <c r="H14" i="9" s="1"/>
  <c r="C45" i="21"/>
  <c r="E45" i="21" s="1"/>
  <c r="C47" i="19"/>
  <c r="E47" i="19" s="1"/>
  <c r="K66" i="4"/>
  <c r="O66" i="4" s="1"/>
  <c r="K23" i="4"/>
  <c r="O23" i="4" s="1"/>
  <c r="C28" i="19"/>
  <c r="E28" i="19" s="1"/>
  <c r="C26" i="21"/>
  <c r="E26" i="21" s="1"/>
  <c r="K49" i="4"/>
  <c r="O49" i="4" s="1"/>
  <c r="F13" i="8"/>
  <c r="H13" i="8" s="1"/>
  <c r="W46" i="19"/>
  <c r="H16" i="23"/>
  <c r="C37" i="19"/>
  <c r="E37" i="19" s="1"/>
  <c r="C35" i="21"/>
  <c r="E35" i="21" s="1"/>
  <c r="K57" i="4"/>
  <c r="O57" i="4" s="1"/>
  <c r="C43" i="19"/>
  <c r="E43" i="19" s="1"/>
  <c r="C41" i="21"/>
  <c r="E41" i="21" s="1"/>
  <c r="K63" i="4"/>
  <c r="O63" i="4" s="1"/>
  <c r="F13" i="14"/>
  <c r="H13" i="14" s="1"/>
  <c r="F13" i="17"/>
  <c r="H13" i="17" s="1"/>
  <c r="F19" i="21"/>
  <c r="H19" i="21" s="1"/>
  <c r="C35" i="19"/>
  <c r="E35" i="19" s="1"/>
  <c r="C33" i="21"/>
  <c r="E33" i="21" s="1"/>
  <c r="K55" i="4"/>
  <c r="O55" i="4" s="1"/>
  <c r="K30" i="4"/>
  <c r="O30" i="4" s="1"/>
  <c r="F19" i="19"/>
  <c r="H19" i="19" s="1"/>
  <c r="H14" i="13"/>
  <c r="C36" i="19"/>
  <c r="E36" i="19" s="1"/>
  <c r="C34" i="21"/>
  <c r="E34" i="21" s="1"/>
  <c r="K56" i="4"/>
  <c r="O56" i="4" s="1"/>
  <c r="F13" i="15"/>
  <c r="H13" i="15" s="1"/>
  <c r="E14" i="20"/>
  <c r="H14" i="20" s="1"/>
  <c r="K32" i="4"/>
  <c r="O32" i="4" s="1"/>
  <c r="F13" i="16"/>
  <c r="H13" i="16" s="1"/>
  <c r="E44" i="21"/>
  <c r="C44" i="21"/>
  <c r="C46" i="19"/>
  <c r="K65" i="4"/>
  <c r="O65" i="4" s="1"/>
  <c r="K25" i="4"/>
  <c r="O25" i="4" s="1"/>
  <c r="C15" i="20"/>
  <c r="E15" i="20" s="1"/>
  <c r="C52" i="19"/>
  <c r="E52" i="19" s="1"/>
  <c r="C50" i="21"/>
  <c r="E50" i="21" s="1"/>
  <c r="K71" i="4"/>
  <c r="O71" i="4" s="1"/>
  <c r="B22" i="3"/>
  <c r="B23" i="3" s="1"/>
  <c r="B24" i="3" s="1"/>
  <c r="B25" i="3" s="1"/>
  <c r="B26" i="3" s="1"/>
  <c r="B27" i="3" s="1"/>
  <c r="B28" i="3" s="1"/>
  <c r="B29" i="3" s="1"/>
  <c r="B30" i="3" s="1"/>
  <c r="B31" i="3" s="1"/>
  <c r="B32" i="3" s="1"/>
  <c r="C48" i="19"/>
  <c r="E48" i="19" s="1"/>
  <c r="C46" i="21"/>
  <c r="E46" i="21" s="1"/>
  <c r="K67" i="4"/>
  <c r="O67" i="4" s="1"/>
  <c r="C22" i="19"/>
  <c r="E22" i="19" s="1"/>
  <c r="C20" i="21"/>
  <c r="E20" i="21" s="1"/>
  <c r="K43" i="4"/>
  <c r="O43" i="4" s="1"/>
  <c r="K21" i="4"/>
  <c r="O21" i="4" s="1"/>
  <c r="F13" i="7"/>
  <c r="H13" i="7" s="1"/>
  <c r="F20" i="21" l="1"/>
  <c r="H20" i="21" s="1"/>
  <c r="F14" i="14"/>
  <c r="H14" i="14" s="1"/>
  <c r="F14" i="17"/>
  <c r="H14" i="17" s="1"/>
  <c r="F14" i="7"/>
  <c r="H14" i="7" s="1"/>
  <c r="F20" i="19"/>
  <c r="H20" i="19" s="1"/>
  <c r="F15" i="9"/>
  <c r="H15" i="9" s="1"/>
  <c r="F14" i="8"/>
  <c r="H14" i="8" s="1"/>
  <c r="F14" i="15"/>
  <c r="H14" i="15" s="1"/>
  <c r="F14" i="16"/>
  <c r="H14" i="16" s="1"/>
  <c r="H17" i="23"/>
  <c r="H15" i="13"/>
  <c r="B33" i="3"/>
  <c r="B34" i="3" s="1"/>
  <c r="B35" i="3" s="1"/>
  <c r="B36" i="3" s="1"/>
  <c r="B37" i="3" s="1"/>
  <c r="B38" i="3" s="1"/>
  <c r="B39" i="3" s="1"/>
  <c r="B40" i="3" s="1"/>
  <c r="B41" i="3" s="1"/>
  <c r="B42" i="3" s="1"/>
  <c r="F15" i="20"/>
  <c r="H15" i="20" s="1"/>
  <c r="F15" i="17" l="1"/>
  <c r="H15" i="17" s="1"/>
  <c r="F21" i="21"/>
  <c r="H21" i="21" s="1"/>
  <c r="F15" i="8"/>
  <c r="H15" i="8" s="1"/>
  <c r="F15" i="16"/>
  <c r="H15" i="16" s="1"/>
  <c r="F15" i="15"/>
  <c r="H15" i="15" s="1"/>
  <c r="F15" i="7"/>
  <c r="H15" i="7" s="1"/>
  <c r="F15" i="14"/>
  <c r="H15" i="14" s="1"/>
  <c r="F16" i="9"/>
  <c r="H16" i="9" s="1"/>
  <c r="H16" i="13"/>
  <c r="B43" i="3"/>
  <c r="B44" i="3" s="1"/>
  <c r="B45" i="3" s="1"/>
  <c r="F21" i="19"/>
  <c r="H21" i="19" s="1"/>
  <c r="F16" i="20"/>
  <c r="H16" i="20" s="1"/>
  <c r="H18" i="23"/>
  <c r="F17" i="9" l="1"/>
  <c r="H17" i="9" s="1"/>
  <c r="F16" i="14"/>
  <c r="H16" i="14" s="1"/>
  <c r="F22" i="19"/>
  <c r="H22" i="19" s="1"/>
  <c r="F16" i="17"/>
  <c r="H16" i="17" s="1"/>
  <c r="F16" i="15"/>
  <c r="H16" i="15" s="1"/>
  <c r="F16" i="16"/>
  <c r="H16" i="16" s="1"/>
  <c r="F22" i="21"/>
  <c r="H22" i="21" s="1"/>
  <c r="F17" i="20"/>
  <c r="B46" i="3"/>
  <c r="B47" i="3" s="1"/>
  <c r="B48" i="3" s="1"/>
  <c r="F16" i="7"/>
  <c r="H16" i="7" s="1"/>
  <c r="F16" i="8"/>
  <c r="H16" i="8" s="1"/>
  <c r="H17" i="13"/>
  <c r="H19" i="23"/>
  <c r="F23" i="21" l="1"/>
  <c r="H23" i="21" s="1"/>
  <c r="F17" i="7"/>
  <c r="H17" i="7" s="1"/>
  <c r="F17" i="17"/>
  <c r="H17" i="17" s="1"/>
  <c r="F18" i="9"/>
  <c r="H18" i="9" s="1"/>
  <c r="F17" i="16"/>
  <c r="H17" i="16" s="1"/>
  <c r="F17" i="15"/>
  <c r="H17" i="15" s="1"/>
  <c r="F23" i="19"/>
  <c r="H23" i="19"/>
  <c r="F17" i="14"/>
  <c r="H17" i="14" s="1"/>
  <c r="F17" i="8"/>
  <c r="H17" i="8" s="1"/>
  <c r="H20" i="23"/>
  <c r="H17" i="20"/>
  <c r="H18" i="13"/>
  <c r="F18" i="15" l="1"/>
  <c r="H18" i="15" s="1"/>
  <c r="F19" i="9"/>
  <c r="H19" i="9" s="1"/>
  <c r="F18" i="7"/>
  <c r="H18" i="7" s="1"/>
  <c r="F18" i="8"/>
  <c r="H18" i="8" s="1"/>
  <c r="F18" i="17"/>
  <c r="H18" i="17" s="1"/>
  <c r="F24" i="21"/>
  <c r="H24" i="21" s="1"/>
  <c r="H19" i="13"/>
  <c r="F18" i="14"/>
  <c r="H18" i="14" s="1"/>
  <c r="H21" i="23"/>
  <c r="F24" i="19"/>
  <c r="H24" i="19" s="1"/>
  <c r="F18" i="16"/>
  <c r="H18" i="16" s="1"/>
  <c r="F19" i="16" l="1"/>
  <c r="H19" i="16" s="1"/>
  <c r="F25" i="21"/>
  <c r="H25" i="21" s="1"/>
  <c r="F19" i="17"/>
  <c r="H19" i="17" s="1"/>
  <c r="F19" i="15"/>
  <c r="H19" i="15" s="1"/>
  <c r="F20" i="9"/>
  <c r="H20" i="9" s="1"/>
  <c r="F19" i="7"/>
  <c r="H19" i="7" s="1"/>
  <c r="F19" i="14"/>
  <c r="H19" i="14" s="1"/>
  <c r="F19" i="8"/>
  <c r="H19" i="8" s="1"/>
  <c r="H22" i="23"/>
  <c r="H20" i="13"/>
  <c r="F25" i="19"/>
  <c r="H25" i="19" s="1"/>
  <c r="F20" i="8" l="1"/>
  <c r="H20" i="8" s="1"/>
  <c r="F20" i="16"/>
  <c r="H20" i="16" s="1"/>
  <c r="F20" i="15"/>
  <c r="H20" i="15" s="1"/>
  <c r="F26" i="19"/>
  <c r="H26" i="19" s="1"/>
  <c r="F20" i="7"/>
  <c r="H20" i="7" s="1"/>
  <c r="F26" i="21"/>
  <c r="H26" i="21" s="1"/>
  <c r="F21" i="9"/>
  <c r="H21" i="9" s="1"/>
  <c r="F20" i="17"/>
  <c r="H20" i="17" s="1"/>
  <c r="H23" i="23"/>
  <c r="F20" i="14"/>
  <c r="H20" i="14" s="1"/>
  <c r="H21" i="13"/>
  <c r="F27" i="21" l="1"/>
  <c r="H27" i="21" s="1"/>
  <c r="F27" i="19"/>
  <c r="H27" i="19" s="1"/>
  <c r="F22" i="9"/>
  <c r="H22" i="9" s="1"/>
  <c r="F21" i="15"/>
  <c r="H21" i="15" s="1"/>
  <c r="F21" i="16"/>
  <c r="H21" i="16" s="1"/>
  <c r="F21" i="14"/>
  <c r="H21" i="14" s="1"/>
  <c r="F21" i="17"/>
  <c r="H21" i="17" s="1"/>
  <c r="H22" i="13"/>
  <c r="H24" i="23"/>
  <c r="F21" i="7"/>
  <c r="H21" i="7" s="1"/>
  <c r="F21" i="8"/>
  <c r="H21" i="8" s="1"/>
  <c r="F28" i="19" l="1"/>
  <c r="H28" i="19" s="1"/>
  <c r="F22" i="16"/>
  <c r="H22" i="16" s="1"/>
  <c r="F28" i="21"/>
  <c r="H28" i="21" s="1"/>
  <c r="F22" i="15"/>
  <c r="H22" i="15" s="1"/>
  <c r="F22" i="8"/>
  <c r="H22" i="8" s="1"/>
  <c r="F22" i="7"/>
  <c r="H22" i="7" s="1"/>
  <c r="F22" i="17"/>
  <c r="H22" i="17" s="1"/>
  <c r="H25" i="23"/>
  <c r="H23" i="13"/>
  <c r="F22" i="14"/>
  <c r="H22" i="14" s="1"/>
  <c r="F23" i="9"/>
  <c r="H23" i="9" s="1"/>
  <c r="F23" i="16" l="1"/>
  <c r="H23" i="16" s="1"/>
  <c r="F23" i="15"/>
  <c r="H23" i="15" s="1"/>
  <c r="F23" i="14"/>
  <c r="H23" i="14" s="1"/>
  <c r="F23" i="17"/>
  <c r="H23" i="17" s="1"/>
  <c r="F29" i="21"/>
  <c r="H29" i="21" s="1"/>
  <c r="F24" i="9"/>
  <c r="H24" i="9" s="1"/>
  <c r="F23" i="8"/>
  <c r="H23" i="8" s="1"/>
  <c r="F29" i="19"/>
  <c r="H29" i="19" s="1"/>
  <c r="F23" i="7"/>
  <c r="H23" i="7" s="1"/>
  <c r="H24" i="13"/>
  <c r="H24" i="16" l="1"/>
  <c r="H24" i="17"/>
  <c r="H24" i="15"/>
  <c r="H24" i="14"/>
  <c r="H25" i="13"/>
  <c r="H30" i="21"/>
  <c r="H24" i="8"/>
  <c r="F30" i="19"/>
  <c r="H30" i="19" s="1"/>
  <c r="H24" i="7"/>
  <c r="F25" i="9"/>
  <c r="H25" i="9" s="1"/>
  <c r="H26" i="9" l="1"/>
  <c r="F31" i="19"/>
  <c r="H31" i="19" s="1"/>
  <c r="H26" i="13"/>
  <c r="F25" i="14"/>
  <c r="H25" i="14" s="1"/>
  <c r="F25" i="15"/>
  <c r="H25" i="15" s="1"/>
  <c r="F25" i="17"/>
  <c r="H25" i="17" s="1"/>
  <c r="F25" i="8"/>
  <c r="H25" i="8" s="1"/>
  <c r="F25" i="16"/>
  <c r="H25" i="16" s="1"/>
  <c r="F25" i="7"/>
  <c r="H25" i="7" s="1"/>
  <c r="F31" i="21"/>
  <c r="H31" i="21" s="1"/>
  <c r="F26" i="16" l="1"/>
  <c r="H26" i="16" s="1"/>
  <c r="F32" i="21"/>
  <c r="H32" i="21" s="1"/>
  <c r="F26" i="8"/>
  <c r="H26" i="8" s="1"/>
  <c r="F26" i="14"/>
  <c r="H26" i="14" s="1"/>
  <c r="F26" i="7"/>
  <c r="H26" i="7" s="1"/>
  <c r="H32" i="19"/>
  <c r="F26" i="17"/>
  <c r="H26" i="17" s="1"/>
  <c r="H27" i="13"/>
  <c r="F26" i="15"/>
  <c r="H26" i="15" s="1"/>
  <c r="F27" i="9"/>
  <c r="H27" i="9" s="1"/>
  <c r="F27" i="17" l="1"/>
  <c r="H27" i="17" s="1"/>
  <c r="F33" i="21"/>
  <c r="H33" i="21" s="1"/>
  <c r="F28" i="9"/>
  <c r="H28" i="9"/>
  <c r="F27" i="8"/>
  <c r="H27" i="8" s="1"/>
  <c r="F27" i="15"/>
  <c r="H27" i="15"/>
  <c r="F27" i="7"/>
  <c r="H27" i="7" s="1"/>
  <c r="F27" i="16"/>
  <c r="H27" i="16" s="1"/>
  <c r="F27" i="14"/>
  <c r="H27" i="14" s="1"/>
  <c r="F33" i="19"/>
  <c r="H33" i="19" s="1"/>
  <c r="H28" i="13"/>
  <c r="F28" i="14" l="1"/>
  <c r="H28" i="14" s="1"/>
  <c r="F28" i="16"/>
  <c r="H28" i="16" s="1"/>
  <c r="F34" i="21"/>
  <c r="H34" i="21" s="1"/>
  <c r="F28" i="8"/>
  <c r="H28" i="8" s="1"/>
  <c r="F28" i="7"/>
  <c r="H28" i="7" s="1"/>
  <c r="F28" i="17"/>
  <c r="H28" i="17" s="1"/>
  <c r="F34" i="19"/>
  <c r="H34" i="19" s="1"/>
  <c r="H29" i="13"/>
  <c r="F28" i="15"/>
  <c r="H28" i="15" s="1"/>
  <c r="F29" i="9"/>
  <c r="H29" i="9" s="1"/>
  <c r="F29" i="15" l="1"/>
  <c r="H29" i="15" s="1"/>
  <c r="F35" i="19"/>
  <c r="H35" i="19" s="1"/>
  <c r="F30" i="9"/>
  <c r="H30" i="9" s="1"/>
  <c r="F35" i="21"/>
  <c r="H35" i="21" s="1"/>
  <c r="F29" i="16"/>
  <c r="H29" i="16" s="1"/>
  <c r="F29" i="17"/>
  <c r="H29" i="17" s="1"/>
  <c r="F29" i="8"/>
  <c r="H29" i="8" s="1"/>
  <c r="F29" i="14"/>
  <c r="H29" i="14" s="1"/>
  <c r="F29" i="7"/>
  <c r="H29" i="7" s="1"/>
  <c r="H30" i="13"/>
  <c r="F36" i="19" l="1"/>
  <c r="H36" i="19" s="1"/>
  <c r="F30" i="7"/>
  <c r="H30" i="7" s="1"/>
  <c r="F36" i="21"/>
  <c r="H36" i="21" s="1"/>
  <c r="F31" i="9"/>
  <c r="H31" i="9" s="1"/>
  <c r="F30" i="14"/>
  <c r="H30" i="14" s="1"/>
  <c r="F30" i="17"/>
  <c r="H30" i="17" s="1"/>
  <c r="F30" i="15"/>
  <c r="H30" i="15" s="1"/>
  <c r="F30" i="16"/>
  <c r="H30" i="16" s="1"/>
  <c r="H31" i="13"/>
  <c r="F30" i="8"/>
  <c r="H30" i="8" s="1"/>
  <c r="F31" i="17" l="1"/>
  <c r="H31" i="17" s="1"/>
  <c r="F31" i="14"/>
  <c r="H31" i="14" s="1"/>
  <c r="F31" i="7"/>
  <c r="H31" i="7" s="1"/>
  <c r="F31" i="8"/>
  <c r="H31" i="8" s="1"/>
  <c r="F31" i="16"/>
  <c r="H31" i="16" s="1"/>
  <c r="F32" i="9"/>
  <c r="H32" i="9" s="1"/>
  <c r="F31" i="15"/>
  <c r="H31" i="15" s="1"/>
  <c r="F37" i="19"/>
  <c r="H37" i="19" s="1"/>
  <c r="F37" i="21"/>
  <c r="H37" i="21" s="1"/>
  <c r="H32" i="13"/>
  <c r="F33" i="9" l="1"/>
  <c r="H33" i="9" s="1"/>
  <c r="F32" i="16"/>
  <c r="H32" i="16" s="1"/>
  <c r="F38" i="21"/>
  <c r="H38" i="21" s="1"/>
  <c r="F32" i="14"/>
  <c r="H32" i="14" s="1"/>
  <c r="F32" i="8"/>
  <c r="H32" i="8" s="1"/>
  <c r="F32" i="7"/>
  <c r="H32" i="7" s="1"/>
  <c r="F32" i="17"/>
  <c r="H32" i="17" s="1"/>
  <c r="F32" i="15"/>
  <c r="H32" i="15" s="1"/>
  <c r="F38" i="19"/>
  <c r="H38" i="19" s="1"/>
  <c r="H33" i="13"/>
  <c r="H34" i="13" s="1"/>
  <c r="F33" i="16" l="1"/>
  <c r="H33" i="16" s="1"/>
  <c r="F39" i="19"/>
  <c r="H39" i="19" s="1"/>
  <c r="F33" i="7"/>
  <c r="H33" i="7" s="1"/>
  <c r="F33" i="15"/>
  <c r="H33" i="15" s="1"/>
  <c r="F33" i="14"/>
  <c r="H33" i="14" s="1"/>
  <c r="F33" i="17"/>
  <c r="H33" i="17" s="1"/>
  <c r="F39" i="21"/>
  <c r="H39" i="21" s="1"/>
  <c r="F34" i="9"/>
  <c r="H34" i="9" s="1"/>
  <c r="F33" i="8"/>
  <c r="H33" i="8" s="1"/>
  <c r="H35" i="13"/>
  <c r="F34" i="7" l="1"/>
  <c r="H34" i="7" s="1"/>
  <c r="F34" i="14"/>
  <c r="H34" i="14" s="1"/>
  <c r="F34" i="15"/>
  <c r="H34" i="15" s="1"/>
  <c r="F35" i="9"/>
  <c r="H35" i="9" s="1"/>
  <c r="F40" i="21"/>
  <c r="H40" i="21" s="1"/>
  <c r="F34" i="16"/>
  <c r="H34" i="16" s="1"/>
  <c r="F34" i="8"/>
  <c r="H34" i="8" s="1"/>
  <c r="F34" i="17"/>
  <c r="H34" i="17" s="1"/>
  <c r="F40" i="19"/>
  <c r="H40" i="19" s="1"/>
  <c r="H36" i="13"/>
  <c r="F35" i="17" l="1"/>
  <c r="H35" i="17" s="1"/>
  <c r="F36" i="9"/>
  <c r="H36" i="9" s="1"/>
  <c r="F35" i="16"/>
  <c r="H35" i="16" s="1"/>
  <c r="F35" i="15"/>
  <c r="H35" i="15" s="1"/>
  <c r="F35" i="14"/>
  <c r="H35" i="14" s="1"/>
  <c r="F41" i="21"/>
  <c r="H41" i="21" s="1"/>
  <c r="H35" i="7"/>
  <c r="H35" i="8"/>
  <c r="H37" i="13"/>
  <c r="F41" i="19"/>
  <c r="H41" i="19" s="1"/>
  <c r="F36" i="16" l="1"/>
  <c r="H36" i="16" s="1"/>
  <c r="F37" i="9"/>
  <c r="H37" i="9" s="1"/>
  <c r="F36" i="15"/>
  <c r="H36" i="15" s="1"/>
  <c r="F36" i="17"/>
  <c r="H36" i="17" s="1"/>
  <c r="F42" i="19"/>
  <c r="H42" i="19" s="1"/>
  <c r="F36" i="7"/>
  <c r="H36" i="7" s="1"/>
  <c r="F36" i="14"/>
  <c r="H36" i="14" s="1"/>
  <c r="F42" i="21"/>
  <c r="H42" i="21" s="1"/>
  <c r="H38" i="13"/>
  <c r="F36" i="8"/>
  <c r="H36" i="8"/>
  <c r="F37" i="15" l="1"/>
  <c r="H37" i="15" s="1"/>
  <c r="H43" i="21"/>
  <c r="F37" i="7"/>
  <c r="H37" i="7" s="1"/>
  <c r="F37" i="17"/>
  <c r="H37" i="17" s="1"/>
  <c r="F38" i="9"/>
  <c r="H38" i="9" s="1"/>
  <c r="F37" i="16"/>
  <c r="H37" i="16" s="1"/>
  <c r="F43" i="19"/>
  <c r="H43" i="19" s="1"/>
  <c r="F37" i="14"/>
  <c r="H37" i="14" s="1"/>
  <c r="H39" i="13"/>
  <c r="F37" i="8"/>
  <c r="H37" i="8" s="1"/>
  <c r="H38" i="14" l="1"/>
  <c r="H38" i="15"/>
  <c r="H38" i="16"/>
  <c r="H39" i="9"/>
  <c r="F44" i="19"/>
  <c r="H44" i="19" s="1"/>
  <c r="F38" i="7"/>
  <c r="H38" i="7" s="1"/>
  <c r="F38" i="8"/>
  <c r="H38" i="8" s="1"/>
  <c r="H38" i="17"/>
  <c r="F44" i="21"/>
  <c r="H44" i="21" s="1"/>
  <c r="H40" i="13"/>
  <c r="F39" i="7" l="1"/>
  <c r="H39" i="7" s="1"/>
  <c r="F45" i="21"/>
  <c r="H45" i="21" s="1"/>
  <c r="H45" i="19"/>
  <c r="F39" i="8"/>
  <c r="H39" i="8" s="1"/>
  <c r="F39" i="17"/>
  <c r="H39" i="17" s="1"/>
  <c r="F39" i="16"/>
  <c r="H39" i="16" s="1"/>
  <c r="F40" i="9"/>
  <c r="H40" i="9" s="1"/>
  <c r="F39" i="15"/>
  <c r="H39" i="15" s="1"/>
  <c r="H41" i="13"/>
  <c r="F39" i="14"/>
  <c r="H39" i="14" s="1"/>
  <c r="F40" i="15" l="1"/>
  <c r="H40" i="15" s="1"/>
  <c r="F40" i="14"/>
  <c r="H40" i="14" s="1"/>
  <c r="F41" i="9"/>
  <c r="H41" i="9" s="1"/>
  <c r="F46" i="21"/>
  <c r="H46" i="21" s="1"/>
  <c r="F40" i="16"/>
  <c r="H40" i="16" s="1"/>
  <c r="F40" i="17"/>
  <c r="H40" i="17" s="1"/>
  <c r="F40" i="8"/>
  <c r="H40" i="8" s="1"/>
  <c r="F40" i="7"/>
  <c r="H40" i="7" s="1"/>
  <c r="F46" i="19"/>
  <c r="H46" i="19" s="1"/>
  <c r="H42" i="13"/>
  <c r="F41" i="7" l="1"/>
  <c r="H41" i="7" s="1"/>
  <c r="F41" i="17"/>
  <c r="H41" i="17" s="1"/>
  <c r="F42" i="9"/>
  <c r="H42" i="9" s="1"/>
  <c r="F41" i="14"/>
  <c r="H41" i="14" s="1"/>
  <c r="F47" i="21"/>
  <c r="H47" i="21" s="1"/>
  <c r="F47" i="19"/>
  <c r="H47" i="19" s="1"/>
  <c r="F41" i="8"/>
  <c r="H41" i="8" s="1"/>
  <c r="F41" i="15"/>
  <c r="H41" i="15" s="1"/>
  <c r="F41" i="16"/>
  <c r="H41" i="16" s="1"/>
  <c r="H43" i="13"/>
  <c r="F43" i="9" l="1"/>
  <c r="H43" i="9" s="1"/>
  <c r="F42" i="16"/>
  <c r="H42" i="16" s="1"/>
  <c r="F48" i="21"/>
  <c r="H48" i="21" s="1"/>
  <c r="F48" i="19"/>
  <c r="H48" i="19" s="1"/>
  <c r="F42" i="15"/>
  <c r="H42" i="15" s="1"/>
  <c r="F42" i="8"/>
  <c r="H42" i="8" s="1"/>
  <c r="F42" i="14"/>
  <c r="H42" i="14" s="1"/>
  <c r="F42" i="7"/>
  <c r="H42" i="7" s="1"/>
  <c r="F42" i="17"/>
  <c r="H42" i="17" s="1"/>
  <c r="H44" i="13"/>
  <c r="F43" i="8" l="1"/>
  <c r="H43" i="8" s="1"/>
  <c r="F43" i="7"/>
  <c r="H43" i="7" s="1"/>
  <c r="F49" i="19"/>
  <c r="H49" i="19" s="1"/>
  <c r="F43" i="17"/>
  <c r="H43" i="17" s="1"/>
  <c r="F43" i="16"/>
  <c r="H43" i="16" s="1"/>
  <c r="F43" i="14"/>
  <c r="H43" i="14" s="1"/>
  <c r="F49" i="21"/>
  <c r="H49" i="21" s="1"/>
  <c r="F43" i="15"/>
  <c r="H43" i="15" s="1"/>
  <c r="F44" i="9"/>
  <c r="H44" i="9" s="1"/>
  <c r="H45" i="13"/>
  <c r="F44" i="7" l="1"/>
  <c r="H44" i="7" s="1"/>
  <c r="F44" i="17"/>
  <c r="H44" i="17" s="1"/>
  <c r="F50" i="21"/>
  <c r="H50" i="21" s="1"/>
  <c r="F44" i="16"/>
  <c r="H44" i="16" s="1"/>
  <c r="F45" i="9"/>
  <c r="H45" i="9" s="1"/>
  <c r="F50" i="19"/>
  <c r="H50" i="19" s="1"/>
  <c r="F44" i="14"/>
  <c r="H44" i="14" s="1"/>
  <c r="F44" i="8"/>
  <c r="H44" i="8" s="1"/>
  <c r="F44" i="15"/>
  <c r="H44" i="15" s="1"/>
  <c r="F51" i="21" l="1"/>
  <c r="H51" i="21" s="1"/>
  <c r="F51" i="19"/>
  <c r="H51" i="19" s="1"/>
  <c r="F45" i="17"/>
  <c r="H45" i="17" s="1"/>
  <c r="F45" i="14"/>
  <c r="H45" i="14" s="1"/>
  <c r="F45" i="15"/>
  <c r="H45" i="15" s="1"/>
  <c r="F46" i="9"/>
  <c r="H46" i="9" s="1"/>
  <c r="F45" i="7"/>
  <c r="H45" i="7" s="1"/>
  <c r="F45" i="16"/>
  <c r="H45" i="16" s="1"/>
  <c r="F45" i="8"/>
  <c r="H45" i="8" s="1"/>
  <c r="F52" i="19" l="1"/>
  <c r="H52" i="19" s="1"/>
  <c r="F46" i="14"/>
  <c r="H46" i="14" s="1"/>
  <c r="F46" i="16"/>
  <c r="H46" i="16" s="1"/>
  <c r="F46" i="7"/>
  <c r="H46" i="7" s="1"/>
  <c r="F46" i="17"/>
  <c r="H46" i="17" s="1"/>
  <c r="F46" i="8"/>
  <c r="H46" i="8" s="1"/>
  <c r="F46" i="15"/>
  <c r="H46" i="15" s="1"/>
  <c r="F52" i="21"/>
  <c r="F47" i="9"/>
  <c r="H47" i="9" s="1"/>
  <c r="F53" i="19" l="1"/>
  <c r="H53" i="19" s="1"/>
  <c r="F47" i="8"/>
  <c r="H47" i="8" s="1"/>
  <c r="F47" i="7"/>
  <c r="H47" i="7" s="1"/>
  <c r="F47" i="16"/>
  <c r="H47" i="16" s="1"/>
  <c r="F47" i="15"/>
  <c r="H47" i="15" s="1"/>
  <c r="F48" i="9"/>
  <c r="H48" i="9" s="1"/>
  <c r="F47" i="14"/>
  <c r="H47" i="14" s="1"/>
  <c r="F47" i="17"/>
  <c r="H47" i="17" s="1"/>
  <c r="H52" i="21"/>
  <c r="F48" i="16" l="1"/>
  <c r="H48" i="16" s="1"/>
  <c r="H48" i="8"/>
  <c r="H48" i="7"/>
  <c r="F48" i="15"/>
  <c r="H48" i="15" s="1"/>
  <c r="F48" i="17"/>
  <c r="H48" i="17" s="1"/>
  <c r="F54" i="19"/>
  <c r="F48" i="14"/>
  <c r="H48" i="14" s="1"/>
  <c r="F49" i="14" l="1"/>
  <c r="H49" i="14" s="1"/>
  <c r="F49" i="17"/>
  <c r="H49" i="17" s="1"/>
  <c r="F49" i="15"/>
  <c r="H49" i="15" s="1"/>
  <c r="H54" i="19"/>
  <c r="F49" i="7"/>
  <c r="H49" i="7" s="1"/>
  <c r="F49" i="8"/>
  <c r="H49" i="8" s="1"/>
  <c r="F49" i="16"/>
  <c r="H49" i="16" s="1"/>
  <c r="H50" i="16" l="1"/>
  <c r="H50" i="15"/>
  <c r="H50" i="17"/>
  <c r="F50" i="8"/>
  <c r="H50" i="8" s="1"/>
  <c r="H50" i="14"/>
  <c r="F50" i="7"/>
  <c r="H50" i="7" s="1"/>
  <c r="F51" i="7" l="1"/>
  <c r="H51" i="7" s="1"/>
  <c r="F51" i="8"/>
  <c r="H51" i="8" s="1"/>
  <c r="F51" i="17"/>
  <c r="H51" i="17" s="1"/>
  <c r="F51" i="14"/>
  <c r="H51" i="14" s="1"/>
  <c r="F51" i="15"/>
  <c r="H51" i="15" s="1"/>
  <c r="F51" i="16"/>
  <c r="H51" i="16" s="1"/>
  <c r="F52" i="14" l="1"/>
  <c r="H52" i="14" s="1"/>
  <c r="F52" i="16"/>
  <c r="H52" i="16" s="1"/>
  <c r="F52" i="17"/>
  <c r="H52" i="17" s="1"/>
  <c r="F52" i="8"/>
  <c r="H52" i="8" s="1"/>
  <c r="F52" i="7"/>
  <c r="H52" i="7" s="1"/>
  <c r="F52" i="15"/>
  <c r="H52" i="15" s="1"/>
  <c r="F53" i="15" l="1"/>
  <c r="H53" i="15" s="1"/>
  <c r="F53" i="8"/>
  <c r="H53" i="8" s="1"/>
  <c r="F53" i="17"/>
  <c r="H53" i="17" s="1"/>
  <c r="F53" i="16"/>
  <c r="H53" i="16" s="1"/>
  <c r="F53" i="14"/>
  <c r="H53" i="14" s="1"/>
  <c r="F53" i="7"/>
  <c r="H53" i="7" s="1"/>
  <c r="F54" i="17" l="1"/>
  <c r="H54" i="17" s="1"/>
  <c r="F54" i="16"/>
  <c r="H54" i="16" s="1"/>
  <c r="F54" i="8"/>
  <c r="H54" i="8" s="1"/>
  <c r="F54" i="14"/>
  <c r="H54" i="14" s="1"/>
  <c r="F54" i="15"/>
  <c r="H54" i="15" s="1"/>
  <c r="F54" i="7"/>
  <c r="H54" i="7" s="1"/>
  <c r="F55" i="14" l="1"/>
  <c r="H55" i="14" s="1"/>
  <c r="F55" i="16"/>
  <c r="H55" i="16" s="1"/>
  <c r="F55" i="7"/>
  <c r="H55" i="7" s="1"/>
  <c r="F55" i="8"/>
  <c r="H55" i="8" s="1"/>
  <c r="F55" i="15"/>
  <c r="H55" i="15" s="1"/>
  <c r="F55" i="17"/>
  <c r="H55" i="17" s="1"/>
  <c r="F56" i="8" l="1"/>
  <c r="H56" i="8" s="1"/>
  <c r="F56" i="7"/>
  <c r="H56" i="7" s="1"/>
  <c r="F56" i="17"/>
  <c r="H56" i="17" s="1"/>
  <c r="F56" i="16"/>
  <c r="H56" i="16" s="1"/>
  <c r="F56" i="15"/>
  <c r="H56" i="15" s="1"/>
  <c r="F56" i="14"/>
  <c r="H56" i="14" s="1"/>
  <c r="F57" i="7" l="1"/>
  <c r="H57" i="7" s="1"/>
  <c r="F57" i="16"/>
  <c r="H57" i="16" s="1"/>
  <c r="F57" i="14"/>
  <c r="H57" i="14" s="1"/>
  <c r="F57" i="17"/>
  <c r="H57" i="17" s="1"/>
  <c r="F57" i="15"/>
  <c r="H57" i="15" s="1"/>
  <c r="F57" i="8"/>
  <c r="H57" i="8" s="1"/>
  <c r="F58" i="16" l="1"/>
  <c r="H58" i="16" s="1"/>
  <c r="F58" i="17"/>
  <c r="H58" i="17" s="1"/>
  <c r="F58" i="15"/>
  <c r="H58" i="15" s="1"/>
  <c r="F58" i="8"/>
  <c r="H58" i="8" s="1"/>
  <c r="F58" i="7"/>
  <c r="H58" i="7" s="1"/>
  <c r="F58" i="14"/>
  <c r="H58" i="14" s="1"/>
  <c r="F59" i="8" l="1"/>
  <c r="H59" i="8" s="1"/>
  <c r="F59" i="15"/>
  <c r="H59" i="15" s="1"/>
  <c r="F59" i="17"/>
  <c r="H59" i="17" s="1"/>
  <c r="F59" i="7"/>
  <c r="H59" i="7" s="1"/>
  <c r="F59" i="16"/>
  <c r="H59" i="16" s="1"/>
  <c r="F59" i="14"/>
  <c r="H59" i="14" s="1"/>
  <c r="F60" i="15" l="1"/>
  <c r="H60" i="15" s="1"/>
  <c r="F60" i="14"/>
  <c r="H60" i="14" s="1"/>
  <c r="F60" i="16"/>
  <c r="H60" i="16" s="1"/>
  <c r="F60" i="7"/>
  <c r="H60" i="7" s="1"/>
  <c r="F60" i="17"/>
  <c r="H60" i="17" s="1"/>
  <c r="F60" i="8"/>
  <c r="H60" i="8" s="1"/>
  <c r="F61" i="7" l="1"/>
  <c r="H61" i="7" s="1"/>
  <c r="F61" i="16"/>
  <c r="H61" i="16" s="1"/>
  <c r="F61" i="14"/>
  <c r="H61" i="14" s="1"/>
  <c r="F61" i="17"/>
  <c r="H61" i="17" s="1"/>
  <c r="F61" i="15"/>
  <c r="H61" i="15" s="1"/>
  <c r="F61" i="8"/>
  <c r="H61" i="8" s="1"/>
  <c r="F62" i="17" l="1"/>
  <c r="H62" i="17" s="1"/>
  <c r="F62" i="16"/>
  <c r="H62" i="16" s="1"/>
  <c r="F62" i="14"/>
  <c r="H62" i="14" s="1"/>
  <c r="F62" i="8"/>
  <c r="H62" i="8" s="1"/>
  <c r="F62" i="15"/>
  <c r="H62" i="15" s="1"/>
  <c r="F62" i="7"/>
  <c r="H62" i="7" s="1"/>
  <c r="H63" i="14" l="1"/>
  <c r="H63" i="8"/>
  <c r="H63" i="16"/>
  <c r="H63" i="15"/>
  <c r="H63" i="17"/>
  <c r="H63" i="7"/>
  <c r="F64" i="16" l="1"/>
  <c r="H64" i="16" s="1"/>
  <c r="F64" i="15"/>
  <c r="H64" i="15" s="1"/>
  <c r="F64" i="7"/>
  <c r="H64" i="7" s="1"/>
  <c r="F64" i="8"/>
  <c r="H64" i="8" s="1"/>
  <c r="F64" i="17"/>
  <c r="H64" i="17" s="1"/>
  <c r="F64" i="14"/>
  <c r="H64" i="14" s="1"/>
  <c r="F65" i="17" l="1"/>
  <c r="H65" i="17" s="1"/>
  <c r="F65" i="15"/>
  <c r="H65" i="15" s="1"/>
  <c r="F65" i="8"/>
  <c r="H65" i="8" s="1"/>
  <c r="F65" i="16"/>
  <c r="H65" i="16" s="1"/>
  <c r="F65" i="7"/>
  <c r="H65" i="7" s="1"/>
  <c r="F65" i="14"/>
  <c r="H65" i="14" s="1"/>
  <c r="F66" i="8" l="1"/>
  <c r="H66" i="8" s="1"/>
  <c r="F66" i="15"/>
  <c r="H66" i="15" s="1"/>
  <c r="F66" i="7"/>
  <c r="H66" i="7" s="1"/>
  <c r="F66" i="17"/>
  <c r="H66" i="17" s="1"/>
  <c r="F66" i="16"/>
  <c r="H66" i="16" s="1"/>
  <c r="F66" i="14"/>
  <c r="H66" i="14" s="1"/>
  <c r="F67" i="14" l="1"/>
  <c r="H67" i="14" s="1"/>
  <c r="F67" i="7"/>
  <c r="H67" i="7" s="1"/>
  <c r="F67" i="16"/>
  <c r="H67" i="16" s="1"/>
  <c r="F67" i="15"/>
  <c r="H67" i="15" s="1"/>
  <c r="F67" i="8"/>
  <c r="H67" i="8" s="1"/>
  <c r="F67" i="17"/>
  <c r="H67" i="17" s="1"/>
  <c r="F68" i="17" l="1"/>
  <c r="H68" i="17" s="1"/>
  <c r="F68" i="14"/>
  <c r="H68" i="14" s="1"/>
  <c r="F68" i="15"/>
  <c r="H68" i="15" s="1"/>
  <c r="F68" i="16"/>
  <c r="H68" i="16" s="1"/>
  <c r="F68" i="7"/>
  <c r="H68" i="7" s="1"/>
  <c r="F68" i="8"/>
  <c r="H68" i="8" s="1"/>
  <c r="F69" i="16" l="1"/>
  <c r="H69" i="16" s="1"/>
  <c r="F69" i="8"/>
  <c r="H69" i="8" s="1"/>
  <c r="F69" i="14"/>
  <c r="H69" i="14" s="1"/>
  <c r="F69" i="15"/>
  <c r="H69" i="15" s="1"/>
  <c r="F69" i="7"/>
  <c r="H69" i="7" s="1"/>
  <c r="F69" i="17"/>
  <c r="H69" i="17" s="1"/>
  <c r="F70" i="14" l="1"/>
  <c r="H70" i="14" s="1"/>
  <c r="F70" i="16"/>
  <c r="H70" i="16" s="1"/>
  <c r="F70" i="17"/>
  <c r="H70" i="17" s="1"/>
  <c r="F70" i="7"/>
  <c r="H70" i="7" s="1"/>
  <c r="F70" i="8"/>
  <c r="H70" i="8" s="1"/>
  <c r="F70" i="15"/>
  <c r="H70" i="15" s="1"/>
  <c r="F71" i="15" l="1"/>
  <c r="H71" i="15" s="1"/>
  <c r="F71" i="17"/>
  <c r="H71" i="17" s="1"/>
  <c r="F71" i="8"/>
  <c r="H71" i="8" s="1"/>
  <c r="F71" i="7"/>
  <c r="H71" i="7" s="1"/>
  <c r="F71" i="16"/>
  <c r="H71" i="16" s="1"/>
  <c r="F71" i="14"/>
  <c r="H71" i="14" s="1"/>
  <c r="F72" i="16" l="1"/>
  <c r="H72" i="16" s="1"/>
  <c r="F72" i="8"/>
  <c r="H72" i="8" s="1"/>
  <c r="F72" i="7"/>
  <c r="H72" i="7" s="1"/>
  <c r="F72" i="17"/>
  <c r="H72" i="17" s="1"/>
  <c r="F72" i="15"/>
  <c r="H72" i="15" s="1"/>
  <c r="F72" i="14"/>
  <c r="H72" i="14" s="1"/>
  <c r="F73" i="14" l="1"/>
  <c r="H73" i="14" s="1"/>
  <c r="F73" i="17"/>
  <c r="H73" i="17" s="1"/>
  <c r="F73" i="7"/>
  <c r="H73" i="7" s="1"/>
  <c r="F73" i="8"/>
  <c r="H73" i="8" s="1"/>
  <c r="F73" i="16"/>
  <c r="H73" i="16" s="1"/>
  <c r="F73" i="15"/>
  <c r="H73" i="15" s="1"/>
  <c r="F74" i="7" l="1"/>
  <c r="H74" i="7" s="1"/>
  <c r="F74" i="8"/>
  <c r="H74" i="8" s="1"/>
  <c r="F74" i="17"/>
  <c r="H74" i="17" s="1"/>
  <c r="F74" i="16"/>
  <c r="H74" i="16" s="1"/>
  <c r="F74" i="14"/>
  <c r="H74" i="14" s="1"/>
  <c r="F74" i="15"/>
  <c r="H74" i="15" s="1"/>
  <c r="F75" i="16" l="1"/>
  <c r="H75" i="16" s="1"/>
  <c r="F75" i="15"/>
  <c r="H75" i="15" s="1"/>
  <c r="F75" i="17"/>
  <c r="H75" i="17" s="1"/>
  <c r="F75" i="8"/>
  <c r="H75" i="8" s="1"/>
  <c r="F75" i="14"/>
  <c r="H75" i="14" s="1"/>
  <c r="F75" i="7"/>
  <c r="H75" i="7" s="1"/>
  <c r="H76" i="7" l="1"/>
  <c r="H76" i="8"/>
  <c r="H76" i="17"/>
  <c r="H76" i="15"/>
  <c r="H76" i="14"/>
  <c r="H76" i="16"/>
  <c r="F77" i="17" l="1"/>
  <c r="H77" i="17" s="1"/>
  <c r="F77" i="8"/>
  <c r="H77" i="8" s="1"/>
  <c r="F77" i="15"/>
  <c r="H77" i="15" s="1"/>
  <c r="F77" i="16"/>
  <c r="H77" i="16" s="1"/>
  <c r="F77" i="14"/>
  <c r="H77" i="14" s="1"/>
  <c r="F77" i="7"/>
  <c r="H77" i="7" s="1"/>
  <c r="F78" i="14" l="1"/>
  <c r="H78" i="14" s="1"/>
  <c r="F78" i="15"/>
  <c r="H78" i="15" s="1"/>
  <c r="F78" i="16"/>
  <c r="H78" i="16" s="1"/>
  <c r="F78" i="7"/>
  <c r="H78" i="7" s="1"/>
  <c r="F78" i="17"/>
  <c r="H78" i="17" s="1"/>
  <c r="F78" i="8"/>
  <c r="H78" i="8" s="1"/>
  <c r="F79" i="17" l="1"/>
  <c r="H79" i="17" s="1"/>
  <c r="F79" i="16"/>
  <c r="H79" i="16" s="1"/>
  <c r="F79" i="7"/>
  <c r="H79" i="7" s="1"/>
  <c r="F79" i="8"/>
  <c r="H79" i="8" s="1"/>
  <c r="F79" i="15"/>
  <c r="H79" i="15" s="1"/>
  <c r="F79" i="14"/>
  <c r="H79" i="14" s="1"/>
  <c r="F80" i="8" l="1"/>
  <c r="H80" i="8" s="1"/>
  <c r="F80" i="7"/>
  <c r="H80" i="7" s="1"/>
  <c r="F80" i="16"/>
  <c r="H80" i="16" s="1"/>
  <c r="F80" i="15"/>
  <c r="H80" i="15" s="1"/>
  <c r="F80" i="17"/>
  <c r="H80" i="17" s="1"/>
  <c r="F80" i="14"/>
  <c r="H80" i="14" s="1"/>
  <c r="F81" i="14" l="1"/>
  <c r="H81" i="14" s="1"/>
  <c r="F81" i="7"/>
  <c r="H81" i="7" s="1"/>
  <c r="F81" i="17"/>
  <c r="H81" i="17" s="1"/>
  <c r="F81" i="15"/>
  <c r="H81" i="15" s="1"/>
  <c r="F81" i="16"/>
  <c r="H81" i="16" s="1"/>
  <c r="F81" i="8"/>
  <c r="H81" i="8" s="1"/>
  <c r="F82" i="14" l="1"/>
  <c r="H82" i="14" s="1"/>
  <c r="F82" i="8"/>
  <c r="H82" i="8" s="1"/>
  <c r="F82" i="16"/>
  <c r="H82" i="16" s="1"/>
  <c r="H82" i="7"/>
  <c r="F82" i="15"/>
  <c r="H82" i="15" s="1"/>
  <c r="F82" i="17"/>
  <c r="H82" i="17" s="1"/>
  <c r="F83" i="8" l="1"/>
  <c r="H83" i="8" s="1"/>
  <c r="F83" i="17"/>
  <c r="H83" i="17" s="1"/>
  <c r="F83" i="16"/>
  <c r="H83" i="16" s="1"/>
  <c r="F83" i="15"/>
  <c r="H83" i="15" s="1"/>
  <c r="F83" i="14"/>
  <c r="H83" i="14" s="1"/>
  <c r="F83" i="7"/>
  <c r="H83" i="7" s="1"/>
  <c r="F84" i="15" l="1"/>
  <c r="H84" i="15" s="1"/>
  <c r="F84" i="16"/>
  <c r="H84" i="16" s="1"/>
  <c r="F84" i="17"/>
  <c r="H84" i="17" s="1"/>
  <c r="F84" i="7"/>
  <c r="H84" i="7" s="1"/>
  <c r="F84" i="14"/>
  <c r="H84" i="14" s="1"/>
  <c r="F84" i="8"/>
  <c r="H84" i="8" s="1"/>
  <c r="F85" i="7" l="1"/>
  <c r="H85" i="7" s="1"/>
  <c r="F85" i="17"/>
  <c r="F85" i="16"/>
  <c r="F85" i="14"/>
  <c r="F85" i="15"/>
  <c r="F85" i="8"/>
  <c r="F86" i="7" l="1"/>
  <c r="H85" i="15"/>
  <c r="H85" i="17"/>
  <c r="H85" i="16"/>
  <c r="H85" i="14"/>
  <c r="H85" i="8"/>
  <c r="H8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F02A7FFA-C525-4B03-83A7-FE7D67366A7D}">
      <text>
        <r>
          <rPr>
            <b/>
            <sz val="8"/>
            <color indexed="81"/>
            <rFont val="Tahoma"/>
            <family val="2"/>
          </rPr>
          <t>D.DeCoria:</t>
        </r>
        <r>
          <rPr>
            <sz val="8"/>
            <color indexed="81"/>
            <rFont val="Tahoma"/>
            <family val="2"/>
          </rPr>
          <t xml:space="preserve">
Source AmortWA</t>
        </r>
      </text>
    </comment>
    <comment ref="E33" authorId="0" shapeId="0" xr:uid="{A7EE5F0F-84F8-4C43-AD43-3182210F9554}">
      <text>
        <r>
          <rPr>
            <b/>
            <sz val="8"/>
            <color indexed="81"/>
            <rFont val="Tahoma"/>
            <family val="2"/>
          </rPr>
          <t>D.DeCoria:</t>
        </r>
        <r>
          <rPr>
            <sz val="8"/>
            <color indexed="81"/>
            <rFont val="Tahoma"/>
            <family val="2"/>
          </rPr>
          <t xml:space="preserve">
Source AmortWA</t>
        </r>
      </text>
    </comment>
    <comment ref="E46" authorId="0" shapeId="0" xr:uid="{872B9E4A-DDFA-4E5B-AC3F-28982CA4232A}">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F9A6F48A-2787-4D5B-B5F9-45BC244E130A}">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FB905B25-67BD-4087-9A38-4DA438DDF438}">
      <text>
        <r>
          <rPr>
            <b/>
            <sz val="8"/>
            <color indexed="81"/>
            <rFont val="Tahoma"/>
            <family val="2"/>
          </rPr>
          <t>D.DeCoria:</t>
        </r>
        <r>
          <rPr>
            <sz val="8"/>
            <color indexed="81"/>
            <rFont val="Tahoma"/>
            <family val="2"/>
          </rPr>
          <t xml:space="preserve">
Source AmortWA</t>
        </r>
      </text>
    </comment>
    <comment ref="E31" authorId="0" shapeId="0" xr:uid="{254792F7-C74E-46B7-A91E-455317A68A9D}">
      <text>
        <r>
          <rPr>
            <b/>
            <sz val="8"/>
            <color indexed="81"/>
            <rFont val="Tahoma"/>
            <family val="2"/>
          </rPr>
          <t>D.DeCoria:</t>
        </r>
        <r>
          <rPr>
            <sz val="8"/>
            <color indexed="81"/>
            <rFont val="Tahoma"/>
            <family val="2"/>
          </rPr>
          <t xml:space="preserve">
Source AmortWA</t>
        </r>
      </text>
    </comment>
    <comment ref="E44" authorId="0" shapeId="0" xr:uid="{4BD03862-7A15-45FC-80F6-14A0C223D8C1}">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4B413AD8-3E96-4103-AD37-F3221F54B150}">
      <text>
        <r>
          <rPr>
            <sz val="14"/>
            <color indexed="81"/>
            <rFont val="Tahoma"/>
            <family val="2"/>
          </rPr>
          <t>Rate schedules 9xx</t>
        </r>
      </text>
    </comment>
  </commentList>
</comments>
</file>

<file path=xl/sharedStrings.xml><?xml version="1.0" encoding="utf-8"?>
<sst xmlns="http://schemas.openxmlformats.org/spreadsheetml/2006/main" count="513" uniqueCount="162">
  <si>
    <t>N/A</t>
  </si>
  <si>
    <t>47WA.6011.28051</t>
  </si>
  <si>
    <t>Residential [4800]</t>
  </si>
  <si>
    <t>47WA.2530.01253</t>
  </si>
  <si>
    <t>47WA.2530.01254</t>
  </si>
  <si>
    <t>Commercial [4810]</t>
  </si>
  <si>
    <t>Industrial [4809]</t>
  </si>
  <si>
    <t>47WA.1823.47020478</t>
  </si>
  <si>
    <t>47WA.1860.20481</t>
  </si>
  <si>
    <t>47WA.2530.01286</t>
  </si>
  <si>
    <t>47WA.2530.01288</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</si>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</sst>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2"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23" fillId="0" borderId="0"/>
  </cellStyleXfs>
  <cellXfs count="276">
    <xf numFmtId="39" fontId="0" fillId="0" borderId="0" xfId="0"/>
    <xf numFmtId="39" fontId="4" fillId="0" borderId="0" xfId="0" applyFont="1"/>
    <xf numFmtId="39" fontId="6" fillId="0" borderId="1" xfId="0" applyFont="1" applyBorder="1" applyAlignment="1">
      <alignment horizontal="center"/>
    </xf>
    <xf numFmtId="39" fontId="9" fillId="0" borderId="0" xfId="0" applyFont="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164" fontId="4" fillId="0" borderId="0" xfId="3" applyNumberFormat="1" applyFont="1" applyAlignment="1">
      <alignment horizontal="center" vertical="top"/>
    </xf>
    <xf numFmtId="39" fontId="6" fillId="0" borderId="0" xfId="0" applyFont="1" applyBorder="1"/>
    <xf numFmtId="37" fontId="10" fillId="0" borderId="1" xfId="0" applyNumberFormat="1" applyFont="1" applyBorder="1" applyAlignment="1">
      <alignment horizontal="center" wrapText="1"/>
    </xf>
    <xf numFmtId="39" fontId="14" fillId="0" borderId="1" xfId="0" applyFont="1" applyBorder="1" applyAlignment="1">
      <alignment horizontal="center" wrapText="1"/>
    </xf>
    <xf numFmtId="37" fontId="10" fillId="0" borderId="6" xfId="0" applyNumberFormat="1" applyFont="1" applyBorder="1" applyAlignment="1">
      <alignment horizontal="center" wrapText="1"/>
    </xf>
    <xf numFmtId="39" fontId="10" fillId="0" borderId="1" xfId="0" applyFont="1" applyBorder="1" applyAlignment="1">
      <alignment horizontal="center" wrapText="1"/>
    </xf>
    <xf numFmtId="39" fontId="6" fillId="0" borderId="0" xfId="0" applyFont="1" applyBorder="1" applyAlignment="1">
      <alignment horizontal="center" wrapText="1"/>
    </xf>
    <xf numFmtId="39" fontId="6" fillId="0" borderId="16" xfId="0" applyFont="1" applyBorder="1" applyAlignment="1">
      <alignment horizontal="center" wrapText="1"/>
    </xf>
    <xf numFmtId="39" fontId="6" fillId="0" borderId="0" xfId="0" applyFont="1" applyAlignment="1">
      <alignment wrapText="1"/>
    </xf>
    <xf numFmtId="164" fontId="6" fillId="0" borderId="5"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5" xfId="0" applyNumberFormat="1" applyFont="1" applyBorder="1"/>
    <xf numFmtId="37" fontId="9" fillId="0" borderId="0" xfId="0" applyNumberFormat="1" applyFont="1" applyBorder="1"/>
    <xf numFmtId="37" fontId="15" fillId="0" borderId="16" xfId="0" applyNumberFormat="1" applyFont="1" applyBorder="1"/>
    <xf numFmtId="165" fontId="15" fillId="0" borderId="0" xfId="1" applyNumberFormat="1" applyFont="1" applyAlignment="1">
      <alignment horizontal="center"/>
    </xf>
    <xf numFmtId="165" fontId="9" fillId="0" borderId="0" xfId="1" applyNumberFormat="1" applyFont="1"/>
    <xf numFmtId="37" fontId="15" fillId="0" borderId="0" xfId="0" applyNumberFormat="1" applyFont="1" applyBorder="1"/>
    <xf numFmtId="39" fontId="4" fillId="0" borderId="0" xfId="0" applyFont="1" applyBorder="1"/>
    <xf numFmtId="39" fontId="4" fillId="0" borderId="16" xfId="0" applyFont="1" applyBorder="1"/>
    <xf numFmtId="17" fontId="6" fillId="0" borderId="8" xfId="1" applyNumberFormat="1" applyFont="1" applyBorder="1"/>
    <xf numFmtId="37" fontId="9"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8"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19" xfId="0" applyFont="1" applyBorder="1"/>
    <xf numFmtId="165" fontId="15" fillId="0" borderId="0" xfId="1" applyNumberFormat="1" applyFont="1" applyBorder="1" applyAlignment="1">
      <alignment horizontal="center"/>
    </xf>
    <xf numFmtId="165" fontId="9" fillId="0" borderId="0" xfId="1" applyNumberFormat="1" applyFont="1" applyBorder="1"/>
    <xf numFmtId="37" fontId="9" fillId="0" borderId="3" xfId="0" applyNumberFormat="1" applyFont="1" applyBorder="1"/>
    <xf numFmtId="37" fontId="9" fillId="0" borderId="2" xfId="0" applyNumberFormat="1" applyFont="1" applyBorder="1"/>
    <xf numFmtId="37" fontId="15" fillId="0" borderId="2" xfId="0" applyNumberFormat="1" applyFont="1" applyBorder="1"/>
    <xf numFmtId="37" fontId="9" fillId="0" borderId="4" xfId="0" applyNumberFormat="1" applyFont="1" applyBorder="1"/>
    <xf numFmtId="37" fontId="15" fillId="0" borderId="3" xfId="0" applyNumberFormat="1" applyFont="1" applyBorder="1"/>
    <xf numFmtId="37" fontId="15" fillId="0" borderId="19" xfId="0" applyNumberFormat="1" applyFont="1" applyBorder="1"/>
    <xf numFmtId="165" fontId="15" fillId="0" borderId="2" xfId="1" applyNumberFormat="1" applyFont="1" applyBorder="1" applyAlignment="1">
      <alignment horizontal="center"/>
    </xf>
    <xf numFmtId="165" fontId="9" fillId="0" borderId="4" xfId="1" applyNumberFormat="1" applyFont="1" applyBorder="1"/>
    <xf numFmtId="37" fontId="9" fillId="0" borderId="5" xfId="0" applyNumberFormat="1" applyFont="1" applyBorder="1"/>
    <xf numFmtId="165" fontId="9" fillId="0" borderId="6" xfId="1" applyNumberFormat="1" applyFont="1" applyBorder="1"/>
    <xf numFmtId="37" fontId="15" fillId="0" borderId="6" xfId="0" applyNumberFormat="1" applyFont="1" applyBorder="1"/>
    <xf numFmtId="17" fontId="6" fillId="0" borderId="7" xfId="1" applyNumberFormat="1" applyFont="1" applyBorder="1"/>
    <xf numFmtId="37" fontId="9" fillId="0" borderId="7" xfId="0" applyNumberFormat="1" applyFont="1" applyBorder="1"/>
    <xf numFmtId="37" fontId="9" fillId="0" borderId="8" xfId="0" applyNumberFormat="1" applyFont="1" applyBorder="1"/>
    <xf numFmtId="37" fontId="15" fillId="0" borderId="8" xfId="0" applyNumberFormat="1" applyFont="1" applyBorder="1"/>
    <xf numFmtId="39" fontId="4" fillId="0" borderId="1" xfId="0" applyFont="1" applyBorder="1"/>
    <xf numFmtId="39" fontId="4" fillId="0" borderId="18" xfId="0" applyFont="1" applyBorder="1"/>
    <xf numFmtId="37" fontId="4" fillId="0" borderId="0" xfId="0" applyNumberFormat="1" applyFont="1" applyBorder="1"/>
    <xf numFmtId="37" fontId="4" fillId="0" borderId="16" xfId="0" applyNumberFormat="1" applyFont="1" applyBorder="1"/>
    <xf numFmtId="37" fontId="4" fillId="0" borderId="1" xfId="0" applyNumberFormat="1" applyFont="1" applyBorder="1"/>
    <xf numFmtId="37" fontId="4" fillId="0" borderId="18" xfId="0" applyNumberFormat="1" applyFont="1" applyBorder="1"/>
    <xf numFmtId="164" fontId="6" fillId="0" borderId="3" xfId="0" applyNumberFormat="1" applyFont="1" applyBorder="1" applyAlignment="1">
      <alignment shrinkToFit="1"/>
    </xf>
    <xf numFmtId="39" fontId="15" fillId="0" borderId="5" xfId="0" applyFont="1" applyBorder="1" applyAlignment="1">
      <alignment horizontal="center"/>
    </xf>
    <xf numFmtId="17" fontId="6" fillId="0" borderId="5" xfId="1" applyNumberFormat="1" applyFont="1" applyBorder="1"/>
    <xf numFmtId="164" fontId="6" fillId="0" borderId="7" xfId="0" applyNumberFormat="1" applyFont="1" applyBorder="1" applyAlignment="1">
      <alignment shrinkToFit="1"/>
    </xf>
    <xf numFmtId="39" fontId="15" fillId="0" borderId="7" xfId="0" applyFont="1" applyBorder="1" applyAlignment="1">
      <alignment horizontal="center"/>
    </xf>
    <xf numFmtId="17" fontId="6" fillId="0" borderId="0" xfId="1" applyNumberFormat="1" applyFont="1"/>
    <xf numFmtId="37" fontId="4" fillId="0" borderId="0" xfId="0" applyNumberFormat="1" applyFont="1"/>
    <xf numFmtId="164" fontId="6" fillId="0" borderId="0" xfId="0" applyNumberFormat="1" applyFont="1" applyAlignment="1">
      <alignment shrinkToFit="1"/>
    </xf>
    <xf numFmtId="39" fontId="15" fillId="0" borderId="0" xfId="0" applyFont="1"/>
    <xf numFmtId="39" fontId="9" fillId="0" borderId="0" xfId="0" applyFont="1" applyBorder="1"/>
    <xf numFmtId="39" fontId="15" fillId="0" borderId="0" xfId="0" applyFont="1" applyAlignment="1">
      <alignment horizontal="center"/>
    </xf>
    <xf numFmtId="39" fontId="15" fillId="0" borderId="0" xfId="0" applyFont="1" applyBorder="1"/>
    <xf numFmtId="39" fontId="17" fillId="0" borderId="0" xfId="0" applyFont="1" applyProtection="1">
      <protection locked="0"/>
    </xf>
    <xf numFmtId="39" fontId="6" fillId="0" borderId="0" xfId="7" applyNumberFormat="1" applyFont="1" applyAlignment="1">
      <alignment horizontal="center"/>
    </xf>
    <xf numFmtId="39" fontId="6"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39" fontId="4" fillId="0" borderId="1" xfId="8" applyNumberFormat="1" applyFont="1" applyBorder="1"/>
    <xf numFmtId="17" fontId="4" fillId="0" borderId="0" xfId="8" applyNumberFormat="1" applyFont="1"/>
    <xf numFmtId="37" fontId="4" fillId="0" borderId="0" xfId="8" applyNumberFormat="1" applyFont="1"/>
    <xf numFmtId="168" fontId="4" fillId="0" borderId="0" xfId="0" applyNumberFormat="1" applyFont="1"/>
    <xf numFmtId="166" fontId="4" fillId="0" borderId="0" xfId="8" applyNumberFormat="1" applyFont="1" applyAlignment="1">
      <alignment horizontal="center"/>
    </xf>
    <xf numFmtId="39" fontId="4" fillId="3" borderId="0" xfId="8" applyNumberFormat="1" applyFont="1" applyFill="1"/>
    <xf numFmtId="43" fontId="21" fillId="0" borderId="0" xfId="1" applyFont="1"/>
    <xf numFmtId="0" fontId="20" fillId="3" borderId="0" xfId="8" applyFont="1" applyFill="1"/>
    <xf numFmtId="39" fontId="20" fillId="0" borderId="0" xfId="8" applyNumberFormat="1" applyFont="1"/>
    <xf numFmtId="37" fontId="4" fillId="0" borderId="14" xfId="0" applyNumberFormat="1" applyFont="1" applyBorder="1"/>
    <xf numFmtId="37" fontId="4" fillId="0" borderId="0" xfId="8" applyNumberFormat="1" applyFont="1" applyFill="1"/>
    <xf numFmtId="165" fontId="4" fillId="0" borderId="0" xfId="1" applyNumberFormat="1" applyFont="1"/>
    <xf numFmtId="166" fontId="4" fillId="0" borderId="0" xfId="8" applyNumberFormat="1" applyFont="1" applyFill="1" applyAlignment="1">
      <alignment horizontal="center"/>
    </xf>
    <xf numFmtId="169" fontId="20" fillId="0" borderId="0" xfId="1" applyNumberFormat="1" applyFont="1"/>
    <xf numFmtId="39" fontId="21" fillId="0" borderId="0" xfId="8" applyNumberFormat="1" applyFont="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3" fillId="0" borderId="0" xfId="10"/>
    <xf numFmtId="0" fontId="26" fillId="0" borderId="0" xfId="10" applyFont="1" applyFill="1" applyAlignment="1"/>
    <xf numFmtId="0" fontId="26" fillId="0" borderId="0" xfId="10" applyFont="1" applyFill="1"/>
    <xf numFmtId="0" fontId="23" fillId="0" borderId="0" xfId="10" applyFill="1"/>
    <xf numFmtId="0" fontId="7" fillId="0" borderId="0" xfId="10" applyFont="1" applyFill="1" applyAlignment="1"/>
    <xf numFmtId="0" fontId="7" fillId="0" borderId="0" xfId="10" applyFont="1" applyFill="1" applyAlignment="1">
      <alignment horizontal="right"/>
    </xf>
    <xf numFmtId="0" fontId="24" fillId="0" borderId="0" xfId="10" applyFont="1" applyFill="1" applyAlignment="1">
      <alignment horizontal="center" vertical="center"/>
    </xf>
    <xf numFmtId="170" fontId="7" fillId="0" borderId="0" xfId="10" applyNumberFormat="1" applyFont="1" applyFill="1" applyBorder="1" applyAlignment="1">
      <alignment horizontal="left"/>
    </xf>
    <xf numFmtId="170" fontId="7" fillId="0" borderId="0" xfId="10" applyNumberFormat="1" applyFont="1" applyFill="1" applyBorder="1" applyAlignment="1"/>
    <xf numFmtId="0" fontId="23" fillId="0" borderId="29" xfId="10" applyFill="1" applyBorder="1" applyAlignment="1">
      <alignment horizontal="center"/>
    </xf>
    <xf numFmtId="0" fontId="23" fillId="0" borderId="1" xfId="10" applyFill="1" applyBorder="1" applyAlignment="1">
      <alignment horizontal="center"/>
    </xf>
    <xf numFmtId="0" fontId="24" fillId="0" borderId="0" xfId="10" applyFont="1" applyFill="1" applyBorder="1"/>
    <xf numFmtId="0" fontId="25" fillId="0" borderId="0" xfId="10" applyFont="1" applyFill="1" applyBorder="1" applyAlignment="1">
      <alignment horizontal="center"/>
    </xf>
    <xf numFmtId="0" fontId="25" fillId="0" borderId="30" xfId="10" applyFont="1" applyFill="1" applyBorder="1" applyAlignment="1">
      <alignment horizontal="center"/>
    </xf>
    <xf numFmtId="0" fontId="26" fillId="0" borderId="1" xfId="10" applyFont="1" applyFill="1" applyBorder="1" applyAlignment="1"/>
    <xf numFmtId="0" fontId="27" fillId="0" borderId="1" xfId="10" applyFont="1" applyFill="1" applyBorder="1"/>
    <xf numFmtId="0" fontId="26" fillId="0" borderId="1" xfId="10" applyFont="1" applyFill="1" applyBorder="1" applyAlignment="1">
      <alignment horizontal="center"/>
    </xf>
    <xf numFmtId="0" fontId="26" fillId="0" borderId="31" xfId="10" applyFont="1" applyFill="1" applyBorder="1" applyAlignment="1">
      <alignment horizontal="center"/>
    </xf>
    <xf numFmtId="0" fontId="2" fillId="0" borderId="0" xfId="10" applyFont="1" applyFill="1"/>
    <xf numFmtId="44" fontId="26" fillId="0" borderId="0" xfId="10" applyNumberFormat="1" applyFont="1" applyFill="1" applyBorder="1" applyAlignment="1">
      <alignment horizontal="center"/>
    </xf>
    <xf numFmtId="44" fontId="26" fillId="0" borderId="30" xfId="10" applyNumberFormat="1" applyFont="1" applyFill="1" applyBorder="1" applyAlignment="1">
      <alignment horizontal="center"/>
    </xf>
    <xf numFmtId="44" fontId="26" fillId="0" borderId="32" xfId="10"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10" applyNumberFormat="1" applyFont="1" applyFill="1" applyBorder="1"/>
    <xf numFmtId="44" fontId="26" fillId="0" borderId="0" xfId="4" applyFont="1" applyFill="1"/>
    <xf numFmtId="44" fontId="26" fillId="0" borderId="33" xfId="4" applyFont="1" applyFill="1" applyBorder="1"/>
    <xf numFmtId="44" fontId="26" fillId="0" borderId="24" xfId="4" applyFont="1" applyFill="1" applyBorder="1"/>
    <xf numFmtId="0" fontId="26" fillId="0" borderId="1" xfId="10" applyFont="1" applyFill="1" applyBorder="1"/>
    <xf numFmtId="44" fontId="26" fillId="0" borderId="30" xfId="4" applyFont="1" applyFill="1" applyBorder="1"/>
    <xf numFmtId="44" fontId="26" fillId="0" borderId="0" xfId="10" applyNumberFormat="1" applyFont="1" applyFill="1"/>
    <xf numFmtId="0" fontId="27" fillId="0" borderId="14" xfId="10" applyFont="1" applyFill="1" applyBorder="1" applyAlignment="1">
      <alignment horizontal="left" indent="1"/>
    </xf>
    <xf numFmtId="0" fontId="24" fillId="0" borderId="14" xfId="10" applyFont="1" applyFill="1" applyBorder="1"/>
    <xf numFmtId="44" fontId="27" fillId="0" borderId="14" xfId="10" applyNumberFormat="1" applyFont="1" applyFill="1" applyBorder="1"/>
    <xf numFmtId="44" fontId="27" fillId="0" borderId="34" xfId="10" applyNumberFormat="1" applyFont="1" applyFill="1" applyBorder="1"/>
    <xf numFmtId="0" fontId="26" fillId="0" borderId="30" xfId="10" applyFont="1" applyFill="1" applyBorder="1"/>
    <xf numFmtId="0" fontId="26" fillId="0" borderId="24" xfId="10" applyFont="1" applyFill="1" applyBorder="1"/>
    <xf numFmtId="165" fontId="2" fillId="0" borderId="0" xfId="5" applyNumberFormat="1" applyFont="1" applyFill="1"/>
    <xf numFmtId="44" fontId="26" fillId="0" borderId="0" xfId="10" applyNumberFormat="1" applyFont="1" applyFill="1" applyAlignment="1">
      <alignment horizontal="center"/>
    </xf>
    <xf numFmtId="44" fontId="26" fillId="0" borderId="24" xfId="10" applyNumberFormat="1" applyFont="1" applyFill="1" applyBorder="1" applyAlignment="1">
      <alignment horizontal="left"/>
    </xf>
    <xf numFmtId="44" fontId="28" fillId="0" borderId="30" xfId="10" applyNumberFormat="1" applyFont="1" applyFill="1" applyBorder="1" applyAlignment="1">
      <alignment horizontal="center"/>
    </xf>
    <xf numFmtId="0" fontId="28" fillId="0" borderId="0" xfId="10" applyFont="1" applyFill="1" applyAlignment="1">
      <alignment horizontal="center"/>
    </xf>
    <xf numFmtId="49" fontId="25" fillId="0" borderId="0" xfId="10" applyNumberFormat="1" applyFont="1" applyFill="1" applyAlignment="1">
      <alignment horizontal="center"/>
    </xf>
    <xf numFmtId="49" fontId="25" fillId="0" borderId="30" xfId="10" applyNumberFormat="1" applyFont="1" applyFill="1" applyBorder="1" applyAlignment="1">
      <alignment horizontal="center"/>
    </xf>
    <xf numFmtId="44" fontId="26" fillId="0" borderId="30" xfId="10" applyNumberFormat="1" applyFont="1" applyFill="1" applyBorder="1"/>
    <xf numFmtId="44" fontId="26" fillId="0" borderId="0" xfId="10" applyNumberFormat="1" applyFont="1" applyFill="1" applyAlignment="1">
      <alignment horizontal="right"/>
    </xf>
    <xf numFmtId="0" fontId="26" fillId="0" borderId="0" xfId="10" applyFont="1" applyFill="1" applyAlignment="1">
      <alignment horizontal="right"/>
    </xf>
    <xf numFmtId="0" fontId="28" fillId="0" borderId="35" xfId="10" applyFont="1" applyFill="1" applyBorder="1" applyAlignment="1">
      <alignment horizontal="center"/>
    </xf>
    <xf numFmtId="0" fontId="2" fillId="0" borderId="0" xfId="10" applyFont="1" applyFill="1" applyBorder="1"/>
    <xf numFmtId="44" fontId="23" fillId="0" borderId="0" xfId="10" applyNumberFormat="1" applyFill="1"/>
    <xf numFmtId="0" fontId="23" fillId="0" borderId="0" xfId="10" applyFill="1" applyAlignment="1">
      <alignment horizontal="center"/>
    </xf>
    <xf numFmtId="165" fontId="29" fillId="0" borderId="0" xfId="5" applyNumberFormat="1" applyFont="1" applyFill="1"/>
    <xf numFmtId="0" fontId="26" fillId="0" borderId="0" xfId="4" applyNumberFormat="1" applyFont="1" applyFill="1" applyBorder="1" applyAlignment="1">
      <alignment horizontal="left"/>
    </xf>
    <xf numFmtId="44" fontId="26" fillId="0" borderId="0" xfId="4" applyFont="1" applyFill="1" applyBorder="1"/>
    <xf numFmtId="39" fontId="30" fillId="0" borderId="0" xfId="0" applyFont="1" applyBorder="1"/>
    <xf numFmtId="39" fontId="31" fillId="0" borderId="0" xfId="0" applyFont="1" applyBorder="1" applyAlignment="1">
      <alignment horizontal="center" wrapText="1"/>
    </xf>
    <xf numFmtId="37" fontId="30" fillId="0" borderId="0" xfId="0" applyNumberFormat="1" applyFont="1" applyBorder="1" applyAlignment="1">
      <alignment horizontal="center"/>
    </xf>
    <xf numFmtId="37" fontId="30" fillId="0" borderId="0" xfId="0" applyNumberFormat="1" applyFont="1" applyBorder="1"/>
    <xf numFmtId="39" fontId="30" fillId="0" borderId="0" xfId="0" applyFont="1" applyBorder="1" applyAlignment="1">
      <alignment horizontal="right"/>
    </xf>
    <xf numFmtId="0" fontId="30" fillId="0" borderId="0" xfId="8" applyFont="1" applyBorder="1"/>
    <xf numFmtId="39" fontId="30" fillId="0" borderId="0" xfId="0" applyFont="1" applyBorder="1" applyAlignment="1">
      <alignment horizontal="center"/>
    </xf>
    <xf numFmtId="39" fontId="30" fillId="0" borderId="0" xfId="0" applyFont="1" applyBorder="1" applyAlignment="1" applyProtection="1">
      <alignment horizontal="left"/>
      <protection locked="0"/>
    </xf>
    <xf numFmtId="39" fontId="31" fillId="0" borderId="0" xfId="0" applyFont="1" applyBorder="1" applyAlignment="1">
      <alignment horizontal="center"/>
    </xf>
    <xf numFmtId="43" fontId="30" fillId="0" borderId="0" xfId="1" applyFont="1" applyBorder="1"/>
    <xf numFmtId="0" fontId="30" fillId="0" borderId="0" xfId="8" applyFont="1" applyBorder="1" applyAlignment="1">
      <alignment horizontal="center"/>
    </xf>
    <xf numFmtId="168" fontId="30" fillId="0" borderId="0" xfId="0" applyNumberFormat="1" applyFont="1" applyBorder="1"/>
    <xf numFmtId="165" fontId="30" fillId="0" borderId="0" xfId="1" applyNumberFormat="1" applyFont="1" applyBorder="1"/>
    <xf numFmtId="39" fontId="30" fillId="0" borderId="0" xfId="0" applyFont="1"/>
    <xf numFmtId="39" fontId="31" fillId="0" borderId="1" xfId="0" applyFont="1" applyBorder="1" applyAlignment="1">
      <alignment horizontal="center" wrapText="1"/>
    </xf>
    <xf numFmtId="39" fontId="4" fillId="0" borderId="0" xfId="0" applyFont="1" applyAlignment="1">
      <alignment horizontal="right"/>
    </xf>
    <xf numFmtId="39" fontId="4" fillId="0" borderId="0" xfId="0" applyFont="1" applyFill="1" applyAlignment="1">
      <alignment horizontal="right"/>
    </xf>
    <xf numFmtId="39" fontId="4" fillId="0" borderId="20" xfId="0" applyFont="1" applyBorder="1" applyAlignment="1">
      <alignment horizontal="left" vertical="top"/>
    </xf>
    <xf numFmtId="39" fontId="4" fillId="0" borderId="21" xfId="0" applyFont="1" applyBorder="1" applyAlignment="1">
      <alignment horizontal="left" vertical="top"/>
    </xf>
    <xf numFmtId="39" fontId="4" fillId="0" borderId="21" xfId="0" applyFont="1" applyBorder="1" applyAlignment="1">
      <alignment horizontal="left" vertical="top" wrapText="1"/>
    </xf>
    <xf numFmtId="39" fontId="4" fillId="0" borderId="22"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6"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1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3" xfId="0" applyFont="1" applyBorder="1" applyAlignment="1">
      <alignment horizontal="left"/>
    </xf>
    <xf numFmtId="39" fontId="4" fillId="0" borderId="24" xfId="0" applyFont="1" applyBorder="1" applyAlignment="1" applyProtection="1">
      <alignment horizontal="left"/>
      <protection locked="0"/>
    </xf>
    <xf numFmtId="39" fontId="4" fillId="0" borderId="9" xfId="0" applyFont="1" applyBorder="1" applyAlignment="1">
      <alignment horizontal="left"/>
    </xf>
    <xf numFmtId="39" fontId="4" fillId="0" borderId="10" xfId="0" applyFont="1" applyBorder="1" applyAlignment="1">
      <alignment horizontal="left"/>
    </xf>
    <xf numFmtId="39" fontId="4" fillId="0" borderId="10" xfId="0" applyFont="1" applyBorder="1" applyAlignment="1" applyProtection="1">
      <alignment horizontal="left"/>
      <protection locked="0"/>
    </xf>
    <xf numFmtId="39" fontId="4" fillId="0" borderId="11" xfId="0" applyFont="1" applyBorder="1" applyAlignment="1" applyProtection="1">
      <alignment horizontal="left"/>
      <protection locked="0"/>
    </xf>
    <xf numFmtId="39" fontId="4" fillId="0" borderId="0" xfId="0" applyFont="1" applyProtection="1">
      <protection locked="0"/>
    </xf>
    <xf numFmtId="39" fontId="4" fillId="0" borderId="24" xfId="0" applyFont="1" applyBorder="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pplyProtection="1">
      <alignment horizontal="left"/>
      <protection locked="0"/>
    </xf>
    <xf numFmtId="39" fontId="4" fillId="0" borderId="24" xfId="8" applyNumberFormat="1" applyFont="1" applyBorder="1" applyAlignment="1" applyProtection="1">
      <alignment horizontal="left"/>
      <protection locked="0"/>
    </xf>
    <xf numFmtId="39" fontId="4" fillId="0" borderId="10" xfId="8" applyNumberFormat="1" applyFont="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0" xfId="8" applyNumberFormat="1" applyFont="1" applyFill="1" applyAlignment="1">
      <alignment horizontal="right"/>
    </xf>
    <xf numFmtId="0" fontId="23" fillId="0" borderId="1" xfId="10" applyFill="1" applyBorder="1" applyAlignment="1">
      <alignment horizontal="center"/>
    </xf>
    <xf numFmtId="39" fontId="4" fillId="0" borderId="0" xfId="0" quotePrefix="1" applyFont="1" applyAlignment="1" applyProtection="1">
      <alignment horizontal="left"/>
      <protection locked="0"/>
    </xf>
    <xf numFmtId="39" fontId="4" fillId="0" borderId="10" xfId="0" applyFont="1" applyBorder="1" applyProtection="1">
      <protection locked="0"/>
    </xf>
    <xf numFmtId="39" fontId="4" fillId="0" borderId="11"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4" xfId="9" applyNumberFormat="1" applyFont="1" applyBorder="1" applyAlignment="1" applyProtection="1">
      <alignment horizontal="left"/>
      <protection locked="0"/>
    </xf>
    <xf numFmtId="39" fontId="4" fillId="0" borderId="10" xfId="9" applyNumberFormat="1" applyFont="1" applyBorder="1" applyAlignment="1" applyProtection="1">
      <alignment horizontal="left"/>
      <protection locked="0"/>
    </xf>
    <xf numFmtId="39" fontId="4" fillId="0" borderId="11"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10" fillId="0" borderId="0" xfId="0" applyFont="1" applyBorder="1" applyAlignment="1">
      <alignment horizontal="center" wrapText="1"/>
    </xf>
    <xf numFmtId="39" fontId="6" fillId="0" borderId="14" xfId="0" applyFont="1" applyBorder="1" applyAlignment="1">
      <alignment horizontal="center" wrapText="1"/>
    </xf>
    <xf numFmtId="39" fontId="3" fillId="0" borderId="9"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 xfId="0" applyFont="1" applyBorder="1" applyAlignment="1">
      <alignment horizontal="center"/>
    </xf>
    <xf numFmtId="39" fontId="3" fillId="0" borderId="0" xfId="0" applyFont="1" applyBorder="1" applyAlignment="1">
      <alignment horizontal="center"/>
    </xf>
    <xf numFmtId="39" fontId="3" fillId="0" borderId="13" xfId="0" applyFont="1" applyBorder="1" applyAlignment="1">
      <alignment horizontal="center"/>
    </xf>
    <xf numFmtId="39" fontId="6" fillId="0" borderId="6" xfId="0" applyFont="1" applyBorder="1" applyAlignment="1">
      <alignment horizontal="center" wrapText="1"/>
    </xf>
    <xf numFmtId="39" fontId="6" fillId="0" borderId="8" xfId="0" applyFont="1" applyBorder="1" applyAlignment="1">
      <alignment horizontal="center" wrapText="1"/>
    </xf>
    <xf numFmtId="37" fontId="6" fillId="0" borderId="7" xfId="0" applyNumberFormat="1" applyFont="1" applyBorder="1" applyAlignment="1">
      <alignment horizontal="center"/>
    </xf>
    <xf numFmtId="37" fontId="6" fillId="0" borderId="1" xfId="0" applyNumberFormat="1" applyFont="1" applyBorder="1" applyAlignment="1">
      <alignment horizontal="center"/>
    </xf>
    <xf numFmtId="37" fontId="6" fillId="0" borderId="2" xfId="0" applyNumberFormat="1" applyFont="1" applyBorder="1" applyAlignment="1">
      <alignment horizontal="center"/>
    </xf>
    <xf numFmtId="37" fontId="6" fillId="0" borderId="14" xfId="0" applyNumberFormat="1" applyFont="1" applyBorder="1" applyAlignment="1">
      <alignment horizontal="center"/>
    </xf>
    <xf numFmtId="37" fontId="6" fillId="0" borderId="15"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6" xfId="0" applyFont="1" applyBorder="1" applyAlignment="1">
      <alignment horizontal="center" wrapText="1"/>
    </xf>
    <xf numFmtId="39" fontId="14" fillId="0" borderId="18" xfId="0" applyFont="1" applyBorder="1" applyAlignment="1">
      <alignment horizontal="center" wrapText="1"/>
    </xf>
    <xf numFmtId="39" fontId="6" fillId="0" borderId="17" xfId="0" applyFont="1" applyBorder="1" applyAlignment="1">
      <alignment horizontal="center"/>
    </xf>
    <xf numFmtId="39" fontId="6" fillId="0" borderId="14" xfId="0" applyFont="1" applyBorder="1" applyAlignment="1">
      <alignment horizontal="center"/>
    </xf>
    <xf numFmtId="39" fontId="14" fillId="0" borderId="0" xfId="0" applyFont="1" applyBorder="1" applyAlignment="1">
      <alignment horizontal="center" wrapText="1"/>
    </xf>
  </cellXfs>
  <cellStyles count="11">
    <cellStyle name="Comma" xfId="1" builtinId="3"/>
    <cellStyle name="Comma 3" xfId="5" xr:uid="{C24F42E3-6FF5-48E4-B9E9-FBBE01C215FB}"/>
    <cellStyle name="Currency 3" xfId="4" xr:uid="{2465CA5B-7333-4470-BFC6-39DBCDD0DC8B}"/>
    <cellStyle name="Hyperlink" xfId="6" builtinId="8"/>
    <cellStyle name="Normal" xfId="0" builtinId="0"/>
    <cellStyle name="Normal 2" xfId="10" xr:uid="{3C759F27-044B-4FD7-9937-51D41B28724C}"/>
    <cellStyle name="Normal 2 4" xfId="8" xr:uid="{48573169-FEA6-4336-A76C-B0D89692B163}"/>
    <cellStyle name="Normal 2 5" xfId="9" xr:uid="{C469B055-972E-449C-BFE9-60F68EE1A727}"/>
    <cellStyle name="Normal 3" xfId="3" xr:uid="{662B60B2-2A89-4D5D-8F4A-493E55D44F9F}"/>
    <cellStyle name="Normal_2002" xfId="7" xr:uid="{F2F91D64-28E7-4998-A78E-0F3D9486B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19/07-2019/Core%20GC%20Allocations%2007-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OR Rates"/>
      <sheetName val="Core Cost Incurred"/>
    </sheetNames>
    <sheetDataSet>
      <sheetData sheetId="0" refreshError="1"/>
      <sheetData sheetId="1"/>
      <sheetData sheetId="2"/>
      <sheetData sheetId="3"/>
      <sheetData sheetId="4">
        <row r="36">
          <cell r="F36">
            <v>108982</v>
          </cell>
        </row>
      </sheetData>
      <sheetData sheetId="5"/>
      <sheetData sheetId="6"/>
      <sheetData sheetId="7"/>
      <sheetData sheetId="8"/>
      <sheetData sheetId="9">
        <row r="2">
          <cell r="B2">
            <v>43671</v>
          </cell>
        </row>
        <row r="42">
          <cell r="K42">
            <v>1772185.71</v>
          </cell>
        </row>
        <row r="43">
          <cell r="K43">
            <v>3803344.629999999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ferc.gov/enforcement/acct-matts/interest-rates.asp"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38F6D-3DC6-455F-A05F-A750DA215176}">
  <dimension ref="A1:L89"/>
  <sheetViews>
    <sheetView view="pageBreakPreview" zoomScale="115" zoomScaleNormal="75" zoomScaleSheetLayoutView="115" workbookViewId="0">
      <pane xSplit="1" ySplit="10" topLeftCell="B72" activePane="bottomRight" state="frozen"/>
      <selection activeCell="E24" sqref="E24"/>
      <selection pane="topRight" activeCell="E24" sqref="E24"/>
      <selection pane="bottomLeft" activeCell="E24" sqref="E24"/>
      <selection pane="bottomRight" activeCell="G86" activeCellId="1" sqref="D86 G86"/>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1" t="s">
        <v>58</v>
      </c>
      <c r="B1" s="212"/>
      <c r="C1" s="213" t="s">
        <v>59</v>
      </c>
      <c r="D1" s="213"/>
      <c r="E1" s="213"/>
      <c r="F1" s="213"/>
      <c r="G1" s="213"/>
      <c r="H1" s="214"/>
    </row>
    <row r="2" spans="1:12" x14ac:dyDescent="0.2">
      <c r="A2" s="207" t="s">
        <v>60</v>
      </c>
      <c r="B2" s="208"/>
      <c r="C2" s="209" t="s">
        <v>61</v>
      </c>
      <c r="D2" s="209"/>
      <c r="E2" s="209"/>
      <c r="F2" s="209"/>
      <c r="G2" s="209"/>
      <c r="H2" s="210"/>
    </row>
    <row r="3" spans="1:12" x14ac:dyDescent="0.2">
      <c r="A3" s="207" t="s">
        <v>62</v>
      </c>
      <c r="B3" s="208"/>
      <c r="C3" s="209" t="s">
        <v>3</v>
      </c>
      <c r="D3" s="209"/>
      <c r="E3" s="209"/>
      <c r="F3" s="209"/>
      <c r="G3" s="209"/>
      <c r="H3" s="210"/>
    </row>
    <row r="4" spans="1:12" x14ac:dyDescent="0.2">
      <c r="A4" s="207" t="s">
        <v>63</v>
      </c>
      <c r="B4" s="208"/>
      <c r="C4" s="209" t="s">
        <v>64</v>
      </c>
      <c r="D4" s="209"/>
      <c r="E4" s="209"/>
      <c r="F4" s="209"/>
      <c r="G4" s="209"/>
      <c r="H4" s="210"/>
    </row>
    <row r="5" spans="1:12" x14ac:dyDescent="0.2">
      <c r="A5" s="207" t="s">
        <v>65</v>
      </c>
      <c r="B5" s="208"/>
      <c r="C5" s="209" t="s">
        <v>66</v>
      </c>
      <c r="D5" s="209"/>
      <c r="E5" s="209"/>
      <c r="F5" s="209"/>
      <c r="G5" s="209"/>
      <c r="H5" s="210"/>
    </row>
    <row r="6" spans="1:12" x14ac:dyDescent="0.2">
      <c r="A6" s="207" t="s">
        <v>67</v>
      </c>
      <c r="B6" s="208"/>
      <c r="C6" s="209" t="s">
        <v>0</v>
      </c>
      <c r="D6" s="209"/>
      <c r="E6" s="209"/>
      <c r="F6" s="209"/>
      <c r="G6" s="209"/>
      <c r="H6" s="210"/>
    </row>
    <row r="7" spans="1:12" ht="29.25" customHeight="1" x14ac:dyDescent="0.2">
      <c r="A7" s="201" t="s">
        <v>68</v>
      </c>
      <c r="B7" s="202"/>
      <c r="C7" s="203" t="s">
        <v>69</v>
      </c>
      <c r="D7" s="203"/>
      <c r="E7" s="203"/>
      <c r="F7" s="203"/>
      <c r="G7" s="203"/>
      <c r="H7" s="204"/>
    </row>
    <row r="8" spans="1:12" x14ac:dyDescent="0.2">
      <c r="B8" s="84"/>
      <c r="G8" s="85" t="s">
        <v>70</v>
      </c>
    </row>
    <row r="9" spans="1:12" x14ac:dyDescent="0.2">
      <c r="A9" s="6"/>
      <c r="D9" s="205" t="s">
        <v>71</v>
      </c>
      <c r="E9" s="205"/>
      <c r="F9" s="205"/>
      <c r="G9" s="86" t="s">
        <v>72</v>
      </c>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-1120659.83</v>
      </c>
      <c r="K11" s="87"/>
      <c r="L11" s="88"/>
    </row>
    <row r="12" spans="1:12" hidden="1" x14ac:dyDescent="0.2">
      <c r="A12" s="89">
        <f>'FERC Interest Rates'!A20</f>
        <v>41608</v>
      </c>
      <c r="D12" s="1">
        <v>93596.04</v>
      </c>
      <c r="F12" s="1">
        <f>ROUND(H11*VLOOKUP(A12,FERCINT13,2)/365*VLOOKUP(A12,FERCINT13,3),2)</f>
        <v>-2993.54</v>
      </c>
      <c r="H12" s="1">
        <f t="shared" ref="H12:H47" si="0">H11+SUM(D12:G12)</f>
        <v>-1030057.3300000001</v>
      </c>
      <c r="K12" s="87"/>
      <c r="L12" s="88"/>
    </row>
    <row r="13" spans="1:12" hidden="1" x14ac:dyDescent="0.2">
      <c r="A13" s="89">
        <f>'FERC Interest Rates'!A21</f>
        <v>41639</v>
      </c>
      <c r="D13" s="1">
        <v>-302560.25</v>
      </c>
      <c r="F13" s="1">
        <f t="shared" ref="F13" si="1">ROUND(H12*VLOOKUP(A13,FERCINT13,2)/365*VLOOKUP(A13,FERCINT13,3),2)</f>
        <v>-2843.24</v>
      </c>
      <c r="H13" s="1">
        <f t="shared" si="0"/>
        <v>-1335460.82</v>
      </c>
      <c r="K13" s="87"/>
      <c r="L13" s="88"/>
    </row>
    <row r="14" spans="1:12" hidden="1" x14ac:dyDescent="0.2">
      <c r="A14" s="89">
        <f>'FERC Interest Rates'!A22</f>
        <v>41670</v>
      </c>
      <c r="D14" s="1">
        <v>192476.01</v>
      </c>
      <c r="F14" s="1">
        <f t="shared" ref="F14:F23" si="2">ROUND(H13*VLOOKUP(A14,FERCINT14,2)/365*VLOOKUP(A14,FERCINT14,3),2)</f>
        <v>-3686.24</v>
      </c>
      <c r="H14" s="1">
        <f t="shared" si="0"/>
        <v>-1146671.05</v>
      </c>
      <c r="K14" s="87"/>
      <c r="L14" s="88"/>
    </row>
    <row r="15" spans="1:12" hidden="1" x14ac:dyDescent="0.2">
      <c r="A15" s="89">
        <f>'FERC Interest Rates'!A23</f>
        <v>41698</v>
      </c>
      <c r="D15" s="1">
        <v>1883159.68</v>
      </c>
      <c r="F15" s="1">
        <f t="shared" si="2"/>
        <v>-2858.82</v>
      </c>
      <c r="H15" s="1">
        <f t="shared" si="0"/>
        <v>733629.80999999982</v>
      </c>
      <c r="K15" s="87"/>
      <c r="L15" s="88"/>
    </row>
    <row r="16" spans="1:12" hidden="1" x14ac:dyDescent="0.2">
      <c r="A16" s="89">
        <f>'FERC Interest Rates'!A24</f>
        <v>41729</v>
      </c>
      <c r="D16" s="1">
        <v>1966862.04</v>
      </c>
      <c r="F16" s="1">
        <f t="shared" si="2"/>
        <v>2025.02</v>
      </c>
      <c r="H16" s="1">
        <f t="shared" si="0"/>
        <v>2702516.87</v>
      </c>
      <c r="K16" s="87"/>
      <c r="L16" s="88"/>
    </row>
    <row r="17" spans="1:12" hidden="1" x14ac:dyDescent="0.2">
      <c r="A17" s="89">
        <f>'FERC Interest Rates'!A25</f>
        <v>41759</v>
      </c>
      <c r="D17" s="1">
        <f>-274443.54-10556.4</f>
        <v>-284999.94</v>
      </c>
      <c r="F17" s="1">
        <f t="shared" si="2"/>
        <v>7219.05</v>
      </c>
      <c r="H17" s="1">
        <f t="shared" si="0"/>
        <v>2424735.98</v>
      </c>
      <c r="K17" s="87"/>
      <c r="L17" s="88"/>
    </row>
    <row r="18" spans="1:12" hidden="1" x14ac:dyDescent="0.2">
      <c r="A18" s="89">
        <f>'FERC Interest Rates'!A26</f>
        <v>41790</v>
      </c>
      <c r="D18" s="1">
        <v>1506.11</v>
      </c>
      <c r="F18" s="1">
        <f t="shared" si="2"/>
        <v>6692.94</v>
      </c>
      <c r="H18" s="1">
        <f t="shared" si="0"/>
        <v>2432935.0299999998</v>
      </c>
      <c r="K18" s="87"/>
      <c r="L18" s="88"/>
    </row>
    <row r="19" spans="1:12" hidden="1" x14ac:dyDescent="0.2">
      <c r="A19" s="89">
        <f>'FERC Interest Rates'!A27</f>
        <v>41820</v>
      </c>
      <c r="D19" s="1">
        <v>152709.69</v>
      </c>
      <c r="F19" s="1">
        <f t="shared" si="2"/>
        <v>6498.94</v>
      </c>
      <c r="H19" s="1">
        <f t="shared" si="0"/>
        <v>2592143.6599999997</v>
      </c>
      <c r="K19" s="87"/>
      <c r="L19" s="88"/>
    </row>
    <row r="20" spans="1:12" hidden="1" x14ac:dyDescent="0.2">
      <c r="A20" s="89">
        <f>'FERC Interest Rates'!A28</f>
        <v>41851</v>
      </c>
      <c r="D20" s="1">
        <v>167726.51</v>
      </c>
      <c r="F20" s="1">
        <f t="shared" si="2"/>
        <v>7155.03</v>
      </c>
      <c r="H20" s="1">
        <f t="shared" si="0"/>
        <v>2767025.1999999997</v>
      </c>
      <c r="K20" s="87"/>
      <c r="L20" s="88"/>
    </row>
    <row r="21" spans="1:12" hidden="1" x14ac:dyDescent="0.2">
      <c r="A21" s="89">
        <f>'FERC Interest Rates'!A29</f>
        <v>41882</v>
      </c>
      <c r="D21" s="1">
        <v>-467001.19</v>
      </c>
      <c r="F21" s="1">
        <f t="shared" si="2"/>
        <v>7637.75</v>
      </c>
      <c r="H21" s="1">
        <f t="shared" si="0"/>
        <v>2307661.7599999998</v>
      </c>
      <c r="K21" s="87"/>
      <c r="L21" s="88"/>
    </row>
    <row r="22" spans="1:12" hidden="1" x14ac:dyDescent="0.2">
      <c r="A22" s="89">
        <f>'FERC Interest Rates'!A30</f>
        <v>41912</v>
      </c>
      <c r="D22" s="1">
        <v>-76065.69</v>
      </c>
      <c r="F22" s="1">
        <f t="shared" si="2"/>
        <v>6164.3</v>
      </c>
      <c r="H22" s="1">
        <f t="shared" si="0"/>
        <v>2237760.3699999996</v>
      </c>
      <c r="K22" s="87"/>
      <c r="L22" s="88"/>
    </row>
    <row r="23" spans="1:12" hidden="1" x14ac:dyDescent="0.2">
      <c r="A23" s="89">
        <f>'FERC Interest Rates'!A31</f>
        <v>41943</v>
      </c>
      <c r="D23" s="1">
        <v>-41866.550000000003</v>
      </c>
      <c r="F23" s="1">
        <f t="shared" si="2"/>
        <v>6176.83</v>
      </c>
      <c r="H23" s="90">
        <f t="shared" si="0"/>
        <v>2202070.6499999994</v>
      </c>
      <c r="K23" s="87"/>
      <c r="L23" s="88"/>
    </row>
    <row r="24" spans="1:12" hidden="1" x14ac:dyDescent="0.2">
      <c r="A24" s="199" t="s">
        <v>80</v>
      </c>
      <c r="B24" s="199"/>
      <c r="C24" s="199"/>
      <c r="D24" s="199"/>
      <c r="E24" s="199"/>
      <c r="F24" s="199"/>
      <c r="G24" s="1">
        <v>-2789754.01</v>
      </c>
      <c r="H24" s="90">
        <f t="shared" si="0"/>
        <v>-587683.36000000034</v>
      </c>
    </row>
    <row r="25" spans="1:12" hidden="1" x14ac:dyDescent="0.2">
      <c r="A25" s="89">
        <f>'FERC Interest Rates'!A32</f>
        <v>41973</v>
      </c>
      <c r="D25" s="1">
        <v>-388093.17</v>
      </c>
      <c r="F25" s="1">
        <f t="shared" ref="F25" si="3">ROUND(H24*VLOOKUP(A25,FERCINT14,2)/365*VLOOKUP(A25,FERCINT14,3),2)</f>
        <v>-1569.84</v>
      </c>
      <c r="H25" s="90">
        <f t="shared" si="0"/>
        <v>-977346.37000000034</v>
      </c>
      <c r="K25" s="87"/>
      <c r="L25" s="88"/>
    </row>
    <row r="26" spans="1:12" hidden="1" x14ac:dyDescent="0.2">
      <c r="A26" s="89">
        <f>'FERC Interest Rates'!A33</f>
        <v>42004</v>
      </c>
      <c r="D26" s="1">
        <v>50810.48</v>
      </c>
      <c r="F26" s="1">
        <f t="shared" ref="F26" si="4">ROUND(H25*VLOOKUP(A26,FERCINT14,2)/365*VLOOKUP(A26,FERCINT14,3),2)</f>
        <v>-2697.74</v>
      </c>
      <c r="H26" s="90">
        <f t="shared" si="0"/>
        <v>-929233.63000000035</v>
      </c>
      <c r="K26" s="87"/>
      <c r="L26" s="88"/>
    </row>
    <row r="27" spans="1:12" hidden="1" x14ac:dyDescent="0.2">
      <c r="A27" s="89">
        <f>'FERC Interest Rates'!A34</f>
        <v>42035</v>
      </c>
      <c r="D27" s="1">
        <v>-1925336.63</v>
      </c>
      <c r="F27" s="1">
        <f t="shared" ref="F27:F39" si="5">ROUND(H26*VLOOKUP(A27,FERCINT15,2)/365*VLOOKUP(A27,FERCINT15,3),2)</f>
        <v>-2564.94</v>
      </c>
      <c r="H27" s="90">
        <f t="shared" si="0"/>
        <v>-2857135.2</v>
      </c>
      <c r="K27" s="87"/>
      <c r="L27" s="88"/>
    </row>
    <row r="28" spans="1:12" hidden="1" x14ac:dyDescent="0.2">
      <c r="A28" s="89">
        <f>'FERC Interest Rates'!A35</f>
        <v>42063</v>
      </c>
      <c r="D28" s="1">
        <v>-1353526.41</v>
      </c>
      <c r="F28" s="1">
        <f t="shared" si="5"/>
        <v>-7123.27</v>
      </c>
      <c r="H28" s="90">
        <f t="shared" si="0"/>
        <v>-4217784.88</v>
      </c>
      <c r="K28" s="87"/>
      <c r="L28" s="88"/>
    </row>
    <row r="29" spans="1:12" hidden="1" x14ac:dyDescent="0.2">
      <c r="A29" s="89">
        <f>'FERC Interest Rates'!A36</f>
        <v>42094</v>
      </c>
      <c r="D29" s="1">
        <v>-1683298.68</v>
      </c>
      <c r="F29" s="1">
        <f t="shared" si="5"/>
        <v>-11642.24</v>
      </c>
      <c r="H29" s="90">
        <f t="shared" si="0"/>
        <v>-5912725.7999999998</v>
      </c>
      <c r="K29" s="87"/>
      <c r="L29" s="88"/>
    </row>
    <row r="30" spans="1:12" hidden="1" x14ac:dyDescent="0.2">
      <c r="A30" s="89">
        <f>'FERC Interest Rates'!A37</f>
        <v>42124</v>
      </c>
      <c r="D30" s="1">
        <v>-1792191.55</v>
      </c>
      <c r="F30" s="1">
        <f t="shared" si="5"/>
        <v>-15794.27</v>
      </c>
      <c r="H30" s="90">
        <f t="shared" si="0"/>
        <v>-7720711.6200000001</v>
      </c>
      <c r="K30" s="87"/>
      <c r="L30" s="88"/>
    </row>
    <row r="31" spans="1:12" hidden="1" x14ac:dyDescent="0.2">
      <c r="A31" s="89">
        <f>'FERC Interest Rates'!A38</f>
        <v>42155</v>
      </c>
      <c r="D31" s="1">
        <v>-1388193.03</v>
      </c>
      <c r="F31" s="1">
        <f t="shared" si="5"/>
        <v>-21311.279999999999</v>
      </c>
      <c r="H31" s="90">
        <f t="shared" si="0"/>
        <v>-9130215.9299999997</v>
      </c>
      <c r="K31" s="87"/>
      <c r="L31" s="88"/>
    </row>
    <row r="32" spans="1:12" hidden="1" x14ac:dyDescent="0.2">
      <c r="A32" s="89">
        <f>'FERC Interest Rates'!A39</f>
        <v>42185</v>
      </c>
      <c r="D32" s="1">
        <v>26234.13</v>
      </c>
      <c r="F32" s="1">
        <f t="shared" si="5"/>
        <v>-24388.93</v>
      </c>
      <c r="H32" s="90">
        <f t="shared" si="0"/>
        <v>-9128370.7300000004</v>
      </c>
      <c r="K32" s="87"/>
      <c r="L32" s="88"/>
    </row>
    <row r="33" spans="1:12" hidden="1" x14ac:dyDescent="0.2">
      <c r="A33" s="89">
        <f>'FERC Interest Rates'!A40</f>
        <v>42216</v>
      </c>
      <c r="D33" s="1">
        <v>-864942.07999999996</v>
      </c>
      <c r="F33" s="1">
        <f t="shared" si="5"/>
        <v>-25196.799999999999</v>
      </c>
      <c r="H33" s="90">
        <f t="shared" si="0"/>
        <v>-10018509.610000001</v>
      </c>
      <c r="K33" s="87"/>
      <c r="L33" s="88"/>
    </row>
    <row r="34" spans="1:12" hidden="1" x14ac:dyDescent="0.2">
      <c r="A34" s="89">
        <f>'FERC Interest Rates'!A41</f>
        <v>42247</v>
      </c>
      <c r="D34" s="1">
        <v>-127139.21</v>
      </c>
      <c r="F34" s="1">
        <f t="shared" si="5"/>
        <v>-27653.83</v>
      </c>
      <c r="H34" s="90">
        <f t="shared" si="0"/>
        <v>-10173302.65</v>
      </c>
      <c r="K34" s="87"/>
      <c r="L34" s="88"/>
    </row>
    <row r="35" spans="1:12" hidden="1" x14ac:dyDescent="0.2">
      <c r="A35" s="199" t="s">
        <v>81</v>
      </c>
      <c r="B35" s="199"/>
      <c r="C35" s="199"/>
      <c r="D35" s="199"/>
      <c r="E35" s="199"/>
      <c r="F35" s="199"/>
      <c r="G35" s="1">
        <v>9178833.8800000008</v>
      </c>
      <c r="H35" s="90">
        <f t="shared" si="0"/>
        <v>-994468.76999999955</v>
      </c>
      <c r="K35" s="87"/>
      <c r="L35" s="88"/>
    </row>
    <row r="36" spans="1:12" hidden="1" x14ac:dyDescent="0.2">
      <c r="A36" s="89">
        <f>'FERC Interest Rates'!A42</f>
        <v>42277</v>
      </c>
      <c r="D36" s="1">
        <v>-585536.48</v>
      </c>
      <c r="F36" s="1">
        <f>ROUND(H35*VLOOKUP(A36,FERCINT15,2)/365*VLOOKUP(A36,FERCINT15,3),2)</f>
        <v>-2656.46</v>
      </c>
      <c r="H36" s="90">
        <f t="shared" si="0"/>
        <v>-1582661.7099999995</v>
      </c>
      <c r="K36" s="87"/>
      <c r="L36" s="88"/>
    </row>
    <row r="37" spans="1:12" hidden="1" x14ac:dyDescent="0.2">
      <c r="A37" s="89">
        <f>'FERC Interest Rates'!A43</f>
        <v>42308</v>
      </c>
      <c r="D37" s="1">
        <v>-465803</v>
      </c>
      <c r="F37" s="1">
        <f t="shared" si="5"/>
        <v>-4368.58</v>
      </c>
      <c r="H37" s="90">
        <f>H36+SUM(D37:G37)</f>
        <v>-2052833.2899999996</v>
      </c>
      <c r="K37" s="87"/>
      <c r="L37" s="88"/>
    </row>
    <row r="38" spans="1:12" hidden="1" x14ac:dyDescent="0.2">
      <c r="A38" s="89">
        <f>'FERC Interest Rates'!A44</f>
        <v>42338</v>
      </c>
      <c r="D38" s="1">
        <v>-1544843.34</v>
      </c>
      <c r="F38" s="1">
        <f t="shared" si="5"/>
        <v>-5483.6</v>
      </c>
      <c r="H38" s="90">
        <f>H37+SUM(D38:G38)</f>
        <v>-3603160.2299999995</v>
      </c>
      <c r="K38" s="87"/>
      <c r="L38" s="88"/>
    </row>
    <row r="39" spans="1:12" hidden="1" x14ac:dyDescent="0.2">
      <c r="A39" s="89">
        <f>'FERC Interest Rates'!A45</f>
        <v>42369</v>
      </c>
      <c r="D39" s="1">
        <v>-1645881.86</v>
      </c>
      <c r="F39" s="1">
        <f t="shared" si="5"/>
        <v>-9945.7099999999991</v>
      </c>
      <c r="H39" s="90">
        <f>H38+SUM(D39:G39)</f>
        <v>-5258987.8</v>
      </c>
      <c r="K39" s="87"/>
      <c r="L39" s="88"/>
    </row>
    <row r="40" spans="1:12" hidden="1" x14ac:dyDescent="0.2">
      <c r="A40" s="89">
        <f>'FERC Interest Rates'!A46</f>
        <v>42400</v>
      </c>
      <c r="D40" s="1">
        <v>-2154994.2799999998</v>
      </c>
      <c r="F40" s="1">
        <f t="shared" ref="F40:F52" si="6">ROUND(H39*VLOOKUP(A40,FERCINT16,2)/365*VLOOKUP(A40,FERCINT16,3),2)</f>
        <v>-14516.25</v>
      </c>
      <c r="H40" s="90">
        <f t="shared" si="0"/>
        <v>-7428498.3300000001</v>
      </c>
      <c r="K40" s="87"/>
      <c r="L40" s="88"/>
    </row>
    <row r="41" spans="1:12" hidden="1" x14ac:dyDescent="0.2">
      <c r="A41" s="89">
        <f>'FERC Interest Rates'!A47</f>
        <v>42429</v>
      </c>
      <c r="D41" s="1">
        <v>-1476931.21</v>
      </c>
      <c r="F41" s="1">
        <f t="shared" si="6"/>
        <v>-19181.810000000001</v>
      </c>
      <c r="G41" s="1">
        <v>-99.96</v>
      </c>
      <c r="H41" s="90">
        <f t="shared" si="0"/>
        <v>-8924711.3100000005</v>
      </c>
      <c r="K41" s="87"/>
      <c r="L41" s="88"/>
    </row>
    <row r="42" spans="1:12" hidden="1" x14ac:dyDescent="0.2">
      <c r="A42" s="89">
        <f>'FERC Interest Rates'!A48</f>
        <v>42460</v>
      </c>
      <c r="D42" s="1">
        <v>-1690305.69</v>
      </c>
      <c r="F42" s="1">
        <f t="shared" si="6"/>
        <v>-24634.65</v>
      </c>
      <c r="G42" s="1">
        <v>-6148.88</v>
      </c>
      <c r="H42" s="90">
        <f t="shared" si="0"/>
        <v>-10645800.530000001</v>
      </c>
      <c r="K42" s="87"/>
      <c r="L42" s="88"/>
    </row>
    <row r="43" spans="1:12" hidden="1" x14ac:dyDescent="0.2">
      <c r="A43" s="89">
        <f>'FERC Interest Rates'!A49</f>
        <v>42490</v>
      </c>
      <c r="D43" s="1">
        <v>-1904970.39</v>
      </c>
      <c r="F43" s="1">
        <f t="shared" si="6"/>
        <v>-30274.91</v>
      </c>
      <c r="G43" s="1">
        <v>-710.41</v>
      </c>
      <c r="H43" s="90">
        <f t="shared" si="0"/>
        <v>-12581756.24</v>
      </c>
      <c r="K43" s="87"/>
      <c r="L43" s="88"/>
    </row>
    <row r="44" spans="1:12" hidden="1" x14ac:dyDescent="0.2">
      <c r="A44" s="89">
        <f>'FERC Interest Rates'!A50</f>
        <v>42521</v>
      </c>
      <c r="D44" s="1">
        <v>-1147138.95</v>
      </c>
      <c r="F44" s="1">
        <f t="shared" si="6"/>
        <v>-36973.129999999997</v>
      </c>
      <c r="G44" s="1">
        <v>-389.13</v>
      </c>
      <c r="H44" s="90">
        <f t="shared" si="0"/>
        <v>-13766257.449999999</v>
      </c>
      <c r="K44" s="87"/>
      <c r="L44" s="88"/>
    </row>
    <row r="45" spans="1:12" hidden="1" x14ac:dyDescent="0.2">
      <c r="A45" s="89">
        <f>'FERC Interest Rates'!A51</f>
        <v>42551</v>
      </c>
      <c r="D45" s="1">
        <v>-588401.41</v>
      </c>
      <c r="F45" s="1">
        <f t="shared" si="6"/>
        <v>-39148.97</v>
      </c>
      <c r="G45" s="1">
        <v>-6060.87</v>
      </c>
      <c r="H45" s="90">
        <f t="shared" si="0"/>
        <v>-14399868.699999999</v>
      </c>
      <c r="K45" s="87"/>
      <c r="L45" s="88"/>
    </row>
    <row r="46" spans="1:12" hidden="1" x14ac:dyDescent="0.2">
      <c r="A46" s="89">
        <f>'FERC Interest Rates'!A52</f>
        <v>42582</v>
      </c>
      <c r="D46" s="1">
        <v>-455489.75</v>
      </c>
      <c r="F46" s="1">
        <f t="shared" si="6"/>
        <v>-42805.09</v>
      </c>
      <c r="G46" s="1">
        <f>-500654.43+42805.09+455489.75</f>
        <v>-2359.5899999999674</v>
      </c>
      <c r="H46" s="90">
        <f t="shared" si="0"/>
        <v>-14900523.129999999</v>
      </c>
      <c r="K46" s="87"/>
      <c r="L46" s="88"/>
    </row>
    <row r="47" spans="1:12" hidden="1" x14ac:dyDescent="0.2">
      <c r="A47" s="89">
        <f>'FERC Interest Rates'!A53</f>
        <v>42613</v>
      </c>
      <c r="D47" s="1">
        <v>-147435.35</v>
      </c>
      <c r="F47" s="1">
        <f t="shared" si="6"/>
        <v>-44293.34</v>
      </c>
      <c r="G47" s="1">
        <f>-192518.19+44293.34+147435.35</f>
        <v>-789.5</v>
      </c>
      <c r="H47" s="90">
        <f t="shared" si="0"/>
        <v>-15093041.319999998</v>
      </c>
      <c r="K47" s="87"/>
      <c r="L47" s="88"/>
    </row>
    <row r="48" spans="1:12" x14ac:dyDescent="0.2">
      <c r="A48" s="199" t="s">
        <v>82</v>
      </c>
      <c r="B48" s="199"/>
      <c r="C48" s="199"/>
      <c r="D48" s="199"/>
      <c r="E48" s="199"/>
      <c r="F48" s="199"/>
      <c r="G48" s="1">
        <v>14485606.119999999</v>
      </c>
      <c r="H48" s="90">
        <f t="shared" ref="H48" si="7">H47+SUM(D48:G48)</f>
        <v>-607435.19999999925</v>
      </c>
      <c r="K48" s="87"/>
      <c r="L48" s="88"/>
    </row>
    <row r="49" spans="1:12" x14ac:dyDescent="0.2">
      <c r="A49" s="89">
        <f>'FERC Interest Rates'!A54</f>
        <v>42643</v>
      </c>
      <c r="D49" s="1">
        <v>-199542.95</v>
      </c>
      <c r="F49" s="1">
        <f>ROUND(H48*VLOOKUP(A49,FERCINT16,2)/365*VLOOKUP(A49,FERCINT16,3),2)</f>
        <v>-1747.42</v>
      </c>
      <c r="G49" s="1">
        <f>-310.25-73.21-249.6-110.16-216.72-71.88</f>
        <v>-1031.82</v>
      </c>
      <c r="H49" s="90">
        <f>H48+SUM(D49:G49)</f>
        <v>-809757.38999999932</v>
      </c>
      <c r="K49" s="87"/>
      <c r="L49" s="88"/>
    </row>
    <row r="50" spans="1:12" x14ac:dyDescent="0.2">
      <c r="A50" s="89">
        <f>'FERC Interest Rates'!A55</f>
        <v>42674</v>
      </c>
      <c r="D50" s="1">
        <v>-335397.51</v>
      </c>
      <c r="F50" s="1">
        <f t="shared" si="6"/>
        <v>-2407.09</v>
      </c>
      <c r="G50" s="1">
        <f>-30-310.25+71.88-71.88-246.4-71.88-47.92+74.63+310.25+323.5</f>
        <v>1.9300000000000637</v>
      </c>
      <c r="H50" s="90">
        <f t="shared" ref="H50:H86" si="8">H49+SUM(D50:G50)</f>
        <v>-1147560.0599999994</v>
      </c>
      <c r="K50" s="87"/>
      <c r="L50" s="88"/>
    </row>
    <row r="51" spans="1:12" x14ac:dyDescent="0.2">
      <c r="A51" s="89">
        <f>'FERC Interest Rates'!A56</f>
        <v>42704</v>
      </c>
      <c r="D51" s="1">
        <v>704713.46</v>
      </c>
      <c r="F51" s="1">
        <f t="shared" si="6"/>
        <v>-3301.2</v>
      </c>
      <c r="G51" s="1">
        <v>-447.57</v>
      </c>
      <c r="H51" s="90">
        <f t="shared" si="8"/>
        <v>-446595.3699999993</v>
      </c>
      <c r="K51" s="87"/>
      <c r="L51" s="88"/>
    </row>
    <row r="52" spans="1:12" x14ac:dyDescent="0.2">
      <c r="A52" s="89">
        <f>'FERC Interest Rates'!A57</f>
        <v>42735</v>
      </c>
      <c r="D52" s="1">
        <f>3430803.48-399700.78</f>
        <v>3031102.7</v>
      </c>
      <c r="F52" s="1">
        <f t="shared" si="6"/>
        <v>-1327.55</v>
      </c>
      <c r="G52" s="1">
        <f>-647-1045.5-597-647-261.38-65.34-36.76-21.78-4.27</f>
        <v>-3326.0300000000007</v>
      </c>
      <c r="H52" s="90">
        <f t="shared" si="8"/>
        <v>2579853.7500000014</v>
      </c>
      <c r="K52" s="87"/>
      <c r="L52" s="88"/>
    </row>
    <row r="53" spans="1:12" x14ac:dyDescent="0.2">
      <c r="A53" s="89">
        <f>'FERC Interest Rates'!A58</f>
        <v>42766</v>
      </c>
      <c r="D53" s="1">
        <v>4901066.0599999996</v>
      </c>
      <c r="F53" s="1">
        <f t="shared" ref="F53:F65" si="9">ROUND(H52*VLOOKUP(A53,FERCINT17,2)/365*VLOOKUP(A53,FERCINT17,3),2)</f>
        <v>7668.88</v>
      </c>
      <c r="G53" s="1">
        <f>-500-47.92-323.37-51.28-50-5.56-3.73+1045.5+47.92</f>
        <v>111.5600000000001</v>
      </c>
      <c r="H53" s="90">
        <f t="shared" si="8"/>
        <v>7488700.25</v>
      </c>
      <c r="K53" s="87"/>
      <c r="L53" s="88"/>
    </row>
    <row r="54" spans="1:12" x14ac:dyDescent="0.2">
      <c r="A54" s="89">
        <f>'FERC Interest Rates'!A59</f>
        <v>42794</v>
      </c>
      <c r="D54" s="1">
        <v>1733602.92</v>
      </c>
      <c r="F54" s="1">
        <f t="shared" si="9"/>
        <v>20106.650000000001</v>
      </c>
      <c r="G54" s="1">
        <f>-278.19-174.25</f>
        <v>-452.44</v>
      </c>
      <c r="H54" s="90">
        <f t="shared" si="8"/>
        <v>9241957.379999999</v>
      </c>
      <c r="K54" s="87"/>
      <c r="L54" s="88"/>
    </row>
    <row r="55" spans="1:12" x14ac:dyDescent="0.2">
      <c r="A55" s="89">
        <f>'FERC Interest Rates'!A60</f>
        <v>42825</v>
      </c>
      <c r="D55" s="1">
        <v>-778930.47</v>
      </c>
      <c r="F55" s="1">
        <f t="shared" si="9"/>
        <v>27472.67</v>
      </c>
      <c r="G55" s="1">
        <f>-364.45+50</f>
        <v>-314.45</v>
      </c>
      <c r="H55" s="90">
        <f t="shared" si="8"/>
        <v>8490185.129999999</v>
      </c>
      <c r="K55" s="87"/>
      <c r="L55" s="88"/>
    </row>
    <row r="56" spans="1:12" x14ac:dyDescent="0.2">
      <c r="A56" s="89">
        <f>'FERC Interest Rates'!A61</f>
        <v>42855</v>
      </c>
      <c r="D56" s="1">
        <v>-354428.35</v>
      </c>
      <c r="F56" s="1">
        <f t="shared" si="9"/>
        <v>25889.25</v>
      </c>
      <c r="G56" s="1">
        <v>-2323.67</v>
      </c>
      <c r="H56" s="90">
        <f t="shared" si="8"/>
        <v>8159322.3599999994</v>
      </c>
      <c r="K56" s="87"/>
      <c r="L56" s="88"/>
    </row>
    <row r="57" spans="1:12" x14ac:dyDescent="0.2">
      <c r="A57" s="89">
        <f>'FERC Interest Rates'!A62</f>
        <v>42886</v>
      </c>
      <c r="D57" s="1">
        <v>-371160.81</v>
      </c>
      <c r="F57" s="1">
        <f t="shared" si="9"/>
        <v>25709.69</v>
      </c>
      <c r="G57" s="1">
        <f>-1494-717-2.79-15.87</f>
        <v>-2229.66</v>
      </c>
      <c r="H57" s="90">
        <f t="shared" si="8"/>
        <v>7811641.5799999991</v>
      </c>
      <c r="K57" s="87"/>
      <c r="L57" s="88"/>
    </row>
    <row r="58" spans="1:12" x14ac:dyDescent="0.2">
      <c r="A58" s="89">
        <f>'FERC Interest Rates'!A63</f>
        <v>42916</v>
      </c>
      <c r="D58" s="1">
        <v>734514.16</v>
      </c>
      <c r="F58" s="1">
        <f t="shared" si="9"/>
        <v>23820.16</v>
      </c>
      <c r="G58" s="1">
        <f>95.84-101.09-358.5-43.56-727-2.45</f>
        <v>-1136.76</v>
      </c>
      <c r="H58" s="90">
        <f t="shared" si="8"/>
        <v>8568839.1399999987</v>
      </c>
      <c r="K58" s="87"/>
      <c r="L58" s="88"/>
    </row>
    <row r="59" spans="1:12" x14ac:dyDescent="0.2">
      <c r="A59" s="89">
        <f>'FERC Interest Rates'!A64</f>
        <v>42947</v>
      </c>
      <c r="D59" s="1">
        <v>-589039.61</v>
      </c>
      <c r="F59" s="1">
        <f t="shared" si="9"/>
        <v>28819.47</v>
      </c>
      <c r="G59" s="1">
        <f>-2091-1434-197.63</f>
        <v>-3722.63</v>
      </c>
      <c r="H59" s="90">
        <f t="shared" si="8"/>
        <v>8004896.3699999992</v>
      </c>
      <c r="K59" s="87"/>
      <c r="L59" s="88"/>
    </row>
    <row r="60" spans="1:12" x14ac:dyDescent="0.2">
      <c r="A60" s="89">
        <f>'FERC Interest Rates'!A65</f>
        <v>42978</v>
      </c>
      <c r="D60" s="1">
        <v>104863.56</v>
      </c>
      <c r="F60" s="1">
        <f t="shared" si="9"/>
        <v>26922.77</v>
      </c>
      <c r="G60" s="1">
        <f>-3387.75+717+747</f>
        <v>-1923.75</v>
      </c>
      <c r="H60" s="90">
        <f t="shared" si="8"/>
        <v>8134758.9499999993</v>
      </c>
      <c r="K60" s="87"/>
      <c r="L60" s="88"/>
    </row>
    <row r="61" spans="1:12" x14ac:dyDescent="0.2">
      <c r="A61" s="89">
        <f>'FERC Interest Rates'!A66</f>
        <v>43008</v>
      </c>
      <c r="D61" s="1">
        <v>-157172.82</v>
      </c>
      <c r="F61" s="1">
        <f t="shared" si="9"/>
        <v>26476.97</v>
      </c>
      <c r="G61" s="1">
        <f>-717-32.09-47.43-18.66-2788</f>
        <v>-3603.18</v>
      </c>
      <c r="H61" s="90">
        <f t="shared" si="8"/>
        <v>8000459.919999999</v>
      </c>
      <c r="K61" s="87"/>
      <c r="L61" s="88"/>
    </row>
    <row r="62" spans="1:12" x14ac:dyDescent="0.2">
      <c r="A62" s="89">
        <f>'FERC Interest Rates'!A67</f>
        <v>43039</v>
      </c>
      <c r="D62" s="1">
        <v>-440869.09</v>
      </c>
      <c r="F62" s="1">
        <f t="shared" si="9"/>
        <v>28606.58</v>
      </c>
      <c r="G62" s="1">
        <v>0</v>
      </c>
      <c r="H62" s="90">
        <f t="shared" si="8"/>
        <v>7588197.4099999992</v>
      </c>
      <c r="K62" s="87"/>
      <c r="L62" s="88"/>
    </row>
    <row r="63" spans="1:12" x14ac:dyDescent="0.2">
      <c r="A63" s="199" t="s">
        <v>82</v>
      </c>
      <c r="B63" s="199"/>
      <c r="C63" s="199"/>
      <c r="D63" s="199"/>
      <c r="E63" s="199"/>
      <c r="F63" s="199"/>
      <c r="G63" s="1">
        <v>-8086773.2400000002</v>
      </c>
      <c r="H63" s="90">
        <f t="shared" si="8"/>
        <v>-498575.83000000101</v>
      </c>
      <c r="K63" s="87"/>
      <c r="L63" s="88"/>
    </row>
    <row r="64" spans="1:12" x14ac:dyDescent="0.2">
      <c r="A64" s="89">
        <f>'FERC Interest Rates'!A68</f>
        <v>43069</v>
      </c>
      <c r="D64" s="1">
        <v>538678.29</v>
      </c>
      <c r="F64" s="1">
        <f>ROUND(H63*VLOOKUP(A64,FERCINT17,2)/365*VLOOKUP(A64,FERCINT17,3),2)</f>
        <v>-1725.21</v>
      </c>
      <c r="G64" s="1">
        <f>-13.34-313.65-808.75-161.75-7.03-46.69-62.13-560.25-2187.28-21.78</f>
        <v>-4182.6500000000005</v>
      </c>
      <c r="H64" s="90">
        <f t="shared" si="8"/>
        <v>34194.599999999045</v>
      </c>
      <c r="K64" s="87"/>
      <c r="L64" s="88"/>
    </row>
    <row r="65" spans="1:12" x14ac:dyDescent="0.2">
      <c r="A65" s="89">
        <f>'FERC Interest Rates'!A69</f>
        <v>43100</v>
      </c>
      <c r="D65" s="1">
        <v>1082015.6399999999</v>
      </c>
      <c r="F65" s="1">
        <f t="shared" si="9"/>
        <v>122.27</v>
      </c>
      <c r="G65" s="1">
        <v>-4778.87</v>
      </c>
      <c r="H65" s="90">
        <f t="shared" si="8"/>
        <v>1111553.6399999987</v>
      </c>
      <c r="K65" s="87"/>
      <c r="L65" s="88"/>
    </row>
    <row r="66" spans="1:12" x14ac:dyDescent="0.2">
      <c r="A66" s="89">
        <f>'FERC Interest Rates'!A70</f>
        <v>43131</v>
      </c>
      <c r="D66" s="1">
        <v>653023.03</v>
      </c>
      <c r="F66" s="1">
        <f t="shared" ref="F66:F75" si="10">ROUND(H65*VLOOKUP(A66,FERCINT18,2)/365*VLOOKUP(A66,FERCINT18,3),2)</f>
        <v>4012.25</v>
      </c>
      <c r="G66" s="1">
        <v>-1184.8599999999999</v>
      </c>
      <c r="H66" s="90">
        <f t="shared" si="8"/>
        <v>1767404.0599999987</v>
      </c>
      <c r="K66" s="87"/>
      <c r="L66" s="88"/>
    </row>
    <row r="67" spans="1:12" x14ac:dyDescent="0.2">
      <c r="A67" s="89">
        <f>'FERC Interest Rates'!A71</f>
        <v>43159</v>
      </c>
      <c r="D67" s="1">
        <v>340119.88</v>
      </c>
      <c r="F67" s="1">
        <f t="shared" si="10"/>
        <v>5762.22</v>
      </c>
      <c r="G67" s="1">
        <v>-744.36</v>
      </c>
      <c r="H67" s="90">
        <f t="shared" si="8"/>
        <v>2112541.7999999989</v>
      </c>
      <c r="K67" s="87"/>
      <c r="L67" s="88"/>
    </row>
    <row r="68" spans="1:12" x14ac:dyDescent="0.2">
      <c r="A68" s="89">
        <f>'FERC Interest Rates'!A72</f>
        <v>43190</v>
      </c>
      <c r="D68" s="1">
        <v>-1006779.36</v>
      </c>
      <c r="F68" s="1">
        <f t="shared" si="10"/>
        <v>7625.41</v>
      </c>
      <c r="G68" s="1">
        <v>0</v>
      </c>
      <c r="H68" s="90">
        <f t="shared" si="8"/>
        <v>1113387.8499999989</v>
      </c>
      <c r="K68" s="87"/>
      <c r="L68" s="88"/>
    </row>
    <row r="69" spans="1:12" x14ac:dyDescent="0.2">
      <c r="A69" s="89">
        <f>'FERC Interest Rates'!A73</f>
        <v>43220</v>
      </c>
      <c r="D69" s="1">
        <v>-1246804.32</v>
      </c>
      <c r="F69" s="1">
        <f t="shared" si="10"/>
        <v>4090.56</v>
      </c>
      <c r="G69" s="1">
        <f>-1394-562.95-687-281.48-30.63-156.83-1881.9-13.07</f>
        <v>-5007.8599999999997</v>
      </c>
      <c r="H69" s="90">
        <f t="shared" si="8"/>
        <v>-134333.77000000118</v>
      </c>
      <c r="K69" s="87"/>
      <c r="L69" s="88"/>
    </row>
    <row r="70" spans="1:12" x14ac:dyDescent="0.2">
      <c r="A70" s="89">
        <f>'FERC Interest Rates'!A74</f>
        <v>43251</v>
      </c>
      <c r="D70" s="1">
        <v>-717420.57</v>
      </c>
      <c r="F70" s="1">
        <f t="shared" si="10"/>
        <v>-509.99</v>
      </c>
      <c r="G70" s="1">
        <f>-12.11+1394-705.71-122.52</f>
        <v>553.66000000000008</v>
      </c>
      <c r="H70" s="90">
        <f t="shared" si="8"/>
        <v>-851710.67000000109</v>
      </c>
      <c r="K70" s="87"/>
      <c r="L70" s="88"/>
    </row>
    <row r="71" spans="1:12" x14ac:dyDescent="0.2">
      <c r="A71" s="89">
        <f>'FERC Interest Rates'!A75</f>
        <v>43281</v>
      </c>
      <c r="D71" s="1">
        <f>56498.47-605038.08</f>
        <v>-548539.61</v>
      </c>
      <c r="F71" s="1">
        <f t="shared" si="10"/>
        <v>-3129.16</v>
      </c>
      <c r="G71" s="1">
        <f>-8.06-40.34-4.14</f>
        <v>-52.540000000000006</v>
      </c>
      <c r="H71" s="90">
        <f t="shared" si="8"/>
        <v>-1403431.9800000011</v>
      </c>
      <c r="K71" s="87"/>
      <c r="L71" s="88"/>
    </row>
    <row r="72" spans="1:12" x14ac:dyDescent="0.2">
      <c r="A72" s="89">
        <f>'FERC Interest Rates'!A76</f>
        <v>43312</v>
      </c>
      <c r="D72" s="1">
        <f>22301.5-78799.97-294908.89</f>
        <v>-351407.35999999999</v>
      </c>
      <c r="F72" s="1">
        <f t="shared" si="10"/>
        <v>-5590.27</v>
      </c>
      <c r="G72" s="1">
        <f>-747-40.94-20.17+687-40.21-2.14-3.92-1.43-39.26</f>
        <v>-208.07</v>
      </c>
      <c r="H72" s="90">
        <f t="shared" si="8"/>
        <v>-1760637.6800000011</v>
      </c>
      <c r="K72" s="87"/>
      <c r="L72" s="88"/>
    </row>
    <row r="73" spans="1:12" x14ac:dyDescent="0.2">
      <c r="A73" s="89">
        <f>'FERC Interest Rates'!A77</f>
        <v>43343</v>
      </c>
      <c r="D73" s="1">
        <v>478516.1</v>
      </c>
      <c r="F73" s="1">
        <f t="shared" si="10"/>
        <v>-7013.13</v>
      </c>
      <c r="G73" s="1">
        <f>1.43-257.63</f>
        <v>-256.2</v>
      </c>
      <c r="H73" s="90">
        <f t="shared" si="8"/>
        <v>-1289390.9100000011</v>
      </c>
      <c r="K73" s="87"/>
      <c r="L73" s="88"/>
    </row>
    <row r="74" spans="1:12" x14ac:dyDescent="0.2">
      <c r="A74" s="89">
        <f>'FERC Interest Rates'!A78</f>
        <v>43373</v>
      </c>
      <c r="D74" s="1">
        <v>-569609.17000000004</v>
      </c>
      <c r="F74" s="1">
        <f>ROUND(H73*VLOOKUP(A74,FERCINT18,2)/365*VLOOKUP(A74,FERCINT18,3),2)</f>
        <v>-4970.34</v>
      </c>
      <c r="G74" s="1">
        <f>-585886.09+4970.34+569609.17</f>
        <v>-11306.579999999958</v>
      </c>
      <c r="H74" s="90">
        <f t="shared" si="8"/>
        <v>-1875277.0000000009</v>
      </c>
      <c r="K74" s="87"/>
      <c r="L74" s="88"/>
    </row>
    <row r="75" spans="1:12" x14ac:dyDescent="0.2">
      <c r="A75" s="89">
        <f>'FERC Interest Rates'!A79</f>
        <v>43404</v>
      </c>
      <c r="D75" s="1">
        <v>600997.39</v>
      </c>
      <c r="F75" s="1">
        <f t="shared" si="10"/>
        <v>-7899.8</v>
      </c>
      <c r="G75" s="1">
        <f>-1494-408.94-22.72-43.56-90.88-261.38</f>
        <v>-2321.48</v>
      </c>
      <c r="H75" s="90">
        <f t="shared" si="8"/>
        <v>-1284500.8900000011</v>
      </c>
      <c r="K75" s="87"/>
      <c r="L75" s="88"/>
    </row>
    <row r="76" spans="1:12" x14ac:dyDescent="0.2">
      <c r="A76" s="199" t="s">
        <v>82</v>
      </c>
      <c r="B76" s="199"/>
      <c r="C76" s="199"/>
      <c r="D76" s="199"/>
      <c r="E76" s="199"/>
      <c r="F76" s="199"/>
      <c r="G76" s="1">
        <v>1781939.86</v>
      </c>
      <c r="H76" s="90">
        <f t="shared" si="8"/>
        <v>497438.96999999904</v>
      </c>
      <c r="K76" s="87"/>
      <c r="L76" s="88"/>
    </row>
    <row r="77" spans="1:12" x14ac:dyDescent="0.2">
      <c r="A77" s="89">
        <f>'FERC Interest Rates'!A80</f>
        <v>43434</v>
      </c>
      <c r="D77" s="1">
        <v>11481839.560000001</v>
      </c>
      <c r="F77" s="1">
        <f>ROUND(H76*VLOOKUP(A77,FERCINT18,2)/365*VLOOKUP(A77,FERCINT18,3),2)</f>
        <v>2027.92</v>
      </c>
      <c r="G77" s="1">
        <v>-2310.9</v>
      </c>
      <c r="H77" s="90">
        <f t="shared" si="8"/>
        <v>11978995.549999999</v>
      </c>
      <c r="K77" s="87"/>
      <c r="L77" s="88"/>
    </row>
    <row r="78" spans="1:12" x14ac:dyDescent="0.2">
      <c r="A78" s="89">
        <f>'FERC Interest Rates'!A81</f>
        <v>43465</v>
      </c>
      <c r="D78" s="1">
        <f>26023479.29+1621876.21-88421.74</f>
        <v>27556933.760000002</v>
      </c>
      <c r="F78" s="1">
        <f>ROUND(H77*VLOOKUP(A78,FERCINT18,2)/365*VLOOKUP(A78,FERCINT18,3),2)</f>
        <v>50462.75</v>
      </c>
      <c r="G78" s="1">
        <f>-1333769.68+408.94</f>
        <v>-1333360.74</v>
      </c>
      <c r="H78" s="90">
        <f t="shared" si="8"/>
        <v>38253031.32</v>
      </c>
      <c r="K78" s="87"/>
      <c r="L78" s="88"/>
    </row>
    <row r="79" spans="1:12" x14ac:dyDescent="0.2">
      <c r="A79" s="89">
        <f>'FERC Interest Rates'!A82</f>
        <v>43496</v>
      </c>
      <c r="D79" s="1">
        <v>11519106.91</v>
      </c>
      <c r="F79" s="1">
        <f t="shared" ref="F79:F86" si="11">ROUND(H78*VLOOKUP(A79,FERCINT19,2)/365*VLOOKUP(A79,FERCINT19,3),2)</f>
        <v>168292.38</v>
      </c>
      <c r="G79" s="1">
        <v>-1778416.72</v>
      </c>
      <c r="H79" s="90">
        <f t="shared" si="8"/>
        <v>48162013.890000001</v>
      </c>
      <c r="K79" s="87"/>
      <c r="L79" s="88"/>
    </row>
    <row r="80" spans="1:12" x14ac:dyDescent="0.2">
      <c r="A80" s="89">
        <f>'FERC Interest Rates'!A83</f>
        <v>43524</v>
      </c>
      <c r="D80" s="1">
        <v>24127776.719999999</v>
      </c>
      <c r="F80" s="1">
        <f t="shared" si="11"/>
        <v>191381.33</v>
      </c>
      <c r="G80" s="1">
        <f>-13612.54+60.66+800.63+560.25</f>
        <v>-12191.000000000002</v>
      </c>
      <c r="H80" s="90">
        <f t="shared" si="8"/>
        <v>72468980.939999998</v>
      </c>
      <c r="K80" s="87"/>
      <c r="L80" s="88"/>
    </row>
    <row r="81" spans="1:12" x14ac:dyDescent="0.2">
      <c r="A81" s="89">
        <f>'FERC Interest Rates'!A84</f>
        <v>43555</v>
      </c>
      <c r="D81" s="1">
        <v>24278408.23</v>
      </c>
      <c r="F81" s="1">
        <f t="shared" si="11"/>
        <v>318823.81</v>
      </c>
      <c r="G81" s="1">
        <v>-1873251.5</v>
      </c>
      <c r="H81" s="90">
        <f t="shared" si="8"/>
        <v>95192961.479999989</v>
      </c>
      <c r="K81" s="87"/>
      <c r="L81" s="88"/>
    </row>
    <row r="82" spans="1:12" x14ac:dyDescent="0.2">
      <c r="A82" s="200" t="s">
        <v>83</v>
      </c>
      <c r="B82" s="200"/>
      <c r="C82" s="200"/>
      <c r="D82" s="200"/>
      <c r="E82" s="200"/>
      <c r="F82" s="200"/>
      <c r="G82" s="1">
        <v>-48566123.659999996</v>
      </c>
      <c r="H82" s="90">
        <f>+H81+G82</f>
        <v>46626837.819999993</v>
      </c>
      <c r="K82" s="87"/>
      <c r="L82" s="88"/>
    </row>
    <row r="83" spans="1:12" x14ac:dyDescent="0.2">
      <c r="A83" s="89">
        <f>'FERC Interest Rates'!A85</f>
        <v>43585</v>
      </c>
      <c r="D83" s="1">
        <v>1254983.51</v>
      </c>
      <c r="F83" s="1">
        <f>ROUND(H82*VLOOKUP(A83,FERCINT19,2)/365*VLOOKUP(A83,FERCINT19,3),2)</f>
        <v>208862.68</v>
      </c>
      <c r="G83" s="1">
        <f>-50572097.05+48566123.66+5871.58+120+582.18+7842.13+5399.6+2172.27</f>
        <v>-1983985.6300000006</v>
      </c>
      <c r="H83" s="90">
        <f>H82+SUM(D83:G83)</f>
        <v>46106698.379999995</v>
      </c>
      <c r="K83" s="87"/>
      <c r="L83" s="88"/>
    </row>
    <row r="84" spans="1:12" x14ac:dyDescent="0.2">
      <c r="A84" s="89">
        <f>'FERC Interest Rates'!A86</f>
        <v>43616</v>
      </c>
      <c r="D84" s="1">
        <v>-472449</v>
      </c>
      <c r="F84" s="1">
        <f t="shared" si="11"/>
        <v>213417.17</v>
      </c>
      <c r="G84" s="1">
        <f>-278.38+50.23</f>
        <v>-228.15</v>
      </c>
      <c r="H84" s="90">
        <f t="shared" si="8"/>
        <v>45847438.399999999</v>
      </c>
      <c r="K84" s="87"/>
      <c r="L84" s="88"/>
    </row>
    <row r="85" spans="1:12" x14ac:dyDescent="0.2">
      <c r="A85" s="89">
        <f>'FERC Interest Rates'!A87</f>
        <v>43646</v>
      </c>
      <c r="D85" s="1">
        <v>-108065.09</v>
      </c>
      <c r="F85" s="1">
        <f t="shared" si="11"/>
        <v>205371.4</v>
      </c>
      <c r="G85" s="1">
        <f>-5.48-2.61-135-174.25-348.5-41.28-34.85-247.95+705.71+10.21+13.07</f>
        <v>-260.93000000000006</v>
      </c>
      <c r="H85" s="90">
        <f t="shared" si="8"/>
        <v>45944483.780000001</v>
      </c>
      <c r="K85" s="87"/>
      <c r="L85" s="88"/>
    </row>
    <row r="86" spans="1:12" x14ac:dyDescent="0.2">
      <c r="A86" s="89">
        <f>'FERC Interest Rates'!A88</f>
        <v>43677</v>
      </c>
      <c r="D86" s="1">
        <v>-71659.929999999993</v>
      </c>
      <c r="F86" s="1">
        <f t="shared" si="11"/>
        <v>214617.38</v>
      </c>
      <c r="G86" s="1">
        <f>-14.52-552.75-8.55-6.3-456.98-840.38-313.65</f>
        <v>-2193.13</v>
      </c>
      <c r="H86" s="90">
        <f t="shared" si="8"/>
        <v>46085248.100000001</v>
      </c>
      <c r="K86" s="87"/>
      <c r="L86" s="88"/>
    </row>
    <row r="87" spans="1:12" x14ac:dyDescent="0.2">
      <c r="A87" s="89"/>
      <c r="H87" s="90"/>
      <c r="K87" s="87"/>
      <c r="L87" s="88"/>
    </row>
    <row r="88" spans="1:12" x14ac:dyDescent="0.2">
      <c r="A88" s="89"/>
      <c r="H88" s="90"/>
      <c r="K88" s="87"/>
      <c r="L88" s="88"/>
    </row>
    <row r="89" spans="1:12" x14ac:dyDescent="0.2">
      <c r="A89" s="89"/>
      <c r="H89" s="90"/>
      <c r="K89" s="87"/>
      <c r="L89" s="88"/>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2:F82"/>
    <mergeCell ref="A7:B7"/>
    <mergeCell ref="C7:H7"/>
    <mergeCell ref="D9:F9"/>
    <mergeCell ref="A11:G11"/>
    <mergeCell ref="A24:F24"/>
    <mergeCell ref="A35:F35"/>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F6CAA-9185-4ACC-93EE-0354D76151B4}">
  <dimension ref="A1:L88"/>
  <sheetViews>
    <sheetView view="pageBreakPreview" zoomScale="106" zoomScaleNormal="75" zoomScaleSheetLayoutView="106" workbookViewId="0">
      <pane xSplit="1" ySplit="10" topLeftCell="B65"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1" t="s">
        <v>58</v>
      </c>
      <c r="B1" s="222"/>
      <c r="C1" s="237" t="s">
        <v>59</v>
      </c>
      <c r="D1" s="237"/>
      <c r="E1" s="237"/>
      <c r="F1" s="237"/>
      <c r="G1" s="237"/>
      <c r="H1" s="238"/>
    </row>
    <row r="2" spans="1:12" x14ac:dyDescent="0.2">
      <c r="A2" s="219" t="s">
        <v>60</v>
      </c>
      <c r="B2" s="208"/>
      <c r="C2" s="225" t="s">
        <v>110</v>
      </c>
      <c r="D2" s="225"/>
      <c r="E2" s="225"/>
      <c r="F2" s="225"/>
      <c r="G2" s="225"/>
      <c r="H2" s="226"/>
    </row>
    <row r="3" spans="1:12" x14ac:dyDescent="0.2">
      <c r="A3" s="219" t="s">
        <v>62</v>
      </c>
      <c r="B3" s="208"/>
      <c r="C3" s="209" t="s">
        <v>15</v>
      </c>
      <c r="D3" s="209"/>
      <c r="E3" s="209"/>
      <c r="F3" s="209"/>
      <c r="G3" s="209"/>
      <c r="H3" s="220"/>
    </row>
    <row r="4" spans="1:12" x14ac:dyDescent="0.2">
      <c r="A4" s="219" t="s">
        <v>63</v>
      </c>
      <c r="B4" s="208"/>
      <c r="C4" s="209" t="s">
        <v>64</v>
      </c>
      <c r="D4" s="209"/>
      <c r="E4" s="209"/>
      <c r="F4" s="209"/>
      <c r="G4" s="209"/>
      <c r="H4" s="220"/>
    </row>
    <row r="5" spans="1:12" x14ac:dyDescent="0.2">
      <c r="A5" s="219" t="s">
        <v>65</v>
      </c>
      <c r="B5" s="208"/>
      <c r="C5" s="209" t="s">
        <v>101</v>
      </c>
      <c r="D5" s="209"/>
      <c r="E5" s="209"/>
      <c r="F5" s="209"/>
      <c r="G5" s="209"/>
      <c r="H5" s="220"/>
    </row>
    <row r="6" spans="1:12" x14ac:dyDescent="0.2">
      <c r="A6" s="219" t="s">
        <v>67</v>
      </c>
      <c r="B6" s="208"/>
      <c r="C6" s="209" t="s">
        <v>88</v>
      </c>
      <c r="D6" s="209"/>
      <c r="E6" s="209"/>
      <c r="F6" s="209"/>
      <c r="G6" s="209"/>
      <c r="H6" s="220"/>
    </row>
    <row r="7" spans="1:12" ht="13.5" thickBot="1" x14ac:dyDescent="0.25">
      <c r="A7" s="239" t="s">
        <v>68</v>
      </c>
      <c r="B7" s="240"/>
      <c r="C7" s="241" t="s">
        <v>111</v>
      </c>
      <c r="D7" s="241"/>
      <c r="E7" s="241"/>
      <c r="F7" s="241"/>
      <c r="G7" s="241"/>
      <c r="H7" s="242"/>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123401.78</v>
      </c>
      <c r="K11" s="87"/>
      <c r="L11" s="88"/>
    </row>
    <row r="12" spans="1:12" hidden="1" x14ac:dyDescent="0.2">
      <c r="A12" s="97">
        <f>'FERC Interest Rates'!A20</f>
        <v>41608</v>
      </c>
      <c r="D12" s="1">
        <v>92494.35</v>
      </c>
      <c r="F12" s="1">
        <f t="shared" ref="F12:F13" si="0">ROUND(H11*VLOOKUP(A12,FERCINT13,2)/365*VLOOKUP(A12,FERCINT13,3),2)</f>
        <v>329.63</v>
      </c>
      <c r="H12" s="1">
        <f t="shared" ref="H12:H36" si="1">+SUM(D12:G12)+H11</f>
        <v>216225.76</v>
      </c>
      <c r="K12" s="87"/>
      <c r="L12" s="88"/>
    </row>
    <row r="13" spans="1:12" hidden="1" x14ac:dyDescent="0.2">
      <c r="A13" s="97">
        <f>'FERC Interest Rates'!A21</f>
        <v>41639</v>
      </c>
      <c r="D13" s="1">
        <v>71457.95</v>
      </c>
      <c r="F13" s="1">
        <f t="shared" si="0"/>
        <v>596.84</v>
      </c>
      <c r="H13" s="1">
        <f t="shared" si="1"/>
        <v>288280.55</v>
      </c>
      <c r="K13" s="87"/>
      <c r="L13" s="88"/>
    </row>
    <row r="14" spans="1:12" hidden="1" x14ac:dyDescent="0.2">
      <c r="A14" s="97">
        <f>'FERC Interest Rates'!A22</f>
        <v>41670</v>
      </c>
      <c r="D14" s="1">
        <v>24631.1</v>
      </c>
      <c r="F14" s="1">
        <f t="shared" ref="F14:F23" si="2">ROUND(H13*VLOOKUP(A14,FERCINT14,2)/365*VLOOKUP(A14,FERCINT14,3),2)</f>
        <v>795.73</v>
      </c>
      <c r="H14" s="1">
        <f t="shared" si="1"/>
        <v>313707.38</v>
      </c>
      <c r="K14" s="87"/>
      <c r="L14" s="88"/>
    </row>
    <row r="15" spans="1:12" hidden="1" x14ac:dyDescent="0.2">
      <c r="A15" s="97">
        <f>'FERC Interest Rates'!A23</f>
        <v>41698</v>
      </c>
      <c r="D15" s="1">
        <f>28783.35+26233.4</f>
        <v>55016.75</v>
      </c>
      <c r="F15" s="1">
        <f t="shared" si="2"/>
        <v>782.12</v>
      </c>
      <c r="H15" s="1">
        <f t="shared" si="1"/>
        <v>369506.25</v>
      </c>
      <c r="K15" s="87"/>
      <c r="L15" s="88"/>
    </row>
    <row r="16" spans="1:12" hidden="1" x14ac:dyDescent="0.2">
      <c r="A16" s="97">
        <f>'FERC Interest Rates'!A24</f>
        <v>41729</v>
      </c>
      <c r="D16" s="1">
        <f>29106+31118.65+3784.88+809.8+30132.6</f>
        <v>94951.93</v>
      </c>
      <c r="F16" s="1">
        <f t="shared" si="2"/>
        <v>1019.94</v>
      </c>
      <c r="H16" s="1">
        <f t="shared" si="1"/>
        <v>465478.12</v>
      </c>
      <c r="K16" s="87"/>
      <c r="L16" s="88"/>
    </row>
    <row r="17" spans="1:12" hidden="1" x14ac:dyDescent="0.2">
      <c r="A17" s="97">
        <f>'FERC Interest Rates'!A25</f>
        <v>41759</v>
      </c>
      <c r="D17" s="1">
        <v>49856.55</v>
      </c>
      <c r="F17" s="1">
        <f t="shared" si="2"/>
        <v>1243.4000000000001</v>
      </c>
      <c r="H17" s="1">
        <f t="shared" si="1"/>
        <v>516578.07</v>
      </c>
      <c r="K17" s="87"/>
      <c r="L17" s="88"/>
    </row>
    <row r="18" spans="1:12" hidden="1" x14ac:dyDescent="0.2">
      <c r="A18" s="97">
        <f>'FERC Interest Rates'!A26</f>
        <v>41790</v>
      </c>
      <c r="D18" s="1">
        <v>48539.6</v>
      </c>
      <c r="F18" s="1">
        <f t="shared" si="2"/>
        <v>1425.9</v>
      </c>
      <c r="H18" s="1">
        <f t="shared" si="1"/>
        <v>566543.57000000007</v>
      </c>
      <c r="K18" s="87"/>
      <c r="L18" s="88"/>
    </row>
    <row r="19" spans="1:12" hidden="1" x14ac:dyDescent="0.2">
      <c r="A19" s="97">
        <f>'FERC Interest Rates'!A27</f>
        <v>41820</v>
      </c>
      <c r="D19" s="1">
        <v>24694.05</v>
      </c>
      <c r="F19" s="1">
        <f t="shared" si="2"/>
        <v>1513.37</v>
      </c>
      <c r="H19" s="1">
        <f t="shared" si="1"/>
        <v>592750.99000000011</v>
      </c>
      <c r="K19" s="87"/>
      <c r="L19" s="88"/>
    </row>
    <row r="20" spans="1:12" hidden="1" x14ac:dyDescent="0.2">
      <c r="A20" s="97">
        <f>'FERC Interest Rates'!A28</f>
        <v>41851</v>
      </c>
      <c r="D20" s="1">
        <v>13413.5</v>
      </c>
      <c r="F20" s="1">
        <f t="shared" si="2"/>
        <v>1636.16</v>
      </c>
      <c r="H20" s="1">
        <f t="shared" si="1"/>
        <v>607800.65000000014</v>
      </c>
      <c r="K20" s="87"/>
      <c r="L20" s="88"/>
    </row>
    <row r="21" spans="1:12" hidden="1" x14ac:dyDescent="0.2">
      <c r="A21" s="97">
        <f>'FERC Interest Rates'!A29</f>
        <v>41882</v>
      </c>
      <c r="D21" s="1">
        <v>27540.36</v>
      </c>
      <c r="F21" s="1">
        <f t="shared" si="2"/>
        <v>1677.7</v>
      </c>
      <c r="H21" s="1">
        <f t="shared" si="1"/>
        <v>637018.7100000002</v>
      </c>
      <c r="K21" s="87"/>
      <c r="L21" s="88"/>
    </row>
    <row r="22" spans="1:12" hidden="1" x14ac:dyDescent="0.2">
      <c r="A22" s="97">
        <f>'FERC Interest Rates'!A30</f>
        <v>41912</v>
      </c>
      <c r="D22" s="1">
        <v>66107.7</v>
      </c>
      <c r="F22" s="1">
        <f t="shared" si="2"/>
        <v>1701.63</v>
      </c>
      <c r="H22" s="1">
        <f t="shared" si="1"/>
        <v>704828.04000000015</v>
      </c>
      <c r="K22" s="87"/>
      <c r="L22" s="88"/>
    </row>
    <row r="23" spans="1:12" hidden="1" x14ac:dyDescent="0.2">
      <c r="A23" s="97">
        <f>'FERC Interest Rates'!A31</f>
        <v>41943</v>
      </c>
      <c r="D23" s="1">
        <v>20456.349999999999</v>
      </c>
      <c r="F23" s="1">
        <f t="shared" si="2"/>
        <v>1945.52</v>
      </c>
      <c r="H23" s="1">
        <f t="shared" si="1"/>
        <v>727229.91000000015</v>
      </c>
      <c r="K23" s="87"/>
      <c r="L23" s="88"/>
    </row>
    <row r="24" spans="1:12" hidden="1" x14ac:dyDescent="0.2">
      <c r="A24" s="199" t="s">
        <v>103</v>
      </c>
      <c r="B24" s="199"/>
      <c r="C24" s="199"/>
      <c r="D24" s="199"/>
      <c r="E24" s="199"/>
      <c r="F24" s="199"/>
      <c r="G24" s="1">
        <v>-612793.23</v>
      </c>
      <c r="H24" s="1">
        <f t="shared" si="1"/>
        <v>114436.68000000017</v>
      </c>
      <c r="L24" s="88"/>
    </row>
    <row r="25" spans="1:12" hidden="1" x14ac:dyDescent="0.2">
      <c r="A25" s="97">
        <f>'FERC Interest Rates'!A32</f>
        <v>41973</v>
      </c>
      <c r="D25" s="1">
        <v>21830.57</v>
      </c>
      <c r="F25" s="1">
        <f>ROUND(H24*VLOOKUP(A25,FERCINT14,2)/365*VLOOKUP(A25,FERCINT14,3),2)</f>
        <v>305.69</v>
      </c>
      <c r="H25" s="1">
        <f t="shared" si="1"/>
        <v>136572.94000000018</v>
      </c>
      <c r="K25" s="87"/>
      <c r="L25" s="88"/>
    </row>
    <row r="26" spans="1:12" hidden="1" x14ac:dyDescent="0.2">
      <c r="A26" s="97">
        <f>'FERC Interest Rates'!A33</f>
        <v>42004</v>
      </c>
      <c r="D26" s="1">
        <v>18309.650000000001</v>
      </c>
      <c r="F26" s="1">
        <f>ROUND(H25*VLOOKUP(A26,FERCINT14,2)/365*VLOOKUP(A26,FERCINT14,3),2)</f>
        <v>376.98</v>
      </c>
      <c r="H26" s="1">
        <f t="shared" si="1"/>
        <v>155259.57000000018</v>
      </c>
      <c r="K26" s="87"/>
      <c r="L26" s="88"/>
    </row>
    <row r="27" spans="1:12" hidden="1" x14ac:dyDescent="0.2">
      <c r="A27" s="97">
        <f>'FERC Interest Rates'!A34</f>
        <v>42035</v>
      </c>
      <c r="D27" s="1">
        <v>78034.990000000005</v>
      </c>
      <c r="F27" s="1">
        <f t="shared" ref="F27:F36" si="3">ROUND(H26*VLOOKUP(A27,FERCINT15,2)/365*VLOOKUP(A27,FERCINT15,3),2)</f>
        <v>428.56</v>
      </c>
      <c r="H27" s="1">
        <f t="shared" si="1"/>
        <v>233723.12000000017</v>
      </c>
      <c r="K27" s="87"/>
      <c r="L27" s="88"/>
    </row>
    <row r="28" spans="1:12" hidden="1" x14ac:dyDescent="0.2">
      <c r="A28" s="97">
        <f>'FERC Interest Rates'!A35</f>
        <v>42063</v>
      </c>
      <c r="D28" s="1">
        <v>37942</v>
      </c>
      <c r="F28" s="1">
        <f t="shared" si="3"/>
        <v>582.71</v>
      </c>
      <c r="H28" s="1">
        <f t="shared" si="1"/>
        <v>272247.83000000019</v>
      </c>
      <c r="K28" s="87"/>
      <c r="L28" s="88"/>
    </row>
    <row r="29" spans="1:12" hidden="1" x14ac:dyDescent="0.2">
      <c r="A29" s="97">
        <f>'FERC Interest Rates'!A36</f>
        <v>42094</v>
      </c>
      <c r="D29" s="1">
        <v>72240.350000000006</v>
      </c>
      <c r="F29" s="1">
        <f t="shared" si="3"/>
        <v>751.48</v>
      </c>
      <c r="H29" s="1">
        <f t="shared" si="1"/>
        <v>345239.66000000021</v>
      </c>
      <c r="K29" s="87"/>
      <c r="L29" s="88"/>
    </row>
    <row r="30" spans="1:12" hidden="1" x14ac:dyDescent="0.2">
      <c r="A30" s="97">
        <f>'FERC Interest Rates'!A37</f>
        <v>42124</v>
      </c>
      <c r="D30" s="1">
        <v>44553.95</v>
      </c>
      <c r="F30" s="1">
        <f t="shared" si="3"/>
        <v>922.22</v>
      </c>
      <c r="H30" s="1">
        <f t="shared" si="1"/>
        <v>390715.83000000019</v>
      </c>
      <c r="K30" s="87"/>
      <c r="L30" s="88"/>
    </row>
    <row r="31" spans="1:12" hidden="1" x14ac:dyDescent="0.2">
      <c r="A31" s="97">
        <f>'FERC Interest Rates'!A38</f>
        <v>42155</v>
      </c>
      <c r="D31" s="1">
        <v>26451.119999999999</v>
      </c>
      <c r="F31" s="1">
        <f t="shared" si="3"/>
        <v>1078.48</v>
      </c>
      <c r="H31" s="1">
        <f t="shared" si="1"/>
        <v>418245.43000000017</v>
      </c>
      <c r="K31" s="87"/>
      <c r="L31" s="88"/>
    </row>
    <row r="32" spans="1:12" hidden="1" x14ac:dyDescent="0.2">
      <c r="A32" s="97">
        <f>'FERC Interest Rates'!A39</f>
        <v>42185</v>
      </c>
      <c r="D32" s="1">
        <v>29239.200000000001</v>
      </c>
      <c r="F32" s="1">
        <f t="shared" si="3"/>
        <v>1117.23</v>
      </c>
      <c r="H32" s="1">
        <f t="shared" si="1"/>
        <v>448601.86000000016</v>
      </c>
      <c r="K32" s="87"/>
      <c r="L32" s="88"/>
    </row>
    <row r="33" spans="1:12" hidden="1" x14ac:dyDescent="0.2">
      <c r="A33" s="97">
        <f>'FERC Interest Rates'!A40</f>
        <v>42216</v>
      </c>
      <c r="D33" s="1">
        <v>56499.4</v>
      </c>
      <c r="F33" s="1">
        <f t="shared" si="3"/>
        <v>1238.26</v>
      </c>
      <c r="H33" s="1">
        <f t="shared" si="1"/>
        <v>506339.52000000014</v>
      </c>
      <c r="K33" s="87"/>
      <c r="L33" s="88"/>
    </row>
    <row r="34" spans="1:12" hidden="1" x14ac:dyDescent="0.2">
      <c r="A34" s="97">
        <f>'FERC Interest Rates'!A41</f>
        <v>42247</v>
      </c>
      <c r="D34" s="1">
        <v>45176.800000000003</v>
      </c>
      <c r="F34" s="1">
        <f t="shared" si="3"/>
        <v>1397.64</v>
      </c>
      <c r="H34" s="1">
        <f t="shared" si="1"/>
        <v>552913.9600000002</v>
      </c>
      <c r="K34" s="87"/>
      <c r="L34" s="88"/>
    </row>
    <row r="35" spans="1:12" hidden="1" x14ac:dyDescent="0.2">
      <c r="A35" s="97">
        <f>'FERC Interest Rates'!A42</f>
        <v>42277</v>
      </c>
      <c r="D35" s="1">
        <v>18010.5</v>
      </c>
      <c r="F35" s="1">
        <f t="shared" si="3"/>
        <v>1476.96</v>
      </c>
      <c r="H35" s="1">
        <f t="shared" si="1"/>
        <v>572401.42000000016</v>
      </c>
      <c r="K35" s="87"/>
      <c r="L35" s="88"/>
    </row>
    <row r="36" spans="1:12" hidden="1" x14ac:dyDescent="0.2">
      <c r="A36" s="97">
        <f>'FERC Interest Rates'!A43</f>
        <v>42308</v>
      </c>
      <c r="D36" s="1">
        <v>44723.15</v>
      </c>
      <c r="F36" s="1">
        <f t="shared" si="3"/>
        <v>1579.98</v>
      </c>
      <c r="H36" s="1">
        <f t="shared" si="1"/>
        <v>618704.55000000016</v>
      </c>
      <c r="K36" s="87"/>
      <c r="L36" s="88"/>
    </row>
    <row r="37" spans="1:12" hidden="1" x14ac:dyDescent="0.2">
      <c r="A37" s="97">
        <f>'FERC Interest Rates'!A44</f>
        <v>42338</v>
      </c>
      <c r="D37" s="1">
        <v>14074.8</v>
      </c>
      <c r="F37" s="1">
        <f t="shared" ref="F37:F39" si="4">ROUND(H36*VLOOKUP(A37,FERCINT15,2)/365*VLOOKUP(A37,FERCINT15,3),2)</f>
        <v>1652.7</v>
      </c>
      <c r="H37" s="1">
        <f t="shared" ref="H37:H75" si="5">+SUM(D37:G37)+H36</f>
        <v>634432.05000000016</v>
      </c>
      <c r="K37" s="87"/>
      <c r="L37" s="88"/>
    </row>
    <row r="38" spans="1:12" hidden="1" x14ac:dyDescent="0.2">
      <c r="A38" s="199" t="s">
        <v>104</v>
      </c>
      <c r="B38" s="199"/>
      <c r="C38" s="199"/>
      <c r="D38" s="199"/>
      <c r="E38" s="199"/>
      <c r="F38" s="199"/>
      <c r="G38" s="1">
        <v>-511862.34</v>
      </c>
      <c r="H38" s="1">
        <f t="shared" si="5"/>
        <v>122569.71000000014</v>
      </c>
      <c r="K38" s="87"/>
      <c r="L38" s="88"/>
    </row>
    <row r="39" spans="1:12" hidden="1" x14ac:dyDescent="0.2">
      <c r="A39" s="97">
        <f>'FERC Interest Rates'!A45</f>
        <v>42369</v>
      </c>
      <c r="D39" s="1">
        <v>22978.2</v>
      </c>
      <c r="F39" s="1">
        <f t="shared" si="4"/>
        <v>338.33</v>
      </c>
      <c r="H39" s="1">
        <f t="shared" si="5"/>
        <v>145886.24000000014</v>
      </c>
      <c r="K39" s="87"/>
      <c r="L39" s="88"/>
    </row>
    <row r="40" spans="1:12" hidden="1" x14ac:dyDescent="0.2">
      <c r="A40" s="97">
        <f>'FERC Interest Rates'!A46</f>
        <v>42400</v>
      </c>
      <c r="D40" s="1">
        <v>90067.05</v>
      </c>
      <c r="F40" s="1">
        <f t="shared" ref="F40:F52" si="6">ROUND(H39*VLOOKUP(A40,FERCINT16,2)/365*VLOOKUP(A40,FERCINT16,3),2)</f>
        <v>402.69</v>
      </c>
      <c r="H40" s="1">
        <f t="shared" si="5"/>
        <v>236355.98000000016</v>
      </c>
      <c r="K40" s="87"/>
      <c r="L40" s="88"/>
    </row>
    <row r="41" spans="1:12" hidden="1" x14ac:dyDescent="0.2">
      <c r="A41" s="97">
        <f>'FERC Interest Rates'!A47</f>
        <v>42429</v>
      </c>
      <c r="D41" s="1">
        <v>24303.35</v>
      </c>
      <c r="F41" s="1">
        <f t="shared" si="6"/>
        <v>610.32000000000005</v>
      </c>
      <c r="H41" s="1">
        <f t="shared" si="5"/>
        <v>261269.65000000014</v>
      </c>
      <c r="K41" s="87"/>
      <c r="L41" s="88"/>
    </row>
    <row r="42" spans="1:12" hidden="1" x14ac:dyDescent="0.2">
      <c r="A42" s="97">
        <f>'FERC Interest Rates'!A48</f>
        <v>42460</v>
      </c>
      <c r="D42" s="1">
        <v>33571.15</v>
      </c>
      <c r="F42" s="1">
        <f t="shared" si="6"/>
        <v>721.18</v>
      </c>
      <c r="H42" s="1">
        <f t="shared" si="5"/>
        <v>295561.98000000016</v>
      </c>
      <c r="K42" s="87"/>
      <c r="L42" s="88"/>
    </row>
    <row r="43" spans="1:12" hidden="1" x14ac:dyDescent="0.2">
      <c r="A43" s="97">
        <f>'FERC Interest Rates'!A49</f>
        <v>42490</v>
      </c>
      <c r="D43" s="1">
        <v>24642.5</v>
      </c>
      <c r="F43" s="1">
        <f t="shared" si="6"/>
        <v>840.53</v>
      </c>
      <c r="H43" s="1">
        <f t="shared" si="5"/>
        <v>321045.01000000013</v>
      </c>
      <c r="K43" s="87"/>
      <c r="L43" s="88"/>
    </row>
    <row r="44" spans="1:12" hidden="1" x14ac:dyDescent="0.2">
      <c r="A44" s="97">
        <f>'FERC Interest Rates'!A50</f>
        <v>42521</v>
      </c>
      <c r="D44" s="1">
        <v>20473.349999999999</v>
      </c>
      <c r="F44" s="1">
        <f t="shared" si="6"/>
        <v>943.43</v>
      </c>
      <c r="H44" s="1">
        <f t="shared" si="5"/>
        <v>342461.79000000015</v>
      </c>
      <c r="K44" s="87"/>
      <c r="L44" s="88"/>
    </row>
    <row r="45" spans="1:12" hidden="1" x14ac:dyDescent="0.2">
      <c r="A45" s="97">
        <f>'FERC Interest Rates'!A51</f>
        <v>42551</v>
      </c>
      <c r="D45" s="1">
        <v>73125.02</v>
      </c>
      <c r="F45" s="1">
        <f t="shared" si="6"/>
        <v>973.91</v>
      </c>
      <c r="H45" s="1">
        <f t="shared" si="5"/>
        <v>416560.72000000015</v>
      </c>
      <c r="K45" s="87"/>
      <c r="L45" s="88"/>
    </row>
    <row r="46" spans="1:12" hidden="1" x14ac:dyDescent="0.2">
      <c r="A46" s="97">
        <f>'FERC Interest Rates'!A52</f>
        <v>42582</v>
      </c>
      <c r="D46" s="1">
        <f>21555.92-1238.27</f>
        <v>20317.649999999998</v>
      </c>
      <c r="F46" s="1">
        <f t="shared" si="6"/>
        <v>1238.27</v>
      </c>
      <c r="H46" s="1">
        <f t="shared" si="5"/>
        <v>438116.64000000013</v>
      </c>
      <c r="K46" s="87"/>
      <c r="L46" s="88"/>
    </row>
    <row r="47" spans="1:12" hidden="1" x14ac:dyDescent="0.2">
      <c r="A47" s="97">
        <f>'FERC Interest Rates'!A53</f>
        <v>42613</v>
      </c>
      <c r="D47" s="1">
        <f>44092.2-1302.35</f>
        <v>42789.85</v>
      </c>
      <c r="F47" s="1">
        <f t="shared" si="6"/>
        <v>1302.3499999999999</v>
      </c>
      <c r="H47" s="1">
        <f t="shared" si="5"/>
        <v>482208.84000000014</v>
      </c>
      <c r="K47" s="87"/>
      <c r="L47" s="88"/>
    </row>
    <row r="48" spans="1:12" hidden="1" x14ac:dyDescent="0.2">
      <c r="A48" s="97">
        <f>'FERC Interest Rates'!A54</f>
        <v>42643</v>
      </c>
      <c r="D48" s="1">
        <f>43161.73-1387.18</f>
        <v>41774.550000000003</v>
      </c>
      <c r="F48" s="1">
        <f t="shared" si="6"/>
        <v>1387.18</v>
      </c>
      <c r="H48" s="1">
        <f t="shared" si="5"/>
        <v>525370.57000000018</v>
      </c>
      <c r="K48" s="87"/>
      <c r="L48" s="88"/>
    </row>
    <row r="49" spans="1:12" hidden="1" x14ac:dyDescent="0.2">
      <c r="A49" s="97">
        <f>'FERC Interest Rates'!A55</f>
        <v>42674</v>
      </c>
      <c r="D49" s="1">
        <f>47970.22-1561.72</f>
        <v>46408.5</v>
      </c>
      <c r="F49" s="1">
        <f t="shared" si="6"/>
        <v>1561.72</v>
      </c>
      <c r="H49" s="1">
        <f t="shared" si="5"/>
        <v>573340.79000000015</v>
      </c>
      <c r="K49" s="87"/>
      <c r="L49" s="88"/>
    </row>
    <row r="50" spans="1:12" x14ac:dyDescent="0.2">
      <c r="A50" s="199" t="s">
        <v>105</v>
      </c>
      <c r="B50" s="199"/>
      <c r="C50" s="199"/>
      <c r="D50" s="199"/>
      <c r="E50" s="199"/>
      <c r="F50" s="199"/>
      <c r="G50" s="1">
        <v>-441993.05</v>
      </c>
      <c r="H50" s="1">
        <f t="shared" si="5"/>
        <v>131347.74000000017</v>
      </c>
      <c r="K50" s="87"/>
      <c r="L50" s="88"/>
    </row>
    <row r="51" spans="1:12" x14ac:dyDescent="0.2">
      <c r="A51" s="97">
        <f>'FERC Interest Rates'!A56</f>
        <v>42704</v>
      </c>
      <c r="D51" s="1">
        <v>39639.699999999997</v>
      </c>
      <c r="F51" s="1">
        <f t="shared" si="6"/>
        <v>377.85</v>
      </c>
      <c r="H51" s="1">
        <f t="shared" si="5"/>
        <v>171365.29000000015</v>
      </c>
      <c r="K51" s="87"/>
      <c r="L51" s="88"/>
    </row>
    <row r="52" spans="1:12" x14ac:dyDescent="0.2">
      <c r="A52" s="97">
        <f>'FERC Interest Rates'!A57</f>
        <v>42735</v>
      </c>
      <c r="D52" s="1">
        <f>24154.85-509.4-377.85</f>
        <v>23267.599999999999</v>
      </c>
      <c r="F52" s="1">
        <f t="shared" si="6"/>
        <v>509.4</v>
      </c>
      <c r="H52" s="1">
        <f t="shared" si="5"/>
        <v>195142.29000000015</v>
      </c>
      <c r="K52" s="87"/>
      <c r="L52" s="88"/>
    </row>
    <row r="53" spans="1:12" x14ac:dyDescent="0.2">
      <c r="A53" s="97">
        <f>'FERC Interest Rates'!A58</f>
        <v>42766</v>
      </c>
      <c r="D53" s="1">
        <f>22372.88-580.08</f>
        <v>21792.799999999999</v>
      </c>
      <c r="F53" s="1">
        <f t="shared" ref="F53:F62" si="7">ROUND(H52*VLOOKUP(A53,FERCINT17,2)/365*VLOOKUP(A53,FERCINT17,3),2)</f>
        <v>580.08000000000004</v>
      </c>
      <c r="H53" s="1">
        <f t="shared" si="5"/>
        <v>217515.17000000016</v>
      </c>
      <c r="K53" s="87"/>
      <c r="L53" s="88"/>
    </row>
    <row r="54" spans="1:12" x14ac:dyDescent="0.2">
      <c r="A54" s="97">
        <f>'FERC Interest Rates'!A59</f>
        <v>42794</v>
      </c>
      <c r="D54" s="1">
        <f>61654.31-584.01</f>
        <v>61070.299999999996</v>
      </c>
      <c r="F54" s="1">
        <f t="shared" si="7"/>
        <v>584.01</v>
      </c>
      <c r="H54" s="1">
        <f t="shared" si="5"/>
        <v>279169.48000000016</v>
      </c>
      <c r="K54" s="87"/>
      <c r="L54" s="88"/>
    </row>
    <row r="55" spans="1:12" x14ac:dyDescent="0.2">
      <c r="A55" s="97">
        <f>'FERC Interest Rates'!A60</f>
        <v>42825</v>
      </c>
      <c r="D55" s="1">
        <v>73979.3</v>
      </c>
      <c r="F55" s="1">
        <f t="shared" si="7"/>
        <v>829.86</v>
      </c>
      <c r="H55" s="1">
        <f t="shared" si="5"/>
        <v>353978.64000000013</v>
      </c>
      <c r="K55" s="87"/>
      <c r="L55" s="88"/>
    </row>
    <row r="56" spans="1:12" x14ac:dyDescent="0.2">
      <c r="A56" s="97">
        <f>'FERC Interest Rates'!A61</f>
        <v>42855</v>
      </c>
      <c r="D56" s="1">
        <f>53972.34-1079.39-500</f>
        <v>52392.95</v>
      </c>
      <c r="F56" s="1">
        <f t="shared" si="7"/>
        <v>1079.3900000000001</v>
      </c>
      <c r="H56" s="1">
        <f t="shared" si="5"/>
        <v>407450.9800000001</v>
      </c>
      <c r="K56" s="87"/>
      <c r="L56" s="88"/>
    </row>
    <row r="57" spans="1:12" x14ac:dyDescent="0.2">
      <c r="A57" s="97">
        <f>'FERC Interest Rates'!A62</f>
        <v>42886</v>
      </c>
      <c r="D57" s="1">
        <f>102558.31-1283.86</f>
        <v>101274.45</v>
      </c>
      <c r="F57" s="1">
        <f t="shared" si="7"/>
        <v>1283.8599999999999</v>
      </c>
      <c r="H57" s="1">
        <f t="shared" si="5"/>
        <v>510009.2900000001</v>
      </c>
      <c r="K57" s="87"/>
      <c r="L57" s="88"/>
    </row>
    <row r="58" spans="1:12" x14ac:dyDescent="0.2">
      <c r="A58" s="97">
        <f>'FERC Interest Rates'!A63</f>
        <v>42916</v>
      </c>
      <c r="D58" s="1">
        <f>73340.63-1555.18</f>
        <v>71785.450000000012</v>
      </c>
      <c r="F58" s="1">
        <f t="shared" si="7"/>
        <v>1555.18</v>
      </c>
      <c r="H58" s="1">
        <f t="shared" si="5"/>
        <v>583349.92000000016</v>
      </c>
      <c r="K58" s="87"/>
      <c r="L58" s="88"/>
    </row>
    <row r="59" spans="1:12" x14ac:dyDescent="0.2">
      <c r="A59" s="97">
        <f>'FERC Interest Rates'!A64</f>
        <v>42947</v>
      </c>
      <c r="D59" s="1">
        <f>78793.37-1055.35-1961.97</f>
        <v>75776.049999999988</v>
      </c>
      <c r="F59" s="1">
        <f t="shared" si="7"/>
        <v>1961.97</v>
      </c>
      <c r="H59" s="1">
        <f t="shared" si="5"/>
        <v>661087.94000000018</v>
      </c>
      <c r="K59" s="87"/>
      <c r="L59" s="88"/>
    </row>
    <row r="60" spans="1:12" x14ac:dyDescent="0.2">
      <c r="A60" s="97">
        <f>'FERC Interest Rates'!A65</f>
        <v>42978</v>
      </c>
      <c r="D60" s="1">
        <f>77626.88-250-2223.43</f>
        <v>75153.450000000012</v>
      </c>
      <c r="F60" s="1">
        <f t="shared" si="7"/>
        <v>2223.4299999999998</v>
      </c>
      <c r="H60" s="1">
        <f t="shared" si="5"/>
        <v>738464.82000000018</v>
      </c>
      <c r="K60" s="87"/>
      <c r="L60" s="88"/>
    </row>
    <row r="61" spans="1:12" x14ac:dyDescent="0.2">
      <c r="A61" s="97">
        <f>'FERC Interest Rates'!A66</f>
        <v>43008</v>
      </c>
      <c r="D61" s="1">
        <f>120516.7-2403.55</f>
        <v>118113.15</v>
      </c>
      <c r="F61" s="1">
        <f t="shared" si="7"/>
        <v>2403.5500000000002</v>
      </c>
      <c r="H61" s="1">
        <f t="shared" si="5"/>
        <v>858981.52000000014</v>
      </c>
      <c r="K61" s="87"/>
      <c r="L61" s="88"/>
    </row>
    <row r="62" spans="1:12" x14ac:dyDescent="0.2">
      <c r="A62" s="97">
        <f>'FERC Interest Rates'!A67</f>
        <v>43039</v>
      </c>
      <c r="D62" s="1">
        <f>131763.09-3071.39</f>
        <v>128691.7</v>
      </c>
      <c r="F62" s="1">
        <f t="shared" si="7"/>
        <v>3071.39</v>
      </c>
      <c r="H62" s="1">
        <f t="shared" si="5"/>
        <v>990744.6100000001</v>
      </c>
      <c r="K62" s="87"/>
      <c r="L62" s="88"/>
    </row>
    <row r="63" spans="1:12" x14ac:dyDescent="0.2">
      <c r="A63" s="199" t="s">
        <v>105</v>
      </c>
      <c r="B63" s="199"/>
      <c r="C63" s="199"/>
      <c r="D63" s="199"/>
      <c r="E63" s="199"/>
      <c r="F63" s="199"/>
      <c r="G63" s="1">
        <v>-667849.78</v>
      </c>
      <c r="H63" s="1">
        <f t="shared" si="5"/>
        <v>322894.83000000007</v>
      </c>
      <c r="K63" s="87"/>
      <c r="L63" s="88"/>
    </row>
    <row r="64" spans="1:12" x14ac:dyDescent="0.2">
      <c r="A64" s="97">
        <f>'FERC Interest Rates'!A68</f>
        <v>43069</v>
      </c>
      <c r="D64" s="1">
        <f>139687.5-28631-3428.25</f>
        <v>107628.25</v>
      </c>
      <c r="F64" s="1">
        <f>ROUND(H63*VLOOKUP(A64,FERCINT17,2)/365*VLOOKUP(A64,FERCINT17,3),2)</f>
        <v>1117.3</v>
      </c>
      <c r="H64" s="1">
        <f t="shared" si="5"/>
        <v>431640.38000000006</v>
      </c>
      <c r="K64" s="87"/>
      <c r="L64" s="88"/>
    </row>
    <row r="65" spans="1:12" x14ac:dyDescent="0.2">
      <c r="A65" s="97">
        <f>'FERC Interest Rates'!A69</f>
        <v>43100</v>
      </c>
      <c r="D65" s="1">
        <f>270204.88-1543.38-1326</f>
        <v>267335.5</v>
      </c>
      <c r="F65" s="1">
        <f>ROUND(H64*VLOOKUP(A65,FERCINT17,2)/365*VLOOKUP(A65,FERCINT17,3),2)</f>
        <v>1543.38</v>
      </c>
      <c r="H65" s="1">
        <f t="shared" si="5"/>
        <v>700519.26</v>
      </c>
      <c r="K65" s="87"/>
      <c r="L65" s="88"/>
    </row>
    <row r="66" spans="1:12" x14ac:dyDescent="0.2">
      <c r="A66" s="97">
        <f>'FERC Interest Rates'!A70</f>
        <v>43131</v>
      </c>
      <c r="D66" s="1">
        <v>105703</v>
      </c>
      <c r="F66" s="1">
        <f t="shared" ref="F66:F78" si="8">ROUND(H65*VLOOKUP(A66,FERCINT18,2)/365*VLOOKUP(A66,FERCINT18,3),2)</f>
        <v>2528.59</v>
      </c>
      <c r="H66" s="1">
        <f t="shared" si="5"/>
        <v>808750.85</v>
      </c>
      <c r="K66" s="87"/>
      <c r="L66" s="88"/>
    </row>
    <row r="67" spans="1:12" x14ac:dyDescent="0.2">
      <c r="A67" s="97">
        <f>'FERC Interest Rates'!A71</f>
        <v>43159</v>
      </c>
      <c r="D67" s="1">
        <v>144603.5</v>
      </c>
      <c r="F67" s="1">
        <f t="shared" si="8"/>
        <v>2636.75</v>
      </c>
      <c r="H67" s="1">
        <f t="shared" si="5"/>
        <v>955991.1</v>
      </c>
      <c r="K67" s="87"/>
      <c r="L67" s="88"/>
    </row>
    <row r="68" spans="1:12" x14ac:dyDescent="0.2">
      <c r="A68" s="97">
        <f>'FERC Interest Rates'!A72</f>
        <v>43190</v>
      </c>
      <c r="D68" s="1">
        <v>144000.65</v>
      </c>
      <c r="F68" s="1">
        <f t="shared" si="8"/>
        <v>3450.73</v>
      </c>
      <c r="H68" s="1">
        <f t="shared" si="5"/>
        <v>1103442.48</v>
      </c>
      <c r="K68" s="87"/>
      <c r="L68" s="88"/>
    </row>
    <row r="69" spans="1:12" x14ac:dyDescent="0.2">
      <c r="A69" s="97">
        <f>'FERC Interest Rates'!A73</f>
        <v>43220</v>
      </c>
      <c r="D69" s="1">
        <v>228192.75</v>
      </c>
      <c r="F69" s="1">
        <f t="shared" si="8"/>
        <v>4054.02</v>
      </c>
      <c r="H69" s="1">
        <f t="shared" si="5"/>
        <v>1335689.25</v>
      </c>
      <c r="K69" s="87"/>
      <c r="L69" s="88"/>
    </row>
    <row r="70" spans="1:12" x14ac:dyDescent="0.2">
      <c r="A70" s="97">
        <f>'FERC Interest Rates'!A74</f>
        <v>43251</v>
      </c>
      <c r="D70" s="1">
        <v>250114</v>
      </c>
      <c r="F70" s="1">
        <f t="shared" si="8"/>
        <v>5070.8599999999997</v>
      </c>
      <c r="H70" s="1">
        <f t="shared" si="5"/>
        <v>1590874.1099999999</v>
      </c>
      <c r="K70" s="87"/>
      <c r="L70" s="88"/>
    </row>
    <row r="71" spans="1:12" x14ac:dyDescent="0.2">
      <c r="A71" s="97">
        <f>'FERC Interest Rates'!A75</f>
        <v>43281</v>
      </c>
      <c r="D71" s="1">
        <v>253400.25</v>
      </c>
      <c r="F71" s="1">
        <f t="shared" si="8"/>
        <v>5844.83</v>
      </c>
      <c r="H71" s="1">
        <f t="shared" si="5"/>
        <v>1850119.19</v>
      </c>
      <c r="K71" s="87"/>
      <c r="L71" s="88"/>
    </row>
    <row r="72" spans="1:12" x14ac:dyDescent="0.2">
      <c r="A72" s="97">
        <f>'FERC Interest Rates'!A76</f>
        <v>43312</v>
      </c>
      <c r="D72" s="1">
        <v>289291.75</v>
      </c>
      <c r="F72" s="1">
        <f t="shared" si="8"/>
        <v>7369.56</v>
      </c>
      <c r="H72" s="1">
        <f t="shared" si="5"/>
        <v>2146780.5</v>
      </c>
      <c r="K72" s="87"/>
      <c r="L72" s="88"/>
    </row>
    <row r="73" spans="1:12" x14ac:dyDescent="0.2">
      <c r="A73" s="97">
        <f>'FERC Interest Rates'!A77</f>
        <v>43343</v>
      </c>
      <c r="D73" s="1">
        <v>234419.5</v>
      </c>
      <c r="F73" s="1">
        <f t="shared" si="8"/>
        <v>8551.24</v>
      </c>
      <c r="H73" s="1">
        <f t="shared" si="5"/>
        <v>2389751.2400000002</v>
      </c>
      <c r="K73" s="87"/>
      <c r="L73" s="88"/>
    </row>
    <row r="74" spans="1:12" x14ac:dyDescent="0.2">
      <c r="A74" s="97">
        <f>'FERC Interest Rates'!A78</f>
        <v>43373</v>
      </c>
      <c r="D74" s="1">
        <v>209083.25</v>
      </c>
      <c r="F74" s="1">
        <f t="shared" si="8"/>
        <v>9212</v>
      </c>
      <c r="H74" s="1">
        <f t="shared" si="5"/>
        <v>2608046.4900000002</v>
      </c>
      <c r="K74" s="87"/>
      <c r="L74" s="88"/>
    </row>
    <row r="75" spans="1:12" x14ac:dyDescent="0.2">
      <c r="A75" s="97">
        <f>'FERC Interest Rates'!A79</f>
        <v>43404</v>
      </c>
      <c r="D75" s="1">
        <v>218477.25</v>
      </c>
      <c r="F75" s="1">
        <f t="shared" si="8"/>
        <v>10986.66</v>
      </c>
      <c r="H75" s="1">
        <f t="shared" si="5"/>
        <v>2837510.4000000004</v>
      </c>
      <c r="K75" s="87"/>
      <c r="L75" s="88"/>
    </row>
    <row r="76" spans="1:12" x14ac:dyDescent="0.2">
      <c r="A76" s="199" t="s">
        <v>105</v>
      </c>
      <c r="B76" s="199"/>
      <c r="C76" s="199"/>
      <c r="D76" s="199"/>
      <c r="E76" s="199"/>
      <c r="F76" s="199"/>
      <c r="G76" s="1">
        <v>-2172754.66</v>
      </c>
      <c r="H76" s="1">
        <f t="shared" ref="H76:H85" si="9">+SUM(D76:G76)+H75</f>
        <v>664755.74000000022</v>
      </c>
      <c r="K76" s="87"/>
      <c r="L76" s="88"/>
    </row>
    <row r="77" spans="1:12" x14ac:dyDescent="0.2">
      <c r="A77" s="97">
        <f>'FERC Interest Rates'!A80</f>
        <v>43434</v>
      </c>
      <c r="D77" s="1">
        <v>178840.25</v>
      </c>
      <c r="F77" s="1">
        <f t="shared" si="8"/>
        <v>2710.02</v>
      </c>
      <c r="H77" s="1">
        <f t="shared" si="9"/>
        <v>846306.01000000024</v>
      </c>
      <c r="K77" s="87"/>
      <c r="L77" s="88"/>
    </row>
    <row r="78" spans="1:12" x14ac:dyDescent="0.2">
      <c r="A78" s="97">
        <f>'FERC Interest Rates'!A81</f>
        <v>43465</v>
      </c>
      <c r="D78" s="1">
        <v>220767.75</v>
      </c>
      <c r="F78" s="1">
        <f t="shared" si="8"/>
        <v>3565.15</v>
      </c>
      <c r="H78" s="1">
        <f t="shared" si="9"/>
        <v>1070638.9100000001</v>
      </c>
      <c r="K78" s="87"/>
      <c r="L78" s="88"/>
    </row>
    <row r="79" spans="1:12" x14ac:dyDescent="0.2">
      <c r="A79" s="97">
        <f>'FERC Interest Rates'!A82</f>
        <v>43496</v>
      </c>
      <c r="D79" s="1">
        <v>235311.5</v>
      </c>
      <c r="F79" s="1">
        <f t="shared" ref="F79:F85" si="10">ROUND(H78*VLOOKUP(A79,FERCINT19,2)/365*VLOOKUP(A79,FERCINT19,3),2)</f>
        <v>4710.22</v>
      </c>
      <c r="H79" s="1">
        <f t="shared" si="9"/>
        <v>1310660.6300000001</v>
      </c>
      <c r="K79" s="87"/>
      <c r="L79" s="88"/>
    </row>
    <row r="80" spans="1:12" x14ac:dyDescent="0.2">
      <c r="A80" s="97">
        <f>'FERC Interest Rates'!A83</f>
        <v>43524</v>
      </c>
      <c r="D80" s="1">
        <v>188649.5</v>
      </c>
      <c r="F80" s="1">
        <f t="shared" si="10"/>
        <v>5208.17</v>
      </c>
      <c r="H80" s="1">
        <f t="shared" si="9"/>
        <v>1504518.3</v>
      </c>
      <c r="K80" s="87"/>
      <c r="L80" s="88"/>
    </row>
    <row r="81" spans="1:12" x14ac:dyDescent="0.2">
      <c r="A81" s="97">
        <f>'FERC Interest Rates'!A84</f>
        <v>43555</v>
      </c>
      <c r="D81" s="1">
        <v>142898</v>
      </c>
      <c r="F81" s="1">
        <f t="shared" si="10"/>
        <v>6619.06</v>
      </c>
      <c r="H81" s="1">
        <f t="shared" si="9"/>
        <v>1654035.36</v>
      </c>
      <c r="K81" s="87"/>
      <c r="L81" s="88"/>
    </row>
    <row r="82" spans="1:12" x14ac:dyDescent="0.2">
      <c r="A82" s="97">
        <f>'FERC Interest Rates'!A85</f>
        <v>43585</v>
      </c>
      <c r="D82" s="1">
        <v>260434.89</v>
      </c>
      <c r="F82" s="1">
        <f t="shared" si="10"/>
        <v>7409.17</v>
      </c>
      <c r="H82" s="1">
        <f t="shared" si="9"/>
        <v>1921879.4200000002</v>
      </c>
      <c r="K82" s="87"/>
      <c r="L82" s="88"/>
    </row>
    <row r="83" spans="1:12" x14ac:dyDescent="0.2">
      <c r="A83" s="97">
        <f>'FERC Interest Rates'!A86</f>
        <v>43616</v>
      </c>
      <c r="D83" s="1">
        <v>185922</v>
      </c>
      <c r="F83" s="1">
        <f t="shared" si="10"/>
        <v>8895.93</v>
      </c>
      <c r="H83" s="1">
        <f t="shared" si="9"/>
        <v>2116697.35</v>
      </c>
      <c r="K83" s="87"/>
      <c r="L83" s="88"/>
    </row>
    <row r="84" spans="1:12" x14ac:dyDescent="0.2">
      <c r="A84" s="97">
        <f>'FERC Interest Rates'!A87</f>
        <v>43646</v>
      </c>
      <c r="D84" s="1">
        <v>173010.15</v>
      </c>
      <c r="F84" s="1">
        <f t="shared" si="10"/>
        <v>9481.64</v>
      </c>
      <c r="H84" s="1">
        <f t="shared" si="9"/>
        <v>2299189.14</v>
      </c>
      <c r="K84" s="87"/>
      <c r="L84" s="88"/>
    </row>
    <row r="85" spans="1:12" x14ac:dyDescent="0.2">
      <c r="A85" s="97">
        <f>'FERC Interest Rates'!A88</f>
        <v>43677</v>
      </c>
      <c r="D85" s="1">
        <v>177642.5</v>
      </c>
      <c r="F85" s="1">
        <f t="shared" si="10"/>
        <v>10740.05</v>
      </c>
      <c r="H85" s="1">
        <f t="shared" si="9"/>
        <v>2487571.69</v>
      </c>
      <c r="K85" s="87"/>
      <c r="L85" s="88"/>
    </row>
    <row r="86" spans="1:12" x14ac:dyDescent="0.2">
      <c r="A86" s="97"/>
      <c r="K86" s="87"/>
      <c r="L86" s="88"/>
    </row>
    <row r="87" spans="1:12" x14ac:dyDescent="0.2">
      <c r="A87" s="97"/>
      <c r="K87" s="87"/>
      <c r="L87" s="88"/>
    </row>
    <row r="88" spans="1:12" x14ac:dyDescent="0.2">
      <c r="A88" s="97"/>
      <c r="K88" s="87"/>
      <c r="L88" s="88"/>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59541-B812-4B04-B9F8-96BA45043313}">
  <sheetPr>
    <pageSetUpPr fitToPage="1"/>
  </sheetPr>
  <dimension ref="A1:T51"/>
  <sheetViews>
    <sheetView view="pageBreakPreview" zoomScale="96" zoomScaleNormal="75" zoomScaleSheetLayoutView="96" workbookViewId="0">
      <pane xSplit="1" ySplit="10" topLeftCell="H11"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87"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20" x14ac:dyDescent="0.2">
      <c r="A1" s="221" t="s">
        <v>58</v>
      </c>
      <c r="B1" s="222"/>
      <c r="C1" s="237" t="s">
        <v>59</v>
      </c>
      <c r="D1" s="237"/>
      <c r="E1" s="237"/>
      <c r="F1" s="237"/>
      <c r="G1" s="237"/>
      <c r="H1" s="238"/>
    </row>
    <row r="2" spans="1:20" x14ac:dyDescent="0.2">
      <c r="A2" s="219" t="s">
        <v>60</v>
      </c>
      <c r="B2" s="208"/>
      <c r="C2" s="209" t="s">
        <v>86</v>
      </c>
      <c r="D2" s="209"/>
      <c r="E2" s="209"/>
      <c r="F2" s="209"/>
      <c r="G2" s="209"/>
      <c r="H2" s="220"/>
    </row>
    <row r="3" spans="1:20" x14ac:dyDescent="0.2">
      <c r="A3" s="219" t="s">
        <v>62</v>
      </c>
      <c r="B3" s="208"/>
      <c r="C3" s="209" t="s">
        <v>16</v>
      </c>
      <c r="D3" s="209"/>
      <c r="E3" s="209"/>
      <c r="F3" s="209"/>
      <c r="G3" s="209"/>
      <c r="H3" s="220"/>
    </row>
    <row r="4" spans="1:20" x14ac:dyDescent="0.2">
      <c r="A4" s="219" t="s">
        <v>63</v>
      </c>
      <c r="B4" s="208"/>
      <c r="C4" s="209" t="s">
        <v>64</v>
      </c>
      <c r="D4" s="209"/>
      <c r="E4" s="209"/>
      <c r="F4" s="209"/>
      <c r="G4" s="209"/>
      <c r="H4" s="220"/>
    </row>
    <row r="5" spans="1:20" x14ac:dyDescent="0.2">
      <c r="A5" s="219" t="s">
        <v>65</v>
      </c>
      <c r="B5" s="208"/>
      <c r="C5" s="209" t="s">
        <v>87</v>
      </c>
      <c r="D5" s="209"/>
      <c r="E5" s="209"/>
      <c r="F5" s="209"/>
      <c r="G5" s="209"/>
      <c r="H5" s="220"/>
    </row>
    <row r="6" spans="1:20" x14ac:dyDescent="0.2">
      <c r="A6" s="219" t="s">
        <v>67</v>
      </c>
      <c r="B6" s="208"/>
      <c r="C6" s="209" t="s">
        <v>88</v>
      </c>
      <c r="D6" s="209"/>
      <c r="E6" s="209"/>
      <c r="F6" s="209"/>
      <c r="G6" s="209"/>
      <c r="H6" s="220"/>
    </row>
    <row r="7" spans="1:20" ht="13.5" thickBot="1" x14ac:dyDescent="0.25">
      <c r="A7" s="215" t="s">
        <v>68</v>
      </c>
      <c r="B7" s="216"/>
      <c r="C7" s="217" t="s">
        <v>89</v>
      </c>
      <c r="D7" s="217"/>
      <c r="E7" s="217"/>
      <c r="F7" s="217"/>
      <c r="G7" s="217"/>
      <c r="H7" s="218"/>
      <c r="N7" s="197"/>
      <c r="O7" s="197"/>
      <c r="P7" s="197"/>
      <c r="Q7" s="197"/>
      <c r="R7" s="197"/>
      <c r="S7" s="197"/>
      <c r="T7" s="197"/>
    </row>
    <row r="8" spans="1:20" x14ac:dyDescent="0.2">
      <c r="A8" s="95"/>
      <c r="B8" s="95"/>
      <c r="C8" s="96"/>
      <c r="D8" s="96"/>
      <c r="E8" s="96"/>
      <c r="F8" s="96"/>
      <c r="G8" s="96"/>
      <c r="H8" s="96"/>
      <c r="J8" s="91"/>
      <c r="N8" s="197"/>
      <c r="O8" s="197"/>
      <c r="P8" s="197"/>
      <c r="Q8" s="197"/>
      <c r="R8" s="197"/>
      <c r="S8" s="197"/>
      <c r="T8" s="197"/>
    </row>
    <row r="9" spans="1:20" x14ac:dyDescent="0.2">
      <c r="A9" s="6"/>
      <c r="D9" s="205" t="s">
        <v>71</v>
      </c>
      <c r="E9" s="205"/>
      <c r="F9" s="205"/>
      <c r="N9" s="197"/>
      <c r="O9" s="197"/>
      <c r="P9" s="197"/>
      <c r="Q9" s="197"/>
      <c r="R9" s="197"/>
      <c r="S9" s="197"/>
      <c r="T9" s="197"/>
    </row>
    <row r="10" spans="1:20" s="9" customFormat="1" x14ac:dyDescent="0.2">
      <c r="A10" s="9" t="s">
        <v>23</v>
      </c>
      <c r="B10" s="9" t="s">
        <v>73</v>
      </c>
      <c r="C10" s="9" t="s">
        <v>50</v>
      </c>
      <c r="D10" s="9" t="s">
        <v>74</v>
      </c>
      <c r="E10" s="9" t="s">
        <v>75</v>
      </c>
      <c r="F10" s="9" t="s">
        <v>76</v>
      </c>
      <c r="G10" s="9" t="s">
        <v>77</v>
      </c>
      <c r="H10" s="9" t="s">
        <v>78</v>
      </c>
      <c r="I10" s="2"/>
      <c r="J10" s="2"/>
      <c r="K10" s="2"/>
      <c r="L10" s="2"/>
      <c r="N10" s="198"/>
      <c r="O10" s="198" t="s">
        <v>90</v>
      </c>
      <c r="P10" s="198"/>
      <c r="Q10" s="198"/>
      <c r="R10" s="198"/>
      <c r="S10" s="198"/>
      <c r="T10" s="198"/>
    </row>
    <row r="11" spans="1:20" x14ac:dyDescent="0.2">
      <c r="A11" s="206" t="s">
        <v>91</v>
      </c>
      <c r="B11" s="206"/>
      <c r="C11" s="206"/>
      <c r="D11" s="206"/>
      <c r="E11" s="206"/>
      <c r="F11" s="206"/>
      <c r="G11" s="206"/>
      <c r="H11" s="1">
        <v>0</v>
      </c>
      <c r="L11" s="88"/>
      <c r="N11" s="197"/>
      <c r="O11" s="197"/>
      <c r="P11" s="197"/>
      <c r="Q11" s="197"/>
      <c r="R11" s="197"/>
      <c r="S11" s="197"/>
      <c r="T11" s="197"/>
    </row>
    <row r="12" spans="1:20" x14ac:dyDescent="0.2">
      <c r="A12" s="97">
        <f>'FERC Interest Rates'!A54</f>
        <v>42643</v>
      </c>
      <c r="D12" s="1">
        <v>11987.21</v>
      </c>
      <c r="F12" s="1">
        <f>ROUND(H11*VLOOKUP(A12,FERCINT16,2)/365*VLOOKUP(A12,FERCINT16,3),2)</f>
        <v>0</v>
      </c>
      <c r="H12" s="1">
        <f>+SUM(D12:G12)+H11</f>
        <v>11987.21</v>
      </c>
      <c r="L12" s="88"/>
      <c r="N12" s="197"/>
      <c r="O12" s="197">
        <v>20479.23</v>
      </c>
      <c r="P12" s="197"/>
      <c r="Q12" s="197">
        <v>0</v>
      </c>
      <c r="R12" s="197"/>
      <c r="S12" s="197">
        <v>20479.23</v>
      </c>
      <c r="T12" s="197"/>
    </row>
    <row r="13" spans="1:20" x14ac:dyDescent="0.2">
      <c r="A13" s="97">
        <f>'FERC Interest Rates'!A55</f>
        <v>42674</v>
      </c>
      <c r="D13" s="1">
        <v>106762.45</v>
      </c>
      <c r="F13" s="1">
        <f>ROUND(H12*VLOOKUP(A13,FERCINT16,2)/365*VLOOKUP(A13,FERCINT16,3),2)</f>
        <v>35.630000000000003</v>
      </c>
      <c r="H13" s="1">
        <f t="shared" ref="H13:H48" si="0">+SUM(D13:G13)+H12</f>
        <v>118785.29000000001</v>
      </c>
      <c r="L13" s="88"/>
      <c r="N13" s="197"/>
      <c r="O13" s="197">
        <v>123109.02</v>
      </c>
      <c r="P13" s="197"/>
      <c r="Q13" s="197">
        <v>60.88</v>
      </c>
      <c r="R13" s="197"/>
      <c r="S13" s="197">
        <v>143649.13</v>
      </c>
      <c r="T13" s="197"/>
    </row>
    <row r="14" spans="1:20" x14ac:dyDescent="0.2">
      <c r="A14" s="97">
        <f>'FERC Interest Rates'!A56</f>
        <v>42704</v>
      </c>
      <c r="D14" s="1">
        <v>1565078.06</v>
      </c>
      <c r="F14" s="1">
        <f>ROUND(H13*VLOOKUP(A14,FERCINT16,2)/365*VLOOKUP(A14,FERCINT16,3),2)</f>
        <v>341.71</v>
      </c>
      <c r="H14" s="1">
        <f t="shared" si="0"/>
        <v>1684205.06</v>
      </c>
      <c r="L14" s="88"/>
      <c r="N14" s="197"/>
      <c r="O14" s="197">
        <v>1588267.12</v>
      </c>
      <c r="P14" s="197"/>
      <c r="Q14" s="197">
        <v>413.24</v>
      </c>
      <c r="R14" s="197"/>
      <c r="S14" s="197">
        <v>1732329.4900000002</v>
      </c>
      <c r="T14" s="197"/>
    </row>
    <row r="15" spans="1:20" x14ac:dyDescent="0.2">
      <c r="A15" s="97">
        <f>'FERC Interest Rates'!A57</f>
        <v>42735</v>
      </c>
      <c r="D15" s="1">
        <v>-1878222.42</v>
      </c>
      <c r="F15" s="1">
        <f>ROUND(H14*VLOOKUP(A15,FERCINT16,2)/365*VLOOKUP(A15,FERCINT16,3),2)</f>
        <v>5006.47</v>
      </c>
      <c r="H15" s="1">
        <f t="shared" si="0"/>
        <v>-189010.8899999999</v>
      </c>
      <c r="L15" s="88"/>
      <c r="N15" s="197"/>
      <c r="O15" s="197">
        <v>-1829811.82</v>
      </c>
      <c r="P15" s="197"/>
      <c r="Q15" s="197">
        <v>5149.53</v>
      </c>
      <c r="R15" s="197"/>
      <c r="S15" s="197">
        <v>-92332.799999999814</v>
      </c>
      <c r="T15" s="197"/>
    </row>
    <row r="16" spans="1:20" x14ac:dyDescent="0.2">
      <c r="A16" s="97">
        <f>'FERC Interest Rates'!A58</f>
        <v>42766</v>
      </c>
      <c r="D16" s="1">
        <v>-3172497.17</v>
      </c>
      <c r="F16" s="1">
        <f t="shared" ref="F16:F28" si="1">ROUND(H15*VLOOKUP(A16,FERCINT17,2)/365*VLOOKUP(A16,FERCINT17,3),2)</f>
        <v>-561.85</v>
      </c>
      <c r="H16" s="1">
        <f t="shared" si="0"/>
        <v>-3362069.91</v>
      </c>
      <c r="L16" s="88"/>
      <c r="N16" s="197"/>
      <c r="O16" s="197">
        <v>-3120606.16</v>
      </c>
      <c r="P16" s="197"/>
      <c r="Q16" s="197">
        <v>-274.47000000000003</v>
      </c>
      <c r="R16" s="197"/>
      <c r="S16" s="197">
        <v>-3213213.43</v>
      </c>
      <c r="T16" s="197"/>
    </row>
    <row r="17" spans="1:20" x14ac:dyDescent="0.2">
      <c r="A17" s="97">
        <f>'FERC Interest Rates'!A59</f>
        <v>42794</v>
      </c>
      <c r="D17" s="1">
        <v>-1296785.68</v>
      </c>
      <c r="F17" s="1">
        <f t="shared" si="1"/>
        <v>-9026.93</v>
      </c>
      <c r="H17" s="1">
        <f t="shared" si="0"/>
        <v>-4667882.5199999996</v>
      </c>
      <c r="L17" s="88"/>
      <c r="N17" s="197"/>
      <c r="O17" s="197">
        <v>-1259177.8</v>
      </c>
      <c r="P17" s="197"/>
      <c r="Q17" s="197">
        <v>-8627.26</v>
      </c>
      <c r="R17" s="197"/>
      <c r="S17" s="197">
        <v>-4481018.49</v>
      </c>
      <c r="T17" s="197"/>
    </row>
    <row r="18" spans="1:20" x14ac:dyDescent="0.2">
      <c r="A18" s="97">
        <f>'FERC Interest Rates'!A60</f>
        <v>42825</v>
      </c>
      <c r="D18" s="1">
        <v>-644163.9</v>
      </c>
      <c r="F18" s="1">
        <f t="shared" si="1"/>
        <v>-13875.76</v>
      </c>
      <c r="H18" s="1">
        <f t="shared" si="0"/>
        <v>-5325922.18</v>
      </c>
      <c r="L18" s="88"/>
      <c r="N18" s="197"/>
      <c r="O18" s="197">
        <v>-614656.88</v>
      </c>
      <c r="P18" s="197"/>
      <c r="Q18" s="197">
        <v>-13320.29</v>
      </c>
      <c r="R18" s="197"/>
      <c r="S18" s="197">
        <v>-5108995.66</v>
      </c>
      <c r="T18" s="197"/>
    </row>
    <row r="19" spans="1:20" x14ac:dyDescent="0.2">
      <c r="A19" s="97">
        <f>'FERC Interest Rates'!A61</f>
        <v>42855</v>
      </c>
      <c r="D19" s="1">
        <v>-800040.13</v>
      </c>
      <c r="F19" s="1">
        <f t="shared" si="1"/>
        <v>-16240.41</v>
      </c>
      <c r="H19" s="1">
        <f t="shared" si="0"/>
        <v>-6142202.7199999997</v>
      </c>
      <c r="L19" s="88"/>
      <c r="N19" s="197"/>
      <c r="O19" s="197">
        <v>-779690.7</v>
      </c>
      <c r="P19" s="197"/>
      <c r="Q19" s="197">
        <v>-15578.94</v>
      </c>
      <c r="R19" s="197"/>
      <c r="S19" s="197">
        <v>-5904265.2999999998</v>
      </c>
      <c r="T19" s="197"/>
    </row>
    <row r="20" spans="1:20" x14ac:dyDescent="0.2">
      <c r="A20" s="97">
        <f>'FERC Interest Rates'!A62</f>
        <v>42886</v>
      </c>
      <c r="D20" s="1">
        <v>-358834.1</v>
      </c>
      <c r="F20" s="1">
        <f t="shared" si="1"/>
        <v>-19353.830000000002</v>
      </c>
      <c r="H20" s="1">
        <f t="shared" si="0"/>
        <v>-6520390.6499999994</v>
      </c>
      <c r="L20" s="88"/>
      <c r="N20" s="197"/>
      <c r="O20" s="197">
        <v>-345870.06</v>
      </c>
      <c r="P20" s="197"/>
      <c r="Q20" s="197">
        <v>-18604.099999999999</v>
      </c>
      <c r="R20" s="197"/>
      <c r="S20" s="197">
        <v>-6268739.46</v>
      </c>
      <c r="T20" s="197"/>
    </row>
    <row r="21" spans="1:20" x14ac:dyDescent="0.2">
      <c r="A21" s="97">
        <f>'FERC Interest Rates'!A63</f>
        <v>42916</v>
      </c>
      <c r="D21" s="1">
        <v>736242.69</v>
      </c>
      <c r="F21" s="1">
        <f t="shared" si="1"/>
        <v>-19882.73</v>
      </c>
      <c r="H21" s="1">
        <f t="shared" si="0"/>
        <v>-5804030.6899999995</v>
      </c>
      <c r="L21" s="88"/>
      <c r="N21" s="197"/>
      <c r="O21" s="197">
        <v>741392.05</v>
      </c>
      <c r="P21" s="197"/>
      <c r="Q21" s="197">
        <v>-19115.36</v>
      </c>
      <c r="R21" s="197"/>
      <c r="S21" s="197">
        <v>-5546462.7699999996</v>
      </c>
      <c r="T21" s="197"/>
    </row>
    <row r="22" spans="1:20" x14ac:dyDescent="0.2">
      <c r="A22" s="97">
        <f>'FERC Interest Rates'!A64</f>
        <v>42947</v>
      </c>
      <c r="D22" s="1">
        <v>133175.96</v>
      </c>
      <c r="F22" s="1">
        <f t="shared" si="1"/>
        <v>-19520.62</v>
      </c>
      <c r="H22" s="1">
        <f t="shared" si="0"/>
        <v>-5690375.3499999996</v>
      </c>
      <c r="L22" s="88"/>
      <c r="N22" s="197"/>
      <c r="O22" s="197">
        <v>139789.29999999999</v>
      </c>
      <c r="P22" s="197"/>
      <c r="Q22" s="197">
        <v>-18654.349999999999</v>
      </c>
      <c r="R22" s="197"/>
      <c r="S22" s="197">
        <v>-5425327.8199999994</v>
      </c>
      <c r="T22" s="197"/>
    </row>
    <row r="23" spans="1:20" x14ac:dyDescent="0.2">
      <c r="A23" s="97">
        <f>'FERC Interest Rates'!A65</f>
        <v>42978</v>
      </c>
      <c r="D23" s="1">
        <v>493325.73</v>
      </c>
      <c r="F23" s="1">
        <f t="shared" si="1"/>
        <v>-19138.37</v>
      </c>
      <c r="H23" s="1">
        <f t="shared" si="0"/>
        <v>-5216187.9899999993</v>
      </c>
      <c r="L23" s="88"/>
      <c r="N23" s="197"/>
      <c r="O23" s="197">
        <v>499118.04</v>
      </c>
      <c r="P23" s="197"/>
      <c r="Q23" s="197">
        <v>-18246.939999999999</v>
      </c>
      <c r="R23" s="197"/>
      <c r="S23" s="197">
        <v>-4944456.72</v>
      </c>
      <c r="T23" s="197"/>
    </row>
    <row r="24" spans="1:20" x14ac:dyDescent="0.2">
      <c r="A24" s="97">
        <f>'FERC Interest Rates'!A66</f>
        <v>43008</v>
      </c>
      <c r="D24" s="1">
        <v>-32838.199999999997</v>
      </c>
      <c r="F24" s="1">
        <f t="shared" si="1"/>
        <v>-16977.62</v>
      </c>
      <c r="H24" s="1">
        <f t="shared" si="0"/>
        <v>-5266003.8099999996</v>
      </c>
      <c r="L24" s="88"/>
      <c r="N24" s="197"/>
      <c r="O24" s="197">
        <v>-24021.69</v>
      </c>
      <c r="P24" s="197"/>
      <c r="Q24" s="197">
        <v>-16093.19</v>
      </c>
      <c r="R24" s="197"/>
      <c r="S24" s="197">
        <v>-4984571.5999999996</v>
      </c>
      <c r="T24" s="197"/>
    </row>
    <row r="25" spans="1:20" x14ac:dyDescent="0.2">
      <c r="A25" s="97">
        <f>'FERC Interest Rates'!A67</f>
        <v>43039</v>
      </c>
      <c r="D25" s="1">
        <v>-89282.54</v>
      </c>
      <c r="F25" s="1">
        <f t="shared" si="1"/>
        <v>-18829.21</v>
      </c>
      <c r="H25" s="1">
        <f t="shared" si="0"/>
        <v>-5374115.5599999996</v>
      </c>
      <c r="L25" s="88"/>
      <c r="N25" s="197"/>
      <c r="O25" s="197"/>
      <c r="P25" s="197"/>
      <c r="Q25" s="197"/>
      <c r="R25" s="197"/>
      <c r="S25" s="197"/>
      <c r="T25" s="197"/>
    </row>
    <row r="26" spans="1:20" x14ac:dyDescent="0.2">
      <c r="A26" s="199" t="s">
        <v>92</v>
      </c>
      <c r="B26" s="199"/>
      <c r="C26" s="199"/>
      <c r="D26" s="199"/>
      <c r="E26" s="199"/>
      <c r="F26" s="199"/>
      <c r="G26" s="1">
        <v>195037.47</v>
      </c>
      <c r="H26" s="1">
        <f t="shared" si="0"/>
        <v>-5179078.09</v>
      </c>
      <c r="L26" s="88"/>
    </row>
    <row r="27" spans="1:20" x14ac:dyDescent="0.2">
      <c r="A27" s="97">
        <f>'FERC Interest Rates'!A68</f>
        <v>43069</v>
      </c>
      <c r="D27" s="1">
        <v>-64892.24</v>
      </c>
      <c r="F27" s="1">
        <f>ROUND(H26*VLOOKUP(A27,FERCINT17,2)/365*VLOOKUP(A27,FERCINT17,3),2)</f>
        <v>-17921.03</v>
      </c>
      <c r="H27" s="1">
        <f t="shared" si="0"/>
        <v>-5261891.3599999994</v>
      </c>
      <c r="L27" s="88"/>
    </row>
    <row r="28" spans="1:20" x14ac:dyDescent="0.2">
      <c r="A28" s="97">
        <f>'FERC Interest Rates'!A69</f>
        <v>43100</v>
      </c>
      <c r="D28" s="1">
        <v>-618556.96</v>
      </c>
      <c r="E28" s="1">
        <v>-680.9</v>
      </c>
      <c r="F28" s="1">
        <f t="shared" si="1"/>
        <v>-18814.509999999998</v>
      </c>
      <c r="H28" s="1">
        <f t="shared" si="0"/>
        <v>-5899943.7299999995</v>
      </c>
      <c r="L28" s="88"/>
    </row>
    <row r="29" spans="1:20" x14ac:dyDescent="0.2">
      <c r="A29" s="97">
        <f>'FERC Interest Rates'!A70</f>
        <v>43131</v>
      </c>
      <c r="D29" s="1">
        <v>254921.14</v>
      </c>
      <c r="F29" s="1">
        <f t="shared" ref="F29:F41" si="2">ROUND(H28*VLOOKUP(A29,FERCINT18,2)/365*VLOOKUP(A29,FERCINT18,3),2)</f>
        <v>-21296.37</v>
      </c>
      <c r="H29" s="1">
        <f t="shared" si="0"/>
        <v>-5666318.959999999</v>
      </c>
      <c r="L29" s="88"/>
    </row>
    <row r="30" spans="1:20" x14ac:dyDescent="0.2">
      <c r="A30" s="97">
        <f>'FERC Interest Rates'!A71</f>
        <v>43159</v>
      </c>
      <c r="D30" s="1">
        <v>-811118.47</v>
      </c>
      <c r="F30" s="1">
        <f t="shared" si="2"/>
        <v>-18473.75</v>
      </c>
      <c r="H30" s="1">
        <f t="shared" si="0"/>
        <v>-6495911.1799999988</v>
      </c>
      <c r="L30" s="88"/>
    </row>
    <row r="31" spans="1:20" x14ac:dyDescent="0.2">
      <c r="A31" s="97">
        <f>'FERC Interest Rates'!A72</f>
        <v>43190</v>
      </c>
      <c r="D31" s="1">
        <v>-448352.57</v>
      </c>
      <c r="F31" s="1">
        <f t="shared" si="2"/>
        <v>-23447.57</v>
      </c>
      <c r="H31" s="1">
        <f t="shared" si="0"/>
        <v>-6967711.3199999984</v>
      </c>
      <c r="L31" s="88"/>
    </row>
    <row r="32" spans="1:20" x14ac:dyDescent="0.2">
      <c r="A32" s="97">
        <f>'FERC Interest Rates'!A73</f>
        <v>43220</v>
      </c>
      <c r="D32" s="1">
        <v>-552354.38</v>
      </c>
      <c r="F32" s="1">
        <f t="shared" si="2"/>
        <v>-25599.18</v>
      </c>
      <c r="H32" s="1">
        <f t="shared" si="0"/>
        <v>-7545664.879999999</v>
      </c>
      <c r="L32" s="88"/>
    </row>
    <row r="33" spans="1:12" x14ac:dyDescent="0.2">
      <c r="A33" s="97">
        <f>'FERC Interest Rates'!A74</f>
        <v>43251</v>
      </c>
      <c r="D33" s="1">
        <v>546739.6</v>
      </c>
      <c r="F33" s="1">
        <f t="shared" si="2"/>
        <v>-28646.65</v>
      </c>
      <c r="H33" s="1">
        <f t="shared" si="0"/>
        <v>-7027571.9299999988</v>
      </c>
      <c r="L33" s="88"/>
    </row>
    <row r="34" spans="1:12" x14ac:dyDescent="0.2">
      <c r="A34" s="97">
        <f>'FERC Interest Rates'!A75</f>
        <v>43281</v>
      </c>
      <c r="D34" s="1">
        <v>-92773.67</v>
      </c>
      <c r="F34" s="1">
        <f t="shared" si="2"/>
        <v>-25819.11</v>
      </c>
      <c r="H34" s="1">
        <f t="shared" si="0"/>
        <v>-7146164.709999999</v>
      </c>
      <c r="L34" s="88"/>
    </row>
    <row r="35" spans="1:12" x14ac:dyDescent="0.2">
      <c r="A35" s="97">
        <f>'FERC Interest Rates'!A76</f>
        <v>43312</v>
      </c>
      <c r="D35" s="1">
        <v>23270.85</v>
      </c>
      <c r="F35" s="1">
        <f t="shared" si="2"/>
        <v>-28465.23</v>
      </c>
      <c r="H35" s="1">
        <f t="shared" si="0"/>
        <v>-7151359.0899999989</v>
      </c>
      <c r="L35" s="88"/>
    </row>
    <row r="36" spans="1:12" x14ac:dyDescent="0.2">
      <c r="A36" s="97">
        <f>'FERC Interest Rates'!A77</f>
        <v>43343</v>
      </c>
      <c r="D36" s="1">
        <v>450457.18</v>
      </c>
      <c r="F36" s="1">
        <f t="shared" si="2"/>
        <v>-28485.919999999998</v>
      </c>
      <c r="H36" s="1">
        <f t="shared" si="0"/>
        <v>-6729387.8299999991</v>
      </c>
      <c r="L36" s="88"/>
    </row>
    <row r="37" spans="1:12" x14ac:dyDescent="0.2">
      <c r="A37" s="97">
        <f>'FERC Interest Rates'!A78</f>
        <v>43373</v>
      </c>
      <c r="D37" s="1">
        <v>-83303.360000000001</v>
      </c>
      <c r="F37" s="1">
        <f t="shared" si="2"/>
        <v>-25940.41</v>
      </c>
      <c r="H37" s="1">
        <f t="shared" si="0"/>
        <v>-6838631.5999999987</v>
      </c>
      <c r="L37" s="88"/>
    </row>
    <row r="38" spans="1:12" x14ac:dyDescent="0.2">
      <c r="A38" s="97">
        <f>'FERC Interest Rates'!A79</f>
        <v>43404</v>
      </c>
      <c r="D38" s="1">
        <v>302039.75</v>
      </c>
      <c r="F38" s="1">
        <f t="shared" si="2"/>
        <v>-28808.44</v>
      </c>
      <c r="H38" s="1">
        <f t="shared" si="0"/>
        <v>-6565400.2899999991</v>
      </c>
      <c r="L38" s="88"/>
    </row>
    <row r="39" spans="1:12" x14ac:dyDescent="0.2">
      <c r="A39" s="199" t="s">
        <v>92</v>
      </c>
      <c r="B39" s="199"/>
      <c r="C39" s="199"/>
      <c r="D39" s="199"/>
      <c r="E39" s="199"/>
      <c r="F39" s="199"/>
      <c r="G39" s="1">
        <v>6125923.8899999997</v>
      </c>
      <c r="H39" s="1">
        <f t="shared" si="0"/>
        <v>-439476.39999999944</v>
      </c>
      <c r="L39" s="88"/>
    </row>
    <row r="40" spans="1:12" x14ac:dyDescent="0.2">
      <c r="A40" s="97">
        <f>'FERC Interest Rates'!A80</f>
        <v>43434</v>
      </c>
      <c r="D40" s="1">
        <v>347558.7</v>
      </c>
      <c r="F40" s="1">
        <f t="shared" si="2"/>
        <v>-1791.62</v>
      </c>
      <c r="H40" s="1">
        <f t="shared" si="0"/>
        <v>-93709.319999999425</v>
      </c>
      <c r="L40" s="88"/>
    </row>
    <row r="41" spans="1:12" x14ac:dyDescent="0.2">
      <c r="A41" s="97">
        <f>'FERC Interest Rates'!A81</f>
        <v>43465</v>
      </c>
      <c r="D41" s="1">
        <f>1003283.44+104523.81</f>
        <v>1107807.25</v>
      </c>
      <c r="F41" s="1">
        <f t="shared" si="2"/>
        <v>-394.76</v>
      </c>
      <c r="H41" s="1">
        <f t="shared" si="0"/>
        <v>1013703.1700000006</v>
      </c>
      <c r="L41" s="88"/>
    </row>
    <row r="42" spans="1:12" x14ac:dyDescent="0.2">
      <c r="A42" s="97">
        <f>'FERC Interest Rates'!A82</f>
        <v>43496</v>
      </c>
      <c r="D42" s="1">
        <v>843959.23</v>
      </c>
      <c r="F42" s="1">
        <f t="shared" ref="F42:F48" si="3">ROUND(H41*VLOOKUP(A42,FERCINT19,2)/365*VLOOKUP(A42,FERCINT19,3),2)</f>
        <v>4459.74</v>
      </c>
      <c r="H42" s="1">
        <f t="shared" si="0"/>
        <v>1862122.1400000006</v>
      </c>
      <c r="L42" s="88"/>
    </row>
    <row r="43" spans="1:12" x14ac:dyDescent="0.2">
      <c r="A43" s="97">
        <f>'FERC Interest Rates'!A83</f>
        <v>43524</v>
      </c>
      <c r="D43" s="1">
        <v>-3745264.02</v>
      </c>
      <c r="F43" s="1">
        <f t="shared" si="3"/>
        <v>7399.51</v>
      </c>
      <c r="H43" s="1">
        <f t="shared" si="0"/>
        <v>-1875742.3699999996</v>
      </c>
      <c r="L43" s="88"/>
    </row>
    <row r="44" spans="1:12" x14ac:dyDescent="0.2">
      <c r="A44" s="97">
        <f>'FERC Interest Rates'!A84</f>
        <v>43555</v>
      </c>
      <c r="D44" s="1">
        <v>-1400603.7</v>
      </c>
      <c r="F44" s="1">
        <f t="shared" si="3"/>
        <v>-8252.24</v>
      </c>
      <c r="H44" s="1">
        <f t="shared" si="0"/>
        <v>-3284598.3099999996</v>
      </c>
      <c r="L44" s="88"/>
    </row>
    <row r="45" spans="1:12" x14ac:dyDescent="0.2">
      <c r="A45" s="97">
        <f>'FERC Interest Rates'!A85</f>
        <v>43585</v>
      </c>
      <c r="D45" s="1">
        <v>412427.72</v>
      </c>
      <c r="F45" s="1">
        <f t="shared" si="3"/>
        <v>-14713.2</v>
      </c>
      <c r="H45" s="1">
        <f t="shared" si="0"/>
        <v>-2886883.7899999996</v>
      </c>
      <c r="L45" s="88"/>
    </row>
    <row r="46" spans="1:12" x14ac:dyDescent="0.2">
      <c r="A46" s="97">
        <f>'FERC Interest Rates'!A86</f>
        <v>43616</v>
      </c>
      <c r="D46" s="1">
        <v>-54642.65</v>
      </c>
      <c r="F46" s="1">
        <f t="shared" si="3"/>
        <v>-13362.71</v>
      </c>
      <c r="H46" s="1">
        <f t="shared" si="0"/>
        <v>-2954889.1499999994</v>
      </c>
      <c r="L46" s="88"/>
    </row>
    <row r="47" spans="1:12" x14ac:dyDescent="0.2">
      <c r="A47" s="97">
        <f>'FERC Interest Rates'!A87</f>
        <v>43646</v>
      </c>
      <c r="D47" s="1">
        <v>42807.88</v>
      </c>
      <c r="F47" s="1">
        <f t="shared" si="3"/>
        <v>-13236.28</v>
      </c>
      <c r="H47" s="1">
        <f t="shared" si="0"/>
        <v>-2925317.5499999993</v>
      </c>
      <c r="L47" s="88"/>
    </row>
    <row r="48" spans="1:12" x14ac:dyDescent="0.2">
      <c r="A48" s="97">
        <f>'FERC Interest Rates'!A88</f>
        <v>43677</v>
      </c>
      <c r="D48" s="1">
        <v>-172084.6</v>
      </c>
      <c r="F48" s="1">
        <f t="shared" si="3"/>
        <v>-13664.84</v>
      </c>
      <c r="H48" s="1">
        <f t="shared" si="0"/>
        <v>-3111066.9899999993</v>
      </c>
      <c r="L48" s="88"/>
    </row>
    <row r="49" spans="1:12" x14ac:dyDescent="0.2">
      <c r="A49" s="97"/>
      <c r="H49" s="98"/>
      <c r="L49" s="88"/>
    </row>
    <row r="50" spans="1:12" x14ac:dyDescent="0.2">
      <c r="A50" s="97"/>
      <c r="L50" s="88"/>
    </row>
    <row r="51" spans="1:12" x14ac:dyDescent="0.2">
      <c r="A51" s="97"/>
      <c r="L51" s="88"/>
    </row>
  </sheetData>
  <mergeCells count="18">
    <mergeCell ref="A1:B1"/>
    <mergeCell ref="C1:H1"/>
    <mergeCell ref="A2:B2"/>
    <mergeCell ref="C2:H2"/>
    <mergeCell ref="A3:B3"/>
    <mergeCell ref="C3:H3"/>
    <mergeCell ref="A39:F39"/>
    <mergeCell ref="A4:B4"/>
    <mergeCell ref="C4:H4"/>
    <mergeCell ref="A5:B5"/>
    <mergeCell ref="C5:H5"/>
    <mergeCell ref="A6:B6"/>
    <mergeCell ref="C6:H6"/>
    <mergeCell ref="A7:B7"/>
    <mergeCell ref="C7:H7"/>
    <mergeCell ref="D9:F9"/>
    <mergeCell ref="A11:G11"/>
    <mergeCell ref="A26:F26"/>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6C128-1E2E-4391-A60B-72266D86B81A}">
  <dimension ref="A1:X55"/>
  <sheetViews>
    <sheetView view="pageBreakPreview" zoomScaleNormal="100" zoomScaleSheetLayoutView="100" workbookViewId="0">
      <pane ySplit="7" topLeftCell="A36" activePane="bottomLeft" state="frozen"/>
      <selection activeCell="G86" activeCellId="1" sqref="D86 G86"/>
      <selection pane="bottomLeft" activeCell="G86" activeCellId="1" sqref="D86 G86"/>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7" bestFit="1" customWidth="1"/>
    <col min="12" max="12" width="10.33203125" style="1" bestFit="1" customWidth="1"/>
    <col min="13" max="16384" width="8.88671875" style="1"/>
  </cols>
  <sheetData>
    <row r="1" spans="1:12" x14ac:dyDescent="0.2">
      <c r="A1" s="221" t="s">
        <v>58</v>
      </c>
      <c r="B1" s="222"/>
      <c r="C1" s="232" t="s">
        <v>59</v>
      </c>
      <c r="D1" s="232"/>
      <c r="E1" s="232"/>
      <c r="F1" s="232"/>
      <c r="G1" s="232"/>
      <c r="H1" s="233"/>
      <c r="I1" s="100"/>
    </row>
    <row r="2" spans="1:12" x14ac:dyDescent="0.2">
      <c r="A2" s="219" t="s">
        <v>60</v>
      </c>
      <c r="B2" s="208"/>
      <c r="C2" s="230" t="s">
        <v>133</v>
      </c>
      <c r="D2" s="230"/>
      <c r="E2" s="230"/>
      <c r="F2" s="230"/>
      <c r="G2" s="230"/>
      <c r="H2" s="231"/>
      <c r="I2" s="100"/>
    </row>
    <row r="3" spans="1:12" x14ac:dyDescent="0.2">
      <c r="A3" s="219" t="s">
        <v>62</v>
      </c>
      <c r="B3" s="208"/>
      <c r="C3" s="230" t="s">
        <v>7</v>
      </c>
      <c r="D3" s="230"/>
      <c r="E3" s="230"/>
      <c r="F3" s="230"/>
      <c r="G3" s="230"/>
      <c r="H3" s="231"/>
      <c r="I3" s="100"/>
    </row>
    <row r="4" spans="1:12" x14ac:dyDescent="0.2">
      <c r="A4" s="219" t="s">
        <v>63</v>
      </c>
      <c r="B4" s="208"/>
      <c r="C4" s="230" t="s">
        <v>64</v>
      </c>
      <c r="D4" s="230"/>
      <c r="E4" s="230"/>
      <c r="F4" s="230"/>
      <c r="G4" s="230"/>
      <c r="H4" s="231"/>
      <c r="I4" s="100"/>
    </row>
    <row r="5" spans="1:12" x14ac:dyDescent="0.2">
      <c r="A5" s="219" t="s">
        <v>65</v>
      </c>
      <c r="B5" s="208"/>
      <c r="C5" s="230" t="s">
        <v>0</v>
      </c>
      <c r="D5" s="230"/>
      <c r="E5" s="230"/>
      <c r="F5" s="230"/>
      <c r="G5" s="230"/>
      <c r="H5" s="231"/>
      <c r="I5" s="100"/>
    </row>
    <row r="6" spans="1:12" x14ac:dyDescent="0.2">
      <c r="A6" s="219" t="s">
        <v>67</v>
      </c>
      <c r="B6" s="208"/>
      <c r="C6" s="230" t="s">
        <v>134</v>
      </c>
      <c r="D6" s="230"/>
      <c r="E6" s="230"/>
      <c r="F6" s="230"/>
      <c r="G6" s="230"/>
      <c r="H6" s="231"/>
      <c r="I6" s="100"/>
    </row>
    <row r="7" spans="1:12" ht="13.5" thickBot="1" x14ac:dyDescent="0.25">
      <c r="A7" s="215" t="s">
        <v>68</v>
      </c>
      <c r="B7" s="216"/>
      <c r="C7" s="228" t="s">
        <v>135</v>
      </c>
      <c r="D7" s="228"/>
      <c r="E7" s="228"/>
      <c r="F7" s="228"/>
      <c r="G7" s="228"/>
      <c r="H7" s="229"/>
      <c r="I7" s="101"/>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x14ac:dyDescent="0.2">
      <c r="A11" s="102"/>
      <c r="B11" s="102"/>
      <c r="C11" s="102"/>
      <c r="D11" s="102"/>
      <c r="E11" s="102"/>
      <c r="F11" s="102"/>
      <c r="G11" s="102"/>
      <c r="H11" s="103"/>
      <c r="I11" s="101"/>
    </row>
    <row r="12" spans="1:12" x14ac:dyDescent="0.2">
      <c r="A12" s="227" t="s">
        <v>136</v>
      </c>
      <c r="B12" s="227"/>
      <c r="C12" s="227"/>
      <c r="D12" s="227"/>
      <c r="E12" s="227"/>
      <c r="F12" s="227"/>
      <c r="G12" s="103">
        <v>519697.25</v>
      </c>
      <c r="H12" s="103"/>
      <c r="I12" s="104"/>
      <c r="J12" s="90"/>
    </row>
    <row r="13" spans="1:12" x14ac:dyDescent="0.2">
      <c r="A13" s="227" t="s">
        <v>137</v>
      </c>
      <c r="B13" s="227"/>
      <c r="C13" s="227"/>
      <c r="D13" s="227"/>
      <c r="E13" s="227"/>
      <c r="F13" s="227"/>
      <c r="G13" s="103">
        <v>90886.69</v>
      </c>
      <c r="H13" s="103"/>
      <c r="I13" s="104"/>
      <c r="J13" s="90"/>
    </row>
    <row r="14" spans="1:12" x14ac:dyDescent="0.2">
      <c r="A14" s="227" t="s">
        <v>138</v>
      </c>
      <c r="B14" s="227"/>
      <c r="C14" s="227"/>
      <c r="D14" s="227"/>
      <c r="E14" s="227"/>
      <c r="F14" s="227"/>
      <c r="G14" s="103">
        <v>1915128.08</v>
      </c>
      <c r="H14" s="103"/>
      <c r="I14" s="104"/>
      <c r="J14" s="90"/>
    </row>
    <row r="15" spans="1:12" x14ac:dyDescent="0.2">
      <c r="A15" s="227" t="s">
        <v>139</v>
      </c>
      <c r="B15" s="227"/>
      <c r="C15" s="227"/>
      <c r="D15" s="227"/>
      <c r="E15" s="227"/>
      <c r="F15" s="227"/>
      <c r="G15" s="103">
        <v>441993.05</v>
      </c>
      <c r="H15" s="103"/>
      <c r="I15" s="101"/>
    </row>
    <row r="16" spans="1:12" x14ac:dyDescent="0.2">
      <c r="A16" s="227" t="s">
        <v>140</v>
      </c>
      <c r="B16" s="227"/>
      <c r="C16" s="227"/>
      <c r="D16" s="227"/>
      <c r="E16" s="227"/>
      <c r="F16" s="227"/>
      <c r="G16" s="105">
        <v>581148.86</v>
      </c>
      <c r="H16" s="103"/>
      <c r="I16" s="101"/>
    </row>
    <row r="17" spans="1:23" x14ac:dyDescent="0.2">
      <c r="A17" s="106"/>
      <c r="B17" s="103"/>
      <c r="C17" s="103"/>
      <c r="D17" s="103"/>
      <c r="E17" s="103"/>
      <c r="F17" s="103"/>
      <c r="G17" s="103"/>
      <c r="H17" s="103">
        <f>SUM(G12:G16)</f>
        <v>3548853.9299999997</v>
      </c>
      <c r="I17" s="101"/>
    </row>
    <row r="18" spans="1:23" x14ac:dyDescent="0.2">
      <c r="A18" s="97">
        <f>'FERC Interest Rates'!A56</f>
        <v>42704</v>
      </c>
      <c r="B18" s="109" t="s">
        <v>120</v>
      </c>
      <c r="C18" s="116">
        <f>'Therm Sales'!I41</f>
        <v>14546209</v>
      </c>
      <c r="D18" s="110"/>
      <c r="E18" s="103">
        <f>(9630311*-0.01027)+(4915898*-0.01364)</f>
        <v>-165956.14269000001</v>
      </c>
      <c r="F18" s="104">
        <f>ROUND(H17*VLOOKUP(A18,FERCINT16,2)/365*VLOOKUP(A18,FERCINT16,3),2)</f>
        <v>10209.030000000001</v>
      </c>
      <c r="G18" s="103"/>
      <c r="H18" s="103">
        <f>H17+SUM(E18:G18)</f>
        <v>3393106.8173099998</v>
      </c>
      <c r="I18" s="104"/>
      <c r="J18" s="90"/>
      <c r="L18" s="108"/>
    </row>
    <row r="19" spans="1:23" x14ac:dyDescent="0.2">
      <c r="A19" s="97">
        <f>'FERC Interest Rates'!A57</f>
        <v>42735</v>
      </c>
      <c r="B19" s="118">
        <v>-1.3639999999999999E-2</v>
      </c>
      <c r="C19" s="116">
        <f>'Therm Sales'!I42</f>
        <v>29320569</v>
      </c>
      <c r="D19" s="112"/>
      <c r="E19" s="111">
        <f>ROUND(C19*B19,2)-0.01</f>
        <v>-399932.57</v>
      </c>
      <c r="F19" s="104">
        <f>ROUND(H18*VLOOKUP(A19,FERCINT16,2)/365*VLOOKUP(A19,FERCINT16,3),2)</f>
        <v>10086.36</v>
      </c>
      <c r="G19" s="101"/>
      <c r="H19" s="113">
        <f>H18+SUM(D19:G19)</f>
        <v>3003260.6073099999</v>
      </c>
      <c r="I19" s="104"/>
      <c r="J19" s="90"/>
      <c r="L19" s="108"/>
    </row>
    <row r="20" spans="1:23" x14ac:dyDescent="0.2">
      <c r="A20" s="97">
        <f>'FERC Interest Rates'!A58</f>
        <v>42766</v>
      </c>
      <c r="B20" s="118">
        <v>-1.3639999999999999E-2</v>
      </c>
      <c r="C20" s="116">
        <f>'Therm Sales'!I43</f>
        <v>50070976</v>
      </c>
      <c r="D20" s="112"/>
      <c r="E20" s="111">
        <f>ROUND(C20*B20,2)+0.01</f>
        <v>-682968.1</v>
      </c>
      <c r="F20" s="90">
        <f>ROUND(H19*VLOOKUP(A20,FERCINT17,2)/365*VLOOKUP(A20,FERCINT17,3),2)</f>
        <v>8927.5</v>
      </c>
      <c r="G20" s="101"/>
      <c r="H20" s="113">
        <f t="shared" ref="H20:H42" si="0">H19+SUM(D20:G20)</f>
        <v>2329220.0073099998</v>
      </c>
      <c r="J20" s="90"/>
      <c r="L20" s="108"/>
    </row>
    <row r="21" spans="1:23" x14ac:dyDescent="0.2">
      <c r="A21" s="97">
        <f>'FERC Interest Rates'!A59</f>
        <v>42794</v>
      </c>
      <c r="B21" s="118">
        <v>-1.3639999999999999E-2</v>
      </c>
      <c r="C21" s="116">
        <f>'Therm Sales'!I44</f>
        <v>39357111</v>
      </c>
      <c r="D21" s="112"/>
      <c r="E21" s="104">
        <f t="shared" ref="E21:E41" si="1">ROUND(C21*B21,2)</f>
        <v>-536830.99</v>
      </c>
      <c r="F21" s="104">
        <f t="shared" ref="F21:F29" si="2">ROUND(H20*VLOOKUP(A21,FERCINT17,2)/365*VLOOKUP(A21,FERCINT17,3),2)</f>
        <v>6253.8</v>
      </c>
      <c r="G21" s="101"/>
      <c r="H21" s="113">
        <f t="shared" si="0"/>
        <v>1798642.8173099998</v>
      </c>
      <c r="J21" s="90"/>
      <c r="L21" s="108"/>
    </row>
    <row r="22" spans="1:23" x14ac:dyDescent="0.2">
      <c r="A22" s="97">
        <f>'FERC Interest Rates'!A60</f>
        <v>42825</v>
      </c>
      <c r="B22" s="118">
        <v>-1.3639999999999999E-2</v>
      </c>
      <c r="C22" s="116">
        <f>'Therm Sales'!I45</f>
        <v>35872415</v>
      </c>
      <c r="D22" s="112"/>
      <c r="E22" s="104">
        <f t="shared" si="1"/>
        <v>-489299.74</v>
      </c>
      <c r="F22" s="104">
        <f t="shared" si="2"/>
        <v>5346.65</v>
      </c>
      <c r="G22" s="101"/>
      <c r="H22" s="113">
        <f t="shared" si="0"/>
        <v>1314689.72731</v>
      </c>
      <c r="J22" s="90"/>
      <c r="L22" s="108"/>
    </row>
    <row r="23" spans="1:23" x14ac:dyDescent="0.2">
      <c r="A23" s="97">
        <f>'FERC Interest Rates'!A61</f>
        <v>42855</v>
      </c>
      <c r="B23" s="118">
        <v>-1.3639999999999999E-2</v>
      </c>
      <c r="C23" s="116">
        <f>'Therm Sales'!I46</f>
        <v>21376214</v>
      </c>
      <c r="D23" s="112"/>
      <c r="E23" s="104">
        <f t="shared" si="1"/>
        <v>-291571.56</v>
      </c>
      <c r="F23" s="104">
        <f t="shared" si="2"/>
        <v>4008.9</v>
      </c>
      <c r="G23" s="101"/>
      <c r="H23" s="113">
        <f t="shared" si="0"/>
        <v>1027127.0673100001</v>
      </c>
      <c r="J23" s="90"/>
      <c r="L23" s="108"/>
    </row>
    <row r="24" spans="1:23" x14ac:dyDescent="0.2">
      <c r="A24" s="97">
        <f>'FERC Interest Rates'!A62</f>
        <v>42886</v>
      </c>
      <c r="B24" s="118">
        <v>-1.3639999999999999E-2</v>
      </c>
      <c r="C24" s="116">
        <f>'Therm Sales'!I47</f>
        <v>15973162</v>
      </c>
      <c r="D24" s="112"/>
      <c r="E24" s="104">
        <f t="shared" si="1"/>
        <v>-217873.93</v>
      </c>
      <c r="F24" s="104">
        <f t="shared" si="2"/>
        <v>3236.44</v>
      </c>
      <c r="G24" s="101"/>
      <c r="H24" s="113">
        <f t="shared" si="0"/>
        <v>812489.57731000008</v>
      </c>
      <c r="J24" s="90"/>
      <c r="L24" s="108"/>
    </row>
    <row r="25" spans="1:23" x14ac:dyDescent="0.2">
      <c r="A25" s="97">
        <f>'FERC Interest Rates'!A63</f>
        <v>42916</v>
      </c>
      <c r="B25" s="118">
        <v>-1.3639999999999999E-2</v>
      </c>
      <c r="C25" s="116">
        <f>'Therm Sales'!I48</f>
        <v>10444773</v>
      </c>
      <c r="D25" s="99"/>
      <c r="E25" s="104">
        <f t="shared" si="1"/>
        <v>-142466.70000000001</v>
      </c>
      <c r="F25" s="104">
        <f t="shared" si="2"/>
        <v>2477.54</v>
      </c>
      <c r="H25" s="113">
        <f t="shared" si="0"/>
        <v>672500.41731000005</v>
      </c>
      <c r="J25" s="90"/>
      <c r="L25" s="108"/>
    </row>
    <row r="26" spans="1:23" x14ac:dyDescent="0.2">
      <c r="A26" s="97">
        <f>'FERC Interest Rates'!A64</f>
        <v>42947</v>
      </c>
      <c r="B26" s="118">
        <v>-1.3639999999999999E-2</v>
      </c>
      <c r="C26" s="116">
        <f>'Therm Sales'!I49</f>
        <v>6810348</v>
      </c>
      <c r="D26" s="99"/>
      <c r="E26" s="111">
        <f>ROUND(C26*B26,2)-0.01</f>
        <v>-92893.159999999989</v>
      </c>
      <c r="F26" s="104">
        <f t="shared" si="2"/>
        <v>2261.81</v>
      </c>
      <c r="H26" s="113">
        <f t="shared" si="0"/>
        <v>581869.06731000007</v>
      </c>
      <c r="J26" s="90"/>
      <c r="L26" s="108"/>
    </row>
    <row r="27" spans="1:23" x14ac:dyDescent="0.2">
      <c r="A27" s="97">
        <f>'FERC Interest Rates'!A65</f>
        <v>42978</v>
      </c>
      <c r="B27" s="118">
        <v>-1.3639999999999999E-2</v>
      </c>
      <c r="C27" s="116">
        <f>'Therm Sales'!I50</f>
        <v>6787724</v>
      </c>
      <c r="D27" s="99"/>
      <c r="E27" s="111">
        <f>ROUND(C27*B27,2)+0.01</f>
        <v>-92584.55</v>
      </c>
      <c r="F27" s="104">
        <f t="shared" si="2"/>
        <v>1956.99</v>
      </c>
      <c r="H27" s="113">
        <f t="shared" si="0"/>
        <v>491241.50731000007</v>
      </c>
      <c r="J27" s="90"/>
      <c r="L27" s="108"/>
    </row>
    <row r="28" spans="1:23" x14ac:dyDescent="0.2">
      <c r="A28" s="97">
        <f>'FERC Interest Rates'!A66</f>
        <v>43008</v>
      </c>
      <c r="B28" s="118">
        <v>-1.3639999999999999E-2</v>
      </c>
      <c r="C28" s="116">
        <f>'Therm Sales'!I51</f>
        <v>6429137</v>
      </c>
      <c r="D28" s="99"/>
      <c r="E28" s="111">
        <f>ROUND(C28*B28,2)+0.01</f>
        <v>-87693.42</v>
      </c>
      <c r="F28" s="104">
        <f t="shared" si="2"/>
        <v>1598.89</v>
      </c>
      <c r="H28" s="113">
        <f t="shared" si="0"/>
        <v>405146.9773100001</v>
      </c>
      <c r="J28" s="90"/>
      <c r="L28" s="108"/>
      <c r="O28" s="19">
        <v>502</v>
      </c>
      <c r="P28" s="19">
        <v>503</v>
      </c>
      <c r="Q28" s="19">
        <v>504</v>
      </c>
      <c r="R28" s="19">
        <v>505</v>
      </c>
      <c r="S28" s="19">
        <v>511</v>
      </c>
      <c r="T28" s="19">
        <v>512</v>
      </c>
      <c r="U28" s="19">
        <v>570</v>
      </c>
      <c r="V28" s="19">
        <v>577</v>
      </c>
      <c r="W28" s="19" t="s">
        <v>11</v>
      </c>
    </row>
    <row r="29" spans="1:23" x14ac:dyDescent="0.2">
      <c r="A29" s="97">
        <f>'FERC Interest Rates'!A67</f>
        <v>43039</v>
      </c>
      <c r="B29" s="118">
        <v>-1.3639999999999999E-2</v>
      </c>
      <c r="C29" s="116">
        <f>'Therm Sales'!I52</f>
        <v>11413067</v>
      </c>
      <c r="D29" s="99"/>
      <c r="E29" s="111">
        <f>ROUND(C29*B29,2)-0.01</f>
        <v>-155674.24000000002</v>
      </c>
      <c r="F29" s="104">
        <f t="shared" si="2"/>
        <v>1448.65</v>
      </c>
      <c r="H29" s="113">
        <f t="shared" si="0"/>
        <v>250921.38731000008</v>
      </c>
      <c r="J29" s="90"/>
      <c r="L29" s="108"/>
      <c r="N29" s="1" t="s">
        <v>121</v>
      </c>
      <c r="O29" s="78">
        <v>21608</v>
      </c>
      <c r="P29" s="78">
        <v>6713843</v>
      </c>
      <c r="Q29" s="78">
        <v>4550202</v>
      </c>
      <c r="R29" s="78">
        <v>687511</v>
      </c>
      <c r="S29" s="78">
        <f>560996+175575</f>
        <v>736571</v>
      </c>
      <c r="T29" s="78">
        <v>2035</v>
      </c>
      <c r="U29" s="78">
        <v>0</v>
      </c>
      <c r="V29" s="78">
        <v>0</v>
      </c>
      <c r="W29" s="78">
        <f>SUM(O29:V29)</f>
        <v>12711770</v>
      </c>
    </row>
    <row r="30" spans="1:23" x14ac:dyDescent="0.2">
      <c r="A30" s="199" t="s">
        <v>141</v>
      </c>
      <c r="B30" s="199"/>
      <c r="C30" s="199"/>
      <c r="D30" s="199"/>
      <c r="E30" s="199"/>
      <c r="F30" s="199"/>
      <c r="G30" s="1">
        <v>2813642.63</v>
      </c>
      <c r="H30" s="113">
        <f t="shared" si="0"/>
        <v>3064564.01731</v>
      </c>
      <c r="J30" s="90"/>
      <c r="L30" s="108"/>
      <c r="N30" s="1" t="s">
        <v>123</v>
      </c>
      <c r="O30" s="78">
        <v>17127</v>
      </c>
      <c r="P30" s="78">
        <v>3745285</v>
      </c>
      <c r="Q30" s="78">
        <f>2334076+1372</f>
        <v>2335448</v>
      </c>
      <c r="R30" s="78">
        <f>372+298875</f>
        <v>299247</v>
      </c>
      <c r="S30" s="78">
        <f>373602+116927</f>
        <v>490529</v>
      </c>
      <c r="T30" s="78">
        <v>2035</v>
      </c>
      <c r="U30" s="78">
        <v>212628</v>
      </c>
      <c r="V30" s="78">
        <v>17027</v>
      </c>
      <c r="W30" s="78">
        <f>SUM(O30:V30)</f>
        <v>7119326</v>
      </c>
    </row>
    <row r="31" spans="1:23" x14ac:dyDescent="0.2">
      <c r="A31" s="97">
        <f>'FERC Interest Rates'!A68</f>
        <v>43069</v>
      </c>
      <c r="B31" s="118" t="s">
        <v>120</v>
      </c>
      <c r="C31" s="116">
        <f>'Therm Sales'!I53</f>
        <v>19831096</v>
      </c>
      <c r="D31" s="99"/>
      <c r="E31" s="119">
        <f>ROUND((7119326*-0.01305)+(12711770*-0.01364),2)-0.01</f>
        <v>-266295.76</v>
      </c>
      <c r="F31" s="104">
        <f>ROUND(H30*VLOOKUP(A31,FERCINT17,2)/365*VLOOKUP(A31,FERCINT17,3),2)</f>
        <v>10604.23</v>
      </c>
      <c r="H31" s="113">
        <f t="shared" si="0"/>
        <v>2808872.4873100002</v>
      </c>
      <c r="J31" s="90"/>
      <c r="L31" s="108"/>
      <c r="N31" s="1" t="s">
        <v>11</v>
      </c>
      <c r="O31" s="114">
        <f>SUM(O29:O30)</f>
        <v>38735</v>
      </c>
      <c r="P31" s="114">
        <f t="shared" ref="P31:V31" si="3">SUM(P29:P30)</f>
        <v>10459128</v>
      </c>
      <c r="Q31" s="114">
        <f t="shared" si="3"/>
        <v>6885650</v>
      </c>
      <c r="R31" s="114">
        <f t="shared" si="3"/>
        <v>986758</v>
      </c>
      <c r="S31" s="114">
        <f t="shared" si="3"/>
        <v>1227100</v>
      </c>
      <c r="T31" s="114">
        <f t="shared" si="3"/>
        <v>4070</v>
      </c>
      <c r="U31" s="114">
        <f t="shared" si="3"/>
        <v>212628</v>
      </c>
      <c r="V31" s="114">
        <f t="shared" si="3"/>
        <v>17027</v>
      </c>
      <c r="W31" s="114">
        <f>SUM(W29:W30)</f>
        <v>19831096</v>
      </c>
    </row>
    <row r="32" spans="1:23" x14ac:dyDescent="0.2">
      <c r="A32" s="97">
        <f>'FERC Interest Rates'!A69</f>
        <v>43100</v>
      </c>
      <c r="B32" s="118">
        <v>-1.3050000000000001E-2</v>
      </c>
      <c r="C32" s="116">
        <f>'Therm Sales'!I54</f>
        <v>29973671</v>
      </c>
      <c r="D32" s="99"/>
      <c r="E32" s="111">
        <f>ROUND(C32*B32,2)+0.01</f>
        <v>-391156.39999999997</v>
      </c>
      <c r="F32" s="104">
        <f>ROUND(H31*VLOOKUP(A32,FERCINT17,2)/365*VLOOKUP(A32,FERCINT17,3),2)</f>
        <v>10043.450000000001</v>
      </c>
      <c r="H32" s="113">
        <f t="shared" si="0"/>
        <v>2427759.5373100005</v>
      </c>
      <c r="J32" s="90"/>
      <c r="L32" s="108"/>
    </row>
    <row r="33" spans="1:24" x14ac:dyDescent="0.2">
      <c r="A33" s="97">
        <f>'FERC Interest Rates'!A70</f>
        <v>43131</v>
      </c>
      <c r="B33" s="118">
        <v>-1.3050000000000001E-2</v>
      </c>
      <c r="C33" s="116">
        <f>'Therm Sales'!I55+'Therm Sales'!Q55+'Therm Sales'!R55</f>
        <v>35051211</v>
      </c>
      <c r="D33" s="99"/>
      <c r="E33" s="104">
        <f t="shared" si="1"/>
        <v>-457418.3</v>
      </c>
      <c r="F33" s="104">
        <f>ROUND(H32*VLOOKUP(A33,FERCINT18,2)/365*VLOOKUP(A33,FERCINT18,3),2)</f>
        <v>8763.2099999999991</v>
      </c>
      <c r="H33" s="113">
        <f t="shared" si="0"/>
        <v>1979104.4473100007</v>
      </c>
      <c r="J33" s="90"/>
      <c r="L33" s="108"/>
    </row>
    <row r="34" spans="1:24" x14ac:dyDescent="0.2">
      <c r="A34" s="97">
        <f>'FERC Interest Rates'!A71</f>
        <v>43159</v>
      </c>
      <c r="B34" s="118">
        <v>-1.3050000000000001E-2</v>
      </c>
      <c r="C34" s="116">
        <f>'Therm Sales'!I56+'Therm Sales'!Q56+'Therm Sales'!R56</f>
        <v>33069193</v>
      </c>
      <c r="D34" s="99"/>
      <c r="E34" s="111">
        <f>ROUND(C34*B34,2)-0.02</f>
        <v>-431552.99</v>
      </c>
      <c r="F34" s="104">
        <f t="shared" ref="F34:F45" si="4">ROUND(H33*VLOOKUP(A34,FERCINT18,2)/365*VLOOKUP(A34,FERCINT18,3),2)</f>
        <v>6452.42</v>
      </c>
      <c r="H34" s="113">
        <f t="shared" si="0"/>
        <v>1554003.8773100006</v>
      </c>
      <c r="J34" s="90"/>
      <c r="L34" s="108"/>
    </row>
    <row r="35" spans="1:24" x14ac:dyDescent="0.2">
      <c r="A35" s="97">
        <f>'FERC Interest Rates'!A72</f>
        <v>43190</v>
      </c>
      <c r="B35" s="118">
        <v>-1.3050000000000001E-2</v>
      </c>
      <c r="C35" s="116">
        <f>'Therm Sales'!I57+'Therm Sales'!Q57+'Therm Sales'!R57</f>
        <v>26847264</v>
      </c>
      <c r="D35" s="99"/>
      <c r="E35" s="111">
        <f>ROUND(C35*B35,2)+0.01</f>
        <v>-350356.79</v>
      </c>
      <c r="F35" s="104">
        <f t="shared" si="4"/>
        <v>5609.32</v>
      </c>
      <c r="H35" s="113">
        <f t="shared" si="0"/>
        <v>1209256.4073100006</v>
      </c>
      <c r="J35" s="90"/>
      <c r="L35" s="108"/>
    </row>
    <row r="36" spans="1:24" x14ac:dyDescent="0.2">
      <c r="A36" s="97">
        <f>'FERC Interest Rates'!A73</f>
        <v>43220</v>
      </c>
      <c r="B36" s="118">
        <v>-1.3050000000000001E-2</v>
      </c>
      <c r="C36" s="116">
        <f>'Therm Sales'!I58+'Therm Sales'!Q58+'Therm Sales'!R58</f>
        <v>18420877</v>
      </c>
      <c r="D36" s="99"/>
      <c r="E36" s="104">
        <f t="shared" si="1"/>
        <v>-240392.44</v>
      </c>
      <c r="F36" s="104">
        <f t="shared" si="4"/>
        <v>4442.7700000000004</v>
      </c>
      <c r="H36" s="113">
        <f t="shared" si="0"/>
        <v>973306.73731000058</v>
      </c>
      <c r="J36" s="90"/>
      <c r="L36" s="108"/>
    </row>
    <row r="37" spans="1:24" x14ac:dyDescent="0.2">
      <c r="A37" s="97">
        <f>'FERC Interest Rates'!A74</f>
        <v>43251</v>
      </c>
      <c r="B37" s="118">
        <v>-1.3050000000000001E-2</v>
      </c>
      <c r="C37" s="116">
        <f>'Therm Sales'!I59+'Therm Sales'!Q59+'Therm Sales'!R59</f>
        <v>9123371</v>
      </c>
      <c r="D37" s="99"/>
      <c r="E37" s="111">
        <f>ROUND(C37*B37,2)+0.01</f>
        <v>-119059.98000000001</v>
      </c>
      <c r="F37" s="104">
        <f t="shared" si="4"/>
        <v>3695.1</v>
      </c>
      <c r="H37" s="113">
        <f t="shared" si="0"/>
        <v>857941.85731000057</v>
      </c>
      <c r="J37" s="90"/>
      <c r="L37" s="108"/>
      <c r="M37" s="184"/>
      <c r="N37" s="184"/>
      <c r="O37" s="184"/>
      <c r="P37" s="184"/>
      <c r="Q37" s="184"/>
      <c r="R37" s="184"/>
      <c r="S37" s="184"/>
      <c r="T37" s="184"/>
      <c r="U37" s="184"/>
      <c r="V37" s="184"/>
      <c r="W37" s="184"/>
      <c r="X37" s="184"/>
    </row>
    <row r="38" spans="1:24" x14ac:dyDescent="0.2">
      <c r="A38" s="97">
        <f>'FERC Interest Rates'!A75</f>
        <v>43281</v>
      </c>
      <c r="B38" s="118">
        <v>-1.3050000000000001E-2</v>
      </c>
      <c r="C38" s="116">
        <f>'Therm Sales'!I60+'Therm Sales'!Q60+'Therm Sales'!R60</f>
        <v>8475556</v>
      </c>
      <c r="D38" s="99"/>
      <c r="E38" s="111">
        <f>ROUND(C38*B38,2)-0.01</f>
        <v>-110606.01999999999</v>
      </c>
      <c r="F38" s="104">
        <f t="shared" si="4"/>
        <v>3152.05</v>
      </c>
      <c r="H38" s="113">
        <f t="shared" si="0"/>
        <v>750487.8873100006</v>
      </c>
      <c r="J38" s="90"/>
      <c r="L38" s="108"/>
      <c r="M38" s="184"/>
      <c r="N38" s="184"/>
      <c r="O38" s="184"/>
      <c r="P38" s="184"/>
      <c r="Q38" s="184"/>
      <c r="R38" s="184"/>
      <c r="S38" s="184"/>
      <c r="T38" s="184"/>
      <c r="U38" s="184"/>
      <c r="V38" s="184"/>
      <c r="W38" s="184"/>
      <c r="X38" s="184"/>
    </row>
    <row r="39" spans="1:24" x14ac:dyDescent="0.2">
      <c r="A39" s="97">
        <f>'FERC Interest Rates'!A76</f>
        <v>43312</v>
      </c>
      <c r="B39" s="118">
        <v>-1.3050000000000001E-2</v>
      </c>
      <c r="C39" s="116">
        <f>'Therm Sales'!I61+'Therm Sales'!Q61+'Therm Sales'!R61</f>
        <v>7002546</v>
      </c>
      <c r="D39" s="99"/>
      <c r="E39" s="111">
        <f>ROUND(C39*B39,2)+0.01+0.01</f>
        <v>-91383.21</v>
      </c>
      <c r="F39" s="104">
        <f t="shared" si="4"/>
        <v>2989.41</v>
      </c>
      <c r="H39" s="113">
        <f t="shared" si="0"/>
        <v>662094.08731000056</v>
      </c>
      <c r="J39" s="90"/>
      <c r="L39" s="108"/>
      <c r="M39" s="184"/>
      <c r="N39" s="184"/>
      <c r="O39" s="184"/>
      <c r="P39" s="184"/>
      <c r="Q39" s="184"/>
      <c r="R39" s="184"/>
      <c r="S39" s="184"/>
      <c r="T39" s="184"/>
      <c r="U39" s="184"/>
      <c r="V39" s="184"/>
      <c r="W39" s="184"/>
      <c r="X39" s="184"/>
    </row>
    <row r="40" spans="1:24" x14ac:dyDescent="0.2">
      <c r="A40" s="97">
        <f>'FERC Interest Rates'!A77</f>
        <v>43343</v>
      </c>
      <c r="B40" s="118">
        <v>-1.3050000000000001E-2</v>
      </c>
      <c r="C40" s="116">
        <f>'Therm Sales'!I62+'Therm Sales'!Q62+'Therm Sales'!R62</f>
        <v>4282904</v>
      </c>
      <c r="D40" s="99"/>
      <c r="E40" s="104">
        <f t="shared" si="1"/>
        <v>-55891.9</v>
      </c>
      <c r="F40" s="104">
        <f t="shared" si="4"/>
        <v>2637.31</v>
      </c>
      <c r="H40" s="113">
        <f t="shared" si="0"/>
        <v>608839.49731000059</v>
      </c>
      <c r="J40" s="90"/>
      <c r="L40" s="108"/>
      <c r="M40" s="184"/>
      <c r="N40" s="184"/>
      <c r="O40" s="184"/>
      <c r="P40" s="184"/>
      <c r="Q40" s="184"/>
      <c r="R40" s="184"/>
      <c r="S40" s="184"/>
      <c r="T40" s="184"/>
      <c r="U40" s="184"/>
      <c r="V40" s="184"/>
      <c r="W40" s="184"/>
      <c r="X40" s="184"/>
    </row>
    <row r="41" spans="1:24" x14ac:dyDescent="0.2">
      <c r="A41" s="97">
        <f>'FERC Interest Rates'!A78</f>
        <v>43373</v>
      </c>
      <c r="B41" s="118">
        <v>-1.3050000000000001E-2</v>
      </c>
      <c r="C41" s="116">
        <f>'Therm Sales'!I63+'Therm Sales'!Q63+'Therm Sales'!R63</f>
        <v>8899792</v>
      </c>
      <c r="D41" s="99"/>
      <c r="E41" s="104">
        <f t="shared" si="1"/>
        <v>-116142.29</v>
      </c>
      <c r="F41" s="104">
        <f t="shared" si="4"/>
        <v>2346.9499999999998</v>
      </c>
      <c r="H41" s="113">
        <f t="shared" si="0"/>
        <v>495044.15731000062</v>
      </c>
      <c r="J41" s="90"/>
      <c r="L41" s="108"/>
      <c r="M41" s="184"/>
      <c r="N41" s="184"/>
      <c r="O41" s="186">
        <v>502</v>
      </c>
      <c r="P41" s="186">
        <v>503</v>
      </c>
      <c r="Q41" s="186">
        <v>504</v>
      </c>
      <c r="R41" s="186">
        <v>505</v>
      </c>
      <c r="S41" s="186">
        <v>511</v>
      </c>
      <c r="T41" s="186">
        <v>512</v>
      </c>
      <c r="U41" s="186">
        <v>570</v>
      </c>
      <c r="V41" s="186">
        <v>577</v>
      </c>
      <c r="W41" s="186" t="s">
        <v>11</v>
      </c>
      <c r="X41" s="184"/>
    </row>
    <row r="42" spans="1:24" x14ac:dyDescent="0.2">
      <c r="A42" s="97">
        <f>'FERC Interest Rates'!A79</f>
        <v>43404</v>
      </c>
      <c r="B42" s="118">
        <v>-1.3050000000000001E-2</v>
      </c>
      <c r="C42" s="116">
        <f>'Therm Sales'!I64+'Therm Sales'!Q64+'Therm Sales'!R64</f>
        <v>16882992</v>
      </c>
      <c r="D42" s="99"/>
      <c r="E42" s="111">
        <f>ROUND(C42*B42,2)+0.01</f>
        <v>-220323.03999999998</v>
      </c>
      <c r="F42" s="104">
        <f t="shared" si="4"/>
        <v>2085.42</v>
      </c>
      <c r="H42" s="113">
        <f t="shared" si="0"/>
        <v>276806.53731000063</v>
      </c>
      <c r="J42" s="90"/>
      <c r="L42" s="108"/>
      <c r="M42" s="184"/>
      <c r="N42" s="188" t="s">
        <v>124</v>
      </c>
      <c r="O42" s="187">
        <v>0</v>
      </c>
      <c r="P42" s="187">
        <v>955454</v>
      </c>
      <c r="Q42" s="187">
        <v>-392656</v>
      </c>
      <c r="R42" s="187">
        <v>691277</v>
      </c>
      <c r="S42" s="187">
        <f>107458+459820</f>
        <v>567278</v>
      </c>
      <c r="T42" s="187">
        <v>0</v>
      </c>
      <c r="U42" s="187">
        <v>0</v>
      </c>
      <c r="V42" s="187">
        <v>0</v>
      </c>
      <c r="W42" s="187">
        <f>SUM(O42:V42)</f>
        <v>1821353</v>
      </c>
      <c r="X42" s="184"/>
    </row>
    <row r="43" spans="1:24" x14ac:dyDescent="0.2">
      <c r="A43" s="199" t="s">
        <v>141</v>
      </c>
      <c r="B43" s="199"/>
      <c r="C43" s="199"/>
      <c r="D43" s="199"/>
      <c r="E43" s="199"/>
      <c r="F43" s="199"/>
      <c r="G43" s="1">
        <v>5836279.6399999997</v>
      </c>
      <c r="H43" s="113">
        <f t="shared" ref="H43:H52" si="5">H42+SUM(D43:G43)</f>
        <v>6113086.1773100002</v>
      </c>
      <c r="J43" s="90"/>
      <c r="L43" s="108"/>
      <c r="M43" s="184"/>
      <c r="N43" s="188" t="s">
        <v>125</v>
      </c>
      <c r="O43" s="187">
        <v>0</v>
      </c>
      <c r="P43" s="187">
        <v>14539817</v>
      </c>
      <c r="Q43" s="187">
        <f>10738274+3464</f>
        <v>10741738</v>
      </c>
      <c r="R43" s="187">
        <f>298083+63</f>
        <v>298146</v>
      </c>
      <c r="S43" s="187">
        <f>77569+331925</f>
        <v>409494</v>
      </c>
      <c r="T43" s="187">
        <v>0</v>
      </c>
      <c r="U43" s="187">
        <v>217688</v>
      </c>
      <c r="V43" s="187">
        <v>0</v>
      </c>
      <c r="W43" s="187">
        <f>SUM(O43:V43)</f>
        <v>26206883</v>
      </c>
      <c r="X43" s="184"/>
    </row>
    <row r="44" spans="1:24" x14ac:dyDescent="0.2">
      <c r="A44" s="97">
        <f>'FERC Interest Rates'!A80</f>
        <v>43434</v>
      </c>
      <c r="B44" s="118" t="s">
        <v>120</v>
      </c>
      <c r="C44" s="116">
        <f>'Therm Sales'!I65+'Therm Sales'!Q65+'Therm Sales'!R65</f>
        <v>28028236</v>
      </c>
      <c r="D44" s="99"/>
      <c r="E44" s="103">
        <f>ROUND((W42*-0.01305)+(W43*-0.02634),2)</f>
        <v>-714057.95</v>
      </c>
      <c r="F44" s="104">
        <f t="shared" si="4"/>
        <v>24921.29</v>
      </c>
      <c r="H44" s="113">
        <f t="shared" si="5"/>
        <v>5423949.51731</v>
      </c>
      <c r="J44" s="90"/>
      <c r="L44" s="108"/>
      <c r="M44" s="184"/>
      <c r="N44" s="188" t="s">
        <v>11</v>
      </c>
      <c r="O44" s="187">
        <f>SUM(O42:O43)</f>
        <v>0</v>
      </c>
      <c r="P44" s="187">
        <f t="shared" ref="P44:V44" si="6">SUM(P42:P43)</f>
        <v>15495271</v>
      </c>
      <c r="Q44" s="187">
        <f t="shared" si="6"/>
        <v>10349082</v>
      </c>
      <c r="R44" s="187">
        <f t="shared" si="6"/>
        <v>989423</v>
      </c>
      <c r="S44" s="187">
        <f t="shared" si="6"/>
        <v>976772</v>
      </c>
      <c r="T44" s="187">
        <f t="shared" si="6"/>
        <v>0</v>
      </c>
      <c r="U44" s="187">
        <f t="shared" si="6"/>
        <v>217688</v>
      </c>
      <c r="V44" s="187">
        <f t="shared" si="6"/>
        <v>0</v>
      </c>
      <c r="W44" s="187">
        <f>SUM(W42:W43)</f>
        <v>28028236</v>
      </c>
      <c r="X44" s="184"/>
    </row>
    <row r="45" spans="1:24" x14ac:dyDescent="0.2">
      <c r="A45" s="97">
        <f>'FERC Interest Rates'!A81</f>
        <v>43465</v>
      </c>
      <c r="B45" s="118">
        <v>-2.6339999999999999E-2</v>
      </c>
      <c r="C45" s="116">
        <f>'Therm Sales'!I66+'Therm Sales'!Q66+'Therm Sales'!R66</f>
        <v>35902771</v>
      </c>
      <c r="D45" s="99"/>
      <c r="E45" s="90">
        <f>ROUND(C45*B45,2)</f>
        <v>-945678.99</v>
      </c>
      <c r="F45" s="104">
        <f t="shared" si="4"/>
        <v>22848.94</v>
      </c>
      <c r="H45" s="113">
        <f t="shared" si="5"/>
        <v>4501119.4673100002</v>
      </c>
      <c r="J45" s="90"/>
      <c r="L45" s="108"/>
      <c r="M45" s="184"/>
      <c r="N45" s="184"/>
      <c r="O45" s="184"/>
      <c r="P45" s="184"/>
      <c r="Q45" s="184"/>
      <c r="R45" s="184"/>
      <c r="S45" s="184"/>
      <c r="T45" s="184"/>
      <c r="U45" s="184"/>
      <c r="V45" s="184"/>
      <c r="W45" s="184"/>
      <c r="X45" s="184"/>
    </row>
    <row r="46" spans="1:24" x14ac:dyDescent="0.2">
      <c r="A46" s="97">
        <f>'FERC Interest Rates'!A82</f>
        <v>43496</v>
      </c>
      <c r="B46" s="118">
        <v>-2.6339999999999999E-2</v>
      </c>
      <c r="C46" s="116">
        <f>'Therm Sales'!I67+'Therm Sales'!Q67+'Therm Sales'!R67</f>
        <v>36009901</v>
      </c>
      <c r="D46" s="99"/>
      <c r="E46" s="111">
        <f>ROUND(C46*B46,2)+0.02</f>
        <v>-948500.77</v>
      </c>
      <c r="F46" s="104">
        <f t="shared" ref="F46:F52" si="7">ROUND(H45*VLOOKUP(A46,FERCINT19,2)/365*VLOOKUP(A46,FERCINT19,3),2)</f>
        <v>19802.46</v>
      </c>
      <c r="H46" s="113">
        <f t="shared" si="5"/>
        <v>3572421.1573100002</v>
      </c>
      <c r="J46" s="90"/>
      <c r="L46" s="108"/>
      <c r="M46" s="184"/>
      <c r="N46" s="184"/>
      <c r="O46" s="184"/>
      <c r="P46" s="184"/>
      <c r="Q46" s="184"/>
      <c r="R46" s="184"/>
      <c r="S46" s="184"/>
      <c r="T46" s="184"/>
      <c r="U46" s="184"/>
      <c r="V46" s="184"/>
      <c r="W46" s="184"/>
      <c r="X46" s="184"/>
    </row>
    <row r="47" spans="1:24" x14ac:dyDescent="0.2">
      <c r="A47" s="97">
        <f>'FERC Interest Rates'!A83</f>
        <v>43524</v>
      </c>
      <c r="B47" s="118">
        <v>-2.6339999999999999E-2</v>
      </c>
      <c r="C47" s="116">
        <f>'Therm Sales'!I68+'Therm Sales'!Q68+'Therm Sales'!R68</f>
        <v>44489208</v>
      </c>
      <c r="D47" s="99"/>
      <c r="E47" s="90">
        <f t="shared" ref="E47:E52" si="8">ROUND(C47*B47,2)</f>
        <v>-1171845.74</v>
      </c>
      <c r="F47" s="104">
        <f t="shared" si="7"/>
        <v>14195.73</v>
      </c>
      <c r="H47" s="113">
        <f t="shared" si="5"/>
        <v>2414771.1473099999</v>
      </c>
      <c r="J47" s="90"/>
      <c r="L47" s="108"/>
      <c r="M47" s="184"/>
      <c r="N47" s="184"/>
      <c r="O47" s="184"/>
      <c r="P47" s="184"/>
      <c r="Q47" s="184"/>
      <c r="R47" s="184"/>
      <c r="S47" s="184"/>
      <c r="T47" s="184"/>
      <c r="U47" s="184"/>
      <c r="V47" s="184"/>
      <c r="W47" s="184"/>
      <c r="X47" s="184"/>
    </row>
    <row r="48" spans="1:24" x14ac:dyDescent="0.2">
      <c r="A48" s="97">
        <f>'FERC Interest Rates'!A84</f>
        <v>43555</v>
      </c>
      <c r="B48" s="118">
        <v>-2.6339999999999999E-2</v>
      </c>
      <c r="C48" s="116">
        <f>'Therm Sales'!I69+'Therm Sales'!Q69+'Therm Sales'!R69</f>
        <v>32248157</v>
      </c>
      <c r="D48" s="99"/>
      <c r="E48" s="90">
        <f t="shared" si="8"/>
        <v>-849416.46</v>
      </c>
      <c r="F48" s="104">
        <f t="shared" si="7"/>
        <v>10623.67</v>
      </c>
      <c r="H48" s="113">
        <f t="shared" si="5"/>
        <v>1575978.3573099999</v>
      </c>
      <c r="J48" s="90"/>
      <c r="L48" s="108"/>
    </row>
    <row r="49" spans="1:12" x14ac:dyDescent="0.2">
      <c r="A49" s="97">
        <f>'FERC Interest Rates'!A85</f>
        <v>43585</v>
      </c>
      <c r="B49" s="118">
        <v>-2.6339999999999999E-2</v>
      </c>
      <c r="C49" s="116">
        <f>'Therm Sales'!I70+'Therm Sales'!Q70+'Therm Sales'!R70</f>
        <v>15035211</v>
      </c>
      <c r="D49" s="99"/>
      <c r="E49" s="111">
        <f>ROUND(C49*B49,2)+0.01</f>
        <v>-396027.45</v>
      </c>
      <c r="F49" s="104">
        <f t="shared" si="7"/>
        <v>7059.52</v>
      </c>
      <c r="H49" s="113">
        <f t="shared" si="5"/>
        <v>1187010.4273099999</v>
      </c>
      <c r="J49" s="90"/>
      <c r="L49" s="108"/>
    </row>
    <row r="50" spans="1:12" x14ac:dyDescent="0.2">
      <c r="A50" s="97">
        <f>'FERC Interest Rates'!A86</f>
        <v>43616</v>
      </c>
      <c r="B50" s="118">
        <v>-2.6339999999999999E-2</v>
      </c>
      <c r="C50" s="116">
        <f>'Therm Sales'!I71+'Therm Sales'!Q71+'Therm Sales'!R71</f>
        <v>10264483</v>
      </c>
      <c r="D50" s="99"/>
      <c r="E50" s="90">
        <f t="shared" si="8"/>
        <v>-270366.48</v>
      </c>
      <c r="F50" s="104">
        <f t="shared" si="7"/>
        <v>5494.39</v>
      </c>
      <c r="H50" s="113">
        <f t="shared" si="5"/>
        <v>922138.33730999997</v>
      </c>
      <c r="J50" s="90"/>
      <c r="L50" s="108"/>
    </row>
    <row r="51" spans="1:12" x14ac:dyDescent="0.2">
      <c r="A51" s="97">
        <f>'FERC Interest Rates'!A87</f>
        <v>43646</v>
      </c>
      <c r="B51" s="118">
        <v>-2.6339999999999999E-2</v>
      </c>
      <c r="C51" s="116">
        <f>'Therm Sales'!I72+'Therm Sales'!Q72+'Therm Sales'!R72</f>
        <v>7217178</v>
      </c>
      <c r="D51" s="99"/>
      <c r="E51" s="90">
        <f t="shared" si="8"/>
        <v>-190100.47</v>
      </c>
      <c r="F51" s="104">
        <f t="shared" si="7"/>
        <v>4130.67</v>
      </c>
      <c r="H51" s="113">
        <f t="shared" si="5"/>
        <v>736168.53731000004</v>
      </c>
      <c r="J51" s="90"/>
      <c r="L51" s="108"/>
    </row>
    <row r="52" spans="1:12" x14ac:dyDescent="0.2">
      <c r="A52" s="97">
        <f>'FERC Interest Rates'!A88</f>
        <v>43677</v>
      </c>
      <c r="B52" s="118">
        <v>-2.6339999999999999E-2</v>
      </c>
      <c r="C52" s="116">
        <f>'Therm Sales'!I73+'Therm Sales'!Q73+'Therm Sales'!R73</f>
        <v>7606624</v>
      </c>
      <c r="D52" s="99"/>
      <c r="E52" s="90">
        <f t="shared" si="8"/>
        <v>-200358.48</v>
      </c>
      <c r="F52" s="104">
        <f t="shared" si="7"/>
        <v>3438.81</v>
      </c>
      <c r="H52" s="113">
        <f t="shared" si="5"/>
        <v>539248.86731</v>
      </c>
      <c r="J52" s="90"/>
      <c r="L52" s="108"/>
    </row>
    <row r="53" spans="1:12" x14ac:dyDescent="0.2">
      <c r="A53" s="97"/>
      <c r="B53" s="118"/>
      <c r="C53" s="116"/>
      <c r="D53" s="99"/>
      <c r="E53" s="90"/>
      <c r="F53" s="104"/>
      <c r="H53" s="113"/>
      <c r="J53" s="90"/>
      <c r="L53" s="108"/>
    </row>
    <row r="54" spans="1:12" x14ac:dyDescent="0.2">
      <c r="A54" s="97"/>
      <c r="B54" s="118"/>
      <c r="C54" s="116"/>
      <c r="D54" s="99"/>
      <c r="E54" s="90"/>
      <c r="F54" s="104"/>
      <c r="H54" s="113"/>
      <c r="J54" s="90"/>
      <c r="L54" s="108"/>
    </row>
    <row r="55" spans="1:12" x14ac:dyDescent="0.2">
      <c r="A55" s="97"/>
      <c r="B55" s="118"/>
      <c r="C55" s="116"/>
      <c r="D55" s="99"/>
      <c r="E55" s="90"/>
      <c r="F55" s="104"/>
      <c r="H55" s="113"/>
      <c r="J55" s="90"/>
      <c r="L55" s="108"/>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43:F43"/>
    <mergeCell ref="A7:B7"/>
    <mergeCell ref="C7:H7"/>
    <mergeCell ref="D9:F9"/>
    <mergeCell ref="A12:F12"/>
    <mergeCell ref="A13:F13"/>
    <mergeCell ref="A14:F14"/>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7E7BB-E0CD-4609-BE0F-436FEB705C1E}">
  <sheetPr>
    <pageSetUpPr fitToPage="1"/>
  </sheetPr>
  <dimension ref="A1:L28"/>
  <sheetViews>
    <sheetView view="pageBreakPreview" zoomScaleNormal="100" zoomScaleSheetLayoutView="100" workbookViewId="0">
      <selection activeCell="G86" activeCellId="1" sqref="D86 G8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7" bestFit="1" customWidth="1"/>
    <col min="12" max="12" width="10.33203125" style="1" bestFit="1" customWidth="1"/>
    <col min="13" max="16384" width="8.88671875" style="1"/>
  </cols>
  <sheetData>
    <row r="1" spans="1:12" x14ac:dyDescent="0.2">
      <c r="A1" s="221" t="s">
        <v>58</v>
      </c>
      <c r="B1" s="222"/>
      <c r="C1" s="248" t="s">
        <v>59</v>
      </c>
      <c r="D1" s="248"/>
      <c r="E1" s="248"/>
      <c r="F1" s="248"/>
      <c r="G1" s="248"/>
      <c r="H1" s="249"/>
      <c r="I1" s="120"/>
    </row>
    <row r="2" spans="1:12" x14ac:dyDescent="0.2">
      <c r="A2" s="219" t="s">
        <v>60</v>
      </c>
      <c r="B2" s="208"/>
      <c r="C2" s="246" t="s">
        <v>142</v>
      </c>
      <c r="D2" s="246"/>
      <c r="E2" s="246"/>
      <c r="F2" s="246"/>
      <c r="G2" s="246"/>
      <c r="H2" s="247"/>
      <c r="I2" s="120"/>
    </row>
    <row r="3" spans="1:12" x14ac:dyDescent="0.2">
      <c r="A3" s="219" t="s">
        <v>62</v>
      </c>
      <c r="B3" s="208"/>
      <c r="C3" s="246" t="s">
        <v>8</v>
      </c>
      <c r="D3" s="246"/>
      <c r="E3" s="246"/>
      <c r="F3" s="246"/>
      <c r="G3" s="246"/>
      <c r="H3" s="247"/>
      <c r="I3" s="120"/>
    </row>
    <row r="4" spans="1:12" x14ac:dyDescent="0.2">
      <c r="A4" s="219" t="s">
        <v>63</v>
      </c>
      <c r="B4" s="208"/>
      <c r="C4" s="246"/>
      <c r="D4" s="246"/>
      <c r="E4" s="246"/>
      <c r="F4" s="246"/>
      <c r="G4" s="246"/>
      <c r="H4" s="247"/>
      <c r="I4" s="120"/>
    </row>
    <row r="5" spans="1:12" x14ac:dyDescent="0.2">
      <c r="A5" s="219" t="s">
        <v>65</v>
      </c>
      <c r="B5" s="208"/>
      <c r="C5" s="246" t="s">
        <v>143</v>
      </c>
      <c r="D5" s="246"/>
      <c r="E5" s="246"/>
      <c r="F5" s="246"/>
      <c r="G5" s="246"/>
      <c r="H5" s="247"/>
      <c r="I5" s="120"/>
    </row>
    <row r="6" spans="1:12" x14ac:dyDescent="0.2">
      <c r="A6" s="219" t="s">
        <v>67</v>
      </c>
      <c r="B6" s="208"/>
      <c r="C6" s="246" t="s">
        <v>144</v>
      </c>
      <c r="D6" s="246"/>
      <c r="E6" s="246"/>
      <c r="F6" s="246"/>
      <c r="G6" s="246"/>
      <c r="H6" s="247"/>
      <c r="I6" s="120"/>
    </row>
    <row r="7" spans="1:12" ht="26.45" customHeight="1" thickBot="1" x14ac:dyDescent="0.25">
      <c r="A7" s="215" t="s">
        <v>68</v>
      </c>
      <c r="B7" s="216"/>
      <c r="C7" s="243" t="s">
        <v>145</v>
      </c>
      <c r="D7" s="243"/>
      <c r="E7" s="243"/>
      <c r="F7" s="243"/>
      <c r="G7" s="243"/>
      <c r="H7" s="244"/>
      <c r="I7" s="121"/>
    </row>
    <row r="8" spans="1:12" x14ac:dyDescent="0.2">
      <c r="A8" s="95"/>
      <c r="B8" s="95"/>
      <c r="C8" s="96"/>
      <c r="D8" s="96"/>
      <c r="E8" s="96"/>
      <c r="F8" s="96"/>
      <c r="G8" s="96"/>
      <c r="H8" s="96"/>
      <c r="J8" s="91"/>
    </row>
    <row r="9" spans="1:12" x14ac:dyDescent="0.2">
      <c r="A9" s="6"/>
      <c r="D9" s="205" t="s">
        <v>71</v>
      </c>
      <c r="E9" s="205"/>
      <c r="F9" s="205"/>
    </row>
    <row r="10" spans="1:12" s="26" customFormat="1" x14ac:dyDescent="0.2">
      <c r="A10" s="9" t="s">
        <v>23</v>
      </c>
      <c r="B10" s="9" t="s">
        <v>73</v>
      </c>
      <c r="C10" s="9" t="s">
        <v>50</v>
      </c>
      <c r="D10" s="9" t="s">
        <v>74</v>
      </c>
      <c r="E10" s="9" t="s">
        <v>75</v>
      </c>
      <c r="F10" s="9" t="s">
        <v>76</v>
      </c>
      <c r="G10" s="9" t="s">
        <v>77</v>
      </c>
      <c r="H10" s="9" t="s">
        <v>78</v>
      </c>
      <c r="I10" s="2"/>
      <c r="J10" s="2"/>
      <c r="K10" s="2"/>
      <c r="L10" s="2"/>
    </row>
    <row r="11" spans="1:12" x14ac:dyDescent="0.2">
      <c r="A11" s="122"/>
      <c r="B11" s="122"/>
      <c r="C11" s="122"/>
      <c r="D11" s="122"/>
      <c r="E11" s="122"/>
      <c r="F11" s="122"/>
      <c r="G11" s="122"/>
      <c r="H11" s="123"/>
      <c r="I11" s="121"/>
    </row>
    <row r="12" spans="1:12" x14ac:dyDescent="0.2">
      <c r="A12" s="245" t="s">
        <v>146</v>
      </c>
      <c r="B12" s="245"/>
      <c r="C12" s="245"/>
      <c r="D12" s="245"/>
      <c r="E12" s="245"/>
      <c r="F12" s="245"/>
      <c r="G12" s="123">
        <v>5423017.3499999996</v>
      </c>
      <c r="H12" s="123"/>
      <c r="I12" s="104"/>
      <c r="J12" s="90"/>
    </row>
    <row r="13" spans="1:12" x14ac:dyDescent="0.2">
      <c r="A13" s="245"/>
      <c r="B13" s="245"/>
      <c r="C13" s="245"/>
      <c r="D13" s="245"/>
      <c r="E13" s="245"/>
      <c r="F13" s="245"/>
      <c r="G13" s="123"/>
      <c r="H13" s="123">
        <f>SUM(G12:G12)</f>
        <v>5423017.3499999996</v>
      </c>
      <c r="I13" s="121"/>
    </row>
    <row r="14" spans="1:12" x14ac:dyDescent="0.2">
      <c r="A14" s="124">
        <f>+'FERC Interest Rates'!A77</f>
        <v>43343</v>
      </c>
      <c r="B14" s="125" t="s">
        <v>147</v>
      </c>
      <c r="C14" s="126"/>
      <c r="D14" s="127"/>
      <c r="E14" s="123">
        <f t="shared" ref="E14:E16" si="0">ROUND(-+$G$12/120,2)</f>
        <v>-45191.81</v>
      </c>
      <c r="F14" s="123"/>
      <c r="G14" s="123"/>
      <c r="H14" s="123">
        <f>H13+SUM(E14:G14)</f>
        <v>5377825.54</v>
      </c>
      <c r="I14" s="104"/>
      <c r="L14" s="108"/>
    </row>
    <row r="15" spans="1:12" x14ac:dyDescent="0.2">
      <c r="A15" s="124">
        <f>+'FERC Interest Rates'!A78</f>
        <v>43373</v>
      </c>
      <c r="B15" s="125" t="s">
        <v>147</v>
      </c>
      <c r="C15" s="126"/>
      <c r="D15" s="127"/>
      <c r="E15" s="90">
        <f t="shared" si="0"/>
        <v>-45191.81</v>
      </c>
      <c r="F15" s="123"/>
      <c r="G15" s="123"/>
      <c r="H15" s="123">
        <f>H14+SUM(D15:G15)</f>
        <v>5332633.7300000004</v>
      </c>
      <c r="I15" s="104"/>
      <c r="J15" s="90"/>
      <c r="L15" s="108"/>
    </row>
    <row r="16" spans="1:12" x14ac:dyDescent="0.2">
      <c r="A16" s="124">
        <f>+'FERC Interest Rates'!A79</f>
        <v>43404</v>
      </c>
      <c r="B16" s="125" t="s">
        <v>147</v>
      </c>
      <c r="C16" s="126"/>
      <c r="D16" s="128"/>
      <c r="E16" s="90">
        <f t="shared" si="0"/>
        <v>-45191.81</v>
      </c>
      <c r="F16" s="123"/>
      <c r="G16" s="121"/>
      <c r="H16" s="129">
        <f>H15+SUM(D16:G16)</f>
        <v>5287441.9200000009</v>
      </c>
      <c r="I16" s="104"/>
      <c r="J16" s="90"/>
      <c r="L16" s="108"/>
    </row>
    <row r="17" spans="1:12" x14ac:dyDescent="0.2">
      <c r="A17" s="124">
        <f>+'FERC Interest Rates'!A80</f>
        <v>43434</v>
      </c>
      <c r="B17" s="125" t="s">
        <v>147</v>
      </c>
      <c r="C17" s="126"/>
      <c r="D17" s="128"/>
      <c r="E17" s="90">
        <f>ROUND(-+$G$12/120,2)</f>
        <v>-45191.81</v>
      </c>
      <c r="F17" s="123"/>
      <c r="G17" s="121"/>
      <c r="H17" s="129">
        <f t="shared" ref="H17:H25" si="1">H16+SUM(D17:G17)</f>
        <v>5242250.1100000013</v>
      </c>
      <c r="J17" s="90"/>
      <c r="L17" s="108"/>
    </row>
    <row r="18" spans="1:12" x14ac:dyDescent="0.2">
      <c r="A18" s="124">
        <f>+'FERC Interest Rates'!A81</f>
        <v>43465</v>
      </c>
      <c r="B18" s="125" t="s">
        <v>147</v>
      </c>
      <c r="C18" s="126"/>
      <c r="D18" s="128"/>
      <c r="E18" s="90">
        <f t="shared" ref="E18:E25" si="2">ROUND(-+$G$12/120,2)</f>
        <v>-45191.81</v>
      </c>
      <c r="F18" s="123"/>
      <c r="G18" s="121"/>
      <c r="H18" s="129">
        <f t="shared" si="1"/>
        <v>5197058.3000000017</v>
      </c>
      <c r="J18" s="90"/>
      <c r="L18" s="108"/>
    </row>
    <row r="19" spans="1:12" x14ac:dyDescent="0.2">
      <c r="A19" s="124">
        <f>+'FERC Interest Rates'!A82</f>
        <v>43496</v>
      </c>
      <c r="B19" s="125" t="s">
        <v>147</v>
      </c>
      <c r="C19" s="126"/>
      <c r="D19" s="128"/>
      <c r="E19" s="90">
        <f t="shared" si="2"/>
        <v>-45191.81</v>
      </c>
      <c r="F19" s="123"/>
      <c r="G19" s="121"/>
      <c r="H19" s="129">
        <f t="shared" si="1"/>
        <v>5151866.4900000021</v>
      </c>
      <c r="J19" s="90"/>
      <c r="L19" s="108"/>
    </row>
    <row r="20" spans="1:12" x14ac:dyDescent="0.2">
      <c r="A20" s="124">
        <f>+'FERC Interest Rates'!A83</f>
        <v>43524</v>
      </c>
      <c r="B20" s="125" t="s">
        <v>147</v>
      </c>
      <c r="C20" s="126"/>
      <c r="D20" s="128"/>
      <c r="E20" s="90">
        <f t="shared" si="2"/>
        <v>-45191.81</v>
      </c>
      <c r="F20" s="123"/>
      <c r="G20" s="121"/>
      <c r="H20" s="129">
        <f t="shared" si="1"/>
        <v>5106674.6800000025</v>
      </c>
      <c r="J20" s="90"/>
      <c r="L20" s="108"/>
    </row>
    <row r="21" spans="1:12" x14ac:dyDescent="0.2">
      <c r="A21" s="124">
        <f>+'FERC Interest Rates'!A84</f>
        <v>43555</v>
      </c>
      <c r="B21" s="125" t="s">
        <v>147</v>
      </c>
      <c r="C21" s="126"/>
      <c r="D21" s="128"/>
      <c r="E21" s="90">
        <f t="shared" si="2"/>
        <v>-45191.81</v>
      </c>
      <c r="F21" s="123"/>
      <c r="G21" s="121"/>
      <c r="H21" s="129">
        <f t="shared" si="1"/>
        <v>5061482.8700000029</v>
      </c>
      <c r="J21" s="90"/>
      <c r="L21" s="108"/>
    </row>
    <row r="22" spans="1:12" x14ac:dyDescent="0.2">
      <c r="A22" s="124">
        <f>+'FERC Interest Rates'!A85</f>
        <v>43585</v>
      </c>
      <c r="B22" s="125" t="s">
        <v>147</v>
      </c>
      <c r="C22" s="126"/>
      <c r="D22" s="128"/>
      <c r="E22" s="90">
        <f t="shared" si="2"/>
        <v>-45191.81</v>
      </c>
      <c r="F22" s="123"/>
      <c r="G22" s="121"/>
      <c r="H22" s="129">
        <f t="shared" si="1"/>
        <v>5016291.0600000033</v>
      </c>
      <c r="J22" s="90"/>
      <c r="L22" s="108"/>
    </row>
    <row r="23" spans="1:12" x14ac:dyDescent="0.2">
      <c r="A23" s="124">
        <f>+'FERC Interest Rates'!A86</f>
        <v>43616</v>
      </c>
      <c r="B23" s="125" t="s">
        <v>147</v>
      </c>
      <c r="C23" s="126"/>
      <c r="D23" s="128"/>
      <c r="E23" s="90">
        <f t="shared" si="2"/>
        <v>-45191.81</v>
      </c>
      <c r="F23" s="123"/>
      <c r="G23" s="121"/>
      <c r="H23" s="129">
        <f t="shared" si="1"/>
        <v>4971099.2500000037</v>
      </c>
      <c r="J23" s="90"/>
      <c r="L23" s="108"/>
    </row>
    <row r="24" spans="1:12" x14ac:dyDescent="0.2">
      <c r="A24" s="124">
        <f>+'FERC Interest Rates'!A87</f>
        <v>43646</v>
      </c>
      <c r="B24" s="125" t="s">
        <v>147</v>
      </c>
      <c r="C24" s="126"/>
      <c r="D24" s="128"/>
      <c r="E24" s="90">
        <f t="shared" si="2"/>
        <v>-45191.81</v>
      </c>
      <c r="F24" s="123"/>
      <c r="G24" s="121"/>
      <c r="H24" s="129">
        <f t="shared" si="1"/>
        <v>4925907.4400000041</v>
      </c>
      <c r="J24" s="90"/>
      <c r="L24" s="108"/>
    </row>
    <row r="25" spans="1:12" x14ac:dyDescent="0.2">
      <c r="A25" s="124">
        <f>+'FERC Interest Rates'!A88</f>
        <v>43677</v>
      </c>
      <c r="B25" s="125" t="s">
        <v>147</v>
      </c>
      <c r="C25" s="126"/>
      <c r="D25" s="128"/>
      <c r="E25" s="90">
        <f t="shared" si="2"/>
        <v>-45191.81</v>
      </c>
      <c r="F25" s="123"/>
      <c r="G25" s="121"/>
      <c r="H25" s="129">
        <f t="shared" si="1"/>
        <v>4880715.6300000045</v>
      </c>
      <c r="J25" s="90"/>
      <c r="L25" s="108"/>
    </row>
    <row r="26" spans="1:12" x14ac:dyDescent="0.2">
      <c r="A26" s="124"/>
      <c r="B26" s="125"/>
      <c r="C26" s="126"/>
      <c r="D26" s="128"/>
      <c r="E26" s="90"/>
      <c r="F26" s="123"/>
      <c r="G26" s="121"/>
      <c r="H26" s="129"/>
      <c r="J26" s="90"/>
      <c r="L26" s="108"/>
    </row>
    <row r="27" spans="1:12" x14ac:dyDescent="0.2">
      <c r="A27" s="124"/>
      <c r="B27" s="125"/>
      <c r="C27" s="126"/>
      <c r="D27" s="128"/>
      <c r="E27" s="90"/>
      <c r="F27" s="123"/>
      <c r="G27" s="121"/>
      <c r="H27" s="129"/>
      <c r="J27" s="90"/>
      <c r="L27" s="108"/>
    </row>
    <row r="28" spans="1:12" x14ac:dyDescent="0.2">
      <c r="A28" s="124"/>
      <c r="B28" s="125"/>
      <c r="C28" s="126"/>
      <c r="D28" s="128"/>
      <c r="E28" s="90"/>
      <c r="F28" s="123"/>
      <c r="G28" s="121"/>
      <c r="H28" s="129"/>
      <c r="J28" s="90"/>
      <c r="L28" s="108"/>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9295-3CB7-4F40-989C-DE8DB7B61A45}">
  <sheetPr transitionEvaluation="1" transitionEntry="1"/>
  <dimension ref="A1:E93"/>
  <sheetViews>
    <sheetView showGridLines="0" view="pageBreakPreview" zoomScale="70" zoomScaleNormal="60" zoomScaleSheetLayoutView="70" workbookViewId="0">
      <selection activeCell="G86" activeCellId="1" sqref="D86 G86"/>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17</v>
      </c>
      <c r="B1" s="4"/>
      <c r="C1" s="4"/>
      <c r="D1" s="4"/>
    </row>
    <row r="2" spans="1:5" s="5" customFormat="1" ht="15.75" x14ac:dyDescent="0.25">
      <c r="A2" s="4" t="s">
        <v>18</v>
      </c>
      <c r="B2" s="4"/>
      <c r="C2" s="4"/>
      <c r="D2" s="4"/>
    </row>
    <row r="3" spans="1:5" s="5" customFormat="1" ht="15.75" x14ac:dyDescent="0.25">
      <c r="A3" s="4" t="s">
        <v>19</v>
      </c>
      <c r="B3" s="4"/>
      <c r="C3" s="4"/>
      <c r="D3" s="4"/>
    </row>
    <row r="4" spans="1:5" x14ac:dyDescent="0.2">
      <c r="A4" s="6"/>
      <c r="B4" s="6"/>
      <c r="C4" s="6"/>
      <c r="D4" s="6"/>
    </row>
    <row r="5" spans="1:5" ht="15.75" customHeight="1" x14ac:dyDescent="0.2">
      <c r="A5" s="6" t="s">
        <v>20</v>
      </c>
      <c r="B5" s="6"/>
      <c r="C5" s="6"/>
      <c r="D5" s="6"/>
    </row>
    <row r="6" spans="1:5" ht="15.75" customHeight="1" x14ac:dyDescent="0.2">
      <c r="A6" s="6" t="s">
        <v>21</v>
      </c>
      <c r="B6" s="6"/>
      <c r="C6" s="6"/>
      <c r="D6" s="6"/>
    </row>
    <row r="7" spans="1:5" ht="15.75" customHeight="1" x14ac:dyDescent="0.2">
      <c r="A7" s="7" t="s">
        <v>22</v>
      </c>
      <c r="B7" s="8"/>
      <c r="C7" s="8"/>
      <c r="D7" s="8"/>
    </row>
    <row r="8" spans="1:5" x14ac:dyDescent="0.2">
      <c r="A8" s="6"/>
      <c r="B8" s="6"/>
      <c r="C8" s="6"/>
      <c r="D8" s="6"/>
    </row>
    <row r="9" spans="1:5" x14ac:dyDescent="0.2">
      <c r="A9" s="9" t="s">
        <v>23</v>
      </c>
      <c r="B9" s="9" t="s">
        <v>24</v>
      </c>
      <c r="C9" s="9" t="s">
        <v>25</v>
      </c>
      <c r="D9" s="9"/>
      <c r="E9" s="10"/>
    </row>
    <row r="10" spans="1:5" x14ac:dyDescent="0.2">
      <c r="A10" s="11">
        <v>41305</v>
      </c>
      <c r="B10" s="12">
        <v>3.2500000000000001E-2</v>
      </c>
      <c r="C10" s="13">
        <v>31</v>
      </c>
      <c r="D10" s="250" t="s">
        <v>26</v>
      </c>
    </row>
    <row r="11" spans="1:5" x14ac:dyDescent="0.2">
      <c r="A11" s="14">
        <v>41333</v>
      </c>
      <c r="B11" s="15">
        <f>B10</f>
        <v>3.2500000000000001E-2</v>
      </c>
      <c r="C11" s="16">
        <v>28</v>
      </c>
      <c r="D11" s="251"/>
    </row>
    <row r="12" spans="1:5" x14ac:dyDescent="0.2">
      <c r="A12" s="14">
        <v>41364</v>
      </c>
      <c r="B12" s="15">
        <f>B11</f>
        <v>3.2500000000000001E-2</v>
      </c>
      <c r="C12" s="16">
        <v>31</v>
      </c>
      <c r="D12" s="251"/>
    </row>
    <row r="13" spans="1:5" x14ac:dyDescent="0.2">
      <c r="A13" s="14">
        <v>41394</v>
      </c>
      <c r="B13" s="15">
        <f t="shared" ref="B13:B33" si="0">B12</f>
        <v>3.2500000000000001E-2</v>
      </c>
      <c r="C13" s="16">
        <v>30</v>
      </c>
      <c r="D13" s="251"/>
    </row>
    <row r="14" spans="1:5" x14ac:dyDescent="0.2">
      <c r="A14" s="14">
        <v>41425</v>
      </c>
      <c r="B14" s="15">
        <f t="shared" si="0"/>
        <v>3.2500000000000001E-2</v>
      </c>
      <c r="C14" s="16">
        <v>31</v>
      </c>
      <c r="D14" s="251"/>
    </row>
    <row r="15" spans="1:5" x14ac:dyDescent="0.2">
      <c r="A15" s="14">
        <v>41455</v>
      </c>
      <c r="B15" s="15">
        <f t="shared" si="0"/>
        <v>3.2500000000000001E-2</v>
      </c>
      <c r="C15" s="16">
        <v>30</v>
      </c>
      <c r="D15" s="251"/>
    </row>
    <row r="16" spans="1:5" x14ac:dyDescent="0.2">
      <c r="A16" s="14">
        <v>41486</v>
      </c>
      <c r="B16" s="15">
        <f t="shared" si="0"/>
        <v>3.2500000000000001E-2</v>
      </c>
      <c r="C16" s="16">
        <v>31</v>
      </c>
      <c r="D16" s="251"/>
    </row>
    <row r="17" spans="1:4" x14ac:dyDescent="0.2">
      <c r="A17" s="14">
        <v>41517</v>
      </c>
      <c r="B17" s="15">
        <f t="shared" si="0"/>
        <v>3.2500000000000001E-2</v>
      </c>
      <c r="C17" s="16">
        <v>31</v>
      </c>
      <c r="D17" s="251"/>
    </row>
    <row r="18" spans="1:4" x14ac:dyDescent="0.2">
      <c r="A18" s="14">
        <v>41547</v>
      </c>
      <c r="B18" s="15">
        <f t="shared" si="0"/>
        <v>3.2500000000000001E-2</v>
      </c>
      <c r="C18" s="16">
        <v>30</v>
      </c>
      <c r="D18" s="251"/>
    </row>
    <row r="19" spans="1:4" x14ac:dyDescent="0.2">
      <c r="A19" s="14">
        <v>41578</v>
      </c>
      <c r="B19" s="15">
        <f t="shared" si="0"/>
        <v>3.2500000000000001E-2</v>
      </c>
      <c r="C19" s="16">
        <v>31</v>
      </c>
      <c r="D19" s="251"/>
    </row>
    <row r="20" spans="1:4" x14ac:dyDescent="0.2">
      <c r="A20" s="14">
        <v>41608</v>
      </c>
      <c r="B20" s="15">
        <f t="shared" si="0"/>
        <v>3.2500000000000001E-2</v>
      </c>
      <c r="C20" s="16">
        <v>30</v>
      </c>
      <c r="D20" s="251"/>
    </row>
    <row r="21" spans="1:4" x14ac:dyDescent="0.2">
      <c r="A21" s="17">
        <v>41639</v>
      </c>
      <c r="B21" s="18">
        <f t="shared" si="0"/>
        <v>3.2500000000000001E-2</v>
      </c>
      <c r="C21" s="19">
        <v>31</v>
      </c>
      <c r="D21" s="252"/>
    </row>
    <row r="22" spans="1:4" ht="12.75" customHeight="1" x14ac:dyDescent="0.2">
      <c r="A22" s="11">
        <v>41670</v>
      </c>
      <c r="B22" s="15">
        <f t="shared" si="0"/>
        <v>3.2500000000000001E-2</v>
      </c>
      <c r="C22" s="13">
        <v>31</v>
      </c>
      <c r="D22" s="250" t="s">
        <v>27</v>
      </c>
    </row>
    <row r="23" spans="1:4" x14ac:dyDescent="0.2">
      <c r="A23" s="14">
        <v>41698</v>
      </c>
      <c r="B23" s="15">
        <f t="shared" si="0"/>
        <v>3.2500000000000001E-2</v>
      </c>
      <c r="C23" s="16">
        <v>28</v>
      </c>
      <c r="D23" s="251"/>
    </row>
    <row r="24" spans="1:4" x14ac:dyDescent="0.2">
      <c r="A24" s="14">
        <v>41729</v>
      </c>
      <c r="B24" s="15">
        <f t="shared" si="0"/>
        <v>3.2500000000000001E-2</v>
      </c>
      <c r="C24" s="16">
        <v>31</v>
      </c>
      <c r="D24" s="251"/>
    </row>
    <row r="25" spans="1:4" x14ac:dyDescent="0.2">
      <c r="A25" s="14">
        <v>41759</v>
      </c>
      <c r="B25" s="15">
        <f t="shared" si="0"/>
        <v>3.2500000000000001E-2</v>
      </c>
      <c r="C25" s="16">
        <v>30</v>
      </c>
      <c r="D25" s="251"/>
    </row>
    <row r="26" spans="1:4" x14ac:dyDescent="0.2">
      <c r="A26" s="14">
        <v>41790</v>
      </c>
      <c r="B26" s="15">
        <f t="shared" si="0"/>
        <v>3.2500000000000001E-2</v>
      </c>
      <c r="C26" s="16">
        <v>31</v>
      </c>
      <c r="D26" s="251"/>
    </row>
    <row r="27" spans="1:4" x14ac:dyDescent="0.2">
      <c r="A27" s="14">
        <v>41820</v>
      </c>
      <c r="B27" s="15">
        <f t="shared" si="0"/>
        <v>3.2500000000000001E-2</v>
      </c>
      <c r="C27" s="16">
        <v>30</v>
      </c>
      <c r="D27" s="251"/>
    </row>
    <row r="28" spans="1:4" x14ac:dyDescent="0.2">
      <c r="A28" s="14">
        <v>41851</v>
      </c>
      <c r="B28" s="15">
        <f t="shared" si="0"/>
        <v>3.2500000000000001E-2</v>
      </c>
      <c r="C28" s="16">
        <v>31</v>
      </c>
      <c r="D28" s="251"/>
    </row>
    <row r="29" spans="1:4" x14ac:dyDescent="0.2">
      <c r="A29" s="14">
        <v>41882</v>
      </c>
      <c r="B29" s="15">
        <f t="shared" si="0"/>
        <v>3.2500000000000001E-2</v>
      </c>
      <c r="C29" s="16">
        <v>31</v>
      </c>
      <c r="D29" s="251"/>
    </row>
    <row r="30" spans="1:4" x14ac:dyDescent="0.2">
      <c r="A30" s="14">
        <v>41912</v>
      </c>
      <c r="B30" s="15">
        <f t="shared" si="0"/>
        <v>3.2500000000000001E-2</v>
      </c>
      <c r="C30" s="16">
        <v>30</v>
      </c>
      <c r="D30" s="251"/>
    </row>
    <row r="31" spans="1:4" x14ac:dyDescent="0.2">
      <c r="A31" s="14">
        <v>41943</v>
      </c>
      <c r="B31" s="15">
        <f t="shared" si="0"/>
        <v>3.2500000000000001E-2</v>
      </c>
      <c r="C31" s="16">
        <v>31</v>
      </c>
      <c r="D31" s="251"/>
    </row>
    <row r="32" spans="1:4" x14ac:dyDescent="0.2">
      <c r="A32" s="14">
        <v>41973</v>
      </c>
      <c r="B32" s="15">
        <f t="shared" si="0"/>
        <v>3.2500000000000001E-2</v>
      </c>
      <c r="C32" s="16">
        <v>30</v>
      </c>
      <c r="D32" s="251"/>
    </row>
    <row r="33" spans="1:4" x14ac:dyDescent="0.2">
      <c r="A33" s="17">
        <v>42004</v>
      </c>
      <c r="B33" s="18">
        <f t="shared" si="0"/>
        <v>3.2500000000000001E-2</v>
      </c>
      <c r="C33" s="19">
        <v>31</v>
      </c>
      <c r="D33" s="252"/>
    </row>
    <row r="34" spans="1:4" ht="12.75" customHeight="1" x14ac:dyDescent="0.2">
      <c r="A34" s="11">
        <v>42035</v>
      </c>
      <c r="B34" s="15">
        <f>B33</f>
        <v>3.2500000000000001E-2</v>
      </c>
      <c r="C34" s="13">
        <v>31</v>
      </c>
      <c r="D34" s="250" t="s">
        <v>28</v>
      </c>
    </row>
    <row r="35" spans="1:4" x14ac:dyDescent="0.2">
      <c r="A35" s="14">
        <v>42063</v>
      </c>
      <c r="B35" s="15">
        <f t="shared" ref="B35:B93" si="1">B34</f>
        <v>3.2500000000000001E-2</v>
      </c>
      <c r="C35" s="16">
        <v>28</v>
      </c>
      <c r="D35" s="251"/>
    </row>
    <row r="36" spans="1:4" x14ac:dyDescent="0.2">
      <c r="A36" s="14">
        <v>42094</v>
      </c>
      <c r="B36" s="15">
        <f t="shared" si="1"/>
        <v>3.2500000000000001E-2</v>
      </c>
      <c r="C36" s="16">
        <v>31</v>
      </c>
      <c r="D36" s="251"/>
    </row>
    <row r="37" spans="1:4" x14ac:dyDescent="0.2">
      <c r="A37" s="14">
        <v>42124</v>
      </c>
      <c r="B37" s="15">
        <f t="shared" si="1"/>
        <v>3.2500000000000001E-2</v>
      </c>
      <c r="C37" s="16">
        <v>30</v>
      </c>
      <c r="D37" s="251"/>
    </row>
    <row r="38" spans="1:4" x14ac:dyDescent="0.2">
      <c r="A38" s="14">
        <v>42155</v>
      </c>
      <c r="B38" s="15">
        <f t="shared" si="1"/>
        <v>3.2500000000000001E-2</v>
      </c>
      <c r="C38" s="16">
        <v>31</v>
      </c>
      <c r="D38" s="251"/>
    </row>
    <row r="39" spans="1:4" x14ac:dyDescent="0.2">
      <c r="A39" s="14">
        <v>42185</v>
      </c>
      <c r="B39" s="15">
        <f t="shared" si="1"/>
        <v>3.2500000000000001E-2</v>
      </c>
      <c r="C39" s="16">
        <v>30</v>
      </c>
      <c r="D39" s="251"/>
    </row>
    <row r="40" spans="1:4" x14ac:dyDescent="0.2">
      <c r="A40" s="14">
        <v>42216</v>
      </c>
      <c r="B40" s="15">
        <f t="shared" si="1"/>
        <v>3.2500000000000001E-2</v>
      </c>
      <c r="C40" s="16">
        <v>31</v>
      </c>
      <c r="D40" s="251"/>
    </row>
    <row r="41" spans="1:4" x14ac:dyDescent="0.2">
      <c r="A41" s="14">
        <v>42247</v>
      </c>
      <c r="B41" s="15">
        <f t="shared" si="1"/>
        <v>3.2500000000000001E-2</v>
      </c>
      <c r="C41" s="16">
        <v>31</v>
      </c>
      <c r="D41" s="251"/>
    </row>
    <row r="42" spans="1:4" x14ac:dyDescent="0.2">
      <c r="A42" s="14">
        <v>42277</v>
      </c>
      <c r="B42" s="15">
        <f t="shared" si="1"/>
        <v>3.2500000000000001E-2</v>
      </c>
      <c r="C42" s="16">
        <v>30</v>
      </c>
      <c r="D42" s="251"/>
    </row>
    <row r="43" spans="1:4" x14ac:dyDescent="0.2">
      <c r="A43" s="14">
        <v>42308</v>
      </c>
      <c r="B43" s="15">
        <f t="shared" si="1"/>
        <v>3.2500000000000001E-2</v>
      </c>
      <c r="C43" s="16">
        <v>31</v>
      </c>
      <c r="D43" s="251"/>
    </row>
    <row r="44" spans="1:4" x14ac:dyDescent="0.2">
      <c r="A44" s="14">
        <v>42338</v>
      </c>
      <c r="B44" s="15">
        <f t="shared" si="1"/>
        <v>3.2500000000000001E-2</v>
      </c>
      <c r="C44" s="16">
        <v>30</v>
      </c>
      <c r="D44" s="251"/>
    </row>
    <row r="45" spans="1:4" x14ac:dyDescent="0.2">
      <c r="A45" s="17">
        <v>42369</v>
      </c>
      <c r="B45" s="18">
        <f t="shared" si="1"/>
        <v>3.2500000000000001E-2</v>
      </c>
      <c r="C45" s="19">
        <v>31</v>
      </c>
      <c r="D45" s="252"/>
    </row>
    <row r="46" spans="1:4" ht="12.75" customHeight="1" x14ac:dyDescent="0.2">
      <c r="A46" s="14">
        <v>42400</v>
      </c>
      <c r="B46" s="15">
        <f t="shared" si="1"/>
        <v>3.2500000000000001E-2</v>
      </c>
      <c r="C46" s="13">
        <v>31</v>
      </c>
      <c r="D46" s="250" t="s">
        <v>29</v>
      </c>
    </row>
    <row r="47" spans="1:4" x14ac:dyDescent="0.2">
      <c r="A47" s="14">
        <v>42429</v>
      </c>
      <c r="B47" s="15">
        <f t="shared" si="1"/>
        <v>3.2500000000000001E-2</v>
      </c>
      <c r="C47" s="16">
        <v>29</v>
      </c>
      <c r="D47" s="251"/>
    </row>
    <row r="48" spans="1:4" x14ac:dyDescent="0.2">
      <c r="A48" s="14">
        <v>42460</v>
      </c>
      <c r="B48" s="15">
        <f t="shared" si="1"/>
        <v>3.2500000000000001E-2</v>
      </c>
      <c r="C48" s="16">
        <v>31</v>
      </c>
      <c r="D48" s="251"/>
    </row>
    <row r="49" spans="1:4" x14ac:dyDescent="0.2">
      <c r="A49" s="14">
        <v>42490</v>
      </c>
      <c r="B49" s="15">
        <v>3.4599999999999999E-2</v>
      </c>
      <c r="C49" s="16">
        <v>30</v>
      </c>
      <c r="D49" s="251"/>
    </row>
    <row r="50" spans="1:4" x14ac:dyDescent="0.2">
      <c r="A50" s="14">
        <v>42521</v>
      </c>
      <c r="B50" s="15">
        <f t="shared" si="1"/>
        <v>3.4599999999999999E-2</v>
      </c>
      <c r="C50" s="16">
        <v>31</v>
      </c>
      <c r="D50" s="251"/>
    </row>
    <row r="51" spans="1:4" x14ac:dyDescent="0.2">
      <c r="A51" s="14">
        <v>42551</v>
      </c>
      <c r="B51" s="15">
        <f t="shared" si="1"/>
        <v>3.4599999999999999E-2</v>
      </c>
      <c r="C51" s="16">
        <v>30</v>
      </c>
      <c r="D51" s="251"/>
    </row>
    <row r="52" spans="1:4" x14ac:dyDescent="0.2">
      <c r="A52" s="14">
        <v>42582</v>
      </c>
      <c r="B52" s="15">
        <v>3.5000000000000003E-2</v>
      </c>
      <c r="C52" s="16">
        <v>31</v>
      </c>
      <c r="D52" s="251"/>
    </row>
    <row r="53" spans="1:4" x14ac:dyDescent="0.2">
      <c r="A53" s="14">
        <v>42613</v>
      </c>
      <c r="B53" s="15">
        <f t="shared" si="1"/>
        <v>3.5000000000000003E-2</v>
      </c>
      <c r="C53" s="16">
        <v>31</v>
      </c>
      <c r="D53" s="251"/>
    </row>
    <row r="54" spans="1:4" x14ac:dyDescent="0.2">
      <c r="A54" s="14">
        <v>42643</v>
      </c>
      <c r="B54" s="15">
        <f t="shared" si="1"/>
        <v>3.5000000000000003E-2</v>
      </c>
      <c r="C54" s="16">
        <v>30</v>
      </c>
      <c r="D54" s="251"/>
    </row>
    <row r="55" spans="1:4" x14ac:dyDescent="0.2">
      <c r="A55" s="14">
        <v>42674</v>
      </c>
      <c r="B55" s="15">
        <f t="shared" si="1"/>
        <v>3.5000000000000003E-2</v>
      </c>
      <c r="C55" s="16">
        <v>31</v>
      </c>
      <c r="D55" s="251"/>
    </row>
    <row r="56" spans="1:4" x14ac:dyDescent="0.2">
      <c r="A56" s="14">
        <v>42704</v>
      </c>
      <c r="B56" s="15">
        <f t="shared" si="1"/>
        <v>3.5000000000000003E-2</v>
      </c>
      <c r="C56" s="16">
        <v>30</v>
      </c>
      <c r="D56" s="251"/>
    </row>
    <row r="57" spans="1:4" x14ac:dyDescent="0.2">
      <c r="A57" s="17">
        <v>42735</v>
      </c>
      <c r="B57" s="18">
        <f t="shared" si="1"/>
        <v>3.5000000000000003E-2</v>
      </c>
      <c r="C57" s="19">
        <v>31</v>
      </c>
      <c r="D57" s="252"/>
    </row>
    <row r="58" spans="1:4" ht="12.75" customHeight="1" x14ac:dyDescent="0.2">
      <c r="A58" s="14">
        <v>42766</v>
      </c>
      <c r="B58" s="15">
        <f t="shared" si="1"/>
        <v>3.5000000000000003E-2</v>
      </c>
      <c r="C58" s="13">
        <v>31</v>
      </c>
      <c r="D58" s="250" t="s">
        <v>30</v>
      </c>
    </row>
    <row r="59" spans="1:4" x14ac:dyDescent="0.2">
      <c r="A59" s="14">
        <v>42794</v>
      </c>
      <c r="B59" s="15">
        <f t="shared" si="1"/>
        <v>3.5000000000000003E-2</v>
      </c>
      <c r="C59" s="16">
        <v>28</v>
      </c>
      <c r="D59" s="251"/>
    </row>
    <row r="60" spans="1:4" x14ac:dyDescent="0.2">
      <c r="A60" s="14">
        <v>42825</v>
      </c>
      <c r="B60" s="15">
        <f t="shared" si="1"/>
        <v>3.5000000000000003E-2</v>
      </c>
      <c r="C60" s="16">
        <v>31</v>
      </c>
      <c r="D60" s="251"/>
    </row>
    <row r="61" spans="1:4" x14ac:dyDescent="0.2">
      <c r="A61" s="14">
        <v>42855</v>
      </c>
      <c r="B61" s="15">
        <v>3.7100000000000001E-2</v>
      </c>
      <c r="C61" s="16">
        <v>30</v>
      </c>
      <c r="D61" s="251"/>
    </row>
    <row r="62" spans="1:4" x14ac:dyDescent="0.2">
      <c r="A62" s="14">
        <v>42886</v>
      </c>
      <c r="B62" s="15">
        <f t="shared" si="1"/>
        <v>3.7100000000000001E-2</v>
      </c>
      <c r="C62" s="16">
        <v>31</v>
      </c>
      <c r="D62" s="251"/>
    </row>
    <row r="63" spans="1:4" x14ac:dyDescent="0.2">
      <c r="A63" s="14">
        <v>42916</v>
      </c>
      <c r="B63" s="15">
        <f t="shared" si="1"/>
        <v>3.7100000000000001E-2</v>
      </c>
      <c r="C63" s="16">
        <v>30</v>
      </c>
      <c r="D63" s="251"/>
    </row>
    <row r="64" spans="1:4" x14ac:dyDescent="0.2">
      <c r="A64" s="14">
        <v>42947</v>
      </c>
      <c r="B64" s="15">
        <v>3.9600000000000003E-2</v>
      </c>
      <c r="C64" s="16">
        <v>31</v>
      </c>
      <c r="D64" s="251"/>
    </row>
    <row r="65" spans="1:4" x14ac:dyDescent="0.2">
      <c r="A65" s="14">
        <v>42978</v>
      </c>
      <c r="B65" s="15">
        <f t="shared" si="1"/>
        <v>3.9600000000000003E-2</v>
      </c>
      <c r="C65" s="16">
        <v>31</v>
      </c>
      <c r="D65" s="251"/>
    </row>
    <row r="66" spans="1:4" x14ac:dyDescent="0.2">
      <c r="A66" s="14">
        <v>43008</v>
      </c>
      <c r="B66" s="15">
        <f t="shared" si="1"/>
        <v>3.9600000000000003E-2</v>
      </c>
      <c r="C66" s="16">
        <v>30</v>
      </c>
      <c r="D66" s="251"/>
    </row>
    <row r="67" spans="1:4" x14ac:dyDescent="0.2">
      <c r="A67" s="14">
        <v>43039</v>
      </c>
      <c r="B67" s="15">
        <v>4.2099999999999999E-2</v>
      </c>
      <c r="C67" s="16">
        <v>31</v>
      </c>
      <c r="D67" s="251"/>
    </row>
    <row r="68" spans="1:4" x14ac:dyDescent="0.2">
      <c r="A68" s="14">
        <v>43069</v>
      </c>
      <c r="B68" s="15">
        <f t="shared" si="1"/>
        <v>4.2099999999999999E-2</v>
      </c>
      <c r="C68" s="16">
        <v>30</v>
      </c>
      <c r="D68" s="251"/>
    </row>
    <row r="69" spans="1:4" x14ac:dyDescent="0.2">
      <c r="A69" s="17">
        <v>43100</v>
      </c>
      <c r="B69" s="18">
        <f t="shared" si="1"/>
        <v>4.2099999999999999E-2</v>
      </c>
      <c r="C69" s="19">
        <v>31</v>
      </c>
      <c r="D69" s="252"/>
    </row>
    <row r="70" spans="1:4" ht="12.75" customHeight="1" x14ac:dyDescent="0.2">
      <c r="A70" s="14">
        <v>43131</v>
      </c>
      <c r="B70" s="15">
        <v>4.2500000000000003E-2</v>
      </c>
      <c r="C70" s="13">
        <v>31</v>
      </c>
      <c r="D70" s="250" t="s">
        <v>31</v>
      </c>
    </row>
    <row r="71" spans="1:4" x14ac:dyDescent="0.2">
      <c r="A71" s="14">
        <v>43159</v>
      </c>
      <c r="B71" s="15">
        <f t="shared" si="1"/>
        <v>4.2500000000000003E-2</v>
      </c>
      <c r="C71" s="16">
        <v>28</v>
      </c>
      <c r="D71" s="251"/>
    </row>
    <row r="72" spans="1:4" x14ac:dyDescent="0.2">
      <c r="A72" s="14">
        <v>43190</v>
      </c>
      <c r="B72" s="15">
        <f t="shared" si="1"/>
        <v>4.2500000000000003E-2</v>
      </c>
      <c r="C72" s="16">
        <v>31</v>
      </c>
      <c r="D72" s="251"/>
    </row>
    <row r="73" spans="1:4" x14ac:dyDescent="0.2">
      <c r="A73" s="14">
        <v>43220</v>
      </c>
      <c r="B73" s="15">
        <v>4.4699999999999997E-2</v>
      </c>
      <c r="C73" s="16">
        <v>30</v>
      </c>
      <c r="D73" s="251"/>
    </row>
    <row r="74" spans="1:4" x14ac:dyDescent="0.2">
      <c r="A74" s="14">
        <v>43251</v>
      </c>
      <c r="B74" s="15">
        <f t="shared" si="1"/>
        <v>4.4699999999999997E-2</v>
      </c>
      <c r="C74" s="16">
        <v>31</v>
      </c>
      <c r="D74" s="251"/>
    </row>
    <row r="75" spans="1:4" x14ac:dyDescent="0.2">
      <c r="A75" s="14">
        <v>43281</v>
      </c>
      <c r="B75" s="15">
        <f t="shared" si="1"/>
        <v>4.4699999999999997E-2</v>
      </c>
      <c r="C75" s="16">
        <v>30</v>
      </c>
      <c r="D75" s="251"/>
    </row>
    <row r="76" spans="1:4" x14ac:dyDescent="0.2">
      <c r="A76" s="14">
        <v>43312</v>
      </c>
      <c r="B76" s="15">
        <v>4.6899999999999997E-2</v>
      </c>
      <c r="C76" s="16">
        <v>31</v>
      </c>
      <c r="D76" s="251"/>
    </row>
    <row r="77" spans="1:4" x14ac:dyDescent="0.2">
      <c r="A77" s="14">
        <v>43343</v>
      </c>
      <c r="B77" s="15">
        <f t="shared" si="1"/>
        <v>4.6899999999999997E-2</v>
      </c>
      <c r="C77" s="16">
        <v>31</v>
      </c>
      <c r="D77" s="251"/>
    </row>
    <row r="78" spans="1:4" x14ac:dyDescent="0.2">
      <c r="A78" s="14">
        <v>43373</v>
      </c>
      <c r="B78" s="15">
        <f t="shared" si="1"/>
        <v>4.6899999999999997E-2</v>
      </c>
      <c r="C78" s="16">
        <v>30</v>
      </c>
      <c r="D78" s="251"/>
    </row>
    <row r="79" spans="1:4" x14ac:dyDescent="0.2">
      <c r="A79" s="14">
        <v>43404</v>
      </c>
      <c r="B79" s="15">
        <v>4.9599999999999998E-2</v>
      </c>
      <c r="C79" s="16">
        <v>31</v>
      </c>
      <c r="D79" s="251"/>
    </row>
    <row r="80" spans="1:4" x14ac:dyDescent="0.2">
      <c r="A80" s="14">
        <v>43434</v>
      </c>
      <c r="B80" s="15">
        <f t="shared" si="1"/>
        <v>4.9599999999999998E-2</v>
      </c>
      <c r="C80" s="16">
        <v>30</v>
      </c>
      <c r="D80" s="251"/>
    </row>
    <row r="81" spans="1:4" x14ac:dyDescent="0.2">
      <c r="A81" s="17">
        <v>43465</v>
      </c>
      <c r="B81" s="18">
        <f t="shared" si="1"/>
        <v>4.9599999999999998E-2</v>
      </c>
      <c r="C81" s="19">
        <v>31</v>
      </c>
      <c r="D81" s="252"/>
    </row>
    <row r="82" spans="1:4" x14ac:dyDescent="0.2">
      <c r="A82" s="14">
        <v>43496</v>
      </c>
      <c r="B82" s="15">
        <v>5.1799999999999999E-2</v>
      </c>
      <c r="C82" s="13">
        <v>31</v>
      </c>
      <c r="D82" s="250" t="s">
        <v>32</v>
      </c>
    </row>
    <row r="83" spans="1:4" x14ac:dyDescent="0.2">
      <c r="A83" s="14">
        <v>43524</v>
      </c>
      <c r="B83" s="15">
        <f t="shared" si="1"/>
        <v>5.1799999999999999E-2</v>
      </c>
      <c r="C83" s="16">
        <v>28</v>
      </c>
      <c r="D83" s="251"/>
    </row>
    <row r="84" spans="1:4" x14ac:dyDescent="0.2">
      <c r="A84" s="20">
        <v>43555</v>
      </c>
      <c r="B84" s="15">
        <f t="shared" si="1"/>
        <v>5.1799999999999999E-2</v>
      </c>
      <c r="C84" s="16">
        <v>31</v>
      </c>
      <c r="D84" s="251"/>
    </row>
    <row r="85" spans="1:4" x14ac:dyDescent="0.2">
      <c r="A85" s="20">
        <v>43585</v>
      </c>
      <c r="B85" s="15">
        <v>5.45E-2</v>
      </c>
      <c r="C85" s="16">
        <v>30</v>
      </c>
      <c r="D85" s="251"/>
    </row>
    <row r="86" spans="1:4" x14ac:dyDescent="0.2">
      <c r="A86" s="20">
        <v>43616</v>
      </c>
      <c r="B86" s="15">
        <f t="shared" si="1"/>
        <v>5.45E-2</v>
      </c>
      <c r="C86" s="16">
        <v>31</v>
      </c>
      <c r="D86" s="251"/>
    </row>
    <row r="87" spans="1:4" x14ac:dyDescent="0.2">
      <c r="A87" s="20">
        <v>43646</v>
      </c>
      <c r="B87" s="15">
        <f t="shared" si="1"/>
        <v>5.45E-2</v>
      </c>
      <c r="C87" s="16">
        <v>30</v>
      </c>
      <c r="D87" s="251"/>
    </row>
    <row r="88" spans="1:4" x14ac:dyDescent="0.2">
      <c r="A88" s="20">
        <v>43677</v>
      </c>
      <c r="B88" s="15">
        <v>5.5E-2</v>
      </c>
      <c r="C88" s="16">
        <v>31</v>
      </c>
      <c r="D88" s="251"/>
    </row>
    <row r="89" spans="1:4" x14ac:dyDescent="0.2">
      <c r="A89" s="20">
        <v>43708</v>
      </c>
      <c r="B89" s="15">
        <f t="shared" si="1"/>
        <v>5.5E-2</v>
      </c>
      <c r="C89" s="16">
        <v>31</v>
      </c>
      <c r="D89" s="251"/>
    </row>
    <row r="90" spans="1:4" x14ac:dyDescent="0.2">
      <c r="A90" s="20">
        <v>43738</v>
      </c>
      <c r="B90" s="15">
        <f t="shared" si="1"/>
        <v>5.5E-2</v>
      </c>
      <c r="C90" s="16">
        <v>30</v>
      </c>
      <c r="D90" s="251"/>
    </row>
    <row r="91" spans="1:4" x14ac:dyDescent="0.2">
      <c r="A91" s="20">
        <v>43769</v>
      </c>
      <c r="B91" s="15">
        <f t="shared" si="1"/>
        <v>5.5E-2</v>
      </c>
      <c r="C91" s="16">
        <v>31</v>
      </c>
      <c r="D91" s="251"/>
    </row>
    <row r="92" spans="1:4" x14ac:dyDescent="0.2">
      <c r="A92" s="20">
        <v>43799</v>
      </c>
      <c r="B92" s="15">
        <f t="shared" si="1"/>
        <v>5.5E-2</v>
      </c>
      <c r="C92" s="16">
        <v>30</v>
      </c>
      <c r="D92" s="251"/>
    </row>
    <row r="93" spans="1:4" x14ac:dyDescent="0.2">
      <c r="A93" s="20">
        <v>43830</v>
      </c>
      <c r="B93" s="15">
        <f t="shared" si="1"/>
        <v>5.5E-2</v>
      </c>
      <c r="C93" s="19">
        <v>31</v>
      </c>
      <c r="D93" s="252"/>
    </row>
  </sheetData>
  <mergeCells count="7">
    <mergeCell ref="D82:D93"/>
    <mergeCell ref="D10:D21"/>
    <mergeCell ref="D22:D33"/>
    <mergeCell ref="D34:D45"/>
    <mergeCell ref="D46:D57"/>
    <mergeCell ref="D58:D69"/>
    <mergeCell ref="D70:D81"/>
  </mergeCells>
  <hyperlinks>
    <hyperlink ref="A7" r:id="rId1" xr:uid="{DB14DDAD-C359-4469-A939-FCAE93FD2F6A}"/>
  </hyperlinks>
  <printOptions gridLinesSet="0"/>
  <pageMargins left="0.5" right="0.25" top="0.5" bottom="0.25" header="0.5" footer="0.5"/>
  <pageSetup scale="62"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132A-6BFD-452F-A195-8985CEA35294}">
  <dimension ref="A1:S77"/>
  <sheetViews>
    <sheetView showGridLines="0" view="pageBreakPreview" zoomScale="60" zoomScaleNormal="60" workbookViewId="0">
      <pane xSplit="1" ySplit="4" topLeftCell="B5"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8.21875" style="1" bestFit="1" customWidth="1"/>
    <col min="2" max="2" width="11.77734375" style="30" bestFit="1" customWidth="1"/>
    <col min="3" max="3" width="12.21875" style="30" bestFit="1" customWidth="1"/>
    <col min="4" max="4" width="10.77734375" style="30" bestFit="1" customWidth="1"/>
    <col min="5" max="5" width="9.33203125" style="80" customWidth="1"/>
    <col min="6" max="6" width="8" style="34" bestFit="1" customWidth="1"/>
    <col min="7" max="7" width="8.44140625" style="30" customWidth="1"/>
    <col min="8" max="8" width="8.77734375" style="80" bestFit="1" customWidth="1"/>
    <col min="9" max="9" width="10.21875" style="80" customWidth="1"/>
    <col min="10" max="10" width="11.77734375" style="81" customWidth="1"/>
    <col min="11" max="11" width="10.6640625" style="80" customWidth="1"/>
    <col min="12" max="12" width="7.88671875" style="82" customWidth="1"/>
    <col min="13" max="13" width="10" style="3" bestFit="1" customWidth="1"/>
    <col min="14" max="14" width="9.77734375" style="80" bestFit="1" customWidth="1"/>
    <col min="15" max="15" width="9.77734375" style="83" customWidth="1"/>
    <col min="16" max="16" width="6.6640625" style="81" customWidth="1"/>
    <col min="17" max="18" width="9.33203125" style="1" customWidth="1"/>
    <col min="19" max="19" width="11.109375" style="1" customWidth="1"/>
    <col min="20" max="21" width="12.77734375" style="1" customWidth="1"/>
    <col min="22" max="16384" width="8.88671875" style="1"/>
  </cols>
  <sheetData>
    <row r="1" spans="1:18" ht="15.75" x14ac:dyDescent="0.25">
      <c r="A1" s="255" t="s">
        <v>33</v>
      </c>
      <c r="B1" s="256"/>
      <c r="C1" s="256"/>
      <c r="D1" s="256"/>
      <c r="E1" s="256"/>
      <c r="F1" s="256"/>
      <c r="G1" s="256"/>
      <c r="H1" s="256"/>
      <c r="I1" s="256"/>
      <c r="J1" s="256"/>
      <c r="K1" s="256"/>
      <c r="L1" s="256"/>
      <c r="M1" s="256"/>
      <c r="N1" s="256"/>
      <c r="O1" s="256"/>
      <c r="P1" s="256"/>
      <c r="Q1" s="256"/>
      <c r="R1" s="257"/>
    </row>
    <row r="2" spans="1:18" ht="15.75" x14ac:dyDescent="0.25">
      <c r="A2" s="258" t="s">
        <v>34</v>
      </c>
      <c r="B2" s="259"/>
      <c r="C2" s="259"/>
      <c r="D2" s="259"/>
      <c r="E2" s="259"/>
      <c r="F2" s="259"/>
      <c r="G2" s="259"/>
      <c r="H2" s="259"/>
      <c r="I2" s="259"/>
      <c r="J2" s="260"/>
      <c r="K2" s="259"/>
      <c r="L2" s="259"/>
      <c r="M2" s="259"/>
      <c r="N2" s="259"/>
      <c r="O2" s="260"/>
      <c r="P2" s="260"/>
      <c r="Q2" s="259"/>
      <c r="R2" s="261"/>
    </row>
    <row r="3" spans="1:18" s="21" customFormat="1" ht="26.45" customHeight="1" x14ac:dyDescent="0.2">
      <c r="A3" s="262" t="s">
        <v>35</v>
      </c>
      <c r="B3" s="264" t="s">
        <v>36</v>
      </c>
      <c r="C3" s="265"/>
      <c r="D3" s="265"/>
      <c r="E3" s="265"/>
      <c r="F3" s="266" t="s">
        <v>37</v>
      </c>
      <c r="G3" s="267"/>
      <c r="H3" s="268"/>
      <c r="I3" s="269" t="s">
        <v>38</v>
      </c>
      <c r="J3" s="253" t="s">
        <v>39</v>
      </c>
      <c r="K3" s="271" t="s">
        <v>40</v>
      </c>
      <c r="L3" s="273" t="s">
        <v>41</v>
      </c>
      <c r="M3" s="274"/>
      <c r="N3" s="274"/>
      <c r="O3" s="275" t="s">
        <v>42</v>
      </c>
      <c r="P3" s="253" t="s">
        <v>43</v>
      </c>
      <c r="Q3" s="254" t="s">
        <v>44</v>
      </c>
      <c r="R3" s="254"/>
    </row>
    <row r="4" spans="1:18" s="28" customFormat="1" ht="60" customHeight="1" x14ac:dyDescent="0.2">
      <c r="A4" s="263"/>
      <c r="B4" s="22" t="s">
        <v>2</v>
      </c>
      <c r="C4" s="22" t="s">
        <v>5</v>
      </c>
      <c r="D4" s="22" t="s">
        <v>6</v>
      </c>
      <c r="E4" s="23" t="s">
        <v>45</v>
      </c>
      <c r="F4" s="24" t="s">
        <v>46</v>
      </c>
      <c r="G4" s="22" t="s">
        <v>47</v>
      </c>
      <c r="H4" s="23" t="s">
        <v>48</v>
      </c>
      <c r="I4" s="270"/>
      <c r="J4" s="253"/>
      <c r="K4" s="272"/>
      <c r="L4" s="23" t="s">
        <v>49</v>
      </c>
      <c r="M4" s="25" t="s">
        <v>50</v>
      </c>
      <c r="N4" s="23" t="s">
        <v>51</v>
      </c>
      <c r="O4" s="275"/>
      <c r="P4" s="253"/>
      <c r="Q4" s="26" t="s">
        <v>52</v>
      </c>
      <c r="R4" s="27" t="s">
        <v>53</v>
      </c>
    </row>
    <row r="5" spans="1:18" hidden="1" x14ac:dyDescent="0.2">
      <c r="A5" s="29">
        <f>'FERC Interest Rates'!A20</f>
        <v>41608</v>
      </c>
      <c r="B5" s="30">
        <v>8981544</v>
      </c>
      <c r="C5" s="30">
        <v>6245512</v>
      </c>
      <c r="D5" s="30">
        <v>1246219</v>
      </c>
      <c r="E5" s="31">
        <f t="shared" ref="E5:E28" si="0">SUM(B5:D5)</f>
        <v>16473275</v>
      </c>
      <c r="F5" s="32">
        <f>-3562+4052+1032</f>
        <v>1522</v>
      </c>
      <c r="G5" s="30">
        <f>-391811+391811+473546</f>
        <v>473546</v>
      </c>
      <c r="H5" s="31">
        <f t="shared" ref="H5:H18" si="1">SUM(F5:G5)</f>
        <v>475068</v>
      </c>
      <c r="I5" s="33">
        <f t="shared" ref="I5:I68" si="2">E5+H5</f>
        <v>16948343</v>
      </c>
      <c r="J5" s="34">
        <f>-42876225-32657013+42877182+32657503+39204659+27378417</f>
        <v>66584523</v>
      </c>
      <c r="K5" s="35">
        <f t="shared" ref="K5" si="3">I5+J5</f>
        <v>83532866</v>
      </c>
      <c r="L5" s="36" t="s">
        <v>54</v>
      </c>
      <c r="M5" s="37">
        <f>6694156+496393+160011+2427804+415916+1440127+893391+560544+1022722+273455-(6694156+496393+160011+2427804+415916+1440127+893391+560544+1022722+273455)+6877899+554962+2079912+3071618+306266+1422327+784739+529710+1054644+278549</f>
        <v>16960626</v>
      </c>
      <c r="N5" s="31">
        <f t="shared" ref="N5:N36" si="4">J5-M5</f>
        <v>49623897</v>
      </c>
      <c r="O5" s="38">
        <f t="shared" ref="O5:O68" si="5">K5-M5</f>
        <v>66572240</v>
      </c>
      <c r="P5" s="34">
        <f>-496393+496393+554962</f>
        <v>554962</v>
      </c>
      <c r="Q5" s="39"/>
      <c r="R5" s="40"/>
    </row>
    <row r="6" spans="1:18" hidden="1" x14ac:dyDescent="0.2">
      <c r="A6" s="29">
        <f>'FERC Interest Rates'!A21</f>
        <v>41639</v>
      </c>
      <c r="B6" s="30">
        <v>18320588</v>
      </c>
      <c r="C6" s="30">
        <v>11226493</v>
      </c>
      <c r="D6" s="30">
        <v>3079194</v>
      </c>
      <c r="E6" s="31">
        <f t="shared" si="0"/>
        <v>32626275</v>
      </c>
      <c r="F6" s="32">
        <f>-1032+1032+9420</f>
        <v>9420</v>
      </c>
      <c r="G6" s="30">
        <f>-473546+473546+594027</f>
        <v>594027</v>
      </c>
      <c r="H6" s="31">
        <f t="shared" si="1"/>
        <v>603447</v>
      </c>
      <c r="I6" s="33">
        <f t="shared" si="2"/>
        <v>33229722</v>
      </c>
      <c r="J6" s="34">
        <f>-39204659-27378417+39042548+27378417+42249626+40077801</f>
        <v>82165316</v>
      </c>
      <c r="K6" s="35">
        <f>I6+J6</f>
        <v>115395038</v>
      </c>
      <c r="L6" s="36" t="s">
        <v>54</v>
      </c>
      <c r="M6" s="37">
        <f>6877899+554962+2079912+2904516+306266+1422327+784739+529710+1054644+278549-(6877899+554962+2079912+3071618+306266+1422327+784739+529710+1054644+278549)+7483576+646377+5363751+3070454+401145+2035761+871026+432080+1151260+295911</f>
        <v>21584239</v>
      </c>
      <c r="N6" s="31">
        <f t="shared" si="4"/>
        <v>60581077</v>
      </c>
      <c r="O6" s="38">
        <f t="shared" si="5"/>
        <v>93810799</v>
      </c>
      <c r="P6" s="34">
        <f>-554962+554962+646377</f>
        <v>646377</v>
      </c>
      <c r="Q6" s="39"/>
      <c r="R6" s="40"/>
    </row>
    <row r="7" spans="1:18" hidden="1" x14ac:dyDescent="0.2">
      <c r="A7" s="29">
        <f>'FERC Interest Rates'!A22</f>
        <v>41670</v>
      </c>
      <c r="B7" s="30">
        <v>20899551</v>
      </c>
      <c r="C7" s="30">
        <v>15807954</v>
      </c>
      <c r="D7" s="30">
        <v>1390372</v>
      </c>
      <c r="E7" s="31">
        <f t="shared" si="0"/>
        <v>38097877</v>
      </c>
      <c r="F7" s="32">
        <f>-9420+9420+8828</f>
        <v>8828</v>
      </c>
      <c r="G7" s="30">
        <f>-594027+594027+549498</f>
        <v>549498</v>
      </c>
      <c r="H7" s="31">
        <f t="shared" si="1"/>
        <v>558326</v>
      </c>
      <c r="I7" s="33">
        <f t="shared" si="2"/>
        <v>38656203</v>
      </c>
      <c r="J7" s="34">
        <f>-42249626-40077801+42261388+40077801+43482656+31005941</f>
        <v>74500359</v>
      </c>
      <c r="K7" s="35">
        <f t="shared" ref="K7:K36" si="6">I7+J7</f>
        <v>113156562</v>
      </c>
      <c r="L7" s="36" t="s">
        <v>54</v>
      </c>
      <c r="M7" s="37">
        <f>7483576+650345+5363751+3070454+401145+2035761+871026+432080+1151260+295911-(7483576+646377+5363751+3070454+401145+2035761+871026+432080+1151260+295911)+7924631+591555+530261+2952608+274556+1903119+968198+560606+1168015+296681</f>
        <v>17174198</v>
      </c>
      <c r="N7" s="31">
        <f t="shared" si="4"/>
        <v>57326161</v>
      </c>
      <c r="O7" s="38">
        <f t="shared" si="5"/>
        <v>95982364</v>
      </c>
      <c r="P7" s="34">
        <f>-646377+650345+591555</f>
        <v>595523</v>
      </c>
      <c r="Q7" s="39"/>
      <c r="R7" s="40"/>
    </row>
    <row r="8" spans="1:18" hidden="1" x14ac:dyDescent="0.2">
      <c r="A8" s="29">
        <f>'FERC Interest Rates'!A23</f>
        <v>41698</v>
      </c>
      <c r="B8" s="30">
        <v>18728366</v>
      </c>
      <c r="C8" s="30">
        <v>13972473</v>
      </c>
      <c r="D8" s="30">
        <v>1430555</v>
      </c>
      <c r="E8" s="31">
        <f t="shared" si="0"/>
        <v>34131394</v>
      </c>
      <c r="F8" s="32">
        <f>-8828+8828+14228</f>
        <v>14228</v>
      </c>
      <c r="G8" s="30">
        <f>-549498+549498+509515</f>
        <v>509515</v>
      </c>
      <c r="H8" s="31">
        <f t="shared" si="1"/>
        <v>523743</v>
      </c>
      <c r="I8" s="33">
        <f t="shared" si="2"/>
        <v>34655137</v>
      </c>
      <c r="J8" s="34">
        <f>-43482656-31005941+43519263+31240262+37914010+26420186</f>
        <v>64605124</v>
      </c>
      <c r="K8" s="35">
        <f t="shared" si="6"/>
        <v>99260261</v>
      </c>
      <c r="L8" s="36" t="s">
        <v>54</v>
      </c>
      <c r="M8" s="37">
        <f>7924631+591555+764582+2952608+274556+1903119+968198+560606+1168015+296681-(7924631+591555+530261+2952608+274556+1903119+968198+560606+1168015+296681)+7052079+530616+2340924+3093441+320341+1568449+697252+430841+1002529+285932</f>
        <v>17556725</v>
      </c>
      <c r="N8" s="31">
        <f t="shared" si="4"/>
        <v>47048399</v>
      </c>
      <c r="O8" s="38">
        <f t="shared" si="5"/>
        <v>81703536</v>
      </c>
      <c r="P8" s="34">
        <f>-591555+591555+530616</f>
        <v>530616</v>
      </c>
      <c r="Q8" s="39"/>
      <c r="R8" s="40"/>
    </row>
    <row r="9" spans="1:18" hidden="1" x14ac:dyDescent="0.2">
      <c r="A9" s="29">
        <f>'FERC Interest Rates'!A24</f>
        <v>41729</v>
      </c>
      <c r="B9" s="30">
        <v>16273150</v>
      </c>
      <c r="C9" s="30">
        <v>12143699</v>
      </c>
      <c r="D9" s="30">
        <v>1316970</v>
      </c>
      <c r="E9" s="31">
        <f t="shared" si="0"/>
        <v>29733819</v>
      </c>
      <c r="F9" s="32">
        <f>-14228+14228+13441</f>
        <v>13441</v>
      </c>
      <c r="G9" s="30">
        <f>-509515+509515+447136</f>
        <v>447136</v>
      </c>
      <c r="H9" s="31">
        <f t="shared" si="1"/>
        <v>460577</v>
      </c>
      <c r="I9" s="33">
        <f t="shared" si="2"/>
        <v>30194396</v>
      </c>
      <c r="J9" s="34">
        <f>-37914010-26420186+37923911+26420186+38417588+12622035</f>
        <v>51049524</v>
      </c>
      <c r="K9" s="35">
        <f t="shared" si="6"/>
        <v>81243920</v>
      </c>
      <c r="L9" s="36" t="s">
        <v>54</v>
      </c>
      <c r="M9" s="37">
        <f>7052079+530616+2340924+3093441+320341+1568449+697252+430841+1002529+285932-(7052079+530616+2340924+3093441+320341+1568449+697252+430841+1002529+285932)+10350347+506888+358742+3325061+664366+1689724+886841+442692+1067268+298497</f>
        <v>19590426</v>
      </c>
      <c r="N9" s="31">
        <f t="shared" si="4"/>
        <v>31459098</v>
      </c>
      <c r="O9" s="38">
        <f t="shared" si="5"/>
        <v>61653494</v>
      </c>
      <c r="P9" s="34">
        <f>-530616+530616+506888</f>
        <v>506888</v>
      </c>
      <c r="Q9" s="39"/>
      <c r="R9" s="40"/>
    </row>
    <row r="10" spans="1:18" hidden="1" x14ac:dyDescent="0.2">
      <c r="A10" s="29">
        <f>'FERC Interest Rates'!A25</f>
        <v>41759</v>
      </c>
      <c r="B10" s="30">
        <v>10535035</v>
      </c>
      <c r="C10" s="30">
        <v>6890795</v>
      </c>
      <c r="D10" s="30">
        <v>1792618</v>
      </c>
      <c r="E10" s="31">
        <f t="shared" si="0"/>
        <v>19218448</v>
      </c>
      <c r="F10" s="32">
        <f>-13441+13441+13712</f>
        <v>13712</v>
      </c>
      <c r="G10" s="30">
        <f>-447136+447136+369197</f>
        <v>369197</v>
      </c>
      <c r="H10" s="31">
        <f t="shared" si="1"/>
        <v>382909</v>
      </c>
      <c r="I10" s="33">
        <f t="shared" si="2"/>
        <v>19601357</v>
      </c>
      <c r="J10" s="34">
        <f>-38417588-12622035+38424653+12622035+35791910-1689724+12474229</f>
        <v>46583480</v>
      </c>
      <c r="K10" s="35">
        <f t="shared" si="6"/>
        <v>66184837</v>
      </c>
      <c r="L10" s="36" t="s">
        <v>54</v>
      </c>
      <c r="M10" s="37">
        <f>10350347+499489+358742+3325061+664366+1698951+886841+442692+1067268+298497-(10350347+506888+358742+3325061+664366+1689724+886841+442692+1067268+298497)+9796313+429432+80912+2379064+880319+1657442+751000+321536+1050993+291110</f>
        <v>17639949</v>
      </c>
      <c r="N10" s="31">
        <f t="shared" si="4"/>
        <v>28943531</v>
      </c>
      <c r="O10" s="38">
        <f t="shared" si="5"/>
        <v>48544888</v>
      </c>
      <c r="P10" s="34">
        <f>-506888+499489+429432</f>
        <v>422033</v>
      </c>
      <c r="Q10" s="39"/>
      <c r="R10" s="40"/>
    </row>
    <row r="11" spans="1:18" hidden="1" x14ac:dyDescent="0.2">
      <c r="A11" s="29">
        <f>'FERC Interest Rates'!A26</f>
        <v>41790</v>
      </c>
      <c r="B11" s="30">
        <v>6529687</v>
      </c>
      <c r="C11" s="30">
        <v>5039544</v>
      </c>
      <c r="D11" s="30">
        <v>730395</v>
      </c>
      <c r="E11" s="31">
        <f t="shared" si="0"/>
        <v>12299626</v>
      </c>
      <c r="F11" s="32">
        <f>-13712+13712+7236</f>
        <v>7236</v>
      </c>
      <c r="G11" s="30">
        <f>-369197+369197+280289</f>
        <v>280289</v>
      </c>
      <c r="H11" s="31">
        <f t="shared" si="1"/>
        <v>287525</v>
      </c>
      <c r="I11" s="33">
        <f t="shared" si="2"/>
        <v>12587151</v>
      </c>
      <c r="J11" s="34">
        <f>-35791910+1689724-12474229+34110077+12473803+33859025+11641045</f>
        <v>45507535</v>
      </c>
      <c r="K11" s="35">
        <f t="shared" si="6"/>
        <v>58094686</v>
      </c>
      <c r="L11" s="36" t="s">
        <v>54</v>
      </c>
      <c r="M11" s="37">
        <f>9796313+429432+80912+2379064+880319+1657442+751000+321536+1050993+291110-(9796313+429432+80912+2379064+880319+1657442+751000+321536+1050993+291110)+6382262+410029+544843+2415879+816156+1521158+508591+363130+1076119+289404</f>
        <v>14327571</v>
      </c>
      <c r="N11" s="31">
        <f t="shared" si="4"/>
        <v>31179964</v>
      </c>
      <c r="O11" s="38">
        <f t="shared" si="5"/>
        <v>43767115</v>
      </c>
      <c r="P11" s="34">
        <f>-429432+429432+410029</f>
        <v>410029</v>
      </c>
      <c r="Q11" s="39"/>
      <c r="R11" s="40"/>
    </row>
    <row r="12" spans="1:18" hidden="1" x14ac:dyDescent="0.2">
      <c r="A12" s="29">
        <f>'FERC Interest Rates'!A27</f>
        <v>41820</v>
      </c>
      <c r="B12" s="30">
        <v>3836089</v>
      </c>
      <c r="C12" s="30">
        <v>3473639</v>
      </c>
      <c r="D12" s="30">
        <v>585889</v>
      </c>
      <c r="E12" s="31">
        <f t="shared" si="0"/>
        <v>7895617</v>
      </c>
      <c r="F12" s="32">
        <f>-7236+7236+12495</f>
        <v>12495</v>
      </c>
      <c r="G12" s="30">
        <f>-280289+280289+236982</f>
        <v>236982</v>
      </c>
      <c r="H12" s="31">
        <f t="shared" si="1"/>
        <v>249477</v>
      </c>
      <c r="I12" s="33">
        <f t="shared" si="2"/>
        <v>8145094</v>
      </c>
      <c r="J12" s="34">
        <f>-33859025-11641045+33861261+11641045+33441588+9166991</f>
        <v>42610815</v>
      </c>
      <c r="K12" s="35">
        <f t="shared" si="6"/>
        <v>50755909</v>
      </c>
      <c r="L12" s="36" t="s">
        <v>54</v>
      </c>
      <c r="M12" s="37">
        <f>6382262+410029+544843+2415879+816156+1521158+508591+363130+1076119+289404-(6382262+410029+544843+2415879+816156+1521158+508591+363130+1076119+289404)+5496890+368800+100442+2601535+574764+1429307+631237+325924+1072958+266055</f>
        <v>12867912</v>
      </c>
      <c r="N12" s="31">
        <f t="shared" si="4"/>
        <v>29742903</v>
      </c>
      <c r="O12" s="38">
        <f t="shared" si="5"/>
        <v>37887997</v>
      </c>
      <c r="P12" s="34">
        <f>-410029+410029+368800</f>
        <v>368800</v>
      </c>
      <c r="Q12" s="39"/>
      <c r="R12" s="40"/>
    </row>
    <row r="13" spans="1:18" hidden="1" x14ac:dyDescent="0.2">
      <c r="A13" s="29">
        <f>'FERC Interest Rates'!A28</f>
        <v>41851</v>
      </c>
      <c r="B13" s="30">
        <v>3200841</v>
      </c>
      <c r="C13" s="30">
        <v>3132555</v>
      </c>
      <c r="D13" s="30">
        <v>589225</v>
      </c>
      <c r="E13" s="31">
        <f t="shared" si="0"/>
        <v>6922621</v>
      </c>
      <c r="F13" s="32">
        <f>-12495+12495+9729</f>
        <v>9729</v>
      </c>
      <c r="G13" s="30">
        <f>-236982+236982+230095</f>
        <v>230095</v>
      </c>
      <c r="H13" s="31">
        <f t="shared" si="1"/>
        <v>239824</v>
      </c>
      <c r="I13" s="33">
        <f t="shared" si="2"/>
        <v>7162445</v>
      </c>
      <c r="J13" s="34">
        <f>-33441588-9166991+33447225+9166991+34241270+26302235</f>
        <v>60549142</v>
      </c>
      <c r="K13" s="35">
        <f t="shared" si="6"/>
        <v>67711587</v>
      </c>
      <c r="L13" s="36" t="s">
        <v>54</v>
      </c>
      <c r="M13" s="37">
        <f>5496890+371579+100442+2601535+574764+1429307+631237+325924+1072958+266055-(5496890+368800+100442+2601535+574764+1429307+631237+325924+1072958+266055)+6437743+362338+2115355+2428151+719594+1420571+430483+210238+1083197+270305</f>
        <v>15480754</v>
      </c>
      <c r="N13" s="31">
        <f t="shared" si="4"/>
        <v>45068388</v>
      </c>
      <c r="O13" s="38">
        <f t="shared" si="5"/>
        <v>52230833</v>
      </c>
      <c r="P13" s="34">
        <f>-368800+371579+362338</f>
        <v>365117</v>
      </c>
      <c r="Q13" s="39"/>
      <c r="R13" s="40"/>
    </row>
    <row r="14" spans="1:18" hidden="1" x14ac:dyDescent="0.2">
      <c r="A14" s="29">
        <f>'FERC Interest Rates'!A29</f>
        <v>41882</v>
      </c>
      <c r="B14" s="30">
        <v>2405032</v>
      </c>
      <c r="C14" s="30">
        <v>2624238</v>
      </c>
      <c r="D14" s="30">
        <v>469407</v>
      </c>
      <c r="E14" s="31">
        <f t="shared" si="0"/>
        <v>5498677</v>
      </c>
      <c r="F14" s="32">
        <f>-9729+9729+11012</f>
        <v>11012</v>
      </c>
      <c r="G14" s="30">
        <f>-230095+230095+209217</f>
        <v>209217</v>
      </c>
      <c r="H14" s="31">
        <f t="shared" si="1"/>
        <v>220229</v>
      </c>
      <c r="I14" s="33">
        <f t="shared" si="2"/>
        <v>5718906</v>
      </c>
      <c r="J14" s="34">
        <f>-34241270-26302235+34190840+26302235+35905732+41041046</f>
        <v>76896348</v>
      </c>
      <c r="K14" s="35">
        <f t="shared" si="6"/>
        <v>82615254</v>
      </c>
      <c r="L14" s="36" t="s">
        <v>54</v>
      </c>
      <c r="M14" s="37">
        <f>6437743+362338+2115355+2428151+719594+1420571+430483+210238+1083197+270305-(6437743+362338+2115355+2428151+719594+1420571+430483+210238+1083197+270305)+6468590+386762+5042350+2333053+500625+1378732+767133+428981+1079807+270265</f>
        <v>18656298</v>
      </c>
      <c r="N14" s="31">
        <f t="shared" si="4"/>
        <v>58240050</v>
      </c>
      <c r="O14" s="38">
        <f t="shared" si="5"/>
        <v>63958956</v>
      </c>
      <c r="P14" s="34">
        <f>-362338+362338+386762</f>
        <v>386762</v>
      </c>
      <c r="Q14" s="39"/>
      <c r="R14" s="40"/>
    </row>
    <row r="15" spans="1:18" hidden="1" x14ac:dyDescent="0.2">
      <c r="A15" s="29">
        <f>'FERC Interest Rates'!A30</f>
        <v>41912</v>
      </c>
      <c r="B15" s="30">
        <v>2661734</v>
      </c>
      <c r="C15" s="30">
        <v>2810250</v>
      </c>
      <c r="D15" s="30">
        <v>633602</v>
      </c>
      <c r="E15" s="31">
        <f t="shared" si="0"/>
        <v>6105586</v>
      </c>
      <c r="F15" s="32">
        <f>-11012+11012+12365</f>
        <v>12365</v>
      </c>
      <c r="G15" s="30">
        <f>-209217+209217+251364</f>
        <v>251364</v>
      </c>
      <c r="H15" s="31">
        <f t="shared" si="1"/>
        <v>263729</v>
      </c>
      <c r="I15" s="33">
        <f t="shared" si="2"/>
        <v>6369315</v>
      </c>
      <c r="J15" s="34">
        <f>-35905732-41041046+35905963+41041046+37015948+38913065</f>
        <v>75929244</v>
      </c>
      <c r="K15" s="35">
        <f t="shared" si="6"/>
        <v>82298559</v>
      </c>
      <c r="L15" s="36" t="s">
        <v>54</v>
      </c>
      <c r="M15" s="37">
        <f>6468590+386762+5042350+2333053+500625+1378732+767133+428981+1079807+270265-(6468590+386762+5042350+2333053+500625+1378732+767133+428981+1079807+270265)+6768259+397090+4746980+2796281+172941+1499626+782947+412733+1044404+257076</f>
        <v>18878337</v>
      </c>
      <c r="N15" s="31">
        <f t="shared" si="4"/>
        <v>57050907</v>
      </c>
      <c r="O15" s="38">
        <f t="shared" si="5"/>
        <v>63420222</v>
      </c>
      <c r="P15" s="34">
        <f>-386762+386762+397090</f>
        <v>397090</v>
      </c>
      <c r="Q15" s="39"/>
      <c r="R15" s="40"/>
    </row>
    <row r="16" spans="1:18" hidden="1" x14ac:dyDescent="0.2">
      <c r="A16" s="41">
        <f>'FERC Interest Rates'!A31</f>
        <v>41943</v>
      </c>
      <c r="B16" s="42">
        <v>3641361</v>
      </c>
      <c r="C16" s="42">
        <v>3597412</v>
      </c>
      <c r="D16" s="42">
        <v>1455055</v>
      </c>
      <c r="E16" s="43">
        <f t="shared" si="0"/>
        <v>8693828</v>
      </c>
      <c r="F16" s="32">
        <f>-12365+12365+12119</f>
        <v>12119</v>
      </c>
      <c r="G16" s="42">
        <f>-251364+251364+300915</f>
        <v>300915</v>
      </c>
      <c r="H16" s="43">
        <f t="shared" si="1"/>
        <v>313034</v>
      </c>
      <c r="I16" s="44">
        <f t="shared" si="2"/>
        <v>9006862</v>
      </c>
      <c r="J16" s="34">
        <f>-37015948-38913065+37019829+38913065+41711206+26835958</f>
        <v>68551045</v>
      </c>
      <c r="K16" s="45">
        <f t="shared" si="6"/>
        <v>77557907</v>
      </c>
      <c r="L16" s="46" t="s">
        <v>54</v>
      </c>
      <c r="M16" s="42">
        <f>6768259+400820+4746980+2796281+172941+1499626+782947+412733+1044404+257076-(6768259+397090+4746980+2796281+172941+1499626+782947+412733+1044404+257076)+7053573+428038+602341+2997600+38078+1574772+801305+400565+1128241+282568</f>
        <v>15310811</v>
      </c>
      <c r="N16" s="43">
        <f t="shared" si="4"/>
        <v>53240234</v>
      </c>
      <c r="O16" s="38">
        <f t="shared" si="5"/>
        <v>62247096</v>
      </c>
      <c r="P16" s="34">
        <f>-397090+400820+428038</f>
        <v>431768</v>
      </c>
      <c r="Q16" s="39"/>
      <c r="R16" s="40"/>
    </row>
    <row r="17" spans="1:18" hidden="1" x14ac:dyDescent="0.2">
      <c r="A17" s="29">
        <f>'FERC Interest Rates'!A32</f>
        <v>41973</v>
      </c>
      <c r="B17" s="30">
        <v>6851471</v>
      </c>
      <c r="C17" s="30">
        <v>4831845</v>
      </c>
      <c r="D17" s="30">
        <v>977303</v>
      </c>
      <c r="E17" s="31">
        <f t="shared" si="0"/>
        <v>12660619</v>
      </c>
      <c r="F17" s="32">
        <f>-12119+12119+11804</f>
        <v>11804</v>
      </c>
      <c r="G17" s="30">
        <f>-300915+300915+461069</f>
        <v>461069</v>
      </c>
      <c r="H17" s="31">
        <f t="shared" si="1"/>
        <v>472873</v>
      </c>
      <c r="I17" s="33">
        <f t="shared" si="2"/>
        <v>13133492</v>
      </c>
      <c r="J17" s="34">
        <f>-41711206-26835958+41710039+26835958+42244606+21309993</f>
        <v>63553432</v>
      </c>
      <c r="K17" s="35">
        <f t="shared" si="6"/>
        <v>76686924</v>
      </c>
      <c r="L17" s="36" t="s">
        <v>54</v>
      </c>
      <c r="M17" s="37">
        <f>7053573+428038+602341+2997600+38078+1574772+801305+400565+1128241+282568-(7053573+428038+602341+2997600+38078+1574772+801305+400565+1128241+282568)+7251568+535558+2317939+3141571+362918+1926299+824310+457802+1171801+290801</f>
        <v>18280567</v>
      </c>
      <c r="N17" s="31">
        <f t="shared" si="4"/>
        <v>45272865</v>
      </c>
      <c r="O17" s="38">
        <f t="shared" si="5"/>
        <v>58406357</v>
      </c>
      <c r="P17" s="34">
        <f>-428038+428038+535558</f>
        <v>535558</v>
      </c>
      <c r="Q17" s="47"/>
      <c r="R17" s="48"/>
    </row>
    <row r="18" spans="1:18" hidden="1" x14ac:dyDescent="0.2">
      <c r="A18" s="29">
        <f>'FERC Interest Rates'!A33</f>
        <v>42004</v>
      </c>
      <c r="B18" s="30">
        <v>16768304</v>
      </c>
      <c r="C18" s="30">
        <v>12223769</v>
      </c>
      <c r="D18" s="30">
        <v>1506794</v>
      </c>
      <c r="E18" s="31">
        <f t="shared" si="0"/>
        <v>30498867</v>
      </c>
      <c r="F18" s="32">
        <f>-11804+11804+11017</f>
        <v>11017</v>
      </c>
      <c r="G18" s="30">
        <f>-461069+461069+527921</f>
        <v>527921</v>
      </c>
      <c r="H18" s="31">
        <f t="shared" si="1"/>
        <v>538938</v>
      </c>
      <c r="I18" s="33">
        <f t="shared" si="2"/>
        <v>31037805</v>
      </c>
      <c r="J18" s="34">
        <f>-42244606-21309993+42268246+21245123+42259375+20530964</f>
        <v>62749109</v>
      </c>
      <c r="K18" s="35">
        <f t="shared" si="6"/>
        <v>93786914</v>
      </c>
      <c r="L18" s="36" t="s">
        <v>54</v>
      </c>
      <c r="M18" s="37">
        <f>7251568+535558+2317939+3141571+298048+1926299+824310+457802+1171801+290801-(7251568+535558+2317939+3141571+362918+1926299+824310+457802+1171801+290801)+7671976+596910+1235157+3610898+362819+2082095+831536+448199+1199625+297405</f>
        <v>18271750</v>
      </c>
      <c r="N18" s="31">
        <f t="shared" si="4"/>
        <v>44477359</v>
      </c>
      <c r="O18" s="38">
        <f t="shared" si="5"/>
        <v>75515164</v>
      </c>
      <c r="P18" s="34">
        <f>-535558+535558+596910</f>
        <v>596910</v>
      </c>
      <c r="Q18" s="39"/>
      <c r="R18" s="40"/>
    </row>
    <row r="19" spans="1:18" hidden="1" x14ac:dyDescent="0.2">
      <c r="A19" s="29">
        <f>'FERC Interest Rates'!A34</f>
        <v>42035</v>
      </c>
      <c r="B19" s="30">
        <v>17578866</v>
      </c>
      <c r="C19" s="30">
        <v>12961800</v>
      </c>
      <c r="D19" s="30">
        <v>1412476</v>
      </c>
      <c r="E19" s="31">
        <f t="shared" si="0"/>
        <v>31953142</v>
      </c>
      <c r="F19" s="32">
        <f>-11017+11017+12204</f>
        <v>12204</v>
      </c>
      <c r="G19" s="30">
        <f>-527921+527921+529386</f>
        <v>529386</v>
      </c>
      <c r="H19" s="31">
        <f t="shared" ref="H19:H28" si="7">SUM(F19:G19)</f>
        <v>541590</v>
      </c>
      <c r="I19" s="33">
        <f t="shared" si="2"/>
        <v>32494732</v>
      </c>
      <c r="J19" s="34">
        <f>-42259375-20530964+42269854+20530964+41276535+19117684</f>
        <v>60404698</v>
      </c>
      <c r="K19" s="35">
        <f t="shared" si="6"/>
        <v>92899430</v>
      </c>
      <c r="L19" s="36" t="s">
        <v>54</v>
      </c>
      <c r="M19" s="37">
        <f>7671976+601614+1235157+3610898+362819+2082095+831536+448199+1199625+297405-(7671976+596910+1235157+3610898+362819+2082095+831536+448199+1199625+297405)+7775240+628657+261306+2998359+565275+2128262+1002064+552389+1164723+315674</f>
        <v>17396653</v>
      </c>
      <c r="N19" s="31">
        <f t="shared" si="4"/>
        <v>43008045</v>
      </c>
      <c r="O19" s="38">
        <f t="shared" si="5"/>
        <v>75502777</v>
      </c>
      <c r="P19" s="34">
        <f>-596910+601614+628657</f>
        <v>633361</v>
      </c>
      <c r="Q19" s="39"/>
      <c r="R19" s="40"/>
    </row>
    <row r="20" spans="1:18" hidden="1" x14ac:dyDescent="0.2">
      <c r="A20" s="29">
        <f>'FERC Interest Rates'!A35</f>
        <v>42063</v>
      </c>
      <c r="B20" s="30">
        <v>14997100</v>
      </c>
      <c r="C20" s="30">
        <v>11518730</v>
      </c>
      <c r="D20" s="30">
        <v>1613976</v>
      </c>
      <c r="E20" s="31">
        <f t="shared" si="0"/>
        <v>28129806</v>
      </c>
      <c r="F20" s="32">
        <v>14542</v>
      </c>
      <c r="G20" s="30">
        <f>-529386+529366+405270</f>
        <v>405250</v>
      </c>
      <c r="H20" s="31">
        <f t="shared" si="7"/>
        <v>419792</v>
      </c>
      <c r="I20" s="33">
        <f t="shared" si="2"/>
        <v>28549598</v>
      </c>
      <c r="J20" s="34">
        <f>-41276535-19117684+41280723+19117539+34347690+12512992</f>
        <v>46864725</v>
      </c>
      <c r="K20" s="35">
        <f t="shared" si="6"/>
        <v>75414323</v>
      </c>
      <c r="L20" s="36" t="s">
        <v>54</v>
      </c>
      <c r="M20" s="37">
        <f>7775240+628657+261306+2998359+565275+2128262+1002064+552389+1164723+315674-(7775240+628657+261306+2998359+565275+2128262+1002064+552389+1164723+315674)+5552771+509140+113871+2075909+864722+1967544+801800+470618+1096799+284521</f>
        <v>13737695</v>
      </c>
      <c r="N20" s="31">
        <f t="shared" si="4"/>
        <v>33127030</v>
      </c>
      <c r="O20" s="38">
        <f t="shared" si="5"/>
        <v>61676628</v>
      </c>
      <c r="P20" s="34">
        <f>-628657+628657+509140</f>
        <v>509140</v>
      </c>
      <c r="Q20" s="39"/>
      <c r="R20" s="40"/>
    </row>
    <row r="21" spans="1:18" hidden="1" x14ac:dyDescent="0.2">
      <c r="A21" s="29">
        <f>'FERC Interest Rates'!A36</f>
        <v>42094</v>
      </c>
      <c r="B21" s="30">
        <v>12686420</v>
      </c>
      <c r="C21" s="30">
        <v>9397664</v>
      </c>
      <c r="D21" s="30">
        <v>1284186</v>
      </c>
      <c r="E21" s="31">
        <f t="shared" si="0"/>
        <v>23368270</v>
      </c>
      <c r="F21" s="32">
        <f>-14542+14415+9557</f>
        <v>9430</v>
      </c>
      <c r="G21" s="30">
        <f>-405270+405270+394245</f>
        <v>394245</v>
      </c>
      <c r="H21" s="31">
        <f t="shared" si="7"/>
        <v>403675</v>
      </c>
      <c r="I21" s="33">
        <f t="shared" si="2"/>
        <v>23771945</v>
      </c>
      <c r="J21" s="34">
        <f>-34347690-12512992+34352010+12512992+38005282+20640594</f>
        <v>58650196</v>
      </c>
      <c r="K21" s="35">
        <f t="shared" si="6"/>
        <v>82422141</v>
      </c>
      <c r="L21" s="36" t="s">
        <v>54</v>
      </c>
      <c r="M21" s="37">
        <f>5552771+509140+113871+2075909+864722+1967544+801800+470618+1096799+284521-(5552771+509140+113871+2075909+864722+1967544+801800+470618+1096799+284521)+7235152+531599+201239+2265435+683468+2369837+650095+383330+1085376+314698</f>
        <v>15720229</v>
      </c>
      <c r="N21" s="31">
        <f t="shared" si="4"/>
        <v>42929967</v>
      </c>
      <c r="O21" s="38">
        <f t="shared" si="5"/>
        <v>66701912</v>
      </c>
      <c r="P21" s="34">
        <f>-509140+509140+531599</f>
        <v>531599</v>
      </c>
      <c r="Q21" s="39"/>
      <c r="R21" s="40"/>
    </row>
    <row r="22" spans="1:18" hidden="1" x14ac:dyDescent="0.2">
      <c r="A22" s="29">
        <f>'FERC Interest Rates'!A37</f>
        <v>42124</v>
      </c>
      <c r="B22" s="30">
        <v>9059678</v>
      </c>
      <c r="C22" s="30">
        <v>6918371</v>
      </c>
      <c r="D22" s="30">
        <v>935256</v>
      </c>
      <c r="E22" s="31">
        <f t="shared" si="0"/>
        <v>16913305</v>
      </c>
      <c r="F22" s="32">
        <f>-9557+9254+12199</f>
        <v>11896</v>
      </c>
      <c r="G22" s="30">
        <f>-394245+394245+361119</f>
        <v>361119</v>
      </c>
      <c r="H22" s="31">
        <f t="shared" si="7"/>
        <v>373015</v>
      </c>
      <c r="I22" s="33">
        <f t="shared" si="2"/>
        <v>17286320</v>
      </c>
      <c r="J22" s="34">
        <f>-38005282-20640594+38009615+20640594+33858981+20115722</f>
        <v>53979036</v>
      </c>
      <c r="K22" s="35">
        <f t="shared" si="6"/>
        <v>71265356</v>
      </c>
      <c r="L22" s="36" t="s">
        <v>54</v>
      </c>
      <c r="M22" s="37">
        <f>7235152+533473+201239+2265435+683468+2369837+650095+383330+1085376+314698-(7235152+531599+201239+2265435+683468+2369837+650095+383330+1085376+314698)+6684964+463039+552050+2607855+93873+1702162+890245+361162+1107762+342282</f>
        <v>14807268</v>
      </c>
      <c r="N22" s="31">
        <f t="shared" si="4"/>
        <v>39171768</v>
      </c>
      <c r="O22" s="38">
        <f t="shared" si="5"/>
        <v>56458088</v>
      </c>
      <c r="P22" s="34">
        <f>-531599+533473+463039</f>
        <v>464913</v>
      </c>
      <c r="Q22" s="39"/>
      <c r="R22" s="40"/>
    </row>
    <row r="23" spans="1:18" hidden="1" x14ac:dyDescent="0.2">
      <c r="A23" s="29">
        <f>'FERC Interest Rates'!A38</f>
        <v>42155</v>
      </c>
      <c r="B23" s="30">
        <v>6136917</v>
      </c>
      <c r="C23" s="30">
        <v>4971568</v>
      </c>
      <c r="D23" s="30">
        <v>856194</v>
      </c>
      <c r="E23" s="31">
        <f t="shared" si="0"/>
        <v>11964679</v>
      </c>
      <c r="F23" s="32">
        <f>-12199+12199+14905</f>
        <v>14905</v>
      </c>
      <c r="G23" s="30">
        <f>-361119+361119+268036</f>
        <v>268036</v>
      </c>
      <c r="H23" s="31">
        <f t="shared" si="7"/>
        <v>282941</v>
      </c>
      <c r="I23" s="33">
        <f t="shared" si="2"/>
        <v>12247620</v>
      </c>
      <c r="J23" s="34">
        <f>-33858981-20115722+33860743+20115722+33470121+27542200</f>
        <v>61014083</v>
      </c>
      <c r="K23" s="35">
        <f t="shared" si="6"/>
        <v>73261703</v>
      </c>
      <c r="L23" s="36" t="s">
        <v>54</v>
      </c>
      <c r="M23" s="37">
        <f>6684964+463039+552050+2609617+93873+1702162+890245+361162+1107762+342282-(6684964+463039+552050+2607855+93873+1702162+890245+361162+1107762+342282)+7000246+456023+1621381+2652137+524882+1621847+374191+391728+1106384+340345</f>
        <v>16090926</v>
      </c>
      <c r="N23" s="31">
        <f t="shared" si="4"/>
        <v>44923157</v>
      </c>
      <c r="O23" s="38">
        <f t="shared" si="5"/>
        <v>57170777</v>
      </c>
      <c r="P23" s="34">
        <f>-463039+463039+456023</f>
        <v>456023</v>
      </c>
      <c r="Q23" s="39"/>
      <c r="R23" s="40"/>
    </row>
    <row r="24" spans="1:18" hidden="1" x14ac:dyDescent="0.2">
      <c r="A24" s="29">
        <f>'FERC Interest Rates'!A39</f>
        <v>42185</v>
      </c>
      <c r="B24" s="30">
        <v>3875649</v>
      </c>
      <c r="C24" s="30">
        <v>3719322</v>
      </c>
      <c r="D24" s="30">
        <v>678441</v>
      </c>
      <c r="E24" s="31">
        <f t="shared" si="0"/>
        <v>8273412</v>
      </c>
      <c r="F24" s="32">
        <f>-14905+14905+16538</f>
        <v>16538</v>
      </c>
      <c r="G24" s="30">
        <f>-268036+268036+223986</f>
        <v>223986</v>
      </c>
      <c r="H24" s="31">
        <f t="shared" si="7"/>
        <v>240524</v>
      </c>
      <c r="I24" s="33">
        <f t="shared" si="2"/>
        <v>8513936</v>
      </c>
      <c r="J24" s="34">
        <f>-33470121-27542200+33471024+27542200+32081827+26900425</f>
        <v>58983155</v>
      </c>
      <c r="K24" s="35">
        <f t="shared" si="6"/>
        <v>67497091</v>
      </c>
      <c r="L24" s="36" t="s">
        <v>54</v>
      </c>
      <c r="M24" s="37">
        <f>7000246+456023+1621381+2652137+524882+1621847+374191+391728+1106384+340345-(7000246+456023+1621381+2652137+524882+1621847+374191+391728+1106384+340345)+3937653+391055+5658892+2168854+1382635+1646732+737859+425098+1015536+329092</f>
        <v>17693406</v>
      </c>
      <c r="N24" s="31">
        <f t="shared" si="4"/>
        <v>41289749</v>
      </c>
      <c r="O24" s="38">
        <f t="shared" si="5"/>
        <v>49803685</v>
      </c>
      <c r="P24" s="34">
        <f>-456023+456023+391055</f>
        <v>391055</v>
      </c>
      <c r="Q24" s="39"/>
      <c r="R24" s="40"/>
    </row>
    <row r="25" spans="1:18" hidden="1" x14ac:dyDescent="0.2">
      <c r="A25" s="29">
        <f>'FERC Interest Rates'!A40</f>
        <v>42216</v>
      </c>
      <c r="B25" s="30">
        <v>2480569</v>
      </c>
      <c r="C25" s="30">
        <v>2695667</v>
      </c>
      <c r="D25" s="30">
        <v>589631</v>
      </c>
      <c r="E25" s="31">
        <f t="shared" si="0"/>
        <v>5765867</v>
      </c>
      <c r="F25" s="32">
        <f>-16538+16538+8369</f>
        <v>8369</v>
      </c>
      <c r="G25" s="30">
        <f>-223986+223986+197044</f>
        <v>197044</v>
      </c>
      <c r="H25" s="31">
        <f t="shared" si="7"/>
        <v>205413</v>
      </c>
      <c r="I25" s="33">
        <f t="shared" si="2"/>
        <v>5971280</v>
      </c>
      <c r="J25" s="34">
        <f>-32081827-26900425+32083570+26898912+29865378+40621369</f>
        <v>70486977</v>
      </c>
      <c r="K25" s="35">
        <f>I25+J25</f>
        <v>76458257</v>
      </c>
      <c r="L25" s="36" t="s">
        <v>54</v>
      </c>
      <c r="M25" s="37">
        <f>3937653+392798+5658892+2168854+1382635+1646732+737859+425098+1015536+329092-(3937653+391055+5658892+2168854+1382635+1646732+737859+425098+1015536+329092)+7284221+382367+5999621+2253453+469138+1673592+658284+325589+1103993+323435</f>
        <v>20475436</v>
      </c>
      <c r="N25" s="31">
        <f>J25-M25</f>
        <v>50011541</v>
      </c>
      <c r="O25" s="38">
        <f t="shared" si="5"/>
        <v>55982821</v>
      </c>
      <c r="P25" s="34">
        <f>-391055+392798+382367</f>
        <v>384110</v>
      </c>
      <c r="Q25" s="39"/>
      <c r="R25" s="40"/>
    </row>
    <row r="26" spans="1:18" hidden="1" x14ac:dyDescent="0.2">
      <c r="A26" s="29">
        <f>'FERC Interest Rates'!A41</f>
        <v>42247</v>
      </c>
      <c r="B26" s="30">
        <v>2474134</v>
      </c>
      <c r="C26" s="30">
        <v>2789182</v>
      </c>
      <c r="D26" s="30">
        <v>586174</v>
      </c>
      <c r="E26" s="31">
        <f t="shared" si="0"/>
        <v>5849490</v>
      </c>
      <c r="F26" s="32">
        <f>-8369+8369+11302</f>
        <v>11302</v>
      </c>
      <c r="G26" s="30">
        <f>-197044+197044+188629</f>
        <v>188629</v>
      </c>
      <c r="H26" s="31">
        <f t="shared" si="7"/>
        <v>199931</v>
      </c>
      <c r="I26" s="33">
        <f t="shared" si="2"/>
        <v>6049421</v>
      </c>
      <c r="J26" s="34">
        <f>-29865378-40621369+29865378+40621369+31792227+36774894</f>
        <v>68567121</v>
      </c>
      <c r="K26" s="35">
        <f t="shared" si="6"/>
        <v>74616542</v>
      </c>
      <c r="L26" s="36" t="s">
        <v>54</v>
      </c>
      <c r="M26" s="37">
        <f>7284221+382367+5999621+2253453+469138+1673592+658284+325589+1103993+323435-(7284221+382367+5999621+2253453+469138+1673592+658284+325589+1103993+323435)+5979173+397888+4103554+1975935+1000277+1584845+784690+404637+1090094+324857</f>
        <v>17645950</v>
      </c>
      <c r="N26" s="31">
        <f t="shared" si="4"/>
        <v>50921171</v>
      </c>
      <c r="O26" s="38">
        <f t="shared" si="5"/>
        <v>56970592</v>
      </c>
      <c r="P26" s="34">
        <f>-382367+382367+397888</f>
        <v>397888</v>
      </c>
      <c r="Q26" s="39"/>
      <c r="R26" s="40"/>
    </row>
    <row r="27" spans="1:18" hidden="1" x14ac:dyDescent="0.2">
      <c r="A27" s="29">
        <f>'FERC Interest Rates'!A42</f>
        <v>42277</v>
      </c>
      <c r="B27" s="30">
        <v>2883443</v>
      </c>
      <c r="C27" s="30">
        <f>2956283+10810</f>
        <v>2967093</v>
      </c>
      <c r="D27" s="30">
        <f>1097150+10275</f>
        <v>1107425</v>
      </c>
      <c r="E27" s="31">
        <f t="shared" si="0"/>
        <v>6957961</v>
      </c>
      <c r="F27" s="32">
        <f>-11302+11302+10868</f>
        <v>10868</v>
      </c>
      <c r="G27" s="30">
        <f>-188629+188629+238237</f>
        <v>238237</v>
      </c>
      <c r="H27" s="31">
        <f t="shared" si="7"/>
        <v>249105</v>
      </c>
      <c r="I27" s="33">
        <f t="shared" si="2"/>
        <v>7207066</v>
      </c>
      <c r="J27" s="34">
        <f>-31792227-36774894+31792227+36774894+33527440+33218245</f>
        <v>66745685</v>
      </c>
      <c r="K27" s="35">
        <f t="shared" si="6"/>
        <v>73952751</v>
      </c>
      <c r="L27" s="36" t="s">
        <v>54</v>
      </c>
      <c r="M27" s="37">
        <f>5979173+397888+4103554+1975935+1000277+1584845+784690+404637+1090094+324857-(5979173+397888+4103554+1975935+1000277+1584845+784690+404637+1090094+324857)+6663969+400700+2529166+1980304+859837+1282479+714718+417143+1052339+327569</f>
        <v>16228224</v>
      </c>
      <c r="N27" s="31">
        <f t="shared" si="4"/>
        <v>50517461</v>
      </c>
      <c r="O27" s="38">
        <f t="shared" si="5"/>
        <v>57724527</v>
      </c>
      <c r="P27" s="34">
        <f>-397888+397888+400700</f>
        <v>400700</v>
      </c>
      <c r="Q27" s="39"/>
      <c r="R27" s="40"/>
    </row>
    <row r="28" spans="1:18" hidden="1" x14ac:dyDescent="0.2">
      <c r="A28" s="41">
        <f>'FERC Interest Rates'!A43</f>
        <v>42308</v>
      </c>
      <c r="B28" s="34">
        <v>4297977</v>
      </c>
      <c r="C28" s="34">
        <f>-10810+3997908</f>
        <v>3987098</v>
      </c>
      <c r="D28" s="34">
        <f>-10275+1402526</f>
        <v>1392251</v>
      </c>
      <c r="E28" s="38">
        <f t="shared" si="0"/>
        <v>9677326</v>
      </c>
      <c r="F28" s="32">
        <f>-10868+10868+11066</f>
        <v>11066</v>
      </c>
      <c r="G28" s="34">
        <f>-238237+238237+286826</f>
        <v>286826</v>
      </c>
      <c r="H28" s="38">
        <f t="shared" si="7"/>
        <v>297892</v>
      </c>
      <c r="I28" s="33">
        <f t="shared" si="2"/>
        <v>9975218</v>
      </c>
      <c r="J28" s="34">
        <f>-33527440-33218245+33530455+33218245+38814601+32479005</f>
        <v>71296621</v>
      </c>
      <c r="K28" s="35">
        <f t="shared" si="6"/>
        <v>81271839</v>
      </c>
      <c r="L28" s="49" t="s">
        <v>54</v>
      </c>
      <c r="M28" s="50">
        <f>6663969+403715+2529166+1980304+859837+1282479+714718+417143+1052339+327569-(6663969+400700+2529166+1980304+859837+1282479+714718+417143+1052339+327569)+7576528+445697+1221919+2731712+275052+1875869+854414+417872+1105719+323839</f>
        <v>16831636</v>
      </c>
      <c r="N28" s="38">
        <f t="shared" si="4"/>
        <v>54464985</v>
      </c>
      <c r="O28" s="38">
        <f t="shared" si="5"/>
        <v>64440203</v>
      </c>
      <c r="P28" s="34">
        <f>-400700+403715+445697</f>
        <v>448712</v>
      </c>
      <c r="Q28" s="39"/>
      <c r="R28" s="40"/>
    </row>
    <row r="29" spans="1:18" x14ac:dyDescent="0.2">
      <c r="A29" s="29">
        <f>'FERC Interest Rates'!A44</f>
        <v>42338</v>
      </c>
      <c r="B29" s="51">
        <v>7123102</v>
      </c>
      <c r="C29" s="52">
        <v>5044532</v>
      </c>
      <c r="D29" s="52">
        <v>935529</v>
      </c>
      <c r="E29" s="53">
        <f t="shared" ref="E29:E40" si="8">SUM(B29:D29)</f>
        <v>13103163</v>
      </c>
      <c r="F29" s="54">
        <f>-11066+11066+15659</f>
        <v>15659</v>
      </c>
      <c r="G29" s="52">
        <f>-286826+286826+424322</f>
        <v>424322</v>
      </c>
      <c r="H29" s="53">
        <f t="shared" ref="H29:H30" si="9">SUM(F29:G29)</f>
        <v>439981</v>
      </c>
      <c r="I29" s="55">
        <f t="shared" si="2"/>
        <v>13543144</v>
      </c>
      <c r="J29" s="54">
        <f>-38814601-32479005+38810516+32637068+38536211+36698347</f>
        <v>75388536</v>
      </c>
      <c r="K29" s="56">
        <f t="shared" si="6"/>
        <v>88931680</v>
      </c>
      <c r="L29" s="57" t="s">
        <v>54</v>
      </c>
      <c r="M29" s="58">
        <f>7576528+445697+1379982+2731712+275052+1875869+854414+417872+1105719+323839-(7576528+445697+1221919+2731712+275052+1875869+854414+417872+1105719+323839)+7257509+535022+4079051+3147933+331951+2441091+854240+492348+1032222+332415</f>
        <v>20661845</v>
      </c>
      <c r="N29" s="53">
        <f t="shared" si="4"/>
        <v>54726691</v>
      </c>
      <c r="O29" s="55">
        <f t="shared" si="5"/>
        <v>68269835</v>
      </c>
      <c r="P29" s="54">
        <f>-445697+445697+535022</f>
        <v>535022</v>
      </c>
      <c r="Q29" s="47"/>
      <c r="R29" s="48"/>
    </row>
    <row r="30" spans="1:18" x14ac:dyDescent="0.2">
      <c r="A30" s="29">
        <f>'FERC Interest Rates'!A45</f>
        <v>42369</v>
      </c>
      <c r="B30" s="59">
        <v>16299312</v>
      </c>
      <c r="C30" s="34">
        <v>11530090</v>
      </c>
      <c r="D30" s="34">
        <v>1360411</v>
      </c>
      <c r="E30" s="38">
        <f t="shared" si="8"/>
        <v>29189813</v>
      </c>
      <c r="F30" s="32">
        <f>-15659+406+272</f>
        <v>-14981</v>
      </c>
      <c r="G30" s="34">
        <f>-424322+424322+491485</f>
        <v>491485</v>
      </c>
      <c r="H30" s="38">
        <f t="shared" si="9"/>
        <v>476504</v>
      </c>
      <c r="I30" s="33">
        <f t="shared" si="2"/>
        <v>29666317</v>
      </c>
      <c r="J30" s="32">
        <f>-38536211-36698347+38694815+36698347+41166774+28548549</f>
        <v>69873927</v>
      </c>
      <c r="K30" s="35">
        <f t="shared" si="6"/>
        <v>99540244</v>
      </c>
      <c r="L30" s="49" t="s">
        <v>54</v>
      </c>
      <c r="M30" s="60">
        <f>7257509+535022+4079051+3147933+331951+2441091+854240+492348+1032222+332415-(7257509+535022+4079051+3147933+331951+2441091+854240+492348+1032222+332415)+7799801+310029+617027+3019366+119111+2902368+743768+421378+1099518+385043</f>
        <v>17417409</v>
      </c>
      <c r="N30" s="38">
        <f t="shared" si="4"/>
        <v>52456518</v>
      </c>
      <c r="O30" s="33">
        <f t="shared" si="5"/>
        <v>82122835</v>
      </c>
      <c r="P30" s="32">
        <f>-535022+535022+310029</f>
        <v>310029</v>
      </c>
      <c r="Q30" s="39"/>
      <c r="R30" s="40"/>
    </row>
    <row r="31" spans="1:18" x14ac:dyDescent="0.2">
      <c r="A31" s="29">
        <f>'FERC Interest Rates'!A46</f>
        <v>42400</v>
      </c>
      <c r="B31" s="59">
        <v>21787927</v>
      </c>
      <c r="C31" s="34">
        <v>15916106</v>
      </c>
      <c r="D31" s="34">
        <v>1722828</v>
      </c>
      <c r="E31" s="38">
        <f t="shared" si="8"/>
        <v>39426861</v>
      </c>
      <c r="F31" s="32">
        <f>-272+272+430</f>
        <v>430</v>
      </c>
      <c r="G31" s="34">
        <f>-491485+493418+490011</f>
        <v>491944</v>
      </c>
      <c r="H31" s="38">
        <f t="shared" ref="H31:H40" si="10">SUM(F31:G31)</f>
        <v>492374</v>
      </c>
      <c r="I31" s="33">
        <f t="shared" si="2"/>
        <v>39919235</v>
      </c>
      <c r="J31" s="32">
        <f>-41166774-28548549+41165336+28548549+43905259+29123439</f>
        <v>73027260</v>
      </c>
      <c r="K31" s="35">
        <f t="shared" si="6"/>
        <v>112946495</v>
      </c>
      <c r="L31" s="49" t="s">
        <v>54</v>
      </c>
      <c r="M31" s="60">
        <f>7799801+308591+617027+3019366+119111+2902368+743768+421378+1099518+385043-(7799801+310029+617027+3019366+119111+2902368+743768+421378+1099518+385043)+7443944+50651+1174934+3482503+527289+2988622+931500+534420+1182912+385329</f>
        <v>18700666</v>
      </c>
      <c r="N31" s="38">
        <f t="shared" si="4"/>
        <v>54326594</v>
      </c>
      <c r="O31" s="33">
        <f t="shared" si="5"/>
        <v>94245829</v>
      </c>
      <c r="P31" s="32">
        <f>-310029+308591+50651</f>
        <v>49213</v>
      </c>
      <c r="Q31" s="39"/>
      <c r="R31" s="40"/>
    </row>
    <row r="32" spans="1:18" x14ac:dyDescent="0.2">
      <c r="A32" s="29">
        <f>'FERC Interest Rates'!A47</f>
        <v>42429</v>
      </c>
      <c r="B32" s="59">
        <v>15744661</v>
      </c>
      <c r="C32" s="34">
        <v>11885158</v>
      </c>
      <c r="D32" s="34">
        <v>1421652</v>
      </c>
      <c r="E32" s="38">
        <f t="shared" si="8"/>
        <v>29051471</v>
      </c>
      <c r="F32" s="32">
        <f>-430+430+342</f>
        <v>342</v>
      </c>
      <c r="G32" s="34">
        <f>-490011+490011+401220</f>
        <v>401220</v>
      </c>
      <c r="H32" s="38">
        <f t="shared" si="10"/>
        <v>401562</v>
      </c>
      <c r="I32" s="33">
        <f t="shared" si="2"/>
        <v>29453033</v>
      </c>
      <c r="J32" s="32">
        <f>-43905259-29123439+43905259+29123439+37699124+25310382</f>
        <v>63009506</v>
      </c>
      <c r="K32" s="35">
        <f t="shared" si="6"/>
        <v>92462539</v>
      </c>
      <c r="L32" s="49" t="s">
        <v>54</v>
      </c>
      <c r="M32" s="60">
        <f>7443944+50651+1174934+3482503+527289+2988622+931500+534420+1182912+385329-(7443944+50651+1174934+3482503+527289+2988622+931500+534420+1182912+385329)+7867966+120221+2999775+431729+2308672+804013+515788+1073794+353753</f>
        <v>16475711</v>
      </c>
      <c r="N32" s="38">
        <f t="shared" si="4"/>
        <v>46533795</v>
      </c>
      <c r="O32" s="33">
        <f t="shared" si="5"/>
        <v>75986828</v>
      </c>
      <c r="P32" s="32">
        <f>-50651+50651</f>
        <v>0</v>
      </c>
      <c r="Q32" s="39"/>
      <c r="R32" s="40"/>
    </row>
    <row r="33" spans="1:18" x14ac:dyDescent="0.2">
      <c r="A33" s="29">
        <f>'FERC Interest Rates'!A48</f>
        <v>42460</v>
      </c>
      <c r="B33" s="59">
        <v>14256698</v>
      </c>
      <c r="C33" s="34">
        <v>10571037</v>
      </c>
      <c r="D33" s="34">
        <v>1579035</v>
      </c>
      <c r="E33" s="38">
        <f t="shared" si="8"/>
        <v>26406770</v>
      </c>
      <c r="F33" s="32">
        <f>-342+342+256</f>
        <v>256</v>
      </c>
      <c r="G33" s="34">
        <f>-401220+401220+399311</f>
        <v>399311</v>
      </c>
      <c r="H33" s="38">
        <f t="shared" si="10"/>
        <v>399567</v>
      </c>
      <c r="I33" s="33">
        <f t="shared" si="2"/>
        <v>26806337</v>
      </c>
      <c r="J33" s="32">
        <f>-37699124-25310382+37699124+25310382+34622082+12205754</f>
        <v>46827836</v>
      </c>
      <c r="K33" s="35">
        <f t="shared" si="6"/>
        <v>73634173</v>
      </c>
      <c r="L33" s="49" t="s">
        <v>54</v>
      </c>
      <c r="M33" s="60">
        <f>7867966+120221+2999775+431729+2308672+804013+515788+1073794+353753-(7867966+120221+2999775+431729+2308672+804013+515788+1073794+353753)+7271606+2914865+491690+2651138+639600+343195+1169931+479974</f>
        <v>15961999</v>
      </c>
      <c r="N33" s="38">
        <f t="shared" si="4"/>
        <v>30865837</v>
      </c>
      <c r="O33" s="33">
        <f t="shared" si="5"/>
        <v>57672174</v>
      </c>
      <c r="P33" s="32">
        <v>0</v>
      </c>
      <c r="Q33" s="39"/>
      <c r="R33" s="40"/>
    </row>
    <row r="34" spans="1:18" x14ac:dyDescent="0.2">
      <c r="A34" s="29">
        <f>'FERC Interest Rates'!A49</f>
        <v>42490</v>
      </c>
      <c r="B34" s="59">
        <v>9205504</v>
      </c>
      <c r="C34" s="34">
        <v>7116368</v>
      </c>
      <c r="D34" s="34">
        <v>1060027</v>
      </c>
      <c r="E34" s="38">
        <f t="shared" si="8"/>
        <v>17381899</v>
      </c>
      <c r="F34" s="32">
        <f>-256+256+238</f>
        <v>238</v>
      </c>
      <c r="G34" s="34">
        <f>-399311+399311+287800</f>
        <v>287800</v>
      </c>
      <c r="H34" s="38">
        <f t="shared" si="10"/>
        <v>288038</v>
      </c>
      <c r="I34" s="33">
        <f t="shared" si="2"/>
        <v>17669937</v>
      </c>
      <c r="J34" s="32">
        <f>-34622082-12205754+34629307+12205567+31673334+11051053</f>
        <v>42731425</v>
      </c>
      <c r="K34" s="35">
        <f t="shared" si="6"/>
        <v>60401362</v>
      </c>
      <c r="L34" s="49" t="s">
        <v>54</v>
      </c>
      <c r="M34" s="60">
        <f>7271606+-771+2914865+491690+2651138+639600+343195+1169931+479974-(7271606+2914865+491690+2651138+639600+343195+1169931+479974)+6851907+1935645+819902+2547720+180699+421534+1090163+487333</f>
        <v>14334132</v>
      </c>
      <c r="N34" s="38">
        <f t="shared" si="4"/>
        <v>28397293</v>
      </c>
      <c r="O34" s="33">
        <f t="shared" si="5"/>
        <v>46067230</v>
      </c>
      <c r="P34" s="32">
        <f>-771</f>
        <v>-771</v>
      </c>
      <c r="Q34" s="39"/>
      <c r="R34" s="40"/>
    </row>
    <row r="35" spans="1:18" x14ac:dyDescent="0.2">
      <c r="A35" s="29">
        <f>'FERC Interest Rates'!A50</f>
        <v>42521</v>
      </c>
      <c r="B35" s="59">
        <v>4937819</v>
      </c>
      <c r="C35" s="34">
        <v>4184525</v>
      </c>
      <c r="D35" s="34">
        <v>766236</v>
      </c>
      <c r="E35" s="38">
        <f t="shared" si="8"/>
        <v>9888580</v>
      </c>
      <c r="F35" s="32">
        <f>-238+238+223</f>
        <v>223</v>
      </c>
      <c r="G35" s="34">
        <f>-287800+287800+239257</f>
        <v>239257</v>
      </c>
      <c r="H35" s="38">
        <f t="shared" si="10"/>
        <v>239480</v>
      </c>
      <c r="I35" s="33">
        <f t="shared" si="2"/>
        <v>10128060</v>
      </c>
      <c r="J35" s="32">
        <f>-31673334-11051053+31673334+11051053+31280506+19976596</f>
        <v>51257102</v>
      </c>
      <c r="K35" s="35">
        <f t="shared" si="6"/>
        <v>61385162</v>
      </c>
      <c r="L35" s="49" t="s">
        <v>54</v>
      </c>
      <c r="M35" s="60">
        <f>6851907+1935645+819902+2547720+180699+421534+1090163+487333-(6851907+1935645+819902+2547720+180699+421534+1090163+487333)+6282405+121588+2358901+281708+2419712+391675+447431+1085521+483899</f>
        <v>13872840</v>
      </c>
      <c r="N35" s="38">
        <f t="shared" si="4"/>
        <v>37384262</v>
      </c>
      <c r="O35" s="61">
        <f t="shared" si="5"/>
        <v>47512322</v>
      </c>
      <c r="P35" s="32">
        <v>0</v>
      </c>
      <c r="Q35" s="39"/>
      <c r="R35" s="40"/>
    </row>
    <row r="36" spans="1:18" x14ac:dyDescent="0.2">
      <c r="A36" s="29">
        <f>'FERC Interest Rates'!A51</f>
        <v>42551</v>
      </c>
      <c r="B36" s="59">
        <v>4130248</v>
      </c>
      <c r="C36" s="34">
        <v>3716222</v>
      </c>
      <c r="D36" s="34">
        <v>829383</v>
      </c>
      <c r="E36" s="38">
        <f t="shared" si="8"/>
        <v>8675853</v>
      </c>
      <c r="F36" s="32">
        <f>-223+223+392</f>
        <v>392</v>
      </c>
      <c r="G36" s="34">
        <f>-239257+239257+195115</f>
        <v>195115</v>
      </c>
      <c r="H36" s="38">
        <f t="shared" si="10"/>
        <v>195507</v>
      </c>
      <c r="I36" s="33">
        <f t="shared" si="2"/>
        <v>8871360</v>
      </c>
      <c r="J36" s="32">
        <f>-31280506-19976596+31281578+19976409+31848110+24240240</f>
        <v>56089235</v>
      </c>
      <c r="K36" s="35">
        <f t="shared" si="6"/>
        <v>64960595</v>
      </c>
      <c r="L36" s="49" t="s">
        <v>54</v>
      </c>
      <c r="M36" s="60">
        <f>6282405+121588+2358901+281708+2419712+391675+447431+1085521+483899-(6282405+121588+2358901+281708+2419712+391675+447431+1085521+483899)+4670317+1494038+2250693+475886+2087130+443762+423575+1040712+263095</f>
        <v>13149208</v>
      </c>
      <c r="N36" s="38">
        <f t="shared" si="4"/>
        <v>42940027</v>
      </c>
      <c r="O36" s="61">
        <f t="shared" si="5"/>
        <v>51811387</v>
      </c>
      <c r="P36" s="32">
        <v>0</v>
      </c>
      <c r="Q36" s="39"/>
      <c r="R36" s="40"/>
    </row>
    <row r="37" spans="1:18" x14ac:dyDescent="0.2">
      <c r="A37" s="29">
        <f>'FERC Interest Rates'!A52</f>
        <v>42582</v>
      </c>
      <c r="B37" s="59">
        <v>3164014</v>
      </c>
      <c r="C37" s="34">
        <v>3100705</v>
      </c>
      <c r="D37" s="34">
        <v>619421</v>
      </c>
      <c r="E37" s="38">
        <f t="shared" si="8"/>
        <v>6884140</v>
      </c>
      <c r="F37" s="32">
        <f>-392+392</f>
        <v>0</v>
      </c>
      <c r="G37" s="34">
        <f>-195115+195115+228897</f>
        <v>228897</v>
      </c>
      <c r="H37" s="38">
        <f t="shared" si="10"/>
        <v>228897</v>
      </c>
      <c r="I37" s="33">
        <f t="shared" si="2"/>
        <v>7113037</v>
      </c>
      <c r="J37" s="32">
        <f>-31848110-24240240+31848110+24239315+34379688+31950816</f>
        <v>66329579</v>
      </c>
      <c r="K37" s="35">
        <f>I37+J37</f>
        <v>73442616</v>
      </c>
      <c r="L37" s="49" t="s">
        <v>54</v>
      </c>
      <c r="M37" s="60">
        <f>4670317+1494038+2250693+475886+2087130+443762+423575+1040712+263095-(4670317+1494038+2250693+475886+2087130+443762+423575+1040712+263095)+6386347+2552281+2676582+779965+2327217+516534+264558+1105831</f>
        <v>16609315</v>
      </c>
      <c r="N37" s="38">
        <f>J37-M37</f>
        <v>49720264</v>
      </c>
      <c r="O37" s="61">
        <f t="shared" si="5"/>
        <v>56833301</v>
      </c>
      <c r="P37" s="32">
        <v>0</v>
      </c>
      <c r="Q37" s="39"/>
      <c r="R37" s="40"/>
    </row>
    <row r="38" spans="1:18" x14ac:dyDescent="0.2">
      <c r="A38" s="29">
        <f>'FERC Interest Rates'!A53</f>
        <v>42613</v>
      </c>
      <c r="B38" s="59">
        <v>2693650</v>
      </c>
      <c r="C38" s="34">
        <v>2827136</v>
      </c>
      <c r="D38" s="34">
        <v>833412</v>
      </c>
      <c r="E38" s="38">
        <f t="shared" si="8"/>
        <v>6354198</v>
      </c>
      <c r="F38" s="32">
        <f>0+473-0</f>
        <v>473</v>
      </c>
      <c r="G38" s="34">
        <f>228897+179539-228897</f>
        <v>179539</v>
      </c>
      <c r="H38" s="38">
        <f t="shared" si="10"/>
        <v>180012</v>
      </c>
      <c r="I38" s="33">
        <f t="shared" si="2"/>
        <v>6534210</v>
      </c>
      <c r="J38" s="32">
        <f>34379688+31950816+33965986+48674653-34379688-31950816</f>
        <v>82640639</v>
      </c>
      <c r="K38" s="35">
        <f t="shared" ref="K38:K77" si="11">I38+J38</f>
        <v>89174849</v>
      </c>
      <c r="L38" s="49" t="s">
        <v>54</v>
      </c>
      <c r="M38" s="60">
        <f>0+2676582+2327217+516534+264558+1105831+6386347+2552281+0+779965+0+2039021+2178765+777543+401313+1077422+7464379+7191370+0+1729358-0-2676582-2327217-516534-264558-1105831-6386347-2552281-0-779965</f>
        <v>22859171</v>
      </c>
      <c r="N38" s="38">
        <f t="shared" ref="N38:N77" si="12">J38-M38</f>
        <v>59781468</v>
      </c>
      <c r="O38" s="61">
        <f t="shared" si="5"/>
        <v>66315678</v>
      </c>
      <c r="P38" s="32">
        <v>0</v>
      </c>
      <c r="Q38" s="39"/>
      <c r="R38" s="40"/>
    </row>
    <row r="39" spans="1:18" x14ac:dyDescent="0.2">
      <c r="A39" s="29">
        <f>'FERC Interest Rates'!A54</f>
        <v>42643</v>
      </c>
      <c r="B39" s="59">
        <v>2961359</v>
      </c>
      <c r="C39" s="34">
        <v>3113107</v>
      </c>
      <c r="D39" s="34">
        <v>886709</v>
      </c>
      <c r="E39" s="38">
        <f t="shared" si="8"/>
        <v>6961175</v>
      </c>
      <c r="F39" s="32">
        <f>473+407-473</f>
        <v>407</v>
      </c>
      <c r="G39" s="34">
        <f>179539+232998-179539</f>
        <v>232998</v>
      </c>
      <c r="H39" s="38">
        <f t="shared" si="10"/>
        <v>233405</v>
      </c>
      <c r="I39" s="33">
        <f t="shared" si="2"/>
        <v>7194580</v>
      </c>
      <c r="J39" s="32">
        <f>33919265+49297316+37406526+29200560-33965986-48674653</f>
        <v>67183028</v>
      </c>
      <c r="K39" s="35">
        <f t="shared" si="11"/>
        <v>74377608</v>
      </c>
      <c r="L39" s="49" t="s">
        <v>54</v>
      </c>
      <c r="M39" s="60">
        <f>0+2039021+2178765+777543+401313+1077422+7464379+7814033+0+1729358+2577629+2243785+699246+442989+1066817+7289540+1760357+0+780450-0-2039021-2178765-777543-401313-1077422-7464379-7191370-0-1729358</f>
        <v>17483476</v>
      </c>
      <c r="N39" s="38">
        <f t="shared" si="12"/>
        <v>49699552</v>
      </c>
      <c r="O39" s="61">
        <f t="shared" si="5"/>
        <v>56894132</v>
      </c>
      <c r="P39" s="32">
        <v>0</v>
      </c>
      <c r="Q39" s="39"/>
      <c r="R39" s="40"/>
    </row>
    <row r="40" spans="1:18" x14ac:dyDescent="0.2">
      <c r="A40" s="62">
        <f>'FERC Interest Rates'!A55</f>
        <v>42674</v>
      </c>
      <c r="B40" s="63">
        <v>4470556</v>
      </c>
      <c r="C40" s="42">
        <v>3871269</v>
      </c>
      <c r="D40" s="42">
        <v>1333607</v>
      </c>
      <c r="E40" s="43">
        <f t="shared" si="8"/>
        <v>9675432</v>
      </c>
      <c r="F40" s="64">
        <f>407+0-407</f>
        <v>0</v>
      </c>
      <c r="G40" s="42">
        <f>232998+329121-232998</f>
        <v>329121</v>
      </c>
      <c r="H40" s="43">
        <f t="shared" si="10"/>
        <v>329121</v>
      </c>
      <c r="I40" s="44">
        <f t="shared" si="2"/>
        <v>10004553</v>
      </c>
      <c r="J40" s="64">
        <f>37436629+29200560+40991039+12399810-37406526-29200560</f>
        <v>53420952</v>
      </c>
      <c r="K40" s="45">
        <f t="shared" si="11"/>
        <v>63425505</v>
      </c>
      <c r="L40" s="46" t="s">
        <v>54</v>
      </c>
      <c r="M40" s="64">
        <f>0+2577629+2243785+699246+442989+1066817+7289540+1760357+0+780450+2445024+2841352+886699+419709+1178128+7402535+478644+0+313524-2577629-2243785-699246-442989-1066817-7289540-1760357-0-780450</f>
        <v>15965615</v>
      </c>
      <c r="N40" s="43">
        <f t="shared" si="12"/>
        <v>37455337</v>
      </c>
      <c r="O40" s="65">
        <f t="shared" si="5"/>
        <v>47459890</v>
      </c>
      <c r="P40" s="64">
        <v>0</v>
      </c>
      <c r="Q40" s="66"/>
      <c r="R40" s="67"/>
    </row>
    <row r="41" spans="1:18" x14ac:dyDescent="0.2">
      <c r="A41" s="29">
        <f>'FERC Interest Rates'!A56</f>
        <v>42704</v>
      </c>
      <c r="B41" s="30">
        <v>7460324</v>
      </c>
      <c r="C41" s="30">
        <v>5520631</v>
      </c>
      <c r="D41" s="30">
        <v>1187068</v>
      </c>
      <c r="E41" s="31">
        <f t="shared" ref="E41:E77" si="13">SUM(B41:D41)</f>
        <v>14168023</v>
      </c>
      <c r="F41" s="32">
        <f>0+42-0</f>
        <v>42</v>
      </c>
      <c r="G41" s="30">
        <f>329121+378144-329121</f>
        <v>378144</v>
      </c>
      <c r="H41" s="31">
        <f t="shared" ref="H41:H48" si="14">SUM(F41:G41)</f>
        <v>378186</v>
      </c>
      <c r="I41" s="33">
        <f t="shared" si="2"/>
        <v>14546209</v>
      </c>
      <c r="J41" s="54">
        <f>40991039+12399810+38429818+15166485-40991039-12399810</f>
        <v>53596303</v>
      </c>
      <c r="K41" s="35">
        <f t="shared" si="11"/>
        <v>68142512</v>
      </c>
      <c r="L41" s="36" t="s">
        <v>54</v>
      </c>
      <c r="M41" s="60">
        <f>2445024+2841352+886699+419709+1178128+7402535+478644+0+313524+3062402+2411553+783701+387194+1099884+7955874+499335+0+582580-2445024-2841352-886699-419709-1178128-7402535-478644-0-313524</f>
        <v>16782523</v>
      </c>
      <c r="N41" s="31">
        <f t="shared" si="12"/>
        <v>36813780</v>
      </c>
      <c r="O41" s="61">
        <f t="shared" si="5"/>
        <v>51359989</v>
      </c>
      <c r="P41" s="32">
        <v>0</v>
      </c>
      <c r="Q41" s="39"/>
      <c r="R41" s="40"/>
    </row>
    <row r="42" spans="1:18" x14ac:dyDescent="0.2">
      <c r="A42" s="29">
        <f>'FERC Interest Rates'!A57</f>
        <v>42735</v>
      </c>
      <c r="B42" s="30">
        <v>16023779</v>
      </c>
      <c r="C42" s="30">
        <v>11191376</v>
      </c>
      <c r="D42" s="30">
        <v>1548255</v>
      </c>
      <c r="E42" s="31">
        <f t="shared" si="13"/>
        <v>28763410</v>
      </c>
      <c r="F42" s="32">
        <f>42+302-42</f>
        <v>302</v>
      </c>
      <c r="G42" s="30">
        <f>378144+556857-378144</f>
        <v>556857</v>
      </c>
      <c r="H42" s="31">
        <f t="shared" si="14"/>
        <v>557159</v>
      </c>
      <c r="I42" s="33">
        <f t="shared" si="2"/>
        <v>29320569</v>
      </c>
      <c r="J42" s="32">
        <f>38433704+15166485+43025638+24999610-38429818-15166485</f>
        <v>68029134</v>
      </c>
      <c r="K42" s="35">
        <f t="shared" si="11"/>
        <v>97349703</v>
      </c>
      <c r="L42" s="36" t="s">
        <v>54</v>
      </c>
      <c r="M42" s="60">
        <f>3062402+2411553+783701+387194+1099884+7955874+499335+0+582580+3926790+2425780+887524+491709+1204691+7418771+3385699+0+962334-3062402-2411553-783701-387194-1099884-7955874-499335-0-582580</f>
        <v>20703298</v>
      </c>
      <c r="N42" s="31">
        <f t="shared" si="12"/>
        <v>47325836</v>
      </c>
      <c r="O42" s="61">
        <f t="shared" si="5"/>
        <v>76646405</v>
      </c>
      <c r="P42" s="32">
        <v>0</v>
      </c>
      <c r="Q42" s="39"/>
      <c r="R42" s="40"/>
    </row>
    <row r="43" spans="1:18" x14ac:dyDescent="0.2">
      <c r="A43" s="29">
        <f>'FERC Interest Rates'!A58</f>
        <v>42766</v>
      </c>
      <c r="B43" s="30">
        <v>27190532</v>
      </c>
      <c r="C43" s="30">
        <v>20214298</v>
      </c>
      <c r="D43" s="30">
        <v>2077956</v>
      </c>
      <c r="E43" s="31">
        <f t="shared" si="13"/>
        <v>49482786</v>
      </c>
      <c r="F43" s="32">
        <f>302+306-302</f>
        <v>306</v>
      </c>
      <c r="G43" s="30">
        <f>556857+587884-556857</f>
        <v>587884</v>
      </c>
      <c r="H43" s="31">
        <f t="shared" si="14"/>
        <v>588190</v>
      </c>
      <c r="I43" s="33">
        <f t="shared" si="2"/>
        <v>50070976</v>
      </c>
      <c r="J43" s="32">
        <f>43032177+24999610+45464690+23263838-43025638-24999610</f>
        <v>68735067</v>
      </c>
      <c r="K43" s="35">
        <f t="shared" si="11"/>
        <v>118806043</v>
      </c>
      <c r="L43" s="36" t="s">
        <v>54</v>
      </c>
      <c r="M43" s="60">
        <f>3926790+2425780+887524+491709+1204691+7418771+3385699+0+962334+3484534+3336577+962939+597166+1201150+7537049+2120545+0+1281418-3926790-2425780-887524-491709-1204691-7418771-3385699-0-962334</f>
        <v>20521378</v>
      </c>
      <c r="N43" s="31">
        <f t="shared" si="12"/>
        <v>48213689</v>
      </c>
      <c r="O43" s="61">
        <f t="shared" si="5"/>
        <v>98284665</v>
      </c>
      <c r="P43" s="32">
        <v>0</v>
      </c>
      <c r="Q43" s="39"/>
      <c r="R43" s="40"/>
    </row>
    <row r="44" spans="1:18" x14ac:dyDescent="0.2">
      <c r="A44" s="29">
        <f>'FERC Interest Rates'!A59</f>
        <v>42794</v>
      </c>
      <c r="B44" s="30">
        <v>20884784</v>
      </c>
      <c r="C44" s="30">
        <v>16301402</v>
      </c>
      <c r="D44" s="30">
        <v>1709089</v>
      </c>
      <c r="E44" s="31">
        <f t="shared" si="13"/>
        <v>38895275</v>
      </c>
      <c r="F44" s="32">
        <f>306+0-306</f>
        <v>0</v>
      </c>
      <c r="G44" s="30">
        <f>587884+461836-587884</f>
        <v>461836</v>
      </c>
      <c r="H44" s="31">
        <f t="shared" si="14"/>
        <v>461836</v>
      </c>
      <c r="I44" s="33">
        <f t="shared" si="2"/>
        <v>39357111</v>
      </c>
      <c r="J44" s="32">
        <f>45464690+23263838+37268027+17694147-45464690-23263838</f>
        <v>54962174</v>
      </c>
      <c r="K44" s="35">
        <f t="shared" si="11"/>
        <v>94319285</v>
      </c>
      <c r="L44" s="36" t="s">
        <v>54</v>
      </c>
      <c r="M44" s="60">
        <f>3484534+3336577+962939+597166+1201150+7537049+2120545+0+1281418+2000676+2870154+833388+466554+1050982+8259193+371595+0+989453-3484534-3336577-962939-597166-1201150-7537049-2120545-0-1281418</f>
        <v>16841995</v>
      </c>
      <c r="N44" s="31">
        <f t="shared" si="12"/>
        <v>38120179</v>
      </c>
      <c r="O44" s="61">
        <f t="shared" si="5"/>
        <v>77477290</v>
      </c>
      <c r="P44" s="32">
        <v>0</v>
      </c>
      <c r="Q44" s="39"/>
      <c r="R44" s="40"/>
    </row>
    <row r="45" spans="1:18" x14ac:dyDescent="0.2">
      <c r="A45" s="29">
        <f>'FERC Interest Rates'!A60</f>
        <v>42825</v>
      </c>
      <c r="B45" s="30">
        <v>19202444</v>
      </c>
      <c r="C45" s="30">
        <v>14510217</v>
      </c>
      <c r="D45" s="30">
        <v>1905197</v>
      </c>
      <c r="E45" s="31">
        <f t="shared" si="13"/>
        <v>35617858</v>
      </c>
      <c r="F45" s="32">
        <v>0</v>
      </c>
      <c r="G45" s="30">
        <f>461836+254557-461836</f>
        <v>254557</v>
      </c>
      <c r="H45" s="31">
        <f t="shared" si="14"/>
        <v>254557</v>
      </c>
      <c r="I45" s="33">
        <f t="shared" si="2"/>
        <v>35872415</v>
      </c>
      <c r="J45" s="32">
        <f>37268027+17694147+37953585+16518243-37268027-17694147</f>
        <v>54471828</v>
      </c>
      <c r="K45" s="35">
        <f t="shared" si="11"/>
        <v>90344243</v>
      </c>
      <c r="L45" s="36" t="s">
        <v>54</v>
      </c>
      <c r="M45" s="60">
        <f>2000676+2870154+833388+466554+1050982+8259193+371595+0+989453+1114837+2218389+884624+518572+1157347+8127230+0+0+2016355-2000676-2870154-833388-466554-1050982-8259193-371595-0-989453</f>
        <v>16037354</v>
      </c>
      <c r="N45" s="31">
        <f t="shared" si="12"/>
        <v>38434474</v>
      </c>
      <c r="O45" s="61">
        <f t="shared" si="5"/>
        <v>74306889</v>
      </c>
      <c r="P45" s="32">
        <v>0</v>
      </c>
      <c r="Q45" s="39"/>
      <c r="R45" s="40"/>
    </row>
    <row r="46" spans="1:18" x14ac:dyDescent="0.2">
      <c r="A46" s="29">
        <f>'FERC Interest Rates'!A61</f>
        <v>42855</v>
      </c>
      <c r="B46" s="30">
        <v>11408371</v>
      </c>
      <c r="C46" s="30">
        <v>8565387</v>
      </c>
      <c r="D46" s="30">
        <v>1187261</v>
      </c>
      <c r="E46" s="31">
        <f t="shared" si="13"/>
        <v>21161019</v>
      </c>
      <c r="F46" s="32">
        <v>0</v>
      </c>
      <c r="G46" s="30">
        <f>254557+215195-254557</f>
        <v>215195</v>
      </c>
      <c r="H46" s="31">
        <f t="shared" si="14"/>
        <v>215195</v>
      </c>
      <c r="I46" s="33">
        <f t="shared" si="2"/>
        <v>21376214</v>
      </c>
      <c r="J46" s="32">
        <f>37981777+16520502+33008626+19200909-37953585-16518243</f>
        <v>52239986</v>
      </c>
      <c r="K46" s="35">
        <f t="shared" si="11"/>
        <v>73616200</v>
      </c>
      <c r="L46" s="36" t="s">
        <v>54</v>
      </c>
      <c r="M46" s="60">
        <f>1114837+2218389+884624+518572+1157347+8127230+0+0+2016355+2338365+2019393+694319+408263+1102654+6745703+0+0+2347790-1114837-2218389-884624-518572-1157347-8127230-0-0-2016355</f>
        <v>15656487</v>
      </c>
      <c r="N46" s="31">
        <f t="shared" si="12"/>
        <v>36583499</v>
      </c>
      <c r="O46" s="61">
        <f t="shared" si="5"/>
        <v>57959713</v>
      </c>
      <c r="P46" s="32">
        <v>0</v>
      </c>
      <c r="Q46" s="39"/>
      <c r="R46" s="40"/>
    </row>
    <row r="47" spans="1:18" x14ac:dyDescent="0.2">
      <c r="A47" s="29">
        <f>'FERC Interest Rates'!A62</f>
        <v>42886</v>
      </c>
      <c r="B47" s="30">
        <v>8224421</v>
      </c>
      <c r="C47" s="30">
        <v>6567715</v>
      </c>
      <c r="D47" s="30">
        <v>1017214</v>
      </c>
      <c r="E47" s="31">
        <f t="shared" si="13"/>
        <v>15809350</v>
      </c>
      <c r="F47" s="32">
        <v>0</v>
      </c>
      <c r="G47" s="30">
        <f>215195+163812-215195</f>
        <v>163812</v>
      </c>
      <c r="H47" s="31">
        <f t="shared" si="14"/>
        <v>163812</v>
      </c>
      <c r="I47" s="33">
        <f t="shared" si="2"/>
        <v>15973162</v>
      </c>
      <c r="J47" s="32">
        <f>33008626+19200909+32434391+10035547-33008626-19200909</f>
        <v>42469938</v>
      </c>
      <c r="K47" s="35">
        <f t="shared" si="11"/>
        <v>58443100</v>
      </c>
      <c r="L47" s="36" t="s">
        <v>54</v>
      </c>
      <c r="M47" s="60">
        <f>2338365+2019393+694319+408263+1102654+6745703+0+0+2347790+1936209+1949500+809100+542182+1061819+5660151+204038+0+2064599-2338365-2019393-694319-408263-1102654-6745703-0-0-2347790</f>
        <v>14227598</v>
      </c>
      <c r="N47" s="31">
        <f t="shared" si="12"/>
        <v>28242340</v>
      </c>
      <c r="O47" s="61">
        <f t="shared" si="5"/>
        <v>44215502</v>
      </c>
      <c r="P47" s="32">
        <v>0</v>
      </c>
      <c r="Q47" s="39"/>
      <c r="R47" s="40"/>
    </row>
    <row r="48" spans="1:18" x14ac:dyDescent="0.2">
      <c r="A48" s="29">
        <f>'FERC Interest Rates'!A63</f>
        <v>42916</v>
      </c>
      <c r="B48" s="30">
        <v>4796437</v>
      </c>
      <c r="C48" s="30">
        <v>4561620</v>
      </c>
      <c r="D48" s="30">
        <v>969855</v>
      </c>
      <c r="E48" s="31">
        <f t="shared" si="13"/>
        <v>10327912</v>
      </c>
      <c r="F48" s="32">
        <v>0</v>
      </c>
      <c r="G48" s="30">
        <f>163812+116861-163812</f>
        <v>116861</v>
      </c>
      <c r="H48" s="31">
        <f t="shared" si="14"/>
        <v>116861</v>
      </c>
      <c r="I48" s="33">
        <f t="shared" si="2"/>
        <v>10444773</v>
      </c>
      <c r="J48" s="32">
        <f>32434391+10035547+34063374+9524292-32434391-10035547</f>
        <v>43587666</v>
      </c>
      <c r="K48" s="35">
        <f t="shared" si="11"/>
        <v>54032439</v>
      </c>
      <c r="L48" s="36" t="s">
        <v>54</v>
      </c>
      <c r="M48" s="60">
        <f>1936209+1949500+809100+542182+1061819+5660151+204038+0+2064599+1983194+1913414+847781+379371+1018577+5851796+510074+0+1740127-1936209-1949500-809100-542182-1061819-5660151-204038-0-2064599</f>
        <v>14244334</v>
      </c>
      <c r="N48" s="31">
        <f t="shared" si="12"/>
        <v>29343332</v>
      </c>
      <c r="O48" s="61">
        <f t="shared" si="5"/>
        <v>39788105</v>
      </c>
      <c r="P48" s="32">
        <v>0</v>
      </c>
      <c r="Q48" s="39"/>
      <c r="R48" s="40"/>
    </row>
    <row r="49" spans="1:19" x14ac:dyDescent="0.2">
      <c r="A49" s="29">
        <f>'FERC Interest Rates'!A64</f>
        <v>42947</v>
      </c>
      <c r="B49" s="30">
        <v>2971109</v>
      </c>
      <c r="C49" s="30">
        <v>3057015</v>
      </c>
      <c r="D49" s="30">
        <v>669283</v>
      </c>
      <c r="E49" s="31">
        <f t="shared" si="13"/>
        <v>6697407</v>
      </c>
      <c r="F49" s="32">
        <v>0</v>
      </c>
      <c r="G49" s="30">
        <f>119628+110174-116861</f>
        <v>112941</v>
      </c>
      <c r="H49" s="31">
        <f t="shared" ref="H49:H52" si="15">SUM(F49:G49)</f>
        <v>112941</v>
      </c>
      <c r="I49" s="33">
        <f t="shared" si="2"/>
        <v>6810348</v>
      </c>
      <c r="J49" s="32">
        <f>35353105+10380515+32150027+28096283-34063374-9524292</f>
        <v>62392264</v>
      </c>
      <c r="K49" s="35">
        <f t="shared" si="11"/>
        <v>69202612</v>
      </c>
      <c r="L49" s="36" t="s">
        <v>54</v>
      </c>
      <c r="M49" s="60">
        <f>2041936+1942640+865737+393826+1044006+6339130+521149+1899989+2109495+2030833+733233+382876+1043846+5871056+3799320+0+173422-1983194-1913414-847781-379371-1018577-5851796-510074-0-1740127</f>
        <v>16948160</v>
      </c>
      <c r="N49" s="31">
        <f t="shared" si="12"/>
        <v>45444104</v>
      </c>
      <c r="O49" s="61">
        <f t="shared" si="5"/>
        <v>52254452</v>
      </c>
      <c r="P49" s="32">
        <v>0</v>
      </c>
      <c r="Q49" s="39"/>
      <c r="R49" s="40"/>
    </row>
    <row r="50" spans="1:19" x14ac:dyDescent="0.2">
      <c r="A50" s="29">
        <f>'FERC Interest Rates'!A65</f>
        <v>42978</v>
      </c>
      <c r="B50" s="30">
        <v>2722316</v>
      </c>
      <c r="C50" s="30">
        <v>3053970</v>
      </c>
      <c r="D50" s="30">
        <v>907798</v>
      </c>
      <c r="E50" s="31">
        <f t="shared" si="13"/>
        <v>6684084</v>
      </c>
      <c r="F50" s="32">
        <v>0</v>
      </c>
      <c r="G50" s="30">
        <f>110174+103640-110174</f>
        <v>103640</v>
      </c>
      <c r="H50" s="31">
        <f t="shared" si="15"/>
        <v>103640</v>
      </c>
      <c r="I50" s="33">
        <f t="shared" si="2"/>
        <v>6787724</v>
      </c>
      <c r="J50" s="32">
        <f>32174046+28097391+34124815+35723720-32150027-28096283</f>
        <v>69873662</v>
      </c>
      <c r="K50" s="35">
        <f t="shared" si="11"/>
        <v>76661386</v>
      </c>
      <c r="L50" s="36" t="s">
        <v>54</v>
      </c>
      <c r="M50" s="60">
        <f>2109495+2030833+733233+382876+1043846+5871056+3799320+0+173422+2147341+1590458+777249+405347+1032367+7019686+5645286+0+434753-2109495-2030833-733233-382876-1043846-5871056-3799320-0-173422</f>
        <v>19052487</v>
      </c>
      <c r="N50" s="31">
        <f t="shared" si="12"/>
        <v>50821175</v>
      </c>
      <c r="O50" s="61">
        <f t="shared" si="5"/>
        <v>57608899</v>
      </c>
      <c r="P50" s="32">
        <v>0</v>
      </c>
      <c r="Q50" s="39"/>
      <c r="R50" s="40"/>
    </row>
    <row r="51" spans="1:19" x14ac:dyDescent="0.2">
      <c r="A51" s="29">
        <f>'FERC Interest Rates'!A66</f>
        <v>43008</v>
      </c>
      <c r="B51" s="34">
        <v>2576731</v>
      </c>
      <c r="C51" s="34">
        <v>2907438</v>
      </c>
      <c r="D51" s="34">
        <v>832457</v>
      </c>
      <c r="E51" s="38">
        <f t="shared" si="13"/>
        <v>6316626</v>
      </c>
      <c r="F51" s="32">
        <v>0</v>
      </c>
      <c r="G51" s="34">
        <f>103640+112511-103640</f>
        <v>112511</v>
      </c>
      <c r="H51" s="38">
        <f t="shared" si="15"/>
        <v>112511</v>
      </c>
      <c r="I51" s="33">
        <f t="shared" si="2"/>
        <v>6429137</v>
      </c>
      <c r="J51" s="32">
        <f>34127073+35721462+35117309+28556525-34124815-35723720</f>
        <v>63673834</v>
      </c>
      <c r="K51" s="35">
        <f t="shared" si="11"/>
        <v>70102971</v>
      </c>
      <c r="L51" s="49" t="s">
        <v>54</v>
      </c>
      <c r="M51" s="60">
        <f>2147341+1590458+777249+405347+1032367+7019686+5645286+0+434753+2276659+2023342+747958+372413+983101+6808000+1690168+0+80516-2147341-1590458-777249-405347-1032367-7019686-5645286-0-434753</f>
        <v>14982157</v>
      </c>
      <c r="N51" s="38">
        <f t="shared" si="12"/>
        <v>48691677</v>
      </c>
      <c r="O51" s="61">
        <f t="shared" si="5"/>
        <v>55120814</v>
      </c>
      <c r="P51" s="32">
        <v>0</v>
      </c>
      <c r="Q51" s="39"/>
      <c r="R51" s="40"/>
    </row>
    <row r="52" spans="1:19" x14ac:dyDescent="0.2">
      <c r="A52" s="41">
        <f>'FERC Interest Rates'!A67</f>
        <v>43039</v>
      </c>
      <c r="B52" s="42">
        <v>5100019</v>
      </c>
      <c r="C52" s="42">
        <f>4572157+449</f>
        <v>4572606</v>
      </c>
      <c r="D52" s="42">
        <v>1530746</v>
      </c>
      <c r="E52" s="43">
        <f t="shared" si="13"/>
        <v>11203371</v>
      </c>
      <c r="F52" s="64">
        <v>555</v>
      </c>
      <c r="G52" s="42">
        <f>112511+209141-112511</f>
        <v>209141</v>
      </c>
      <c r="H52" s="43">
        <f t="shared" si="15"/>
        <v>209696</v>
      </c>
      <c r="I52" s="44">
        <f t="shared" si="2"/>
        <v>11413067</v>
      </c>
      <c r="J52" s="64">
        <f>35117309+28556525+39983871+25034069-35117309-28556525</f>
        <v>65017940</v>
      </c>
      <c r="K52" s="45">
        <f t="shared" si="11"/>
        <v>76431007</v>
      </c>
      <c r="L52" s="46" t="s">
        <v>54</v>
      </c>
      <c r="M52" s="64">
        <f>2276659+2023342+747958+372413+983101+6808000+1690168+0+80516+2852203+2417482+802269+501609+1023937+4575090+58490+0+29311-2276659-2023342-747958-372413-983101-6808000-1690168-0-80516</f>
        <v>12260391</v>
      </c>
      <c r="N52" s="43">
        <f t="shared" si="12"/>
        <v>52757549</v>
      </c>
      <c r="O52" s="65">
        <f t="shared" si="5"/>
        <v>64170616</v>
      </c>
      <c r="P52" s="64">
        <v>0</v>
      </c>
      <c r="Q52" s="66"/>
      <c r="R52" s="67"/>
    </row>
    <row r="53" spans="1:19" x14ac:dyDescent="0.2">
      <c r="A53" s="29">
        <f>'FERC Interest Rates'!A68</f>
        <v>43069</v>
      </c>
      <c r="B53" s="30">
        <v>10497863</v>
      </c>
      <c r="C53" s="30">
        <f>7823395+1372-449</f>
        <v>7824318</v>
      </c>
      <c r="D53" s="30">
        <v>1278888</v>
      </c>
      <c r="E53" s="31">
        <f t="shared" si="13"/>
        <v>19601069</v>
      </c>
      <c r="F53" s="32">
        <f>555+372-555</f>
        <v>372</v>
      </c>
      <c r="G53" s="30">
        <f>209141+229655-209141</f>
        <v>229655</v>
      </c>
      <c r="H53" s="31">
        <f t="shared" ref="H53:H64" si="16">SUM(F53:G53)</f>
        <v>230027</v>
      </c>
      <c r="I53" s="33">
        <f t="shared" si="2"/>
        <v>19831096</v>
      </c>
      <c r="J53" s="32">
        <f>39983871+25034069+39459711+17526517-39983871-25034069</f>
        <v>56986228</v>
      </c>
      <c r="K53" s="35">
        <f t="shared" si="11"/>
        <v>76817324</v>
      </c>
      <c r="L53" s="36" t="s">
        <v>54</v>
      </c>
      <c r="M53" s="60">
        <f>2852203+2417482+802269+501609+1023937+4575090+58490+0+29311+2878277+2587998+757035+433259+959885+6077171+1751978+0+560788-2852203-2417482-802269-501609-1023937-4575090-58490-0-29311</f>
        <v>16006391</v>
      </c>
      <c r="N53" s="31">
        <f t="shared" si="12"/>
        <v>40979837</v>
      </c>
      <c r="O53" s="61">
        <f t="shared" si="5"/>
        <v>60810933</v>
      </c>
      <c r="P53" s="32">
        <v>0</v>
      </c>
      <c r="Q53" s="39"/>
      <c r="R53" s="40"/>
      <c r="S53" s="1" t="s">
        <v>55</v>
      </c>
    </row>
    <row r="54" spans="1:19" x14ac:dyDescent="0.2">
      <c r="A54" s="29">
        <f>'FERC Interest Rates'!A69</f>
        <v>43100</v>
      </c>
      <c r="B54" s="30">
        <v>16164227</v>
      </c>
      <c r="C54" s="30">
        <f>11939622+2767-1372</f>
        <v>11941017</v>
      </c>
      <c r="D54" s="30">
        <v>1609946</v>
      </c>
      <c r="E54" s="31">
        <f t="shared" si="13"/>
        <v>29715190</v>
      </c>
      <c r="F54" s="32">
        <f>372+417-372</f>
        <v>417</v>
      </c>
      <c r="G54" s="30">
        <f>229655+258064-229655</f>
        <v>258064</v>
      </c>
      <c r="H54" s="31">
        <f t="shared" si="16"/>
        <v>258481</v>
      </c>
      <c r="I54" s="33">
        <f t="shared" si="2"/>
        <v>29973671</v>
      </c>
      <c r="J54" s="32">
        <f>39459711+17526517+41915890+25317310-39459711-17526517</f>
        <v>67233200</v>
      </c>
      <c r="K54" s="35">
        <f t="shared" si="11"/>
        <v>97206871</v>
      </c>
      <c r="L54" s="36" t="s">
        <v>54</v>
      </c>
      <c r="M54" s="60">
        <f>2878277+2587998+757035+433259+959885+6077171+1751978+0+560788+3051191+2729250+726643+680640+1123009+7340017+2258956+0+423046-2878277-2587998-757035-433259-959885-6077171-1751978-0-560788</f>
        <v>18332752</v>
      </c>
      <c r="N54" s="31">
        <f t="shared" si="12"/>
        <v>48900448</v>
      </c>
      <c r="O54" s="61">
        <f t="shared" si="5"/>
        <v>78874119</v>
      </c>
      <c r="P54" s="32">
        <v>0</v>
      </c>
      <c r="Q54" s="39"/>
      <c r="R54" s="40"/>
    </row>
    <row r="55" spans="1:19" x14ac:dyDescent="0.2">
      <c r="A55" s="29">
        <f>'FERC Interest Rates'!A70</f>
        <v>43131</v>
      </c>
      <c r="B55" s="30">
        <v>22610497</v>
      </c>
      <c r="C55" s="30">
        <f>16792784+4356-2767</f>
        <v>16794373</v>
      </c>
      <c r="D55" s="30">
        <v>1908527</v>
      </c>
      <c r="E55" s="31">
        <f t="shared" si="13"/>
        <v>41313397</v>
      </c>
      <c r="F55" s="32">
        <f>417+1267-417</f>
        <v>1267</v>
      </c>
      <c r="G55" s="30">
        <f>258064+248863-258064</f>
        <v>248863</v>
      </c>
      <c r="H55" s="31">
        <f t="shared" si="16"/>
        <v>250130</v>
      </c>
      <c r="I55" s="33">
        <f t="shared" si="2"/>
        <v>41563527</v>
      </c>
      <c r="J55" s="32">
        <f>42045207+25317310+43764746+11057139-41915890-25317310</f>
        <v>54951202</v>
      </c>
      <c r="K55" s="35">
        <f t="shared" si="11"/>
        <v>96514729</v>
      </c>
      <c r="L55" s="36" t="s">
        <v>54</v>
      </c>
      <c r="M55" s="60">
        <f>3051191+2729250+726643+680640+1123009+7340017+2258956+0+423046+2911276+2540999+844542+536468+1178958+7140034+0+953897-3051191-2729250-726643-680640-1123009-7340017-2258956-0-423046</f>
        <v>16106174</v>
      </c>
      <c r="N55" s="31">
        <f t="shared" si="12"/>
        <v>38845028</v>
      </c>
      <c r="O55" s="61">
        <f t="shared" si="5"/>
        <v>80408555</v>
      </c>
      <c r="P55" s="32">
        <v>0</v>
      </c>
      <c r="Q55" s="68">
        <f>12394705-16210590</f>
        <v>-3815885</v>
      </c>
      <c r="R55" s="69">
        <f>9146743-11843174</f>
        <v>-2696431</v>
      </c>
    </row>
    <row r="56" spans="1:19" x14ac:dyDescent="0.2">
      <c r="A56" s="29">
        <f>'FERC Interest Rates'!A71</f>
        <v>43159</v>
      </c>
      <c r="B56" s="30">
        <v>15930429</v>
      </c>
      <c r="C56" s="30">
        <f>12040735+5757-4356</f>
        <v>12042136</v>
      </c>
      <c r="D56" s="30">
        <v>1517494</v>
      </c>
      <c r="E56" s="31">
        <f t="shared" si="13"/>
        <v>29490059</v>
      </c>
      <c r="F56" s="32">
        <f>1267+0-1267</f>
        <v>0</v>
      </c>
      <c r="G56" s="30">
        <f>248863+242159-248863</f>
        <v>242159</v>
      </c>
      <c r="H56" s="31">
        <f t="shared" si="16"/>
        <v>242159</v>
      </c>
      <c r="I56" s="33">
        <f t="shared" si="2"/>
        <v>29732218</v>
      </c>
      <c r="J56" s="32">
        <f>43786362+11057139+38242861+15978140-43764746-11057139</f>
        <v>54242617</v>
      </c>
      <c r="K56" s="35">
        <f t="shared" si="11"/>
        <v>83974835</v>
      </c>
      <c r="L56" s="36" t="s">
        <v>54</v>
      </c>
      <c r="M56" s="60">
        <f>2911276+2540999+844542+536468+1178958+7140034+0+0+953897+2487591+2254074+744870+510054+1083209+6489580+1333642+0+697234-2911276-2540999-844542-536468-1178958-7140034-0-0-953897</f>
        <v>15600254</v>
      </c>
      <c r="N56" s="31">
        <f t="shared" si="12"/>
        <v>38642363</v>
      </c>
      <c r="O56" s="61">
        <f t="shared" si="5"/>
        <v>68374581</v>
      </c>
      <c r="P56" s="32">
        <v>0</v>
      </c>
      <c r="Q56" s="68">
        <f>14191411-12394705</f>
        <v>1796706</v>
      </c>
      <c r="R56" s="69">
        <f>10687012-9146743</f>
        <v>1540269</v>
      </c>
    </row>
    <row r="57" spans="1:19" x14ac:dyDescent="0.2">
      <c r="A57" s="29">
        <f>'FERC Interest Rates'!A72</f>
        <v>43190</v>
      </c>
      <c r="B57" s="30">
        <v>18880636</v>
      </c>
      <c r="C57" s="30">
        <f>13967249+4526-5757</f>
        <v>13966018</v>
      </c>
      <c r="D57" s="30">
        <v>1685605</v>
      </c>
      <c r="E57" s="31">
        <f t="shared" si="13"/>
        <v>34532259</v>
      </c>
      <c r="F57" s="32">
        <f>0+51-0</f>
        <v>51</v>
      </c>
      <c r="G57" s="30">
        <f>242159+240280-242159</f>
        <v>240280</v>
      </c>
      <c r="H57" s="31">
        <f t="shared" si="16"/>
        <v>240331</v>
      </c>
      <c r="I57" s="33">
        <f t="shared" si="2"/>
        <v>34772590</v>
      </c>
      <c r="J57" s="32">
        <f>38242861+15978140+40193634+19191924-38242861-15978140</f>
        <v>59385558</v>
      </c>
      <c r="K57" s="35">
        <f t="shared" si="11"/>
        <v>94158148</v>
      </c>
      <c r="L57" s="36" t="s">
        <v>54</v>
      </c>
      <c r="M57" s="60">
        <f>2487591+2254074+744870+510054+1083209+6489580+1333642+0+697234+2589124+2360194+764763+457960+1189749+6698693+407699+0+925311-2487591-2254074-744870-510054-1083209-6489580-1333642-0-697234</f>
        <v>15393493</v>
      </c>
      <c r="N57" s="31">
        <f t="shared" si="12"/>
        <v>43992065</v>
      </c>
      <c r="O57" s="61">
        <f t="shared" si="5"/>
        <v>78764655</v>
      </c>
      <c r="P57" s="32">
        <v>0</v>
      </c>
      <c r="Q57" s="68">
        <f>9771873-14191411</f>
        <v>-4419538</v>
      </c>
      <c r="R57" s="69">
        <f>7181224-10687012</f>
        <v>-3505788</v>
      </c>
    </row>
    <row r="58" spans="1:19" x14ac:dyDescent="0.2">
      <c r="A58" s="29">
        <f>'FERC Interest Rates'!A73</f>
        <v>43220</v>
      </c>
      <c r="B58" s="30">
        <v>12554859</v>
      </c>
      <c r="C58" s="30">
        <f>9771046+2823-4526</f>
        <v>9769343</v>
      </c>
      <c r="D58" s="30">
        <v>1448402</v>
      </c>
      <c r="E58" s="31">
        <f t="shared" si="13"/>
        <v>23772604</v>
      </c>
      <c r="F58" s="32">
        <f>51+0-51</f>
        <v>0</v>
      </c>
      <c r="G58" s="30">
        <f>240280+200185-240280</f>
        <v>200185</v>
      </c>
      <c r="H58" s="31">
        <f t="shared" si="16"/>
        <v>200185</v>
      </c>
      <c r="I58" s="33">
        <f t="shared" si="2"/>
        <v>23972789</v>
      </c>
      <c r="J58" s="32">
        <f>40193634+19191924+34723759+11132239-40193634-19191924</f>
        <v>45855998</v>
      </c>
      <c r="K58" s="35">
        <f t="shared" si="11"/>
        <v>69828787</v>
      </c>
      <c r="L58" s="36" t="s">
        <v>54</v>
      </c>
      <c r="M58" s="60">
        <f>2589124+2360194+764763+457960+1189749+6698693+407699+0+925311+2576948+2420053+760782+395328+1117418+5962269+0+0+248626-2589124-2360194-764763-457960-1189749-6698693-407699-0-925311</f>
        <v>13481424</v>
      </c>
      <c r="N58" s="31">
        <f t="shared" si="12"/>
        <v>32374574</v>
      </c>
      <c r="O58" s="61">
        <f t="shared" si="5"/>
        <v>56347363</v>
      </c>
      <c r="P58" s="32">
        <v>0</v>
      </c>
      <c r="Q58" s="68">
        <f>6423644-9771873</f>
        <v>-3348229</v>
      </c>
      <c r="R58" s="69">
        <f>4977541-7181224</f>
        <v>-2203683</v>
      </c>
    </row>
    <row r="59" spans="1:19" x14ac:dyDescent="0.2">
      <c r="A59" s="29">
        <f>'FERC Interest Rates'!A74</f>
        <v>43251</v>
      </c>
      <c r="B59" s="30">
        <v>7404984</v>
      </c>
      <c r="C59" s="30">
        <f>6243183+520-2823</f>
        <v>6240880</v>
      </c>
      <c r="D59" s="30">
        <v>1118410</v>
      </c>
      <c r="E59" s="31">
        <f t="shared" si="13"/>
        <v>14764274</v>
      </c>
      <c r="F59" s="32">
        <f>0+0-0</f>
        <v>0</v>
      </c>
      <c r="G59" s="30">
        <f>200185+144526-200185</f>
        <v>144526</v>
      </c>
      <c r="H59" s="31">
        <f t="shared" si="16"/>
        <v>144526</v>
      </c>
      <c r="I59" s="33">
        <f t="shared" si="2"/>
        <v>14908800</v>
      </c>
      <c r="J59" s="32">
        <f>34723759+11132239+33561676+16876014-34723759-11132239</f>
        <v>50437690</v>
      </c>
      <c r="K59" s="35">
        <f t="shared" si="11"/>
        <v>65346490</v>
      </c>
      <c r="L59" s="36" t="s">
        <v>54</v>
      </c>
      <c r="M59" s="60">
        <f>2576948+2420053+760782+395328+1117418+5962269+0+0+248626+1833960+1473340+275693+341945+1103385+5032278+702821+0+1760939-2576948-2420053-760782-395328-1117418-5962269-0-0-248626</f>
        <v>12524361</v>
      </c>
      <c r="N59" s="31">
        <f t="shared" si="12"/>
        <v>37913329</v>
      </c>
      <c r="O59" s="61">
        <f t="shared" si="5"/>
        <v>52822129</v>
      </c>
      <c r="P59" s="32">
        <v>0</v>
      </c>
      <c r="Q59" s="68">
        <f>3061183-6423644</f>
        <v>-3362461</v>
      </c>
      <c r="R59" s="69">
        <f>2554573-4977541</f>
        <v>-2422968</v>
      </c>
    </row>
    <row r="60" spans="1:19" x14ac:dyDescent="0.2">
      <c r="A60" s="29">
        <f>'FERC Interest Rates'!A75</f>
        <v>43281</v>
      </c>
      <c r="B60" s="30">
        <v>4018990</v>
      </c>
      <c r="C60" s="30">
        <f>3937807+438-520</f>
        <v>3937725</v>
      </c>
      <c r="D60" s="30">
        <v>859503</v>
      </c>
      <c r="E60" s="31">
        <f t="shared" si="13"/>
        <v>8816218</v>
      </c>
      <c r="F60" s="32">
        <f>0+167-0</f>
        <v>167</v>
      </c>
      <c r="G60" s="30">
        <f>144526+115917-144526</f>
        <v>115917</v>
      </c>
      <c r="H60" s="31">
        <f t="shared" si="16"/>
        <v>116084</v>
      </c>
      <c r="I60" s="33">
        <f t="shared" si="2"/>
        <v>8932302</v>
      </c>
      <c r="J60" s="32">
        <f>33561676+16876014+32538837+13568516-33561676-16876014</f>
        <v>46107353</v>
      </c>
      <c r="K60" s="35">
        <f t="shared" si="11"/>
        <v>55039655</v>
      </c>
      <c r="L60" s="36" t="s">
        <v>54</v>
      </c>
      <c r="M60" s="60">
        <f>1833960+1473340+275693+341945+1103385+5032278+702821+0+1760939+1899111+1560149+755083+358897+986306+3268606+1610020+0+851143-1833960-1473340-275693-341945-1103385-5032278-702821-0-1760939</f>
        <v>11289315</v>
      </c>
      <c r="N60" s="31">
        <f t="shared" si="12"/>
        <v>34818038</v>
      </c>
      <c r="O60" s="61">
        <f t="shared" si="5"/>
        <v>43750340</v>
      </c>
      <c r="P60" s="32">
        <v>0</v>
      </c>
      <c r="Q60" s="68">
        <f>2628458-3061183</f>
        <v>-432725</v>
      </c>
      <c r="R60" s="69">
        <f>2530552-2554573</f>
        <v>-24021</v>
      </c>
    </row>
    <row r="61" spans="1:19" x14ac:dyDescent="0.2">
      <c r="A61" s="29">
        <f>'FERC Interest Rates'!A76</f>
        <v>43312</v>
      </c>
      <c r="B61" s="30">
        <v>3122808</v>
      </c>
      <c r="C61" s="30">
        <f>3296142+124-438</f>
        <v>3295828</v>
      </c>
      <c r="D61" s="30">
        <v>781268</v>
      </c>
      <c r="E61" s="31">
        <f t="shared" si="13"/>
        <v>7199904</v>
      </c>
      <c r="F61" s="32">
        <f>167+0-167</f>
        <v>0</v>
      </c>
      <c r="G61" s="30">
        <f>115917+115400-115917</f>
        <v>115400</v>
      </c>
      <c r="H61" s="31">
        <f t="shared" si="16"/>
        <v>115400</v>
      </c>
      <c r="I61" s="33">
        <f t="shared" si="2"/>
        <v>7315304</v>
      </c>
      <c r="J61" s="32">
        <f>32892877+13802320+31627626+46228894-32538837-13568516</f>
        <v>78444364</v>
      </c>
      <c r="K61" s="35">
        <f t="shared" si="11"/>
        <v>85759668</v>
      </c>
      <c r="L61" s="36" t="s">
        <v>54</v>
      </c>
      <c r="M61" s="60">
        <f>1899111+1560149+755083+358897+986306+3502410+1610020+0+851143+2361080+1597045+530833+248565+1004847+6188410+6692043+0+1421649-1899111-1560149-755083-358897-986306-3268606-1610020-0-851143</f>
        <v>20278276</v>
      </c>
      <c r="N61" s="31">
        <f t="shared" si="12"/>
        <v>58166088</v>
      </c>
      <c r="O61" s="61">
        <f t="shared" si="5"/>
        <v>65481392</v>
      </c>
      <c r="P61" s="32">
        <v>0</v>
      </c>
      <c r="Q61" s="68">
        <f>2376801-2628458</f>
        <v>-251657</v>
      </c>
      <c r="R61" s="69">
        <f>2469451-2530552</f>
        <v>-61101</v>
      </c>
    </row>
    <row r="62" spans="1:19" x14ac:dyDescent="0.2">
      <c r="A62" s="29">
        <f>'FERC Interest Rates'!A77</f>
        <v>43343</v>
      </c>
      <c r="B62" s="30">
        <f>2714543+566</f>
        <v>2715109</v>
      </c>
      <c r="C62" s="30">
        <f>3197529+158-124</f>
        <v>3197563</v>
      </c>
      <c r="D62" s="30">
        <v>798722</v>
      </c>
      <c r="E62" s="31">
        <f t="shared" si="13"/>
        <v>6711394</v>
      </c>
      <c r="F62" s="32">
        <f>0+359-0</f>
        <v>359</v>
      </c>
      <c r="G62" s="30">
        <f>111904+8245+93391-111904-3496</f>
        <v>98140</v>
      </c>
      <c r="H62" s="31">
        <f t="shared" si="16"/>
        <v>98499</v>
      </c>
      <c r="I62" s="33">
        <f t="shared" si="2"/>
        <v>6809893</v>
      </c>
      <c r="J62" s="32">
        <f>31627626+46228894+32586753+44352608-31627626-46228894</f>
        <v>76939361</v>
      </c>
      <c r="K62" s="35">
        <f t="shared" si="11"/>
        <v>83749254</v>
      </c>
      <c r="L62" s="36" t="s">
        <v>54</v>
      </c>
      <c r="M62" s="60">
        <f>2361080+1597045+530833+248565+1004847+6188410+6692043+0+1421649+2073946+1569259+710981+336820+970764+4069426+6558487+1275763-2361080-1597045-530833-248565-1004847-6188410-6692043-0-1421649</f>
        <v>17565446</v>
      </c>
      <c r="N62" s="31">
        <f t="shared" si="12"/>
        <v>59373915</v>
      </c>
      <c r="O62" s="61">
        <f t="shared" si="5"/>
        <v>66183808</v>
      </c>
      <c r="P62" s="32">
        <v>0</v>
      </c>
      <c r="Q62" s="68">
        <f>1072372-2376801</f>
        <v>-1304429</v>
      </c>
      <c r="R62" s="69">
        <f>1246891-2469451</f>
        <v>-1222560</v>
      </c>
    </row>
    <row r="63" spans="1:19" x14ac:dyDescent="0.2">
      <c r="A63" s="29">
        <f>'FERC Interest Rates'!A78</f>
        <v>43373</v>
      </c>
      <c r="B63" s="34">
        <v>2809188</v>
      </c>
      <c r="C63" s="34">
        <f>3168549+501-158</f>
        <v>3168892</v>
      </c>
      <c r="D63" s="34">
        <v>889025</v>
      </c>
      <c r="E63" s="38">
        <f t="shared" si="13"/>
        <v>6867105</v>
      </c>
      <c r="F63" s="32">
        <f>359+188-359</f>
        <v>188</v>
      </c>
      <c r="G63" s="34">
        <f>93391+118645-93391</f>
        <v>118645</v>
      </c>
      <c r="H63" s="38">
        <f t="shared" si="16"/>
        <v>118833</v>
      </c>
      <c r="I63" s="33">
        <f t="shared" si="2"/>
        <v>6985938</v>
      </c>
      <c r="J63" s="32">
        <f>32959033+44352608+36656724+34986825-32586753-44352608</f>
        <v>72015829</v>
      </c>
      <c r="K63" s="35">
        <f t="shared" si="11"/>
        <v>79001767</v>
      </c>
      <c r="L63" s="49" t="s">
        <v>54</v>
      </c>
      <c r="M63" s="60">
        <f>2073946+1569259+710981+336820+1343044+4069426+6558487+1275763+14392902+2302148+1821816+648766+336043+1086841+3186225+0+25764-2073946-1569259-710981-336820-970764-4069426-6558487-1275763-14392902</f>
        <v>9779883</v>
      </c>
      <c r="N63" s="38">
        <f t="shared" si="12"/>
        <v>62235946</v>
      </c>
      <c r="O63" s="61">
        <f t="shared" si="5"/>
        <v>69221884</v>
      </c>
      <c r="P63" s="32">
        <v>0</v>
      </c>
      <c r="Q63" s="68">
        <f>1999718-1072372</f>
        <v>927346</v>
      </c>
      <c r="R63" s="69">
        <f>2233399-1246891</f>
        <v>986508</v>
      </c>
    </row>
    <row r="64" spans="1:19" x14ac:dyDescent="0.2">
      <c r="A64" s="41">
        <f>'FERC Interest Rates'!A79</f>
        <v>43404</v>
      </c>
      <c r="B64" s="42">
        <v>5307116</v>
      </c>
      <c r="C64" s="42">
        <f>4934895+2079-501</f>
        <v>4936473</v>
      </c>
      <c r="D64" s="42">
        <v>1478716</v>
      </c>
      <c r="E64" s="43">
        <f t="shared" si="13"/>
        <v>11722305</v>
      </c>
      <c r="F64" s="64">
        <f>188+21-188</f>
        <v>21</v>
      </c>
      <c r="G64" s="42">
        <f>118645+197742-118645</f>
        <v>197742</v>
      </c>
      <c r="H64" s="43">
        <f t="shared" si="16"/>
        <v>197763</v>
      </c>
      <c r="I64" s="44">
        <f t="shared" si="2"/>
        <v>11920068</v>
      </c>
      <c r="J64" s="64">
        <f>36656724+34986825+38306298+20347223-36656724-34986825</f>
        <v>58653521</v>
      </c>
      <c r="K64" s="45">
        <f t="shared" si="11"/>
        <v>70573589</v>
      </c>
      <c r="L64" s="46" t="s">
        <v>54</v>
      </c>
      <c r="M64" s="64">
        <f>2302148+1821816+648766+336043+1086841+3186225+0+25764+2519545+1323607+785768+574709+654091+6582081+0+15208-2302148-1821816-648766-336043-1086841-3186225-0-25764</f>
        <v>12455009</v>
      </c>
      <c r="N64" s="43">
        <f t="shared" si="12"/>
        <v>46198512</v>
      </c>
      <c r="O64" s="65">
        <f t="shared" si="5"/>
        <v>58118580</v>
      </c>
      <c r="P64" s="64">
        <v>0</v>
      </c>
      <c r="Q64" s="70">
        <f>4772036-1999718</f>
        <v>2772318</v>
      </c>
      <c r="R64" s="71">
        <f>4424005-2233399</f>
        <v>2190606</v>
      </c>
    </row>
    <row r="65" spans="1:19" x14ac:dyDescent="0.2">
      <c r="A65" s="72">
        <f>'FERC Interest Rates'!A80</f>
        <v>43434</v>
      </c>
      <c r="B65" s="34">
        <v>8960930</v>
      </c>
      <c r="C65" s="34">
        <f>6947705+3464-2079</f>
        <v>6949090</v>
      </c>
      <c r="D65" s="34">
        <v>1174387</v>
      </c>
      <c r="E65" s="38">
        <f t="shared" si="13"/>
        <v>17084407</v>
      </c>
      <c r="F65" s="32">
        <f>21+63-21</f>
        <v>63</v>
      </c>
      <c r="G65" s="34">
        <f>197742+217688-197742</f>
        <v>217688</v>
      </c>
      <c r="H65" s="38">
        <f t="shared" ref="H65:H77" si="17">SUM(F65:G65)</f>
        <v>217751</v>
      </c>
      <c r="I65" s="33">
        <f t="shared" si="2"/>
        <v>17302158</v>
      </c>
      <c r="J65" s="32">
        <f>38306298+20347223+30607596+8010794-38306298-20347223</f>
        <v>38618390</v>
      </c>
      <c r="K65" s="38">
        <f t="shared" si="11"/>
        <v>55920548</v>
      </c>
      <c r="L65" s="73" t="s">
        <v>54</v>
      </c>
      <c r="M65" s="32">
        <f>2519545+1323607+785768+574709+654091+6582081+0+15208+2036183+702707+630069+446415+843484+7455224+392300+24401-2519545-1323607-785768-574709-654091-6582081-0-15208</f>
        <v>12530783</v>
      </c>
      <c r="N65" s="38">
        <f t="shared" si="12"/>
        <v>26087607</v>
      </c>
      <c r="O65" s="61">
        <f t="shared" si="5"/>
        <v>43389765</v>
      </c>
      <c r="P65" s="32">
        <v>0</v>
      </c>
      <c r="Q65" s="68">
        <f>11306377-4772036</f>
        <v>6534341</v>
      </c>
      <c r="R65" s="69">
        <f>8615742-4424005</f>
        <v>4191737</v>
      </c>
      <c r="S65" s="1" t="s">
        <v>55</v>
      </c>
    </row>
    <row r="66" spans="1:19" x14ac:dyDescent="0.2">
      <c r="A66" s="29">
        <f>'FERC Interest Rates'!A81</f>
        <v>43465</v>
      </c>
      <c r="B66" s="34">
        <v>17031202</v>
      </c>
      <c r="C66" s="34">
        <f>12847300+4915-3464</f>
        <v>12848751</v>
      </c>
      <c r="D66" s="34">
        <v>1780585</v>
      </c>
      <c r="E66" s="38">
        <f t="shared" si="13"/>
        <v>31660538</v>
      </c>
      <c r="F66" s="32">
        <f>63+79-63</f>
        <v>79</v>
      </c>
      <c r="G66" s="34">
        <f>217688+260482-217688</f>
        <v>260482</v>
      </c>
      <c r="H66" s="38">
        <f t="shared" si="17"/>
        <v>260561</v>
      </c>
      <c r="I66" s="33">
        <f t="shared" si="2"/>
        <v>31921099</v>
      </c>
      <c r="J66" s="32">
        <f>30607596+8010794+35363826+27155220-30607596-8010794</f>
        <v>62519046</v>
      </c>
      <c r="K66" s="38">
        <f t="shared" si="11"/>
        <v>94440145</v>
      </c>
      <c r="L66" s="73" t="s">
        <v>54</v>
      </c>
      <c r="M66" s="32">
        <f>2036183+702707+630069+446415+843484+7455224+392300+24401+2617891+938576+765472+502419+1192617+7824829+357236+82468-2036183-702707-630069-446415-843484-7455224-392300-24401</f>
        <v>14281508</v>
      </c>
      <c r="N66" s="38">
        <f t="shared" si="12"/>
        <v>48237538</v>
      </c>
      <c r="O66" s="61">
        <f t="shared" si="5"/>
        <v>80158637</v>
      </c>
      <c r="P66" s="32">
        <v>0</v>
      </c>
      <c r="Q66" s="68">
        <f>13675573-11306377</f>
        <v>2369196</v>
      </c>
      <c r="R66" s="69">
        <f>10228218-8615742</f>
        <v>1612476</v>
      </c>
    </row>
    <row r="67" spans="1:19" x14ac:dyDescent="0.2">
      <c r="A67" s="74">
        <f>'FERC Interest Rates'!A82</f>
        <v>43496</v>
      </c>
      <c r="B67" s="34">
        <v>19425579</v>
      </c>
      <c r="C67" s="34">
        <f>14600523+4626-4915</f>
        <v>14600234</v>
      </c>
      <c r="D67" s="34">
        <v>1764670</v>
      </c>
      <c r="E67" s="38">
        <f t="shared" si="13"/>
        <v>35790483</v>
      </c>
      <c r="F67" s="32">
        <f>79+7-79</f>
        <v>7</v>
      </c>
      <c r="G67" s="34">
        <f>260482+258811-260482</f>
        <v>258811</v>
      </c>
      <c r="H67" s="38">
        <f t="shared" si="17"/>
        <v>258818</v>
      </c>
      <c r="I67" s="33">
        <f t="shared" si="2"/>
        <v>36049301</v>
      </c>
      <c r="J67" s="32">
        <f>35363826+27155220+38940773+26818206-35363826-27155220</f>
        <v>65758979</v>
      </c>
      <c r="K67" s="38">
        <f t="shared" si="11"/>
        <v>101808280</v>
      </c>
      <c r="L67" s="73" t="s">
        <v>54</v>
      </c>
      <c r="M67" s="32">
        <f>2617891+938576+765472+502419+1192617+7824829+357236+82468+3202152+2041529+835418+564041+1220699+7679533+0+0-2617891-938576-765472-502419-1192617-7824829-357236-82468</f>
        <v>15543372</v>
      </c>
      <c r="N67" s="38">
        <f t="shared" si="12"/>
        <v>50215607</v>
      </c>
      <c r="O67" s="61">
        <f t="shared" si="5"/>
        <v>86264908</v>
      </c>
      <c r="P67" s="32">
        <v>0</v>
      </c>
      <c r="Q67" s="68">
        <f>13677389-13675573</f>
        <v>1816</v>
      </c>
      <c r="R67" s="69">
        <f>10187002-10228218</f>
        <v>-41216</v>
      </c>
    </row>
    <row r="68" spans="1:19" x14ac:dyDescent="0.2">
      <c r="A68" s="29">
        <f>'FERC Interest Rates'!A83</f>
        <v>43524</v>
      </c>
      <c r="B68" s="34">
        <v>20826493</v>
      </c>
      <c r="C68" s="34">
        <f>15520348+5486-4626</f>
        <v>15521208</v>
      </c>
      <c r="D68" s="34">
        <v>1942115</v>
      </c>
      <c r="E68" s="38">
        <f t="shared" si="13"/>
        <v>38289816</v>
      </c>
      <c r="F68" s="32">
        <f>7+0-7</f>
        <v>0</v>
      </c>
      <c r="G68" s="34">
        <f>258811+270184-258811</f>
        <v>270184</v>
      </c>
      <c r="H68" s="38">
        <f t="shared" si="17"/>
        <v>270184</v>
      </c>
      <c r="I68" s="33">
        <f t="shared" si="2"/>
        <v>38560000</v>
      </c>
      <c r="J68" s="32">
        <f>38940773+26818206+37253381+23693433-38940773-26818206</f>
        <v>60946814</v>
      </c>
      <c r="K68" s="38">
        <f t="shared" si="11"/>
        <v>99506814</v>
      </c>
      <c r="L68" s="73" t="s">
        <v>54</v>
      </c>
      <c r="M68" s="32">
        <f>3202152+2041529+835418+564041+1220699+7679533+0+0+2316555+2359414+735036+538901+1078245+7686555+2483404+39201-3202152-2041529-835418-564041-1220699-7679533-0-0</f>
        <v>17237311</v>
      </c>
      <c r="N68" s="38">
        <f t="shared" si="12"/>
        <v>43709503</v>
      </c>
      <c r="O68" s="61">
        <f t="shared" si="5"/>
        <v>82269503</v>
      </c>
      <c r="P68" s="32">
        <v>0</v>
      </c>
      <c r="Q68" s="68">
        <f>17127329-13677389</f>
        <v>3449940</v>
      </c>
      <c r="R68" s="69">
        <f>12666270-10187002</f>
        <v>2479268</v>
      </c>
    </row>
    <row r="69" spans="1:19" x14ac:dyDescent="0.2">
      <c r="A69" s="75">
        <f>'FERC Interest Rates'!A84</f>
        <v>43555</v>
      </c>
      <c r="B69" s="42">
        <v>22406676</v>
      </c>
      <c r="C69" s="42">
        <f>17597418+3527-5486</f>
        <v>17595459</v>
      </c>
      <c r="D69" s="42">
        <v>2139177</v>
      </c>
      <c r="E69" s="43">
        <f t="shared" si="13"/>
        <v>42141312</v>
      </c>
      <c r="F69" s="64">
        <v>0</v>
      </c>
      <c r="G69" s="42">
        <f>270184+248145-270184</f>
        <v>248145</v>
      </c>
      <c r="H69" s="43">
        <f t="shared" si="17"/>
        <v>248145</v>
      </c>
      <c r="I69" s="44">
        <f t="shared" ref="I69:I77" si="18">E69+H69</f>
        <v>42389457</v>
      </c>
      <c r="J69" s="64">
        <f>37253381+23693433+36801397+22665583-37253381-23693433</f>
        <v>59466980</v>
      </c>
      <c r="K69" s="43">
        <f t="shared" si="11"/>
        <v>101856437</v>
      </c>
      <c r="L69" s="76" t="s">
        <v>54</v>
      </c>
      <c r="M69" s="64">
        <f>2316555+2359414+735036+538901+1078245+7686555+2483404+39201+2298407+2520690+848257+538257+1154609+9312929+334503+112350-2316555-2359414-735036-538901-1078245-7686555-2483404-39201</f>
        <v>17120002</v>
      </c>
      <c r="N69" s="43">
        <f t="shared" si="12"/>
        <v>42346978</v>
      </c>
      <c r="O69" s="65">
        <f t="shared" ref="O69:O77" si="19">K69-M69</f>
        <v>84736435</v>
      </c>
      <c r="P69" s="64">
        <v>0</v>
      </c>
      <c r="Q69" s="70">
        <f>11032733-17127329</f>
        <v>-6094596</v>
      </c>
      <c r="R69" s="71">
        <f>8619566-12666270</f>
        <v>-4046704</v>
      </c>
    </row>
    <row r="70" spans="1:19" x14ac:dyDescent="0.2">
      <c r="A70" s="77">
        <f>'FERC Interest Rates'!A85</f>
        <v>43585</v>
      </c>
      <c r="B70" s="30">
        <v>12262358</v>
      </c>
      <c r="C70" s="30">
        <f>10128913+2258-3527</f>
        <v>10127644</v>
      </c>
      <c r="D70" s="30">
        <v>1670359</v>
      </c>
      <c r="E70" s="31">
        <f t="shared" si="13"/>
        <v>24060361</v>
      </c>
      <c r="F70" s="32">
        <f>0+128-0</f>
        <v>128</v>
      </c>
      <c r="G70" s="30">
        <f>248145+191467-248145</f>
        <v>191467</v>
      </c>
      <c r="H70" s="31">
        <f t="shared" si="17"/>
        <v>191595</v>
      </c>
      <c r="I70" s="33">
        <f t="shared" si="18"/>
        <v>24251956</v>
      </c>
      <c r="J70" s="32">
        <f>36773442+22665583+34981109+18550201-36801397-22665583</f>
        <v>53503355</v>
      </c>
      <c r="K70" s="31">
        <f t="shared" si="11"/>
        <v>77755311</v>
      </c>
      <c r="L70" s="73" t="s">
        <v>54</v>
      </c>
      <c r="M70" s="32">
        <f>2298407+2520690+848257+538257+1154609+9312929+334503+112350+2069826+2845634+769998+397319+1061450+8371884+0+8745-2298407-2520690-848257-538257-1154609-9312929-334503-112350</f>
        <v>15524856</v>
      </c>
      <c r="N70" s="31">
        <f t="shared" si="12"/>
        <v>37978499</v>
      </c>
      <c r="O70" s="61">
        <f t="shared" si="19"/>
        <v>62230455</v>
      </c>
      <c r="P70" s="32">
        <v>0</v>
      </c>
      <c r="Q70" s="78">
        <f>5722513-11032733</f>
        <v>-5310220</v>
      </c>
      <c r="R70" s="78">
        <f>4713041-8619566</f>
        <v>-3906525</v>
      </c>
      <c r="S70" s="1" t="s">
        <v>56</v>
      </c>
    </row>
    <row r="71" spans="1:19" x14ac:dyDescent="0.2">
      <c r="A71" s="79">
        <f>'FERC Interest Rates'!A86</f>
        <v>43616</v>
      </c>
      <c r="B71" s="30">
        <v>7409569</v>
      </c>
      <c r="C71" s="30">
        <f>6064993+645-2258</f>
        <v>6063380</v>
      </c>
      <c r="D71" s="30">
        <v>1057539</v>
      </c>
      <c r="E71" s="31">
        <f t="shared" si="13"/>
        <v>14530488</v>
      </c>
      <c r="F71" s="32">
        <f>128+151-128</f>
        <v>151</v>
      </c>
      <c r="G71" s="30">
        <f>191467+142256-191467</f>
        <v>142256</v>
      </c>
      <c r="H71" s="31">
        <f t="shared" si="17"/>
        <v>142407</v>
      </c>
      <c r="I71" s="33">
        <f t="shared" si="18"/>
        <v>14672895</v>
      </c>
      <c r="J71" s="32">
        <f>35006149+18550201+35884737+12077889-34981109-18550201</f>
        <v>47987666</v>
      </c>
      <c r="K71" s="31">
        <f t="shared" si="11"/>
        <v>62660561</v>
      </c>
      <c r="L71" s="73" t="s">
        <v>54</v>
      </c>
      <c r="M71" s="32">
        <f>2069826+2845634+769998+397319+1061450+8371884+0+8745+1973660+2219500+453427+390685+1024594+5401237+509919+210060-2069826-2845634-769998-397319-1061450-8371884-0-8745</f>
        <v>12183082</v>
      </c>
      <c r="N71" s="31">
        <f t="shared" si="12"/>
        <v>35804584</v>
      </c>
      <c r="O71" s="61">
        <f>K71-M71</f>
        <v>50477479</v>
      </c>
      <c r="P71" s="32">
        <v>0</v>
      </c>
      <c r="Q71" s="78">
        <f>3331371-5722513</f>
        <v>-2391142</v>
      </c>
      <c r="R71" s="78">
        <f>2695771-4713041</f>
        <v>-2017270</v>
      </c>
    </row>
    <row r="72" spans="1:19" x14ac:dyDescent="0.2">
      <c r="A72" s="79">
        <f>'FERC Interest Rates'!A87</f>
        <v>43646</v>
      </c>
      <c r="B72" s="30">
        <v>4046705</v>
      </c>
      <c r="C72" s="30">
        <f>3946075+367-645</f>
        <v>3945797</v>
      </c>
      <c r="D72" s="30">
        <f>854078</f>
        <v>854078</v>
      </c>
      <c r="E72" s="31">
        <f t="shared" si="13"/>
        <v>8846580</v>
      </c>
      <c r="F72" s="32">
        <f>151+0-151</f>
        <v>0</v>
      </c>
      <c r="G72" s="30">
        <f>142256+110987-142256</f>
        <v>110987</v>
      </c>
      <c r="H72" s="31">
        <f t="shared" si="17"/>
        <v>110987</v>
      </c>
      <c r="I72" s="33">
        <f t="shared" si="18"/>
        <v>8957567</v>
      </c>
      <c r="J72" s="32">
        <f>35884737+12077889+33440624+21488123-35884737-12077889</f>
        <v>54928747</v>
      </c>
      <c r="K72" s="31">
        <f t="shared" si="11"/>
        <v>63886314</v>
      </c>
      <c r="L72" s="73" t="s">
        <v>54</v>
      </c>
      <c r="M72" s="32">
        <f>1973660+2219500+453427+390685+1024594+5401237+509919+210060+2265713+2090677+759078+327788+937176+5673695+0+100169-1973660-2219500-453427-390685-1024594-5401237-509919-210060</f>
        <v>12154296</v>
      </c>
      <c r="N72" s="31">
        <f t="shared" si="12"/>
        <v>42774451</v>
      </c>
      <c r="O72" s="61">
        <f t="shared" si="19"/>
        <v>51732018</v>
      </c>
      <c r="P72" s="32">
        <v>0</v>
      </c>
      <c r="Q72" s="78">
        <f>2187188-3331371</f>
        <v>-1144183</v>
      </c>
      <c r="R72" s="78">
        <f>2099565-2695771</f>
        <v>-596206</v>
      </c>
    </row>
    <row r="73" spans="1:19" x14ac:dyDescent="0.2">
      <c r="A73" s="77">
        <f>'FERC Interest Rates'!A88</f>
        <v>43677</v>
      </c>
      <c r="B73" s="30">
        <v>3217527</v>
      </c>
      <c r="C73" s="30">
        <f>3460988+155-367</f>
        <v>3460776</v>
      </c>
      <c r="D73" s="30">
        <v>852365</v>
      </c>
      <c r="E73" s="31">
        <f t="shared" si="13"/>
        <v>7530668</v>
      </c>
      <c r="F73" s="32">
        <f>0+163-0</f>
        <v>163</v>
      </c>
      <c r="G73" s="30">
        <f>110987+120028-110987</f>
        <v>120028</v>
      </c>
      <c r="H73" s="31">
        <f t="shared" si="17"/>
        <v>120191</v>
      </c>
      <c r="I73" s="33">
        <f t="shared" si="18"/>
        <v>7650859</v>
      </c>
      <c r="J73" s="32">
        <f>33440624+21488123+33197167+48201005-33440624-21488123</f>
        <v>81398172</v>
      </c>
      <c r="K73" s="31">
        <f t="shared" si="11"/>
        <v>89049031</v>
      </c>
      <c r="L73" s="73" t="s">
        <v>54</v>
      </c>
      <c r="M73" s="32">
        <f>2265713+2090677+759078+327788+937176+5673695+0+100169+2468668+2697591+656415+339569+959617+6186256+8340220+0-2265713-2090677-759078-327788-937176-5673695-0-100169</f>
        <v>21648336</v>
      </c>
      <c r="N73" s="31">
        <f t="shared" si="12"/>
        <v>59749836</v>
      </c>
      <c r="O73" s="61">
        <f t="shared" si="19"/>
        <v>67400695</v>
      </c>
      <c r="P73" s="32">
        <v>0</v>
      </c>
      <c r="Q73" s="78">
        <f>2058587-2187188</f>
        <v>-128601</v>
      </c>
      <c r="R73" s="78">
        <f>2183931-2099565</f>
        <v>84366</v>
      </c>
    </row>
    <row r="74" spans="1:19" x14ac:dyDescent="0.2">
      <c r="A74" s="79">
        <f>'FERC Interest Rates'!A89</f>
        <v>43708</v>
      </c>
      <c r="E74" s="31">
        <f t="shared" si="13"/>
        <v>0</v>
      </c>
      <c r="F74" s="32"/>
      <c r="H74" s="31">
        <f t="shared" si="17"/>
        <v>0</v>
      </c>
      <c r="I74" s="33">
        <f t="shared" si="18"/>
        <v>0</v>
      </c>
      <c r="J74" s="32"/>
      <c r="K74" s="31">
        <f t="shared" si="11"/>
        <v>0</v>
      </c>
      <c r="L74" s="73" t="s">
        <v>54</v>
      </c>
      <c r="M74" s="32" t="s">
        <v>57</v>
      </c>
      <c r="N74" s="31" t="e">
        <f t="shared" si="12"/>
        <v>#VALUE!</v>
      </c>
      <c r="O74" s="61" t="e">
        <f t="shared" si="19"/>
        <v>#VALUE!</v>
      </c>
      <c r="P74" s="32"/>
      <c r="Q74" s="78"/>
      <c r="R74" s="78"/>
    </row>
    <row r="75" spans="1:19" x14ac:dyDescent="0.2">
      <c r="A75" s="79">
        <f>'FERC Interest Rates'!A90</f>
        <v>43738</v>
      </c>
      <c r="E75" s="31">
        <f t="shared" si="13"/>
        <v>0</v>
      </c>
      <c r="F75" s="32"/>
      <c r="H75" s="31">
        <f t="shared" si="17"/>
        <v>0</v>
      </c>
      <c r="I75" s="33">
        <f t="shared" si="18"/>
        <v>0</v>
      </c>
      <c r="J75" s="32"/>
      <c r="K75" s="31">
        <f t="shared" si="11"/>
        <v>0</v>
      </c>
      <c r="L75" s="73" t="s">
        <v>54</v>
      </c>
      <c r="M75" s="32"/>
      <c r="N75" s="31">
        <f t="shared" si="12"/>
        <v>0</v>
      </c>
      <c r="O75" s="61">
        <f t="shared" si="19"/>
        <v>0</v>
      </c>
      <c r="P75" s="32"/>
      <c r="Q75" s="78"/>
      <c r="R75" s="78"/>
    </row>
    <row r="76" spans="1:19" x14ac:dyDescent="0.2">
      <c r="A76" s="77">
        <f>'FERC Interest Rates'!A91</f>
        <v>43769</v>
      </c>
      <c r="E76" s="31">
        <f t="shared" si="13"/>
        <v>0</v>
      </c>
      <c r="F76" s="32"/>
      <c r="H76" s="31">
        <f t="shared" si="17"/>
        <v>0</v>
      </c>
      <c r="I76" s="33">
        <f t="shared" si="18"/>
        <v>0</v>
      </c>
      <c r="J76" s="32"/>
      <c r="K76" s="31">
        <f t="shared" si="11"/>
        <v>0</v>
      </c>
      <c r="L76" s="73" t="s">
        <v>54</v>
      </c>
      <c r="M76" s="32"/>
      <c r="N76" s="31">
        <f t="shared" si="12"/>
        <v>0</v>
      </c>
      <c r="O76" s="61">
        <f t="shared" si="19"/>
        <v>0</v>
      </c>
      <c r="P76" s="32"/>
      <c r="Q76" s="78"/>
      <c r="R76" s="78"/>
    </row>
    <row r="77" spans="1:19" x14ac:dyDescent="0.2">
      <c r="A77" s="79">
        <f>'FERC Interest Rates'!A92</f>
        <v>43799</v>
      </c>
      <c r="E77" s="31">
        <f t="shared" si="13"/>
        <v>0</v>
      </c>
      <c r="F77" s="32"/>
      <c r="H77" s="31">
        <f t="shared" si="17"/>
        <v>0</v>
      </c>
      <c r="I77" s="33">
        <f t="shared" si="18"/>
        <v>0</v>
      </c>
      <c r="J77" s="32"/>
      <c r="K77" s="31">
        <f t="shared" si="11"/>
        <v>0</v>
      </c>
      <c r="L77" s="73" t="s">
        <v>54</v>
      </c>
      <c r="M77" s="32"/>
      <c r="N77" s="31">
        <f t="shared" si="12"/>
        <v>0</v>
      </c>
      <c r="O77" s="61">
        <f t="shared" si="19"/>
        <v>0</v>
      </c>
      <c r="P77" s="32"/>
      <c r="Q77" s="78"/>
      <c r="R77" s="7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8855-B984-4E73-8336-D0CC1F260511}">
  <dimension ref="A1:L88"/>
  <sheetViews>
    <sheetView view="pageBreakPreview" zoomScale="115" zoomScaleNormal="75" zoomScaleSheetLayoutView="115" workbookViewId="0">
      <pane xSplit="1" ySplit="10" topLeftCell="B75"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7" bestFit="1" customWidth="1"/>
    <col min="12" max="12" width="10.33203125" style="1" bestFit="1" customWidth="1"/>
    <col min="13" max="16384" width="8.88671875" style="1"/>
  </cols>
  <sheetData>
    <row r="1" spans="1:12" x14ac:dyDescent="0.2">
      <c r="A1" s="221" t="s">
        <v>58</v>
      </c>
      <c r="B1" s="222"/>
      <c r="C1" s="223" t="s">
        <v>59</v>
      </c>
      <c r="D1" s="223"/>
      <c r="E1" s="223"/>
      <c r="F1" s="223"/>
      <c r="G1" s="223"/>
      <c r="H1" s="224"/>
    </row>
    <row r="2" spans="1:12" x14ac:dyDescent="0.2">
      <c r="A2" s="219" t="s">
        <v>60</v>
      </c>
      <c r="B2" s="208"/>
      <c r="C2" s="225" t="s">
        <v>84</v>
      </c>
      <c r="D2" s="225"/>
      <c r="E2" s="225"/>
      <c r="F2" s="225"/>
      <c r="G2" s="225"/>
      <c r="H2" s="226"/>
    </row>
    <row r="3" spans="1:12" x14ac:dyDescent="0.2">
      <c r="A3" s="219" t="s">
        <v>62</v>
      </c>
      <c r="B3" s="208"/>
      <c r="C3" s="209" t="s">
        <v>4</v>
      </c>
      <c r="D3" s="209"/>
      <c r="E3" s="209"/>
      <c r="F3" s="209"/>
      <c r="G3" s="209"/>
      <c r="H3" s="220"/>
      <c r="J3" s="91"/>
    </row>
    <row r="4" spans="1:12" x14ac:dyDescent="0.2">
      <c r="A4" s="219" t="s">
        <v>63</v>
      </c>
      <c r="B4" s="208"/>
      <c r="C4" s="209" t="s">
        <v>64</v>
      </c>
      <c r="D4" s="209"/>
      <c r="E4" s="209"/>
      <c r="F4" s="209"/>
      <c r="G4" s="209"/>
      <c r="H4" s="220"/>
    </row>
    <row r="5" spans="1:12" x14ac:dyDescent="0.2">
      <c r="A5" s="219" t="s">
        <v>65</v>
      </c>
      <c r="B5" s="208"/>
      <c r="C5" s="209" t="s">
        <v>66</v>
      </c>
      <c r="D5" s="209"/>
      <c r="E5" s="209"/>
      <c r="F5" s="209"/>
      <c r="G5" s="209"/>
      <c r="H5" s="220"/>
    </row>
    <row r="6" spans="1:12" x14ac:dyDescent="0.2">
      <c r="A6" s="219" t="s">
        <v>67</v>
      </c>
      <c r="B6" s="208"/>
      <c r="C6" s="209" t="s">
        <v>0</v>
      </c>
      <c r="D6" s="209"/>
      <c r="E6" s="209"/>
      <c r="F6" s="209"/>
      <c r="G6" s="209"/>
      <c r="H6" s="220"/>
      <c r="J6" s="91"/>
    </row>
    <row r="7" spans="1:12" s="92" customFormat="1" ht="54.75" customHeight="1" thickBot="1" x14ac:dyDescent="0.25">
      <c r="A7" s="215" t="s">
        <v>68</v>
      </c>
      <c r="B7" s="216"/>
      <c r="C7" s="217" t="s">
        <v>85</v>
      </c>
      <c r="D7" s="217"/>
      <c r="E7" s="217"/>
      <c r="F7" s="217"/>
      <c r="G7" s="217"/>
      <c r="H7" s="218"/>
      <c r="J7" s="93"/>
      <c r="K7" s="94"/>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5300789.51</v>
      </c>
      <c r="L11" s="88"/>
    </row>
    <row r="12" spans="1:12" hidden="1" x14ac:dyDescent="0.2">
      <c r="A12" s="97">
        <f>'FERC Interest Rates'!A20</f>
        <v>41608</v>
      </c>
      <c r="D12" s="1">
        <f>-235790-543534.68</f>
        <v>-779324.68</v>
      </c>
      <c r="F12" s="1">
        <f t="shared" ref="F12:F13" si="0">ROUND(H11*VLOOKUP(A12,FERCINT13,2)/365*VLOOKUP(A12,FERCINT13,3),2)</f>
        <v>14159.64</v>
      </c>
      <c r="H12" s="1">
        <f t="shared" ref="H12:H75" si="1">H11+SUM(D12:G12)</f>
        <v>4535624.47</v>
      </c>
      <c r="L12" s="88"/>
    </row>
    <row r="13" spans="1:12" hidden="1" x14ac:dyDescent="0.2">
      <c r="A13" s="97">
        <f>'FERC Interest Rates'!A21</f>
        <v>41639</v>
      </c>
      <c r="D13" s="1">
        <f>-2151664.93-235790</f>
        <v>-2387454.9300000002</v>
      </c>
      <c r="F13" s="1">
        <f t="shared" si="0"/>
        <v>12519.57</v>
      </c>
      <c r="H13" s="1">
        <f t="shared" si="1"/>
        <v>2160689.1099999994</v>
      </c>
      <c r="L13" s="88"/>
    </row>
    <row r="14" spans="1:12" hidden="1" x14ac:dyDescent="0.2">
      <c r="A14" s="97">
        <f>'FERC Interest Rates'!A22</f>
        <v>41670</v>
      </c>
      <c r="D14" s="1">
        <f>-1890171.1-235790</f>
        <v>-2125961.1</v>
      </c>
      <c r="F14" s="1">
        <f t="shared" ref="F14:F26" si="2">ROUND(H13*VLOOKUP(A14,FERCINT14,2)/365*VLOOKUP(A14,FERCINT14,3),2)</f>
        <v>5964.09</v>
      </c>
      <c r="H14" s="1">
        <f t="shared" si="1"/>
        <v>40692.099999999162</v>
      </c>
      <c r="L14" s="88"/>
    </row>
    <row r="15" spans="1:12" hidden="1" x14ac:dyDescent="0.2">
      <c r="A15" s="97">
        <f>'FERC Interest Rates'!A23</f>
        <v>41698</v>
      </c>
      <c r="D15" s="1">
        <f>-1628431.9-235790</f>
        <v>-1864221.9</v>
      </c>
      <c r="F15" s="1">
        <f t="shared" si="2"/>
        <v>101.45</v>
      </c>
      <c r="H15" s="1">
        <f t="shared" si="1"/>
        <v>-1823428.3500000008</v>
      </c>
      <c r="L15" s="88"/>
    </row>
    <row r="16" spans="1:12" hidden="1" x14ac:dyDescent="0.2">
      <c r="A16" s="97">
        <f>'FERC Interest Rates'!A24</f>
        <v>41729</v>
      </c>
      <c r="D16" s="1">
        <v>128015.9</v>
      </c>
      <c r="F16" s="1">
        <f t="shared" si="2"/>
        <v>-5033.16</v>
      </c>
      <c r="H16" s="1">
        <f t="shared" si="1"/>
        <v>-1700445.6100000008</v>
      </c>
      <c r="L16" s="88"/>
    </row>
    <row r="17" spans="1:12" hidden="1" x14ac:dyDescent="0.2">
      <c r="A17" s="97">
        <f>'FERC Interest Rates'!A25</f>
        <v>41759</v>
      </c>
      <c r="D17" s="1">
        <f>1545767.97-235790</f>
        <v>1309977.97</v>
      </c>
      <c r="F17" s="1">
        <f t="shared" si="2"/>
        <v>-4542.29</v>
      </c>
      <c r="H17" s="1">
        <f t="shared" si="1"/>
        <v>-395009.93000000087</v>
      </c>
      <c r="L17" s="88"/>
    </row>
    <row r="18" spans="1:12" hidden="1" x14ac:dyDescent="0.2">
      <c r="A18" s="97">
        <f>'FERC Interest Rates'!A26</f>
        <v>41790</v>
      </c>
      <c r="D18" s="1">
        <f>2390005.33-235790</f>
        <v>2154215.33</v>
      </c>
      <c r="F18" s="1">
        <f t="shared" si="2"/>
        <v>-1090.3399999999999</v>
      </c>
      <c r="H18" s="1">
        <f t="shared" si="1"/>
        <v>1758115.0599999994</v>
      </c>
      <c r="L18" s="88"/>
    </row>
    <row r="19" spans="1:12" hidden="1" x14ac:dyDescent="0.2">
      <c r="A19" s="97">
        <f>'FERC Interest Rates'!A27</f>
        <v>41820</v>
      </c>
      <c r="D19" s="1">
        <f>2129580.54-235790</f>
        <v>1893790.54</v>
      </c>
      <c r="F19" s="1">
        <f t="shared" si="2"/>
        <v>4696.33</v>
      </c>
      <c r="H19" s="1">
        <f t="shared" si="1"/>
        <v>3656601.9299999997</v>
      </c>
      <c r="L19" s="88"/>
    </row>
    <row r="20" spans="1:12" hidden="1" x14ac:dyDescent="0.2">
      <c r="A20" s="97">
        <f>'FERC Interest Rates'!A28</f>
        <v>41851</v>
      </c>
      <c r="D20" s="1">
        <f>2343224.81-235790</f>
        <v>2107434.81</v>
      </c>
      <c r="F20" s="1">
        <f t="shared" si="2"/>
        <v>10093.219999999999</v>
      </c>
      <c r="H20" s="1">
        <f t="shared" si="1"/>
        <v>5774129.96</v>
      </c>
      <c r="L20" s="88"/>
    </row>
    <row r="21" spans="1:12" hidden="1" x14ac:dyDescent="0.2">
      <c r="A21" s="97">
        <f>'FERC Interest Rates'!A29</f>
        <v>41882</v>
      </c>
      <c r="D21" s="1">
        <f>2806868.63-235790</f>
        <v>2571078.63</v>
      </c>
      <c r="F21" s="1">
        <f t="shared" si="2"/>
        <v>15938.18</v>
      </c>
      <c r="H21" s="1">
        <f t="shared" si="1"/>
        <v>8361146.7699999996</v>
      </c>
      <c r="L21" s="88"/>
    </row>
    <row r="22" spans="1:12" hidden="1" x14ac:dyDescent="0.2">
      <c r="A22" s="97">
        <f>'FERC Interest Rates'!A30</f>
        <v>41912</v>
      </c>
      <c r="D22" s="1">
        <f>2483434.98-235790</f>
        <v>2247644.98</v>
      </c>
      <c r="F22" s="1">
        <f t="shared" si="2"/>
        <v>22334.57</v>
      </c>
      <c r="H22" s="1">
        <f t="shared" si="1"/>
        <v>10631126.32</v>
      </c>
      <c r="L22" s="88"/>
    </row>
    <row r="23" spans="1:12" hidden="1" x14ac:dyDescent="0.2">
      <c r="A23" s="97">
        <f>'FERC Interest Rates'!A31</f>
        <v>41943</v>
      </c>
      <c r="D23" s="1">
        <f>2177304.09-235790</f>
        <v>1941514.0899999999</v>
      </c>
      <c r="F23" s="1">
        <f t="shared" si="2"/>
        <v>29344.82</v>
      </c>
      <c r="H23" s="1">
        <f t="shared" si="1"/>
        <v>12601985.23</v>
      </c>
      <c r="L23" s="88"/>
    </row>
    <row r="24" spans="1:12" hidden="1" x14ac:dyDescent="0.2">
      <c r="A24" s="199" t="s">
        <v>80</v>
      </c>
      <c r="B24" s="199"/>
      <c r="C24" s="199"/>
      <c r="D24" s="199"/>
      <c r="E24" s="199"/>
      <c r="F24" s="199"/>
      <c r="G24" s="1">
        <v>-5821559.6299999999</v>
      </c>
      <c r="H24" s="1">
        <f t="shared" si="1"/>
        <v>6780425.6000000006</v>
      </c>
    </row>
    <row r="25" spans="1:12" hidden="1" x14ac:dyDescent="0.2">
      <c r="A25" s="97">
        <f>'FERC Interest Rates'!A32</f>
        <v>41973</v>
      </c>
      <c r="D25" s="1">
        <v>-2042189.49</v>
      </c>
      <c r="F25" s="1">
        <f t="shared" si="2"/>
        <v>18112.099999999999</v>
      </c>
      <c r="H25" s="1">
        <f t="shared" si="1"/>
        <v>4756348.2100000009</v>
      </c>
      <c r="L25" s="88"/>
    </row>
    <row r="26" spans="1:12" hidden="1" x14ac:dyDescent="0.2">
      <c r="A26" s="97">
        <f>'FERC Interest Rates'!A33</f>
        <v>42004</v>
      </c>
      <c r="D26" s="1">
        <f>-1692473.19-235790</f>
        <v>-1928263.19</v>
      </c>
      <c r="F26" s="1">
        <f t="shared" si="2"/>
        <v>13128.82</v>
      </c>
      <c r="H26" s="1">
        <f t="shared" si="1"/>
        <v>2841213.8400000008</v>
      </c>
      <c r="L26" s="88"/>
    </row>
    <row r="27" spans="1:12" hidden="1" x14ac:dyDescent="0.2">
      <c r="A27" s="97">
        <f>'FERC Interest Rates'!A34</f>
        <v>42035</v>
      </c>
      <c r="D27" s="1">
        <f>-235790-2244525.95</f>
        <v>-2480315.9500000002</v>
      </c>
      <c r="F27" s="1">
        <f t="shared" ref="F27:F34" si="3">ROUND(H26*VLOOKUP(A27,FERCINT15,2)/365*VLOOKUP(A27,FERCINT15,3),2)</f>
        <v>7842.53</v>
      </c>
      <c r="H27" s="1">
        <f t="shared" si="1"/>
        <v>368740.42000000039</v>
      </c>
      <c r="L27" s="88"/>
    </row>
    <row r="28" spans="1:12" hidden="1" x14ac:dyDescent="0.2">
      <c r="A28" s="97">
        <f>'FERC Interest Rates'!A35</f>
        <v>42063</v>
      </c>
      <c r="D28" s="1">
        <f>-235790-439032.16</f>
        <v>-674822.15999999992</v>
      </c>
      <c r="F28" s="1">
        <f t="shared" si="3"/>
        <v>919.33</v>
      </c>
      <c r="H28" s="1">
        <f t="shared" si="1"/>
        <v>-305162.40999999957</v>
      </c>
      <c r="L28" s="88"/>
    </row>
    <row r="29" spans="1:12" hidden="1" x14ac:dyDescent="0.2">
      <c r="A29" s="97">
        <f>'FERC Interest Rates'!A36</f>
        <v>42094</v>
      </c>
      <c r="D29" s="1">
        <f>624226.35-235790</f>
        <v>388436.35</v>
      </c>
      <c r="F29" s="1">
        <f t="shared" si="3"/>
        <v>-842.33</v>
      </c>
      <c r="H29" s="1">
        <f t="shared" si="1"/>
        <v>82431.610000000393</v>
      </c>
      <c r="L29" s="88"/>
    </row>
    <row r="30" spans="1:12" hidden="1" x14ac:dyDescent="0.2">
      <c r="A30" s="97">
        <f>'FERC Interest Rates'!A37</f>
        <v>42124</v>
      </c>
      <c r="D30" s="1">
        <v>577862.52</v>
      </c>
      <c r="F30" s="1">
        <f t="shared" si="3"/>
        <v>220.19</v>
      </c>
      <c r="H30" s="1">
        <f t="shared" si="1"/>
        <v>660514.3200000003</v>
      </c>
      <c r="L30" s="88"/>
    </row>
    <row r="31" spans="1:12" hidden="1" x14ac:dyDescent="0.2">
      <c r="A31" s="97">
        <f>'FERC Interest Rates'!A38</f>
        <v>42155</v>
      </c>
      <c r="D31" s="1">
        <f>-235790+2154521.16</f>
        <v>1918731.1600000001</v>
      </c>
      <c r="F31" s="1">
        <f t="shared" si="3"/>
        <v>1823.2</v>
      </c>
      <c r="H31" s="1">
        <f t="shared" si="1"/>
        <v>2581068.6800000006</v>
      </c>
      <c r="L31" s="88"/>
    </row>
    <row r="32" spans="1:12" hidden="1" x14ac:dyDescent="0.2">
      <c r="A32" s="97">
        <f>'FERC Interest Rates'!A39</f>
        <v>42185</v>
      </c>
      <c r="D32" s="1">
        <f>-235790+3002370.29</f>
        <v>2766580.29</v>
      </c>
      <c r="F32" s="1">
        <f t="shared" si="3"/>
        <v>6894.64</v>
      </c>
      <c r="H32" s="1">
        <f t="shared" si="1"/>
        <v>5354543.6100000013</v>
      </c>
      <c r="L32" s="88"/>
    </row>
    <row r="33" spans="1:12" hidden="1" x14ac:dyDescent="0.2">
      <c r="A33" s="97">
        <f>'FERC Interest Rates'!A40</f>
        <v>42216</v>
      </c>
      <c r="D33" s="1">
        <f>-235790+2635153.59</f>
        <v>2399363.59</v>
      </c>
      <c r="F33" s="1">
        <f t="shared" si="3"/>
        <v>14780.01</v>
      </c>
      <c r="H33" s="1">
        <f t="shared" si="1"/>
        <v>7768687.2100000009</v>
      </c>
      <c r="L33" s="88"/>
    </row>
    <row r="34" spans="1:12" hidden="1" x14ac:dyDescent="0.2">
      <c r="A34" s="97">
        <f>'FERC Interest Rates'!A41</f>
        <v>42247</v>
      </c>
      <c r="D34" s="1">
        <f>-235790+3068421.49</f>
        <v>2832631.49</v>
      </c>
      <c r="F34" s="1">
        <f t="shared" si="3"/>
        <v>21443.71</v>
      </c>
      <c r="H34" s="1">
        <f t="shared" si="1"/>
        <v>10622762.41</v>
      </c>
      <c r="L34" s="88"/>
    </row>
    <row r="35" spans="1:12" hidden="1" x14ac:dyDescent="0.2">
      <c r="A35" s="199" t="s">
        <v>81</v>
      </c>
      <c r="B35" s="199"/>
      <c r="C35" s="199"/>
      <c r="D35" s="199"/>
      <c r="E35" s="199"/>
      <c r="F35" s="199"/>
      <c r="G35" s="1">
        <v>-5384144.4199999999</v>
      </c>
      <c r="H35" s="1">
        <f t="shared" si="1"/>
        <v>5238617.99</v>
      </c>
      <c r="L35" s="88"/>
    </row>
    <row r="36" spans="1:12" hidden="1" x14ac:dyDescent="0.2">
      <c r="A36" s="97">
        <f>'FERC Interest Rates'!A42</f>
        <v>42277</v>
      </c>
      <c r="D36" s="1">
        <f>-235790+2279842.94</f>
        <v>2044052.94</v>
      </c>
      <c r="F36" s="1">
        <f>ROUND(H35*VLOOKUP(A36,FERCINT15,2)/365*VLOOKUP(A36,FERCINT15,3),2)</f>
        <v>13993.57</v>
      </c>
      <c r="H36" s="1">
        <f t="shared" si="1"/>
        <v>7296664.5</v>
      </c>
      <c r="L36" s="88"/>
    </row>
    <row r="37" spans="1:12" hidden="1" x14ac:dyDescent="0.2">
      <c r="A37" s="97">
        <f>'FERC Interest Rates'!A43</f>
        <v>42308</v>
      </c>
      <c r="D37" s="1">
        <f>-235790+1685153.23</f>
        <v>1449363.23</v>
      </c>
      <c r="F37" s="1">
        <f>ROUND(H36*VLOOKUP(A37,FERCINT15,2)/365*VLOOKUP(A37,FERCINT15,3),2)</f>
        <v>20140.79</v>
      </c>
      <c r="H37" s="1">
        <f t="shared" si="1"/>
        <v>8766168.5199999996</v>
      </c>
      <c r="L37" s="88"/>
    </row>
    <row r="38" spans="1:12" hidden="1" x14ac:dyDescent="0.2">
      <c r="A38" s="97">
        <f>'FERC Interest Rates'!A44</f>
        <v>42338</v>
      </c>
      <c r="D38" s="1">
        <f>-235790-1154654.65</f>
        <v>-1390444.65</v>
      </c>
      <c r="F38" s="1">
        <f>ROUND(H37*VLOOKUP(A38,FERCINT15,2)/365*VLOOKUP(A38,FERCINT15,3),2)</f>
        <v>23416.48</v>
      </c>
      <c r="H38" s="1">
        <f t="shared" si="1"/>
        <v>7399140.3499999996</v>
      </c>
      <c r="L38" s="88"/>
    </row>
    <row r="39" spans="1:12" hidden="1" x14ac:dyDescent="0.2">
      <c r="A39" s="97">
        <f>'FERC Interest Rates'!A45</f>
        <v>42369</v>
      </c>
      <c r="D39" s="1">
        <f>-235790-2451396.83</f>
        <v>-2687186.83</v>
      </c>
      <c r="F39" s="1">
        <f>ROUND(H38*VLOOKUP(A39,FERCINT15,2)/365*VLOOKUP(A39,FERCINT15,3),2)</f>
        <v>20423.650000000001</v>
      </c>
      <c r="H39" s="1">
        <f t="shared" si="1"/>
        <v>4732377.17</v>
      </c>
      <c r="L39" s="88"/>
    </row>
    <row r="40" spans="1:12" hidden="1" x14ac:dyDescent="0.2">
      <c r="A40" s="97">
        <f>'FERC Interest Rates'!A46</f>
        <v>42400</v>
      </c>
      <c r="D40" s="1">
        <f>-235790-2843736.16</f>
        <v>-3079526.16</v>
      </c>
      <c r="F40" s="1">
        <f t="shared" ref="F40:F52" si="4">ROUND(H39*VLOOKUP(A40,FERCINT16,2)/365*VLOOKUP(A40,FERCINT16,3),2)</f>
        <v>13062.66</v>
      </c>
      <c r="H40" s="1">
        <f t="shared" si="1"/>
        <v>1665913.67</v>
      </c>
      <c r="L40" s="88"/>
    </row>
    <row r="41" spans="1:12" hidden="1" x14ac:dyDescent="0.2">
      <c r="A41" s="97">
        <f>'FERC Interest Rates'!A47</f>
        <v>42429</v>
      </c>
      <c r="D41" s="1">
        <f>-235790-733663.69</f>
        <v>-969453.69</v>
      </c>
      <c r="F41" s="1">
        <f t="shared" si="4"/>
        <v>4301.71</v>
      </c>
      <c r="H41" s="1">
        <f t="shared" si="1"/>
        <v>700761.69</v>
      </c>
      <c r="L41" s="88"/>
    </row>
    <row r="42" spans="1:12" hidden="1" x14ac:dyDescent="0.2">
      <c r="A42" s="97">
        <f>'FERC Interest Rates'!A48</f>
        <v>42460</v>
      </c>
      <c r="D42" s="1">
        <f>-235790-251077.59</f>
        <v>-486867.58999999997</v>
      </c>
      <c r="F42" s="1">
        <f t="shared" si="4"/>
        <v>1934.29</v>
      </c>
      <c r="H42" s="1">
        <f t="shared" si="1"/>
        <v>215828.38999999996</v>
      </c>
      <c r="L42" s="88"/>
    </row>
    <row r="43" spans="1:12" hidden="1" x14ac:dyDescent="0.2">
      <c r="A43" s="97">
        <f>'FERC Interest Rates'!A49</f>
        <v>42490</v>
      </c>
      <c r="D43" s="1">
        <f>-235790+1778810.98</f>
        <v>1543020.98</v>
      </c>
      <c r="F43" s="1">
        <f t="shared" si="4"/>
        <v>613.78</v>
      </c>
      <c r="H43" s="1">
        <f t="shared" si="1"/>
        <v>1759463.15</v>
      </c>
      <c r="L43" s="88"/>
    </row>
    <row r="44" spans="1:12" hidden="1" x14ac:dyDescent="0.2">
      <c r="A44" s="97">
        <f>'FERC Interest Rates'!A50</f>
        <v>42521</v>
      </c>
      <c r="D44" s="1">
        <f>-235790+2166277.82</f>
        <v>1930487.8199999998</v>
      </c>
      <c r="F44" s="1">
        <f t="shared" si="4"/>
        <v>5170.41</v>
      </c>
      <c r="H44" s="1">
        <f t="shared" si="1"/>
        <v>3695121.38</v>
      </c>
      <c r="L44" s="88"/>
    </row>
    <row r="45" spans="1:12" hidden="1" x14ac:dyDescent="0.2">
      <c r="A45" s="97">
        <f>'FERC Interest Rates'!A51</f>
        <v>42551</v>
      </c>
      <c r="D45" s="1">
        <f>-235790+2358521.52</f>
        <v>2122731.52</v>
      </c>
      <c r="F45" s="1">
        <f t="shared" si="4"/>
        <v>10508.32</v>
      </c>
      <c r="H45" s="1">
        <f t="shared" si="1"/>
        <v>5828361.2199999997</v>
      </c>
      <c r="L45" s="88"/>
    </row>
    <row r="46" spans="1:12" hidden="1" x14ac:dyDescent="0.2">
      <c r="A46" s="97">
        <f>'FERC Interest Rates'!A52</f>
        <v>42582</v>
      </c>
      <c r="D46" s="1">
        <f>2544357.05-235790</f>
        <v>2308567.0499999998</v>
      </c>
      <c r="F46" s="1">
        <f t="shared" si="4"/>
        <v>17325.400000000001</v>
      </c>
      <c r="H46" s="1">
        <f t="shared" si="1"/>
        <v>8154253.6699999999</v>
      </c>
      <c r="L46" s="88"/>
    </row>
    <row r="47" spans="1:12" hidden="1" x14ac:dyDescent="0.2">
      <c r="A47" s="97">
        <f>'FERC Interest Rates'!A53</f>
        <v>42613</v>
      </c>
      <c r="D47" s="1">
        <f>2676077.9-235790</f>
        <v>2440287.9</v>
      </c>
      <c r="F47" s="1">
        <f t="shared" si="4"/>
        <v>24239.360000000001</v>
      </c>
      <c r="H47" s="1">
        <f t="shared" si="1"/>
        <v>10618780.93</v>
      </c>
      <c r="L47" s="88"/>
    </row>
    <row r="48" spans="1:12" x14ac:dyDescent="0.2">
      <c r="A48" s="199" t="s">
        <v>81</v>
      </c>
      <c r="B48" s="199"/>
      <c r="C48" s="199"/>
      <c r="D48" s="199"/>
      <c r="E48" s="199"/>
      <c r="F48" s="199"/>
      <c r="G48" s="1">
        <v>-5863063.5199999996</v>
      </c>
      <c r="H48" s="1">
        <f t="shared" si="1"/>
        <v>4755717.41</v>
      </c>
      <c r="L48" s="88"/>
    </row>
    <row r="49" spans="1:12" x14ac:dyDescent="0.2">
      <c r="A49" s="97">
        <f>'FERC Interest Rates'!A54</f>
        <v>42643</v>
      </c>
      <c r="D49" s="1">
        <f>2256459.89-235790</f>
        <v>2020669.8900000001</v>
      </c>
      <c r="F49" s="1">
        <f>ROUND(H48*VLOOKUP(A49,FERCINT16,2)/365*VLOOKUP(A49,FERCINT16,3),2)</f>
        <v>13680.83</v>
      </c>
      <c r="H49" s="1">
        <f>H48+SUM(D49:G49)</f>
        <v>6790068.1300000008</v>
      </c>
      <c r="L49" s="88"/>
    </row>
    <row r="50" spans="1:12" x14ac:dyDescent="0.2">
      <c r="A50" s="97">
        <f>'FERC Interest Rates'!A55</f>
        <v>42674</v>
      </c>
      <c r="D50" s="1">
        <f>1223760.21-235790</f>
        <v>987970.21</v>
      </c>
      <c r="F50" s="1">
        <f t="shared" si="4"/>
        <v>20184.18</v>
      </c>
      <c r="H50" s="1">
        <f t="shared" si="1"/>
        <v>7798222.5200000005</v>
      </c>
      <c r="L50" s="88"/>
    </row>
    <row r="51" spans="1:12" x14ac:dyDescent="0.2">
      <c r="A51" s="97">
        <f>'FERC Interest Rates'!A56</f>
        <v>42704</v>
      </c>
      <c r="D51" s="1">
        <f>-27093.75+6998.33-235790+279026.37</f>
        <v>23140.950000000012</v>
      </c>
      <c r="F51" s="1">
        <f t="shared" si="4"/>
        <v>22433.24</v>
      </c>
      <c r="H51" s="1">
        <f t="shared" si="1"/>
        <v>7843796.7100000009</v>
      </c>
      <c r="L51" s="88"/>
    </row>
    <row r="52" spans="1:12" x14ac:dyDescent="0.2">
      <c r="A52" s="97">
        <f>'FERC Interest Rates'!A57</f>
        <v>42735</v>
      </c>
      <c r="D52" s="1">
        <f>-3365220.01-255885.42</f>
        <v>-3621105.4299999997</v>
      </c>
      <c r="F52" s="1">
        <f t="shared" si="4"/>
        <v>23316.49</v>
      </c>
      <c r="H52" s="1">
        <f t="shared" si="1"/>
        <v>4246007.7700000014</v>
      </c>
      <c r="L52" s="88"/>
    </row>
    <row r="53" spans="1:12" x14ac:dyDescent="0.2">
      <c r="A53" s="97">
        <f>'FERC Interest Rates'!A58</f>
        <v>42766</v>
      </c>
      <c r="D53" s="1">
        <f>-255885.42-3925040.15</f>
        <v>-4180925.57</v>
      </c>
      <c r="F53" s="1">
        <f t="shared" ref="F53:F65" si="5">ROUND(H52*VLOOKUP(A53,FERCINT17,2)/365*VLOOKUP(A53,FERCINT17,3),2)</f>
        <v>12621.69</v>
      </c>
      <c r="H53" s="1">
        <f t="shared" si="1"/>
        <v>77703.890000001527</v>
      </c>
      <c r="L53" s="88"/>
    </row>
    <row r="54" spans="1:12" x14ac:dyDescent="0.2">
      <c r="A54" s="97">
        <f>'FERC Interest Rates'!A59</f>
        <v>42794</v>
      </c>
      <c r="D54" s="1">
        <f>-255885.42-2150057.29</f>
        <v>-2405942.71</v>
      </c>
      <c r="F54" s="1">
        <f t="shared" si="5"/>
        <v>208.63</v>
      </c>
      <c r="H54" s="1">
        <f t="shared" si="1"/>
        <v>-2328030.1899999985</v>
      </c>
      <c r="L54" s="88"/>
    </row>
    <row r="55" spans="1:12" x14ac:dyDescent="0.2">
      <c r="A55" s="97">
        <f>'FERC Interest Rates'!A60</f>
        <v>42825</v>
      </c>
      <c r="D55" s="1">
        <f>-255885.42-552759.68</f>
        <v>-808645.10000000009</v>
      </c>
      <c r="F55" s="1">
        <f t="shared" si="5"/>
        <v>-6920.31</v>
      </c>
      <c r="H55" s="1">
        <f t="shared" si="1"/>
        <v>-3143595.5999999987</v>
      </c>
      <c r="L55" s="88"/>
    </row>
    <row r="56" spans="1:12" x14ac:dyDescent="0.2">
      <c r="A56" s="97">
        <f>'FERC Interest Rates'!A61</f>
        <v>42855</v>
      </c>
      <c r="D56" s="1">
        <f>-255885.42+711602.06</f>
        <v>455716.64</v>
      </c>
      <c r="F56" s="1">
        <f t="shared" si="5"/>
        <v>-9585.81</v>
      </c>
      <c r="H56" s="1">
        <f t="shared" si="1"/>
        <v>-2697464.7699999986</v>
      </c>
      <c r="L56" s="88"/>
    </row>
    <row r="57" spans="1:12" x14ac:dyDescent="0.2">
      <c r="A57" s="97">
        <f>'FERC Interest Rates'!A62</f>
        <v>42886</v>
      </c>
      <c r="D57" s="1">
        <f>1785186.57-255885.42</f>
        <v>1529301.1500000001</v>
      </c>
      <c r="F57" s="1">
        <f t="shared" si="5"/>
        <v>-8499.6</v>
      </c>
      <c r="H57" s="1">
        <f t="shared" si="1"/>
        <v>-1176663.2199999986</v>
      </c>
      <c r="L57" s="88"/>
    </row>
    <row r="58" spans="1:12" x14ac:dyDescent="0.2">
      <c r="A58" s="97">
        <f>'FERC Interest Rates'!A63</f>
        <v>42916</v>
      </c>
      <c r="D58" s="1">
        <f>-255885.42+2860897.95</f>
        <v>2605012.5300000003</v>
      </c>
      <c r="F58" s="1">
        <f t="shared" si="5"/>
        <v>-3588.02</v>
      </c>
      <c r="H58" s="1">
        <f t="shared" si="1"/>
        <v>1424761.2900000017</v>
      </c>
      <c r="L58" s="88"/>
    </row>
    <row r="59" spans="1:12" x14ac:dyDescent="0.2">
      <c r="A59" s="97">
        <f>'FERC Interest Rates'!A64</f>
        <v>42947</v>
      </c>
      <c r="D59" s="1">
        <f>-255885.42+2782148.25</f>
        <v>2526262.83</v>
      </c>
      <c r="F59" s="1">
        <f t="shared" si="5"/>
        <v>4791.88</v>
      </c>
      <c r="H59" s="1">
        <f t="shared" si="1"/>
        <v>3955816.0000000019</v>
      </c>
      <c r="L59" s="88"/>
    </row>
    <row r="60" spans="1:12" x14ac:dyDescent="0.2">
      <c r="A60" s="97">
        <f>'FERC Interest Rates'!A65</f>
        <v>42978</v>
      </c>
      <c r="D60" s="1">
        <f>2895319.51-255885.42</f>
        <v>2639434.09</v>
      </c>
      <c r="F60" s="1">
        <f t="shared" si="5"/>
        <v>13304.55</v>
      </c>
      <c r="H60" s="1">
        <f t="shared" si="1"/>
        <v>6608554.6400000015</v>
      </c>
      <c r="L60" s="88"/>
    </row>
    <row r="61" spans="1:12" x14ac:dyDescent="0.2">
      <c r="A61" s="97">
        <f>'FERC Interest Rates'!A66</f>
        <v>43008</v>
      </c>
      <c r="D61" s="1">
        <f>2319711.12-255885.42</f>
        <v>2063825.7000000002</v>
      </c>
      <c r="F61" s="1">
        <f t="shared" si="5"/>
        <v>21509.49</v>
      </c>
      <c r="H61" s="1">
        <f t="shared" si="1"/>
        <v>8693889.8300000019</v>
      </c>
      <c r="L61" s="88"/>
    </row>
    <row r="62" spans="1:12" x14ac:dyDescent="0.2">
      <c r="A62" s="97">
        <f>'FERC Interest Rates'!A67</f>
        <v>43039</v>
      </c>
      <c r="D62" s="1">
        <v>1101849.6100000001</v>
      </c>
      <c r="F62" s="1">
        <f t="shared" si="5"/>
        <v>31086.02</v>
      </c>
      <c r="H62" s="1">
        <f t="shared" si="1"/>
        <v>9826825.4600000028</v>
      </c>
      <c r="L62" s="88"/>
    </row>
    <row r="63" spans="1:12" x14ac:dyDescent="0.2">
      <c r="A63" s="199" t="s">
        <v>82</v>
      </c>
      <c r="B63" s="199"/>
      <c r="C63" s="199"/>
      <c r="D63" s="199"/>
      <c r="E63" s="199"/>
      <c r="F63" s="199"/>
      <c r="G63" s="1">
        <v>-3996277.46</v>
      </c>
      <c r="H63" s="1">
        <f t="shared" si="1"/>
        <v>5830548.0000000028</v>
      </c>
      <c r="L63" s="88"/>
    </row>
    <row r="64" spans="1:12" x14ac:dyDescent="0.2">
      <c r="A64" s="97">
        <f>'FERC Interest Rates'!A68</f>
        <v>43069</v>
      </c>
      <c r="D64" s="1">
        <f>-897988.44-255885.42-255885.42</f>
        <v>-1409759.2799999998</v>
      </c>
      <c r="F64" s="1">
        <f>ROUND(H63*VLOOKUP(A64,FERCINT17,2)/365*VLOOKUP(A64,FERCINT17,3),2)</f>
        <v>20175.29</v>
      </c>
      <c r="H64" s="1">
        <f t="shared" si="1"/>
        <v>4440964.0100000035</v>
      </c>
      <c r="L64" s="88"/>
    </row>
    <row r="65" spans="1:12" x14ac:dyDescent="0.2">
      <c r="A65" s="97">
        <f>'FERC Interest Rates'!A69</f>
        <v>43100</v>
      </c>
      <c r="D65" s="1">
        <f>-255885.42-2475480.62</f>
        <v>-2731366.04</v>
      </c>
      <c r="F65" s="1">
        <f t="shared" si="5"/>
        <v>15879.18</v>
      </c>
      <c r="H65" s="1">
        <f t="shared" si="1"/>
        <v>1725477.1500000036</v>
      </c>
      <c r="L65" s="88"/>
    </row>
    <row r="66" spans="1:12" x14ac:dyDescent="0.2">
      <c r="A66" s="97">
        <f>'FERC Interest Rates'!A70</f>
        <v>43131</v>
      </c>
      <c r="D66" s="1">
        <f>-255885.42-2432578.96</f>
        <v>-2688464.38</v>
      </c>
      <c r="F66" s="1">
        <f t="shared" ref="F66:F78" si="6">ROUND(H65*VLOOKUP(A66,FERCINT18,2)/365*VLOOKUP(A66,FERCINT18,3),2)</f>
        <v>6228.26</v>
      </c>
      <c r="H66" s="1">
        <f t="shared" si="1"/>
        <v>-956758.96999999648</v>
      </c>
      <c r="L66" s="88"/>
    </row>
    <row r="67" spans="1:12" x14ac:dyDescent="0.2">
      <c r="A67" s="97">
        <f>'FERC Interest Rates'!A71</f>
        <v>43159</v>
      </c>
      <c r="D67" s="1">
        <f>-255885.42-1881476.29</f>
        <v>-2137361.71</v>
      </c>
      <c r="F67" s="1">
        <f t="shared" si="6"/>
        <v>-3119.3</v>
      </c>
      <c r="H67" s="1">
        <f t="shared" si="1"/>
        <v>-3097239.9799999963</v>
      </c>
      <c r="L67" s="88"/>
    </row>
    <row r="68" spans="1:12" x14ac:dyDescent="0.2">
      <c r="A68" s="97">
        <f>'FERC Interest Rates'!A72</f>
        <v>43190</v>
      </c>
      <c r="D68" s="1">
        <f>-255885.42-527904.85</f>
        <v>-783790.27</v>
      </c>
      <c r="F68" s="1">
        <f t="shared" si="6"/>
        <v>-11179.76</v>
      </c>
      <c r="H68" s="1">
        <f t="shared" si="1"/>
        <v>-3892210.0099999961</v>
      </c>
      <c r="L68" s="88"/>
    </row>
    <row r="69" spans="1:12" x14ac:dyDescent="0.2">
      <c r="A69" s="97">
        <f>'FERC Interest Rates'!A73</f>
        <v>43220</v>
      </c>
      <c r="D69" s="1">
        <f>-255885.42+736662.62</f>
        <v>480777.19999999995</v>
      </c>
      <c r="F69" s="1">
        <f t="shared" si="6"/>
        <v>-14299.87</v>
      </c>
      <c r="H69" s="1">
        <f t="shared" si="1"/>
        <v>-3425732.679999996</v>
      </c>
      <c r="L69" s="88"/>
    </row>
    <row r="70" spans="1:12" x14ac:dyDescent="0.2">
      <c r="A70" s="97">
        <f>'FERC Interest Rates'!A74</f>
        <v>43251</v>
      </c>
      <c r="D70" s="1">
        <f>-255885.42+2305103.01</f>
        <v>2049217.5899999999</v>
      </c>
      <c r="F70" s="1">
        <f t="shared" si="6"/>
        <v>-13005.58</v>
      </c>
      <c r="H70" s="1">
        <f t="shared" si="1"/>
        <v>-1389520.6699999962</v>
      </c>
      <c r="L70" s="88"/>
    </row>
    <row r="71" spans="1:12" x14ac:dyDescent="0.2">
      <c r="A71" s="97">
        <f>'FERC Interest Rates'!A75</f>
        <v>43281</v>
      </c>
      <c r="D71" s="1">
        <f>-255885.42+2275296</f>
        <v>2019410.58</v>
      </c>
      <c r="F71" s="1">
        <f t="shared" si="6"/>
        <v>-5105.0600000000004</v>
      </c>
      <c r="H71" s="1">
        <f t="shared" si="1"/>
        <v>624784.85000000382</v>
      </c>
      <c r="L71" s="88"/>
    </row>
    <row r="72" spans="1:12" x14ac:dyDescent="0.2">
      <c r="A72" s="97">
        <f>'FERC Interest Rates'!A76</f>
        <v>43312</v>
      </c>
      <c r="D72" s="1">
        <f>-255885.42+2633195.8</f>
        <v>2377310.38</v>
      </c>
      <c r="F72" s="1">
        <f t="shared" si="6"/>
        <v>2488.6999999999998</v>
      </c>
      <c r="H72" s="1">
        <f t="shared" si="1"/>
        <v>3004583.9300000039</v>
      </c>
      <c r="L72" s="88"/>
    </row>
    <row r="73" spans="1:12" x14ac:dyDescent="0.2">
      <c r="A73" s="97">
        <f>'FERC Interest Rates'!A77</f>
        <v>43343</v>
      </c>
      <c r="D73" s="1">
        <f>3035339.83-255885.42</f>
        <v>2779454.41</v>
      </c>
      <c r="F73" s="1">
        <f t="shared" si="6"/>
        <v>11968.12</v>
      </c>
      <c r="H73" s="1">
        <f t="shared" si="1"/>
        <v>5796006.4600000046</v>
      </c>
      <c r="L73" s="88"/>
    </row>
    <row r="74" spans="1:12" x14ac:dyDescent="0.2">
      <c r="A74" s="97">
        <f>'FERC Interest Rates'!A78</f>
        <v>43373</v>
      </c>
      <c r="D74" s="1">
        <f>-255885.42+2254070.8</f>
        <v>1998185.38</v>
      </c>
      <c r="F74" s="1">
        <f t="shared" si="6"/>
        <v>22342.41</v>
      </c>
      <c r="H74" s="1">
        <f t="shared" si="1"/>
        <v>7816534.2500000047</v>
      </c>
      <c r="L74" s="88"/>
    </row>
    <row r="75" spans="1:12" x14ac:dyDescent="0.2">
      <c r="A75" s="97">
        <f>'FERC Interest Rates'!A79</f>
        <v>43404</v>
      </c>
      <c r="D75" s="1">
        <f>986862.1-255885.42</f>
        <v>730976.67999999993</v>
      </c>
      <c r="F75" s="1">
        <f t="shared" si="6"/>
        <v>32927.949999999997</v>
      </c>
      <c r="H75" s="1">
        <f t="shared" si="1"/>
        <v>8580438.8800000045</v>
      </c>
      <c r="L75" s="88"/>
    </row>
    <row r="76" spans="1:12" x14ac:dyDescent="0.2">
      <c r="A76" s="199" t="s">
        <v>82</v>
      </c>
      <c r="B76" s="199"/>
      <c r="C76" s="199"/>
      <c r="D76" s="199"/>
      <c r="E76" s="199"/>
      <c r="F76" s="199"/>
      <c r="G76" s="1">
        <v>-3040936.76</v>
      </c>
      <c r="H76" s="1">
        <f t="shared" ref="H76:H85" si="7">H75+SUM(D76:G76)</f>
        <v>5539502.1200000048</v>
      </c>
      <c r="L76" s="88"/>
    </row>
    <row r="77" spans="1:12" x14ac:dyDescent="0.2">
      <c r="A77" s="97">
        <f>'FERC Interest Rates'!A80</f>
        <v>43434</v>
      </c>
      <c r="D77" s="1">
        <f>-352350.7-1006347.35</f>
        <v>-1358698.05</v>
      </c>
      <c r="F77" s="1">
        <f t="shared" si="6"/>
        <v>22582.959999999999</v>
      </c>
      <c r="H77" s="1">
        <f t="shared" si="7"/>
        <v>4203387.0300000049</v>
      </c>
      <c r="L77" s="88"/>
    </row>
    <row r="78" spans="1:12" x14ac:dyDescent="0.2">
      <c r="A78" s="97">
        <f>'FERC Interest Rates'!A81</f>
        <v>43465</v>
      </c>
      <c r="D78" s="1">
        <f>-2725392.79+73490.98</f>
        <v>-2651901.81</v>
      </c>
      <c r="F78" s="1">
        <f t="shared" si="6"/>
        <v>17707.2</v>
      </c>
      <c r="H78" s="1">
        <f t="shared" si="7"/>
        <v>1569192.420000005</v>
      </c>
      <c r="L78" s="88"/>
    </row>
    <row r="79" spans="1:12" x14ac:dyDescent="0.2">
      <c r="A79" s="97">
        <f>'FERC Interest Rates'!A82</f>
        <v>43496</v>
      </c>
      <c r="D79" s="1">
        <f>-352350.7-2243893.67</f>
        <v>-2596244.37</v>
      </c>
      <c r="F79" s="1">
        <f t="shared" ref="F79:F85" si="8">ROUND(H78*VLOOKUP(A79,FERCINT19,2)/365*VLOOKUP(A79,FERCINT19,3),2)</f>
        <v>6903.59</v>
      </c>
      <c r="H79" s="1">
        <f t="shared" si="7"/>
        <v>-1020148.3599999952</v>
      </c>
      <c r="L79" s="88"/>
    </row>
    <row r="80" spans="1:12" x14ac:dyDescent="0.2">
      <c r="A80" s="97">
        <f>'FERC Interest Rates'!A83</f>
        <v>43524</v>
      </c>
      <c r="D80" s="1">
        <f>-352350.7-4066257.52</f>
        <v>-4418608.22</v>
      </c>
      <c r="F80" s="1">
        <f t="shared" si="8"/>
        <v>-4053.76</v>
      </c>
      <c r="H80" s="1">
        <f t="shared" si="7"/>
        <v>-5442810.3399999943</v>
      </c>
      <c r="L80" s="88"/>
    </row>
    <row r="81" spans="1:12" x14ac:dyDescent="0.2">
      <c r="A81" s="97">
        <f>'FERC Interest Rates'!A84</f>
        <v>43555</v>
      </c>
      <c r="D81" s="1">
        <f>-352350.7-1565906.59</f>
        <v>-1918257.29</v>
      </c>
      <c r="F81" s="1">
        <f t="shared" si="8"/>
        <v>-23945.38</v>
      </c>
      <c r="H81" s="1">
        <f t="shared" si="7"/>
        <v>-7385013.0099999942</v>
      </c>
      <c r="L81" s="88"/>
    </row>
    <row r="82" spans="1:12" x14ac:dyDescent="0.2">
      <c r="A82" s="97">
        <f>'FERC Interest Rates'!A85</f>
        <v>43585</v>
      </c>
      <c r="D82" s="1">
        <f>1221377.19-352350.7</f>
        <v>869026.49</v>
      </c>
      <c r="F82" s="1">
        <f t="shared" si="8"/>
        <v>-33080.81</v>
      </c>
      <c r="H82" s="1">
        <f t="shared" si="7"/>
        <v>-6549067.3299999945</v>
      </c>
      <c r="L82" s="88"/>
    </row>
    <row r="83" spans="1:12" x14ac:dyDescent="0.2">
      <c r="A83" s="97">
        <f>'FERC Interest Rates'!A86</f>
        <v>43616</v>
      </c>
      <c r="D83" s="1">
        <f>2009114.82-352350.7</f>
        <v>1656764.12</v>
      </c>
      <c r="F83" s="1">
        <f t="shared" si="8"/>
        <v>-30314.11</v>
      </c>
      <c r="H83" s="1">
        <f t="shared" si="7"/>
        <v>-4922617.3199999947</v>
      </c>
      <c r="L83" s="88"/>
    </row>
    <row r="84" spans="1:12" x14ac:dyDescent="0.2">
      <c r="A84" s="97">
        <f>'FERC Interest Rates'!A87</f>
        <v>43646</v>
      </c>
      <c r="D84" s="1">
        <f>2443588.78-352350.7</f>
        <v>2091238.0799999998</v>
      </c>
      <c r="F84" s="1">
        <f t="shared" si="8"/>
        <v>-22050.63</v>
      </c>
      <c r="H84" s="1">
        <f t="shared" si="7"/>
        <v>-2853429.8699999945</v>
      </c>
      <c r="L84" s="88"/>
    </row>
    <row r="85" spans="1:12" x14ac:dyDescent="0.2">
      <c r="A85" s="97">
        <f>'FERC Interest Rates'!A88</f>
        <v>43677</v>
      </c>
      <c r="D85" s="1">
        <f>2494215.77-352350.7</f>
        <v>2141865.0699999998</v>
      </c>
      <c r="F85" s="1">
        <f t="shared" si="8"/>
        <v>-13329.04</v>
      </c>
      <c r="H85" s="1">
        <f t="shared" si="7"/>
        <v>-724893.83999999473</v>
      </c>
      <c r="L85" s="88"/>
    </row>
    <row r="86" spans="1:12" x14ac:dyDescent="0.2">
      <c r="A86" s="97"/>
      <c r="L86" s="88"/>
    </row>
    <row r="87" spans="1:12" x14ac:dyDescent="0.2">
      <c r="A87" s="97"/>
      <c r="L87" s="88"/>
    </row>
    <row r="88" spans="1:12" x14ac:dyDescent="0.2">
      <c r="A88" s="97"/>
      <c r="L88" s="88"/>
    </row>
  </sheetData>
  <mergeCells count="21">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7:B7"/>
    <mergeCell ref="C7:H7"/>
    <mergeCell ref="D9:F9"/>
    <mergeCell ref="A11:G11"/>
    <mergeCell ref="A24:F24"/>
    <mergeCell ref="A35:F35"/>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0B3DD-109A-4BAA-A006-421A0315BCD3}">
  <sheetPr>
    <pageSetUpPr fitToPage="1"/>
  </sheetPr>
  <dimension ref="A1:W57"/>
  <sheetViews>
    <sheetView view="pageBreakPreview" zoomScaleNormal="100" zoomScaleSheetLayoutView="100" workbookViewId="0">
      <pane ySplit="7" topLeftCell="A32" activePane="bottomLeft" state="frozen"/>
      <selection activeCell="G86" activeCellId="1" sqref="D86 G86"/>
      <selection pane="bottomLeft" activeCell="G86" activeCellId="1" sqref="D86 G8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7"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23" x14ac:dyDescent="0.2">
      <c r="A1" s="221" t="s">
        <v>58</v>
      </c>
      <c r="B1" s="222"/>
      <c r="C1" s="232" t="s">
        <v>59</v>
      </c>
      <c r="D1" s="232"/>
      <c r="E1" s="232"/>
      <c r="F1" s="232"/>
      <c r="G1" s="232"/>
      <c r="H1" s="233"/>
      <c r="I1" s="100"/>
      <c r="M1" s="184"/>
      <c r="N1" s="184"/>
      <c r="O1" s="184"/>
      <c r="P1" s="184"/>
      <c r="Q1" s="184"/>
      <c r="R1" s="184"/>
      <c r="S1" s="184"/>
      <c r="T1" s="184"/>
      <c r="U1" s="184"/>
      <c r="V1" s="184"/>
      <c r="W1" s="184"/>
    </row>
    <row r="2" spans="1:23" x14ac:dyDescent="0.2">
      <c r="A2" s="219" t="s">
        <v>60</v>
      </c>
      <c r="B2" s="208"/>
      <c r="C2" s="230" t="s">
        <v>112</v>
      </c>
      <c r="D2" s="230"/>
      <c r="E2" s="230"/>
      <c r="F2" s="230"/>
      <c r="G2" s="230"/>
      <c r="H2" s="231"/>
      <c r="I2" s="100"/>
      <c r="M2" s="184">
        <v>-126017.65999999996</v>
      </c>
      <c r="N2" s="184"/>
      <c r="O2" s="184"/>
      <c r="P2" s="184"/>
      <c r="Q2" s="184"/>
      <c r="R2" s="184"/>
      <c r="S2" s="184"/>
      <c r="T2" s="184"/>
      <c r="U2" s="184"/>
      <c r="V2" s="184"/>
      <c r="W2" s="184"/>
    </row>
    <row r="3" spans="1:23" x14ac:dyDescent="0.2">
      <c r="A3" s="219" t="s">
        <v>62</v>
      </c>
      <c r="B3" s="208"/>
      <c r="C3" s="230" t="s">
        <v>9</v>
      </c>
      <c r="D3" s="230"/>
      <c r="E3" s="230"/>
      <c r="F3" s="230"/>
      <c r="G3" s="230"/>
      <c r="H3" s="231"/>
      <c r="I3" s="100"/>
      <c r="M3" s="184"/>
      <c r="N3" s="184"/>
      <c r="O3" s="184"/>
      <c r="P3" s="184"/>
      <c r="Q3" s="184"/>
      <c r="R3" s="184"/>
      <c r="S3" s="184"/>
      <c r="T3" s="184"/>
      <c r="U3" s="184"/>
      <c r="V3" s="184"/>
      <c r="W3" s="184"/>
    </row>
    <row r="4" spans="1:23" x14ac:dyDescent="0.2">
      <c r="A4" s="219" t="s">
        <v>63</v>
      </c>
      <c r="B4" s="208"/>
      <c r="C4" s="230" t="s">
        <v>64</v>
      </c>
      <c r="D4" s="230"/>
      <c r="E4" s="230"/>
      <c r="F4" s="230"/>
      <c r="G4" s="230"/>
      <c r="H4" s="231"/>
      <c r="I4" s="100"/>
      <c r="M4" s="184"/>
      <c r="N4" s="184"/>
      <c r="O4" s="184"/>
      <c r="P4" s="184"/>
      <c r="Q4" s="184"/>
      <c r="R4" s="184"/>
      <c r="S4" s="184"/>
      <c r="T4" s="184"/>
      <c r="U4" s="184"/>
      <c r="V4" s="184"/>
      <c r="W4" s="184"/>
    </row>
    <row r="5" spans="1:23" x14ac:dyDescent="0.2">
      <c r="A5" s="219" t="s">
        <v>65</v>
      </c>
      <c r="B5" s="208"/>
      <c r="C5" s="230" t="s">
        <v>0</v>
      </c>
      <c r="D5" s="230"/>
      <c r="E5" s="230"/>
      <c r="F5" s="230"/>
      <c r="G5" s="230"/>
      <c r="H5" s="231"/>
      <c r="I5" s="100"/>
      <c r="M5" s="184"/>
      <c r="N5" s="184"/>
      <c r="O5" s="184"/>
      <c r="P5" s="184"/>
      <c r="Q5" s="184"/>
      <c r="R5" s="184"/>
      <c r="S5" s="184"/>
      <c r="T5" s="184"/>
      <c r="U5" s="184"/>
      <c r="V5" s="184"/>
      <c r="W5" s="184"/>
    </row>
    <row r="6" spans="1:23" x14ac:dyDescent="0.2">
      <c r="A6" s="219" t="s">
        <v>67</v>
      </c>
      <c r="B6" s="208"/>
      <c r="C6" s="230" t="s">
        <v>113</v>
      </c>
      <c r="D6" s="230"/>
      <c r="E6" s="230"/>
      <c r="F6" s="230"/>
      <c r="G6" s="230"/>
      <c r="H6" s="231"/>
      <c r="I6" s="100"/>
      <c r="M6" s="184"/>
      <c r="N6" s="184"/>
      <c r="O6" s="184"/>
      <c r="P6" s="184"/>
      <c r="Q6" s="184"/>
      <c r="R6" s="184"/>
      <c r="S6" s="184"/>
      <c r="T6" s="184"/>
      <c r="U6" s="184"/>
      <c r="V6" s="184"/>
      <c r="W6" s="184"/>
    </row>
    <row r="7" spans="1:23" ht="13.5" thickBot="1" x14ac:dyDescent="0.25">
      <c r="A7" s="215" t="s">
        <v>68</v>
      </c>
      <c r="B7" s="216"/>
      <c r="C7" s="228" t="s">
        <v>114</v>
      </c>
      <c r="D7" s="228"/>
      <c r="E7" s="228"/>
      <c r="F7" s="228"/>
      <c r="G7" s="228"/>
      <c r="H7" s="229"/>
      <c r="I7" s="101"/>
      <c r="M7" s="184"/>
      <c r="N7" s="184"/>
      <c r="O7" s="184"/>
      <c r="P7" s="184"/>
      <c r="Q7" s="184"/>
      <c r="R7" s="184"/>
      <c r="S7" s="184"/>
      <c r="T7" s="184"/>
      <c r="U7" s="184"/>
      <c r="V7" s="184"/>
      <c r="W7" s="184"/>
    </row>
    <row r="8" spans="1:23" x14ac:dyDescent="0.2">
      <c r="A8" s="95"/>
      <c r="B8" s="95"/>
      <c r="C8" s="96"/>
      <c r="D8" s="96"/>
      <c r="E8" s="96"/>
      <c r="F8" s="96"/>
      <c r="G8" s="96"/>
      <c r="H8" s="96"/>
      <c r="J8" s="91"/>
      <c r="M8" s="184"/>
      <c r="N8" s="184"/>
      <c r="O8" s="184"/>
      <c r="P8" s="184"/>
      <c r="Q8" s="184"/>
      <c r="R8" s="184"/>
      <c r="S8" s="184"/>
      <c r="T8" s="184"/>
      <c r="U8" s="184"/>
      <c r="V8" s="184"/>
      <c r="W8" s="184"/>
    </row>
    <row r="9" spans="1:23" x14ac:dyDescent="0.2">
      <c r="A9" s="6"/>
      <c r="D9" s="205" t="s">
        <v>71</v>
      </c>
      <c r="E9" s="205"/>
      <c r="F9" s="205"/>
      <c r="M9" s="184"/>
      <c r="N9" s="184"/>
      <c r="O9" s="184"/>
      <c r="P9" s="184"/>
      <c r="Q9" s="184"/>
      <c r="R9" s="184"/>
      <c r="S9" s="184"/>
      <c r="T9" s="184"/>
      <c r="U9" s="184"/>
      <c r="V9" s="184"/>
      <c r="W9" s="184"/>
    </row>
    <row r="10" spans="1:23" s="9" customFormat="1" x14ac:dyDescent="0.2">
      <c r="A10" s="9" t="s">
        <v>23</v>
      </c>
      <c r="B10" s="9" t="s">
        <v>73</v>
      </c>
      <c r="C10" s="9" t="s">
        <v>50</v>
      </c>
      <c r="D10" s="9" t="s">
        <v>74</v>
      </c>
      <c r="E10" s="9" t="s">
        <v>75</v>
      </c>
      <c r="F10" s="9" t="s">
        <v>76</v>
      </c>
      <c r="G10" s="9" t="s">
        <v>77</v>
      </c>
      <c r="H10" s="9" t="s">
        <v>78</v>
      </c>
      <c r="I10" s="2"/>
      <c r="J10" s="2"/>
      <c r="K10" s="2"/>
      <c r="L10" s="2"/>
      <c r="M10" s="185"/>
      <c r="N10" s="185"/>
      <c r="O10" s="185"/>
      <c r="P10" s="185"/>
      <c r="Q10" s="185"/>
      <c r="R10" s="185"/>
      <c r="S10" s="185"/>
      <c r="T10" s="185"/>
      <c r="U10" s="185"/>
      <c r="V10" s="185"/>
      <c r="W10" s="185"/>
    </row>
    <row r="11" spans="1:23" x14ac:dyDescent="0.2">
      <c r="A11" s="102"/>
      <c r="B11" s="102"/>
      <c r="C11" s="102"/>
      <c r="D11" s="102"/>
      <c r="E11" s="102"/>
      <c r="F11" s="102"/>
      <c r="G11" s="102"/>
      <c r="H11" s="103"/>
      <c r="I11" s="101"/>
      <c r="M11" s="184"/>
      <c r="N11" s="184"/>
      <c r="O11" s="184"/>
      <c r="P11" s="184"/>
      <c r="Q11" s="184"/>
      <c r="R11" s="184"/>
      <c r="S11" s="184"/>
      <c r="T11" s="184"/>
      <c r="U11" s="184"/>
      <c r="V11" s="184"/>
      <c r="W11" s="184"/>
    </row>
    <row r="12" spans="1:23" x14ac:dyDescent="0.2">
      <c r="A12" s="227" t="s">
        <v>115</v>
      </c>
      <c r="B12" s="227"/>
      <c r="C12" s="227"/>
      <c r="D12" s="227"/>
      <c r="E12" s="227"/>
      <c r="F12" s="227"/>
      <c r="G12" s="103">
        <v>-14485606.119999999</v>
      </c>
      <c r="H12" s="103"/>
      <c r="I12" s="104"/>
      <c r="J12" s="90"/>
      <c r="M12" s="184"/>
      <c r="N12" s="184"/>
      <c r="O12" s="184"/>
      <c r="P12" s="184"/>
      <c r="Q12" s="184"/>
      <c r="R12" s="184"/>
      <c r="S12" s="184"/>
      <c r="T12" s="184"/>
      <c r="U12" s="184"/>
      <c r="V12" s="184"/>
      <c r="W12" s="184"/>
    </row>
    <row r="13" spans="1:23" x14ac:dyDescent="0.2">
      <c r="A13" s="227" t="s">
        <v>116</v>
      </c>
      <c r="B13" s="227"/>
      <c r="C13" s="227"/>
      <c r="D13" s="227"/>
      <c r="E13" s="227"/>
      <c r="F13" s="227"/>
      <c r="G13" s="103">
        <v>5863063.5199999996</v>
      </c>
      <c r="H13" s="103"/>
      <c r="I13" s="104"/>
      <c r="J13" s="90"/>
      <c r="M13" s="184"/>
      <c r="N13" s="184"/>
      <c r="O13" s="184"/>
      <c r="P13" s="184"/>
      <c r="Q13" s="184"/>
      <c r="R13" s="184"/>
      <c r="S13" s="184"/>
      <c r="T13" s="184"/>
      <c r="U13" s="184"/>
      <c r="V13" s="184"/>
      <c r="W13" s="184"/>
    </row>
    <row r="14" spans="1:23" x14ac:dyDescent="0.2">
      <c r="A14" s="227" t="s">
        <v>117</v>
      </c>
      <c r="B14" s="227"/>
      <c r="C14" s="227"/>
      <c r="D14" s="227"/>
      <c r="E14" s="227"/>
      <c r="F14" s="227"/>
      <c r="G14" s="103">
        <v>-504451.07</v>
      </c>
      <c r="H14" s="103"/>
      <c r="I14" s="104"/>
      <c r="J14" s="90"/>
      <c r="M14" s="184"/>
      <c r="N14" s="184"/>
      <c r="O14" s="184"/>
      <c r="P14" s="184"/>
      <c r="Q14" s="184"/>
      <c r="R14" s="184"/>
      <c r="S14" s="184"/>
      <c r="T14" s="184"/>
      <c r="U14" s="184"/>
      <c r="V14" s="184"/>
      <c r="W14" s="184"/>
    </row>
    <row r="15" spans="1:23" x14ac:dyDescent="0.2">
      <c r="A15" s="227" t="s">
        <v>118</v>
      </c>
      <c r="B15" s="227"/>
      <c r="C15" s="227"/>
      <c r="D15" s="227"/>
      <c r="E15" s="227"/>
      <c r="F15" s="227"/>
      <c r="G15" s="103">
        <v>-4085.68</v>
      </c>
      <c r="H15" s="103"/>
      <c r="I15" s="104"/>
      <c r="J15" s="90"/>
      <c r="M15" s="184"/>
      <c r="N15" s="184"/>
      <c r="O15" s="184"/>
      <c r="P15" s="184"/>
      <c r="Q15" s="184"/>
      <c r="R15" s="184"/>
      <c r="S15" s="184"/>
      <c r="T15" s="184"/>
      <c r="U15" s="184"/>
      <c r="V15" s="184"/>
      <c r="W15" s="184"/>
    </row>
    <row r="16" spans="1:23" x14ac:dyDescent="0.2">
      <c r="A16" s="227" t="s">
        <v>119</v>
      </c>
      <c r="B16" s="227"/>
      <c r="C16" s="227"/>
      <c r="D16" s="227"/>
      <c r="E16" s="227"/>
      <c r="F16" s="227"/>
      <c r="G16" s="105">
        <v>11617.84</v>
      </c>
      <c r="H16" s="103"/>
      <c r="I16" s="101"/>
      <c r="M16" s="184"/>
      <c r="N16" s="184"/>
      <c r="O16" s="184"/>
      <c r="P16" s="184"/>
      <c r="Q16" s="184"/>
      <c r="R16" s="184"/>
      <c r="S16" s="184"/>
      <c r="T16" s="184"/>
      <c r="U16" s="184"/>
      <c r="V16" s="184"/>
      <c r="W16" s="184"/>
    </row>
    <row r="17" spans="1:23" x14ac:dyDescent="0.2">
      <c r="A17" s="227"/>
      <c r="B17" s="227"/>
      <c r="C17" s="227"/>
      <c r="D17" s="227"/>
      <c r="E17" s="227"/>
      <c r="F17" s="227"/>
      <c r="G17" s="103"/>
      <c r="H17" s="103">
        <f>SUM(G12:G16)</f>
        <v>-9119461.5099999998</v>
      </c>
      <c r="I17" s="101"/>
      <c r="M17" s="184"/>
      <c r="N17" s="184"/>
      <c r="O17" s="184"/>
      <c r="P17" s="184"/>
      <c r="Q17" s="184"/>
      <c r="R17" s="184"/>
      <c r="S17" s="184"/>
      <c r="T17" s="184"/>
      <c r="U17" s="184"/>
      <c r="V17" s="184"/>
      <c r="W17" s="184"/>
    </row>
    <row r="18" spans="1:23" x14ac:dyDescent="0.2">
      <c r="A18" s="106">
        <f>+'FERC Interest Rates'!A54</f>
        <v>42643</v>
      </c>
      <c r="B18" s="103" t="s">
        <v>120</v>
      </c>
      <c r="C18" s="107">
        <f>+'Therm Sales'!I39</f>
        <v>7194580</v>
      </c>
      <c r="D18" s="103"/>
      <c r="E18" s="103">
        <f>SUM(ROUND(4084007*0.00601,2)+ROUND(3110573*0.03537,2))</f>
        <v>134565.85</v>
      </c>
      <c r="F18" s="103">
        <f>ROUND(H17*VLOOKUP(A18,FERCINT16,2)/365*VLOOKUP(A18,FERCINT16,3),2)</f>
        <v>-26234.07</v>
      </c>
      <c r="G18" s="103"/>
      <c r="H18" s="103">
        <f>H17+SUM(E18:G18)</f>
        <v>-9011129.7300000004</v>
      </c>
      <c r="I18" s="104"/>
      <c r="L18" s="108"/>
      <c r="M18" s="184"/>
      <c r="N18" s="184"/>
      <c r="O18" s="184"/>
      <c r="P18" s="184"/>
      <c r="Q18" s="184"/>
      <c r="R18" s="184"/>
      <c r="S18" s="184"/>
      <c r="T18" s="184"/>
      <c r="U18" s="184"/>
      <c r="V18" s="184"/>
      <c r="W18" s="184"/>
    </row>
    <row r="19" spans="1:23" x14ac:dyDescent="0.2">
      <c r="A19" s="106">
        <f>+'FERC Interest Rates'!A55</f>
        <v>42674</v>
      </c>
      <c r="B19" s="109">
        <v>3.5369999999999999E-2</v>
      </c>
      <c r="C19" s="107">
        <f>+'Therm Sales'!I40</f>
        <v>10004553</v>
      </c>
      <c r="D19" s="110"/>
      <c r="E19" s="111">
        <f>ROUND(C19*B19,2)-0.01</f>
        <v>353861.02999999997</v>
      </c>
      <c r="F19" s="103">
        <f>ROUND(H18*VLOOKUP(A19,FERCINT16,2)/365*VLOOKUP(A19,FERCINT16,3),2)</f>
        <v>-26786.51</v>
      </c>
      <c r="G19" s="103"/>
      <c r="H19" s="103">
        <f t="shared" ref="H19:H54" si="0">H18+SUM(D19:G19)</f>
        <v>-8684055.2100000009</v>
      </c>
      <c r="I19" s="104"/>
      <c r="J19" s="90"/>
      <c r="L19" s="108"/>
      <c r="M19" s="184"/>
      <c r="N19" s="184"/>
      <c r="O19" s="184"/>
      <c r="P19" s="184"/>
      <c r="Q19" s="184"/>
      <c r="R19" s="184"/>
      <c r="S19" s="184"/>
      <c r="T19" s="184"/>
      <c r="U19" s="184"/>
      <c r="V19" s="184"/>
      <c r="W19" s="184"/>
    </row>
    <row r="20" spans="1:23" x14ac:dyDescent="0.2">
      <c r="A20" s="106">
        <f>+'FERC Interest Rates'!A56</f>
        <v>42704</v>
      </c>
      <c r="B20" s="109">
        <v>3.5369999999999999E-2</v>
      </c>
      <c r="C20" s="107">
        <f>+'Therm Sales'!I41</f>
        <v>14546209</v>
      </c>
      <c r="D20" s="112"/>
      <c r="E20" s="104">
        <f>ROUND(C20*B20,2)</f>
        <v>514499.41</v>
      </c>
      <c r="F20" s="103">
        <f>ROUND(H19*VLOOKUP(A20,FERCINT16,2)/365*VLOOKUP(A20,FERCINT16,3),2)</f>
        <v>-24981.53</v>
      </c>
      <c r="G20" s="101"/>
      <c r="H20" s="113">
        <f t="shared" si="0"/>
        <v>-8194537.330000001</v>
      </c>
      <c r="I20" s="104"/>
      <c r="J20" s="90"/>
      <c r="L20" s="108"/>
      <c r="M20" s="184"/>
      <c r="N20" s="184"/>
      <c r="O20" s="184"/>
      <c r="P20" s="184"/>
      <c r="Q20" s="184"/>
      <c r="R20" s="184"/>
      <c r="S20" s="184"/>
      <c r="T20" s="184"/>
      <c r="U20" s="184"/>
      <c r="V20" s="184"/>
      <c r="W20" s="184"/>
    </row>
    <row r="21" spans="1:23" x14ac:dyDescent="0.2">
      <c r="A21" s="106">
        <f>+'FERC Interest Rates'!A57</f>
        <v>42735</v>
      </c>
      <c r="B21" s="109">
        <v>3.5369999999999999E-2</v>
      </c>
      <c r="C21" s="107">
        <f>+'Therm Sales'!I42</f>
        <v>29320569</v>
      </c>
      <c r="D21" s="112"/>
      <c r="E21" s="111">
        <f>ROUND(C21*B21,2)-0.02</f>
        <v>1037068.51</v>
      </c>
      <c r="F21" s="103">
        <f>ROUND(H20*VLOOKUP(A21,FERCINT16,2)/365*VLOOKUP(A21,FERCINT16,3),2)</f>
        <v>-24359.1</v>
      </c>
      <c r="G21" s="101"/>
      <c r="H21" s="113">
        <f t="shared" si="0"/>
        <v>-7181827.9200000009</v>
      </c>
      <c r="J21" s="90"/>
      <c r="L21" s="108"/>
      <c r="M21" s="184"/>
      <c r="N21" s="184"/>
      <c r="O21" s="184"/>
      <c r="P21" s="184"/>
      <c r="Q21" s="184"/>
      <c r="R21" s="184"/>
      <c r="S21" s="184"/>
      <c r="T21" s="184"/>
      <c r="U21" s="184"/>
      <c r="V21" s="184"/>
      <c r="W21" s="184"/>
    </row>
    <row r="22" spans="1:23" x14ac:dyDescent="0.2">
      <c r="A22" s="106">
        <f>+'FERC Interest Rates'!A58</f>
        <v>42766</v>
      </c>
      <c r="B22" s="109">
        <v>3.5369999999999999E-2</v>
      </c>
      <c r="C22" s="107">
        <f>+'Therm Sales'!I43</f>
        <v>50070976</v>
      </c>
      <c r="D22" s="112"/>
      <c r="E22" s="111">
        <f>ROUND(C22*B22,2)-0.01</f>
        <v>1771010.41</v>
      </c>
      <c r="F22" s="103">
        <f t="shared" ref="F22:F31" si="1">ROUND(H21*VLOOKUP(A22,FERCINT17,2)/365*VLOOKUP(A22,FERCINT17,3),2)</f>
        <v>-21348.720000000001</v>
      </c>
      <c r="G22" s="101"/>
      <c r="H22" s="113">
        <f t="shared" si="0"/>
        <v>-5432166.2300000004</v>
      </c>
      <c r="J22" s="90"/>
      <c r="L22" s="108"/>
      <c r="M22" s="184"/>
      <c r="N22" s="184"/>
      <c r="O22" s="184"/>
      <c r="P22" s="184"/>
      <c r="Q22" s="184"/>
      <c r="R22" s="184"/>
      <c r="S22" s="184"/>
      <c r="T22" s="184"/>
      <c r="U22" s="184"/>
      <c r="V22" s="184"/>
      <c r="W22" s="184"/>
    </row>
    <row r="23" spans="1:23" x14ac:dyDescent="0.2">
      <c r="A23" s="106">
        <f>+'FERC Interest Rates'!A59</f>
        <v>42794</v>
      </c>
      <c r="B23" s="109">
        <v>3.5369999999999999E-2</v>
      </c>
      <c r="C23" s="107">
        <f>+'Therm Sales'!I44</f>
        <v>39357111</v>
      </c>
      <c r="D23" s="112"/>
      <c r="E23" s="104">
        <f>ROUND(C23*B23,2)</f>
        <v>1392061.02</v>
      </c>
      <c r="F23" s="103">
        <f t="shared" si="1"/>
        <v>-14584.99</v>
      </c>
      <c r="G23" s="101"/>
      <c r="H23" s="113">
        <f t="shared" si="0"/>
        <v>-4054690.2</v>
      </c>
      <c r="J23" s="90"/>
      <c r="L23" s="108"/>
      <c r="M23" s="184"/>
      <c r="N23" s="184"/>
      <c r="O23" s="184"/>
      <c r="P23" s="184"/>
      <c r="Q23" s="184"/>
      <c r="R23" s="184"/>
      <c r="S23" s="184"/>
      <c r="T23" s="184"/>
      <c r="U23" s="184"/>
      <c r="V23" s="184"/>
      <c r="W23" s="184"/>
    </row>
    <row r="24" spans="1:23" x14ac:dyDescent="0.2">
      <c r="A24" s="106">
        <f>+'FERC Interest Rates'!A60</f>
        <v>42825</v>
      </c>
      <c r="B24" s="109">
        <v>3.5369999999999999E-2</v>
      </c>
      <c r="C24" s="107">
        <f>+'Therm Sales'!I45</f>
        <v>35872415</v>
      </c>
      <c r="D24" s="112"/>
      <c r="E24" s="111">
        <f>ROUND(C24*B24,2)-0.01</f>
        <v>1268807.31</v>
      </c>
      <c r="F24" s="103">
        <f t="shared" si="1"/>
        <v>-12052.98</v>
      </c>
      <c r="G24" s="101"/>
      <c r="H24" s="113">
        <f t="shared" si="0"/>
        <v>-2797935.87</v>
      </c>
      <c r="J24" s="90"/>
      <c r="L24" s="108"/>
      <c r="M24" s="184"/>
      <c r="N24" s="184"/>
      <c r="O24" s="184"/>
      <c r="P24" s="184"/>
      <c r="Q24" s="184"/>
      <c r="R24" s="184"/>
      <c r="S24" s="184"/>
      <c r="T24" s="184"/>
      <c r="U24" s="184"/>
      <c r="V24" s="184"/>
      <c r="W24" s="184"/>
    </row>
    <row r="25" spans="1:23" x14ac:dyDescent="0.2">
      <c r="A25" s="106">
        <f>+'FERC Interest Rates'!A61</f>
        <v>42855</v>
      </c>
      <c r="B25" s="109">
        <v>3.5369999999999999E-2</v>
      </c>
      <c r="C25" s="107">
        <f>+'Therm Sales'!I46</f>
        <v>21376214</v>
      </c>
      <c r="D25" s="112"/>
      <c r="E25" s="104">
        <f>ROUND(C25*B25,2)</f>
        <v>756076.69</v>
      </c>
      <c r="F25" s="103">
        <f t="shared" si="1"/>
        <v>-8531.7900000000009</v>
      </c>
      <c r="G25" s="101"/>
      <c r="H25" s="113">
        <f t="shared" si="0"/>
        <v>-2050390.9700000002</v>
      </c>
      <c r="J25" s="90"/>
      <c r="L25" s="108"/>
      <c r="M25" s="184"/>
      <c r="N25" s="184"/>
      <c r="O25" s="184"/>
      <c r="P25" s="184"/>
      <c r="Q25" s="184"/>
      <c r="R25" s="184"/>
      <c r="S25" s="184"/>
      <c r="T25" s="184"/>
      <c r="U25" s="184"/>
      <c r="V25" s="184"/>
      <c r="W25" s="184"/>
    </row>
    <row r="26" spans="1:23" x14ac:dyDescent="0.2">
      <c r="A26" s="106">
        <f>+'FERC Interest Rates'!A62</f>
        <v>42886</v>
      </c>
      <c r="B26" s="109">
        <v>3.5369999999999999E-2</v>
      </c>
      <c r="C26" s="107">
        <f>+'Therm Sales'!I47</f>
        <v>15973162</v>
      </c>
      <c r="D26" s="99"/>
      <c r="E26" s="111">
        <f>ROUND(C26*B26,2)+0.01</f>
        <v>564970.75</v>
      </c>
      <c r="F26" s="103">
        <f t="shared" si="1"/>
        <v>-6460.7</v>
      </c>
      <c r="H26" s="113">
        <f t="shared" si="0"/>
        <v>-1491880.9200000002</v>
      </c>
      <c r="J26" s="90"/>
      <c r="L26" s="108"/>
      <c r="M26" s="184"/>
      <c r="N26" s="184"/>
      <c r="O26" s="184"/>
      <c r="P26" s="184"/>
      <c r="Q26" s="184"/>
      <c r="R26" s="184"/>
      <c r="S26" s="184"/>
      <c r="T26" s="184"/>
      <c r="U26" s="184"/>
      <c r="V26" s="184"/>
      <c r="W26" s="184"/>
    </row>
    <row r="27" spans="1:23" x14ac:dyDescent="0.2">
      <c r="A27" s="106">
        <f>+'FERC Interest Rates'!A63</f>
        <v>42916</v>
      </c>
      <c r="B27" s="109">
        <v>3.5369999999999999E-2</v>
      </c>
      <c r="C27" s="107">
        <f>+'Therm Sales'!I48</f>
        <v>10444773</v>
      </c>
      <c r="D27" s="99"/>
      <c r="E27" s="111">
        <f>ROUND(C27*B27,2)+0.01</f>
        <v>369431.63</v>
      </c>
      <c r="F27" s="103">
        <f t="shared" si="1"/>
        <v>-4549.21</v>
      </c>
      <c r="H27" s="113">
        <f t="shared" si="0"/>
        <v>-1126998.5000000002</v>
      </c>
      <c r="J27" s="90"/>
      <c r="L27" s="108"/>
      <c r="M27" s="184"/>
      <c r="N27" s="184"/>
      <c r="O27" s="184"/>
      <c r="P27" s="184"/>
      <c r="Q27" s="184"/>
      <c r="R27" s="184"/>
      <c r="S27" s="184"/>
      <c r="T27" s="184"/>
      <c r="U27" s="184"/>
      <c r="V27" s="184"/>
      <c r="W27" s="184"/>
    </row>
    <row r="28" spans="1:23" x14ac:dyDescent="0.2">
      <c r="A28" s="106">
        <f>+'FERC Interest Rates'!A64</f>
        <v>42947</v>
      </c>
      <c r="B28" s="109">
        <v>3.5369999999999999E-2</v>
      </c>
      <c r="C28" s="107">
        <f>+'Therm Sales'!I49</f>
        <v>6810348</v>
      </c>
      <c r="D28" s="99"/>
      <c r="E28" s="104">
        <f>ROUND(C28*B28,2)</f>
        <v>240882.01</v>
      </c>
      <c r="F28" s="103">
        <f t="shared" si="1"/>
        <v>-3790.42</v>
      </c>
      <c r="H28" s="113">
        <f t="shared" si="0"/>
        <v>-889906.91000000027</v>
      </c>
      <c r="J28" s="90"/>
      <c r="L28" s="108"/>
      <c r="M28" s="184"/>
      <c r="N28" s="184"/>
      <c r="O28" s="184"/>
      <c r="P28" s="184"/>
      <c r="Q28" s="184"/>
      <c r="R28" s="184"/>
      <c r="S28" s="184"/>
      <c r="T28" s="184"/>
      <c r="U28" s="184"/>
      <c r="V28" s="184"/>
      <c r="W28" s="184"/>
    </row>
    <row r="29" spans="1:23" x14ac:dyDescent="0.2">
      <c r="A29" s="106">
        <f>+'FERC Interest Rates'!A65</f>
        <v>42978</v>
      </c>
      <c r="B29" s="109">
        <v>3.5369999999999999E-2</v>
      </c>
      <c r="C29" s="107">
        <f>+'Therm Sales'!I50</f>
        <v>6787724</v>
      </c>
      <c r="D29" s="99"/>
      <c r="E29" s="104">
        <f>ROUND(C29*B29,2)</f>
        <v>240081.8</v>
      </c>
      <c r="F29" s="103">
        <f t="shared" si="1"/>
        <v>-2993.01</v>
      </c>
      <c r="H29" s="113">
        <f t="shared" si="0"/>
        <v>-652818.12000000034</v>
      </c>
      <c r="J29" s="90"/>
      <c r="L29" s="108"/>
      <c r="M29" s="184"/>
      <c r="N29" s="184"/>
      <c r="O29" s="184"/>
      <c r="P29" s="184"/>
      <c r="Q29" s="184"/>
      <c r="R29" s="184"/>
      <c r="S29" s="184"/>
      <c r="T29" s="184"/>
      <c r="U29" s="184"/>
      <c r="V29" s="184"/>
      <c r="W29" s="184"/>
    </row>
    <row r="30" spans="1:23" x14ac:dyDescent="0.2">
      <c r="A30" s="106">
        <f>+'FERC Interest Rates'!A66</f>
        <v>43008</v>
      </c>
      <c r="B30" s="109">
        <v>3.5369999999999999E-2</v>
      </c>
      <c r="C30" s="107">
        <f>+'Therm Sales'!I51</f>
        <v>6429137</v>
      </c>
      <c r="D30" s="99"/>
      <c r="E30" s="104">
        <f>ROUND(C30*B30,2)</f>
        <v>227398.58</v>
      </c>
      <c r="F30" s="103">
        <f t="shared" si="1"/>
        <v>-2124.79</v>
      </c>
      <c r="H30" s="113">
        <f t="shared" si="0"/>
        <v>-427544.33000000037</v>
      </c>
      <c r="J30" s="90"/>
      <c r="L30" s="108"/>
      <c r="M30" s="184"/>
      <c r="N30" s="184"/>
      <c r="O30" s="186">
        <v>502</v>
      </c>
      <c r="P30" s="186">
        <v>503</v>
      </c>
      <c r="Q30" s="186">
        <v>504</v>
      </c>
      <c r="R30" s="186">
        <v>505</v>
      </c>
      <c r="S30" s="186">
        <v>511</v>
      </c>
      <c r="T30" s="186">
        <v>512</v>
      </c>
      <c r="U30" s="186">
        <v>570</v>
      </c>
      <c r="V30" s="186">
        <v>577</v>
      </c>
      <c r="W30" s="186" t="s">
        <v>11</v>
      </c>
    </row>
    <row r="31" spans="1:23" x14ac:dyDescent="0.2">
      <c r="A31" s="106">
        <f>+'FERC Interest Rates'!A67</f>
        <v>43039</v>
      </c>
      <c r="B31" s="109">
        <v>3.5369999999999999E-2</v>
      </c>
      <c r="C31" s="107">
        <f>+'Therm Sales'!I52</f>
        <v>11413067</v>
      </c>
      <c r="D31" s="99"/>
      <c r="E31" s="104">
        <f>ROUND(C31*B31,2)</f>
        <v>403680.18</v>
      </c>
      <c r="F31" s="103">
        <f t="shared" si="1"/>
        <v>-1528.73</v>
      </c>
      <c r="H31" s="113">
        <f t="shared" si="0"/>
        <v>-25392.880000000354</v>
      </c>
      <c r="J31" s="90"/>
      <c r="L31" s="108"/>
      <c r="M31" s="184"/>
      <c r="N31" s="184" t="s">
        <v>121</v>
      </c>
      <c r="O31" s="187">
        <v>21608</v>
      </c>
      <c r="P31" s="187">
        <v>6713843</v>
      </c>
      <c r="Q31" s="187">
        <v>4550202</v>
      </c>
      <c r="R31" s="187">
        <v>687511</v>
      </c>
      <c r="S31" s="187">
        <f>560996+175575</f>
        <v>736571</v>
      </c>
      <c r="T31" s="187">
        <v>2035</v>
      </c>
      <c r="U31" s="187">
        <v>0</v>
      </c>
      <c r="V31" s="187">
        <v>0</v>
      </c>
      <c r="W31" s="187">
        <f>SUM(O31:V31)</f>
        <v>12711770</v>
      </c>
    </row>
    <row r="32" spans="1:23" x14ac:dyDescent="0.2">
      <c r="A32" s="199" t="s">
        <v>122</v>
      </c>
      <c r="B32" s="199"/>
      <c r="C32" s="199"/>
      <c r="D32" s="199"/>
      <c r="E32" s="199"/>
      <c r="F32" s="199"/>
      <c r="G32" s="1">
        <v>12083050.699999999</v>
      </c>
      <c r="H32" s="113">
        <f t="shared" si="0"/>
        <v>12057657.819999998</v>
      </c>
      <c r="J32" s="90"/>
      <c r="L32" s="108"/>
      <c r="M32" s="184"/>
      <c r="N32" s="184" t="s">
        <v>123</v>
      </c>
      <c r="O32" s="187">
        <v>17127</v>
      </c>
      <c r="P32" s="187">
        <v>3745285</v>
      </c>
      <c r="Q32" s="187">
        <f>2334076+1372</f>
        <v>2335448</v>
      </c>
      <c r="R32" s="187">
        <f>372+298875</f>
        <v>299247</v>
      </c>
      <c r="S32" s="187">
        <f>373602+116927</f>
        <v>490529</v>
      </c>
      <c r="T32" s="187">
        <v>2035</v>
      </c>
      <c r="U32" s="187">
        <v>212628</v>
      </c>
      <c r="V32" s="187">
        <v>17027</v>
      </c>
      <c r="W32" s="187">
        <f>SUM(O32:V32)</f>
        <v>7119326</v>
      </c>
    </row>
    <row r="33" spans="1:23" x14ac:dyDescent="0.2">
      <c r="A33" s="106">
        <f>+'FERC Interest Rates'!A68</f>
        <v>43069</v>
      </c>
      <c r="B33" s="103" t="s">
        <v>120</v>
      </c>
      <c r="C33" s="107">
        <f>+'Therm Sales'!I53</f>
        <v>19831096</v>
      </c>
      <c r="D33" s="99"/>
      <c r="E33" s="103">
        <f>SUM(ROUND(7119326*-0.05322,2)+ROUND(12711770*0.03537,2))</f>
        <v>70724.76999999996</v>
      </c>
      <c r="F33" s="103">
        <f>ROUND(H32*VLOOKUP(A33,FERCINT17,2)/365*VLOOKUP(A33,FERCINT17,3),2)</f>
        <v>41722.800000000003</v>
      </c>
      <c r="H33" s="113">
        <f t="shared" si="0"/>
        <v>12170105.389999999</v>
      </c>
      <c r="J33" s="90"/>
      <c r="L33" s="108"/>
      <c r="M33" s="184"/>
      <c r="N33" s="184" t="s">
        <v>11</v>
      </c>
      <c r="O33" s="187">
        <f t="shared" ref="O33:W33" si="2">SUM(O31:O32)</f>
        <v>38735</v>
      </c>
      <c r="P33" s="187">
        <f t="shared" si="2"/>
        <v>10459128</v>
      </c>
      <c r="Q33" s="187">
        <f t="shared" si="2"/>
        <v>6885650</v>
      </c>
      <c r="R33" s="187">
        <f t="shared" si="2"/>
        <v>986758</v>
      </c>
      <c r="S33" s="187">
        <f t="shared" si="2"/>
        <v>1227100</v>
      </c>
      <c r="T33" s="187">
        <f t="shared" si="2"/>
        <v>4070</v>
      </c>
      <c r="U33" s="187">
        <f t="shared" si="2"/>
        <v>212628</v>
      </c>
      <c r="V33" s="187">
        <f t="shared" si="2"/>
        <v>17027</v>
      </c>
      <c r="W33" s="187">
        <f t="shared" si="2"/>
        <v>19831096</v>
      </c>
    </row>
    <row r="34" spans="1:23" x14ac:dyDescent="0.2">
      <c r="A34" s="106">
        <f>+'FERC Interest Rates'!A69</f>
        <v>43100</v>
      </c>
      <c r="B34" s="109">
        <v>-5.3220000000000003E-2</v>
      </c>
      <c r="C34" s="107">
        <f>+'Therm Sales'!I54</f>
        <v>29973671</v>
      </c>
      <c r="D34" s="99"/>
      <c r="E34" s="104">
        <f>ROUND(C34*B34,2)</f>
        <v>-1595198.77</v>
      </c>
      <c r="F34" s="103">
        <f>ROUND(H33*VLOOKUP(A34,FERCINT17,2)/365*VLOOKUP(A34,FERCINT17,3),2)</f>
        <v>43515.63</v>
      </c>
      <c r="H34" s="113">
        <f t="shared" si="0"/>
        <v>10618422.249999998</v>
      </c>
      <c r="J34" s="90"/>
      <c r="L34" s="108"/>
      <c r="M34" s="184"/>
      <c r="N34" s="184"/>
      <c r="O34" s="184"/>
      <c r="P34" s="184"/>
      <c r="Q34" s="184"/>
      <c r="R34" s="184"/>
      <c r="S34" s="184"/>
      <c r="T34" s="184"/>
      <c r="U34" s="184"/>
      <c r="V34" s="184"/>
      <c r="W34" s="184"/>
    </row>
    <row r="35" spans="1:23" x14ac:dyDescent="0.2">
      <c r="A35" s="106">
        <f>+'FERC Interest Rates'!A70</f>
        <v>43131</v>
      </c>
      <c r="B35" s="109">
        <v>-5.3220000000000003E-2</v>
      </c>
      <c r="C35" s="107">
        <f>+'Therm Sales'!I55</f>
        <v>41563527</v>
      </c>
      <c r="D35" s="99"/>
      <c r="E35" s="104">
        <f>ROUND(C35*B35,2)</f>
        <v>-2212010.91</v>
      </c>
      <c r="F35" s="103">
        <f t="shared" ref="F35:F44" si="3">ROUND(H34*VLOOKUP(A35,FERCINT18,2)/365*VLOOKUP(A35,FERCINT18,3),2)</f>
        <v>38328.14</v>
      </c>
      <c r="H35" s="113">
        <f t="shared" si="0"/>
        <v>8444739.4799999986</v>
      </c>
      <c r="J35" s="90"/>
      <c r="L35" s="108"/>
      <c r="M35" s="184"/>
      <c r="N35" s="184"/>
      <c r="O35" s="184"/>
      <c r="P35" s="184"/>
      <c r="Q35" s="184"/>
      <c r="R35" s="184"/>
      <c r="S35" s="184"/>
      <c r="T35" s="184"/>
      <c r="U35" s="184"/>
      <c r="V35" s="184"/>
      <c r="W35" s="184"/>
    </row>
    <row r="36" spans="1:23" x14ac:dyDescent="0.2">
      <c r="A36" s="106">
        <f>+'FERC Interest Rates'!A71</f>
        <v>43159</v>
      </c>
      <c r="B36" s="109">
        <v>-5.3220000000000003E-2</v>
      </c>
      <c r="C36" s="107">
        <f>+'Therm Sales'!I56</f>
        <v>29732218</v>
      </c>
      <c r="D36" s="99"/>
      <c r="E36" s="104">
        <f>ROUND(C36*B36,2)</f>
        <v>-1582348.64</v>
      </c>
      <c r="F36" s="103">
        <f t="shared" si="3"/>
        <v>27532.16</v>
      </c>
      <c r="H36" s="113">
        <f t="shared" si="0"/>
        <v>6889922.9999999981</v>
      </c>
      <c r="J36" s="90"/>
      <c r="L36" s="108"/>
      <c r="M36" s="184"/>
      <c r="N36" s="184"/>
      <c r="O36" s="184"/>
      <c r="P36" s="184"/>
      <c r="Q36" s="184"/>
      <c r="R36" s="184"/>
      <c r="S36" s="184"/>
      <c r="T36" s="184"/>
      <c r="U36" s="184"/>
      <c r="V36" s="184"/>
      <c r="W36" s="184"/>
    </row>
    <row r="37" spans="1:23" x14ac:dyDescent="0.2">
      <c r="A37" s="106">
        <f>+'FERC Interest Rates'!A72</f>
        <v>43190</v>
      </c>
      <c r="B37" s="109">
        <v>-5.3220000000000003E-2</v>
      </c>
      <c r="C37" s="107">
        <f>+'Therm Sales'!I57</f>
        <v>34772590</v>
      </c>
      <c r="D37" s="99"/>
      <c r="E37" s="111">
        <f>ROUND(C37*B37,2)+0.01</f>
        <v>-1850597.23</v>
      </c>
      <c r="F37" s="103">
        <f t="shared" si="3"/>
        <v>24869.79</v>
      </c>
      <c r="H37" s="113">
        <f t="shared" si="0"/>
        <v>5064195.5599999987</v>
      </c>
      <c r="J37" s="90"/>
      <c r="L37" s="108"/>
      <c r="M37" s="184"/>
      <c r="N37" s="184"/>
      <c r="O37" s="184"/>
      <c r="P37" s="184"/>
      <c r="Q37" s="184"/>
      <c r="R37" s="184"/>
      <c r="S37" s="184"/>
      <c r="T37" s="184"/>
      <c r="U37" s="184"/>
      <c r="V37" s="184"/>
      <c r="W37" s="184"/>
    </row>
    <row r="38" spans="1:23" x14ac:dyDescent="0.2">
      <c r="A38" s="106">
        <f>+'FERC Interest Rates'!A73</f>
        <v>43220</v>
      </c>
      <c r="B38" s="109">
        <v>-5.3220000000000003E-2</v>
      </c>
      <c r="C38" s="107">
        <f>+'Therm Sales'!I58</f>
        <v>23972789</v>
      </c>
      <c r="D38" s="99"/>
      <c r="E38" s="111">
        <f>ROUND(C38*B38,2)-0.01</f>
        <v>-1275831.8400000001</v>
      </c>
      <c r="F38" s="103">
        <f t="shared" si="3"/>
        <v>18605.72</v>
      </c>
      <c r="H38" s="113">
        <f t="shared" si="0"/>
        <v>3806969.4399999985</v>
      </c>
      <c r="J38" s="90"/>
      <c r="L38" s="108"/>
      <c r="M38" s="184"/>
      <c r="N38" s="184"/>
      <c r="O38" s="184"/>
      <c r="P38" s="184"/>
      <c r="Q38" s="184"/>
      <c r="R38" s="184"/>
      <c r="S38" s="184"/>
      <c r="T38" s="184"/>
      <c r="U38" s="184"/>
      <c r="V38" s="184"/>
      <c r="W38" s="184"/>
    </row>
    <row r="39" spans="1:23" x14ac:dyDescent="0.2">
      <c r="A39" s="106">
        <f>+'FERC Interest Rates'!A74</f>
        <v>43251</v>
      </c>
      <c r="B39" s="109">
        <v>-5.3220000000000003E-2</v>
      </c>
      <c r="C39" s="107">
        <f>+'Therm Sales'!I59</f>
        <v>14908800</v>
      </c>
      <c r="D39" s="99"/>
      <c r="E39" s="111">
        <f>ROUND(C39*B39,2)+0.02</f>
        <v>-793446.32</v>
      </c>
      <c r="F39" s="103">
        <f t="shared" si="3"/>
        <v>14452.92</v>
      </c>
      <c r="H39" s="113">
        <f t="shared" si="0"/>
        <v>3027976.0399999986</v>
      </c>
      <c r="J39" s="90"/>
      <c r="L39" s="108"/>
      <c r="M39" s="184"/>
      <c r="N39" s="184"/>
      <c r="O39" s="184"/>
      <c r="P39" s="184"/>
      <c r="Q39" s="184"/>
      <c r="R39" s="184"/>
      <c r="S39" s="184"/>
      <c r="T39" s="184"/>
      <c r="U39" s="184"/>
      <c r="V39" s="184"/>
      <c r="W39" s="184"/>
    </row>
    <row r="40" spans="1:23" x14ac:dyDescent="0.2">
      <c r="A40" s="106">
        <f>+'FERC Interest Rates'!A75</f>
        <v>43281</v>
      </c>
      <c r="B40" s="109">
        <v>-5.3220000000000003E-2</v>
      </c>
      <c r="C40" s="107">
        <f>+'Therm Sales'!I60</f>
        <v>8932302</v>
      </c>
      <c r="D40" s="99"/>
      <c r="E40" s="104">
        <f>ROUND(C40*B40,2)</f>
        <v>-475377.11</v>
      </c>
      <c r="F40" s="103">
        <f t="shared" si="3"/>
        <v>11124.7</v>
      </c>
      <c r="H40" s="113">
        <f t="shared" si="0"/>
        <v>2563723.6299999985</v>
      </c>
      <c r="J40" s="90"/>
      <c r="L40" s="108"/>
      <c r="M40" s="184"/>
      <c r="N40" s="184"/>
      <c r="O40" s="184"/>
      <c r="P40" s="184"/>
      <c r="Q40" s="184"/>
      <c r="R40" s="184"/>
      <c r="S40" s="184"/>
      <c r="T40" s="184"/>
      <c r="U40" s="184"/>
      <c r="V40" s="184"/>
      <c r="W40" s="184"/>
    </row>
    <row r="41" spans="1:23" x14ac:dyDescent="0.2">
      <c r="A41" s="106">
        <f>+'FERC Interest Rates'!A76</f>
        <v>43312</v>
      </c>
      <c r="B41" s="109">
        <v>-5.3220000000000003E-2</v>
      </c>
      <c r="C41" s="107">
        <f>+'Therm Sales'!I61</f>
        <v>7315304</v>
      </c>
      <c r="D41" s="99"/>
      <c r="E41" s="104">
        <f>ROUND(C41*B41,2)</f>
        <v>-389320.48</v>
      </c>
      <c r="F41" s="103">
        <f t="shared" si="3"/>
        <v>10212.049999999999</v>
      </c>
      <c r="H41" s="113">
        <f t="shared" si="0"/>
        <v>2184615.1999999983</v>
      </c>
      <c r="J41" s="90"/>
      <c r="L41" s="108"/>
      <c r="M41" s="184"/>
      <c r="N41" s="184"/>
      <c r="O41" s="184"/>
      <c r="P41" s="184"/>
      <c r="Q41" s="184"/>
      <c r="R41" s="184"/>
      <c r="S41" s="184"/>
      <c r="T41" s="184"/>
      <c r="U41" s="184"/>
      <c r="V41" s="184"/>
      <c r="W41" s="184"/>
    </row>
    <row r="42" spans="1:23" x14ac:dyDescent="0.2">
      <c r="A42" s="106">
        <f>+'FERC Interest Rates'!A77</f>
        <v>43343</v>
      </c>
      <c r="B42" s="109">
        <v>-5.3220000000000003E-2</v>
      </c>
      <c r="C42" s="107">
        <f>+'Therm Sales'!I62</f>
        <v>6809893</v>
      </c>
      <c r="D42" s="99"/>
      <c r="E42" s="104">
        <f>ROUND(C42*B42,2)</f>
        <v>-362422.51</v>
      </c>
      <c r="F42" s="103">
        <f t="shared" si="3"/>
        <v>8701.9500000000007</v>
      </c>
      <c r="H42" s="113">
        <f t="shared" si="0"/>
        <v>1830894.6399999983</v>
      </c>
      <c r="J42" s="90"/>
      <c r="L42" s="108"/>
      <c r="M42" s="184"/>
      <c r="N42" s="184"/>
      <c r="O42" s="184"/>
      <c r="P42" s="184"/>
      <c r="Q42" s="184"/>
      <c r="R42" s="184"/>
      <c r="S42" s="184"/>
      <c r="T42" s="184"/>
      <c r="U42" s="184"/>
      <c r="V42" s="184"/>
      <c r="W42" s="184"/>
    </row>
    <row r="43" spans="1:23" x14ac:dyDescent="0.2">
      <c r="A43" s="106">
        <f>+'FERC Interest Rates'!A78</f>
        <v>43373</v>
      </c>
      <c r="B43" s="109">
        <v>-5.3220000000000003E-2</v>
      </c>
      <c r="C43" s="107">
        <f>+'Therm Sales'!I63</f>
        <v>6985938</v>
      </c>
      <c r="D43" s="99"/>
      <c r="E43" s="111">
        <f>ROUND(C43*B43,2)-0.01</f>
        <v>-371791.63</v>
      </c>
      <c r="F43" s="103">
        <f t="shared" si="3"/>
        <v>7057.72</v>
      </c>
      <c r="H43" s="113">
        <f t="shared" si="0"/>
        <v>1466160.7299999981</v>
      </c>
      <c r="J43" s="90"/>
      <c r="L43" s="108"/>
      <c r="M43" s="184"/>
      <c r="N43" s="184"/>
      <c r="O43" s="186">
        <v>502</v>
      </c>
      <c r="P43" s="186">
        <v>503</v>
      </c>
      <c r="Q43" s="186">
        <v>504</v>
      </c>
      <c r="R43" s="186">
        <v>505</v>
      </c>
      <c r="S43" s="186">
        <v>511</v>
      </c>
      <c r="T43" s="186">
        <v>512</v>
      </c>
      <c r="U43" s="186">
        <v>570</v>
      </c>
      <c r="V43" s="186">
        <v>577</v>
      </c>
      <c r="W43" s="186" t="s">
        <v>11</v>
      </c>
    </row>
    <row r="44" spans="1:23" x14ac:dyDescent="0.2">
      <c r="A44" s="106">
        <f>+'FERC Interest Rates'!A79</f>
        <v>43404</v>
      </c>
      <c r="B44" s="109">
        <v>-5.3220000000000003E-2</v>
      </c>
      <c r="C44" s="107">
        <f>+'Therm Sales'!I64</f>
        <v>11920068</v>
      </c>
      <c r="D44" s="99"/>
      <c r="E44" s="104">
        <f>ROUND(C44*B44,2)</f>
        <v>-634386.02</v>
      </c>
      <c r="F44" s="103">
        <f t="shared" si="3"/>
        <v>6176.35</v>
      </c>
      <c r="H44" s="113">
        <f t="shared" si="0"/>
        <v>837951.05999999808</v>
      </c>
      <c r="J44" s="90"/>
      <c r="L44" s="108"/>
      <c r="M44" s="184"/>
      <c r="N44" s="188" t="s">
        <v>124</v>
      </c>
      <c r="O44" s="187">
        <v>0</v>
      </c>
      <c r="P44" s="187">
        <v>5727490</v>
      </c>
      <c r="Q44" s="187">
        <f>4033428-2079</f>
        <v>4031349</v>
      </c>
      <c r="R44" s="187">
        <f>691298-21</f>
        <v>691277</v>
      </c>
      <c r="S44" s="187">
        <f>459820+107458</f>
        <v>567278</v>
      </c>
      <c r="T44" s="187">
        <v>0</v>
      </c>
      <c r="U44" s="187">
        <f>197742-197742</f>
        <v>0</v>
      </c>
      <c r="V44" s="187">
        <v>0</v>
      </c>
      <c r="W44" s="187">
        <f>SUM(O44:V44)</f>
        <v>11017394</v>
      </c>
    </row>
    <row r="45" spans="1:23" x14ac:dyDescent="0.2">
      <c r="A45" s="199" t="s">
        <v>122</v>
      </c>
      <c r="B45" s="199"/>
      <c r="C45" s="199"/>
      <c r="D45" s="199"/>
      <c r="E45" s="199"/>
      <c r="F45" s="199"/>
      <c r="G45" s="1">
        <v>1258996.8999999999</v>
      </c>
      <c r="H45" s="113">
        <f t="shared" si="0"/>
        <v>2096947.9599999981</v>
      </c>
      <c r="J45" s="90"/>
      <c r="L45" s="108"/>
      <c r="M45" s="184"/>
      <c r="N45" s="188" t="s">
        <v>125</v>
      </c>
      <c r="O45" s="187">
        <v>0</v>
      </c>
      <c r="P45" s="187">
        <v>3233440</v>
      </c>
      <c r="Q45" s="187">
        <f>2122532+3464</f>
        <v>2125996</v>
      </c>
      <c r="R45" s="187">
        <f>298083+63</f>
        <v>298146</v>
      </c>
      <c r="S45" s="187">
        <f>331925+77569</f>
        <v>409494</v>
      </c>
      <c r="T45" s="187">
        <v>0</v>
      </c>
      <c r="U45" s="187">
        <v>217688</v>
      </c>
      <c r="V45" s="187">
        <v>0</v>
      </c>
      <c r="W45" s="187">
        <f>SUM(O45:V45)</f>
        <v>6284764</v>
      </c>
    </row>
    <row r="46" spans="1:23" x14ac:dyDescent="0.2">
      <c r="A46" s="106">
        <f>+'FERC Interest Rates'!A80</f>
        <v>43434</v>
      </c>
      <c r="B46" s="103" t="s">
        <v>120</v>
      </c>
      <c r="C46" s="107">
        <f>+'Therm Sales'!I65</f>
        <v>17302158</v>
      </c>
      <c r="D46" s="99"/>
      <c r="E46" s="103">
        <f>SUM(ROUND(W44*-0.05322,2)+ROUND(+W45*-0.0074,2))</f>
        <v>-632852.96</v>
      </c>
      <c r="F46" s="103">
        <f>ROUND(H45*VLOOKUP(A46,FERCINT18,2)/365*VLOOKUP(A46,FERCINT18,3),2)</f>
        <v>8548.65</v>
      </c>
      <c r="H46" s="113">
        <f t="shared" si="0"/>
        <v>1472643.649999998</v>
      </c>
      <c r="J46" s="90"/>
      <c r="L46" s="108"/>
      <c r="M46" s="184"/>
      <c r="N46" s="188" t="s">
        <v>11</v>
      </c>
      <c r="O46" s="187">
        <f t="shared" ref="O46:W46" si="4">SUM(O44:O45)</f>
        <v>0</v>
      </c>
      <c r="P46" s="187">
        <f t="shared" si="4"/>
        <v>8960930</v>
      </c>
      <c r="Q46" s="187">
        <f t="shared" si="4"/>
        <v>6157345</v>
      </c>
      <c r="R46" s="187">
        <f t="shared" si="4"/>
        <v>989423</v>
      </c>
      <c r="S46" s="187">
        <f t="shared" si="4"/>
        <v>976772</v>
      </c>
      <c r="T46" s="187">
        <f t="shared" si="4"/>
        <v>0</v>
      </c>
      <c r="U46" s="187">
        <f t="shared" si="4"/>
        <v>217688</v>
      </c>
      <c r="V46" s="187">
        <f t="shared" si="4"/>
        <v>0</v>
      </c>
      <c r="W46" s="187">
        <f t="shared" si="4"/>
        <v>17302158</v>
      </c>
    </row>
    <row r="47" spans="1:23" x14ac:dyDescent="0.2">
      <c r="A47" s="106">
        <f>+'FERC Interest Rates'!A81</f>
        <v>43465</v>
      </c>
      <c r="B47" s="109">
        <v>-7.4000000000000003E-3</v>
      </c>
      <c r="C47" s="107">
        <f>+'Therm Sales'!I66</f>
        <v>31921099</v>
      </c>
      <c r="D47" s="99"/>
      <c r="E47" s="104">
        <f>ROUND(C47*B47,2)</f>
        <v>-236216.13</v>
      </c>
      <c r="F47" s="103">
        <f>ROUND(H46*VLOOKUP(A47,FERCINT18,2)/365*VLOOKUP(A47,FERCINT18,3),2)</f>
        <v>6203.66</v>
      </c>
      <c r="H47" s="113">
        <f t="shared" si="0"/>
        <v>1242631.1799999981</v>
      </c>
      <c r="J47" s="90"/>
      <c r="L47" s="108"/>
      <c r="M47" s="184"/>
      <c r="N47" s="184"/>
      <c r="O47" s="184"/>
      <c r="P47" s="184"/>
      <c r="Q47" s="184"/>
      <c r="R47" s="184"/>
      <c r="S47" s="184"/>
      <c r="T47" s="184"/>
      <c r="U47" s="184"/>
      <c r="V47" s="184"/>
      <c r="W47" s="184"/>
    </row>
    <row r="48" spans="1:23" x14ac:dyDescent="0.2">
      <c r="A48" s="106">
        <f>+'FERC Interest Rates'!A82</f>
        <v>43496</v>
      </c>
      <c r="B48" s="109">
        <v>-7.4000000000000003E-3</v>
      </c>
      <c r="C48" s="107">
        <f>+'Therm Sales'!I67</f>
        <v>36049301</v>
      </c>
      <c r="D48" s="99"/>
      <c r="E48" s="111">
        <f>ROUND(C48*B48,2)+0.01</f>
        <v>-266764.82</v>
      </c>
      <c r="F48" s="103">
        <f t="shared" ref="F48:F54" si="5">ROUND(H47*VLOOKUP(A48,FERCINT19,2)/365*VLOOKUP(A48,FERCINT19,3),2)</f>
        <v>5466.9</v>
      </c>
      <c r="H48" s="113">
        <f t="shared" si="0"/>
        <v>981333.25999999803</v>
      </c>
      <c r="J48" s="90"/>
      <c r="L48" s="108"/>
      <c r="M48" s="184"/>
      <c r="N48" s="184"/>
      <c r="O48" s="184"/>
      <c r="P48" s="184"/>
      <c r="Q48" s="184"/>
      <c r="R48" s="184"/>
      <c r="S48" s="184"/>
      <c r="T48" s="184"/>
      <c r="U48" s="184"/>
      <c r="V48" s="184"/>
      <c r="W48" s="184"/>
    </row>
    <row r="49" spans="1:23" x14ac:dyDescent="0.2">
      <c r="A49" s="106">
        <f>+'FERC Interest Rates'!A83</f>
        <v>43524</v>
      </c>
      <c r="B49" s="109">
        <v>-7.4000000000000003E-3</v>
      </c>
      <c r="C49" s="107">
        <f>+'Therm Sales'!I68</f>
        <v>38560000</v>
      </c>
      <c r="D49" s="99"/>
      <c r="E49" s="104">
        <f t="shared" ref="E49:E53" si="6">ROUND(C49*B49,2)</f>
        <v>-285344</v>
      </c>
      <c r="F49" s="103">
        <f t="shared" si="5"/>
        <v>3899.52</v>
      </c>
      <c r="H49" s="113">
        <f t="shared" si="0"/>
        <v>699888.77999999805</v>
      </c>
      <c r="J49" s="90"/>
      <c r="L49" s="108"/>
      <c r="M49" s="184"/>
      <c r="N49" s="184"/>
      <c r="O49" s="184"/>
      <c r="P49" s="184"/>
      <c r="Q49" s="184"/>
      <c r="R49" s="184"/>
      <c r="S49" s="184"/>
      <c r="T49" s="184"/>
      <c r="U49" s="184"/>
      <c r="V49" s="184"/>
      <c r="W49" s="184"/>
    </row>
    <row r="50" spans="1:23" x14ac:dyDescent="0.2">
      <c r="A50" s="106">
        <f>+'FERC Interest Rates'!A84</f>
        <v>43555</v>
      </c>
      <c r="B50" s="109">
        <v>-7.4000000000000003E-3</v>
      </c>
      <c r="C50" s="107">
        <f>+'Therm Sales'!I69</f>
        <v>42389457</v>
      </c>
      <c r="D50" s="99"/>
      <c r="E50" s="104">
        <f t="shared" si="6"/>
        <v>-313681.98</v>
      </c>
      <c r="F50" s="103">
        <f t="shared" si="5"/>
        <v>3079.13</v>
      </c>
      <c r="H50" s="113">
        <f t="shared" si="0"/>
        <v>389285.92999999807</v>
      </c>
      <c r="J50" s="90"/>
      <c r="L50" s="108"/>
      <c r="M50" s="184"/>
      <c r="N50" s="184"/>
      <c r="O50" s="184"/>
      <c r="P50" s="184"/>
      <c r="Q50" s="184"/>
      <c r="R50" s="184"/>
      <c r="S50" s="184"/>
      <c r="T50" s="184"/>
      <c r="U50" s="184"/>
      <c r="V50" s="184"/>
      <c r="W50" s="184"/>
    </row>
    <row r="51" spans="1:23" x14ac:dyDescent="0.2">
      <c r="A51" s="106">
        <f>+'FERC Interest Rates'!A85</f>
        <v>43585</v>
      </c>
      <c r="B51" s="109">
        <v>-7.4000000000000003E-3</v>
      </c>
      <c r="C51" s="107">
        <f>+'Therm Sales'!I70</f>
        <v>24251956</v>
      </c>
      <c r="D51" s="99"/>
      <c r="E51" s="104">
        <f t="shared" si="6"/>
        <v>-179464.47</v>
      </c>
      <c r="F51" s="103">
        <f t="shared" si="5"/>
        <v>1743.79</v>
      </c>
      <c r="H51" s="113">
        <f t="shared" si="0"/>
        <v>211565.24999999808</v>
      </c>
      <c r="J51" s="90"/>
      <c r="L51" s="108"/>
      <c r="M51" s="184"/>
      <c r="N51" s="184"/>
      <c r="O51" s="184"/>
      <c r="P51" s="184"/>
      <c r="Q51" s="184"/>
      <c r="R51" s="184"/>
      <c r="S51" s="184"/>
      <c r="T51" s="184"/>
      <c r="U51" s="184"/>
      <c r="V51" s="184"/>
      <c r="W51" s="184"/>
    </row>
    <row r="52" spans="1:23" x14ac:dyDescent="0.2">
      <c r="A52" s="106">
        <f>+'FERC Interest Rates'!A86</f>
        <v>43616</v>
      </c>
      <c r="B52" s="109">
        <v>-7.4000000000000003E-3</v>
      </c>
      <c r="C52" s="107">
        <f>+'Therm Sales'!I71</f>
        <v>14672895</v>
      </c>
      <c r="D52" s="99"/>
      <c r="E52" s="111">
        <f>ROUND(C52*B52,2)+0.01</f>
        <v>-108579.41</v>
      </c>
      <c r="F52" s="103">
        <f t="shared" si="5"/>
        <v>979.29</v>
      </c>
      <c r="H52" s="113">
        <f t="shared" si="0"/>
        <v>103965.12999999807</v>
      </c>
      <c r="J52" s="90"/>
      <c r="L52" s="108"/>
      <c r="M52" s="184"/>
      <c r="N52" s="184"/>
      <c r="O52" s="184"/>
      <c r="P52" s="184"/>
      <c r="Q52" s="184"/>
      <c r="R52" s="184"/>
      <c r="S52" s="184"/>
      <c r="T52" s="184"/>
      <c r="U52" s="184"/>
      <c r="V52" s="184"/>
      <c r="W52" s="184"/>
    </row>
    <row r="53" spans="1:23" x14ac:dyDescent="0.2">
      <c r="A53" s="106">
        <f>+'FERC Interest Rates'!A87</f>
        <v>43646</v>
      </c>
      <c r="B53" s="109">
        <v>-7.4000000000000003E-3</v>
      </c>
      <c r="C53" s="107">
        <f>+'Therm Sales'!I72</f>
        <v>8957567</v>
      </c>
      <c r="D53" s="99"/>
      <c r="E53" s="104">
        <f t="shared" si="6"/>
        <v>-66286</v>
      </c>
      <c r="F53" s="103">
        <f t="shared" si="5"/>
        <v>465.71</v>
      </c>
      <c r="H53" s="113">
        <f t="shared" si="0"/>
        <v>38144.839999998076</v>
      </c>
      <c r="J53" s="90"/>
      <c r="L53" s="108"/>
    </row>
    <row r="54" spans="1:23" x14ac:dyDescent="0.2">
      <c r="A54" s="106">
        <f>+'FERC Interest Rates'!A88</f>
        <v>43677</v>
      </c>
      <c r="B54" s="109">
        <v>-7.4000000000000003E-3</v>
      </c>
      <c r="C54" s="107">
        <f>+'Therm Sales'!I73</f>
        <v>7650859</v>
      </c>
      <c r="D54" s="99"/>
      <c r="E54" s="111">
        <f>ROUND(C54*B54,2)-0.01</f>
        <v>-56616.37</v>
      </c>
      <c r="F54" s="103">
        <f t="shared" si="5"/>
        <v>178.18</v>
      </c>
      <c r="H54" s="113">
        <f t="shared" si="0"/>
        <v>-18293.350000001927</v>
      </c>
      <c r="J54" s="90"/>
      <c r="L54" s="108"/>
    </row>
    <row r="55" spans="1:23" x14ac:dyDescent="0.2">
      <c r="A55" s="106"/>
      <c r="B55" s="109"/>
      <c r="C55" s="107"/>
      <c r="D55" s="99"/>
      <c r="E55" s="104"/>
      <c r="F55" s="103"/>
      <c r="H55" s="113"/>
      <c r="J55" s="90"/>
      <c r="L55" s="108"/>
    </row>
    <row r="56" spans="1:23" x14ac:dyDescent="0.2">
      <c r="A56" s="106"/>
      <c r="B56" s="109"/>
      <c r="C56" s="107"/>
      <c r="D56" s="99"/>
      <c r="E56" s="104"/>
      <c r="F56" s="103"/>
      <c r="H56" s="113"/>
      <c r="J56" s="90"/>
      <c r="L56" s="108"/>
    </row>
    <row r="57" spans="1:23" x14ac:dyDescent="0.2">
      <c r="A57" s="106"/>
      <c r="B57" s="109"/>
      <c r="C57" s="107"/>
      <c r="D57" s="99"/>
      <c r="E57" s="104"/>
      <c r="F57" s="103"/>
      <c r="H57" s="113"/>
      <c r="J57" s="90"/>
      <c r="L57" s="108"/>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17:F17"/>
    <mergeCell ref="A32:F32"/>
    <mergeCell ref="A45:F45"/>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765FA-8186-4B7D-8B3D-1AA730435093}">
  <sheetPr>
    <pageSetUpPr fitToPage="1"/>
  </sheetPr>
  <dimension ref="A1:W23"/>
  <sheetViews>
    <sheetView view="pageBreakPreview" zoomScaleNormal="100" zoomScaleSheetLayoutView="100" workbookViewId="0">
      <pane ySplit="7" topLeftCell="A8" activePane="bottomLeft" state="frozen"/>
      <selection activeCell="G86" activeCellId="1" sqref="D86 G86"/>
      <selection pane="bottomLeft" activeCell="G86" activeCellId="1" sqref="D86 G8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7"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3" x14ac:dyDescent="0.2">
      <c r="A1" s="221" t="s">
        <v>58</v>
      </c>
      <c r="B1" s="222"/>
      <c r="C1" s="232" t="s">
        <v>59</v>
      </c>
      <c r="D1" s="232"/>
      <c r="E1" s="232"/>
      <c r="F1" s="232"/>
      <c r="G1" s="232"/>
      <c r="H1" s="233"/>
      <c r="I1" s="100"/>
    </row>
    <row r="2" spans="1:23" x14ac:dyDescent="0.2">
      <c r="A2" s="219" t="s">
        <v>60</v>
      </c>
      <c r="B2" s="208"/>
      <c r="C2" s="230" t="s">
        <v>126</v>
      </c>
      <c r="D2" s="230"/>
      <c r="E2" s="230"/>
      <c r="F2" s="230"/>
      <c r="G2" s="230"/>
      <c r="H2" s="231"/>
      <c r="I2" s="100"/>
    </row>
    <row r="3" spans="1:23" x14ac:dyDescent="0.2">
      <c r="A3" s="219" t="s">
        <v>62</v>
      </c>
      <c r="B3" s="208"/>
      <c r="C3" s="230" t="s">
        <v>10</v>
      </c>
      <c r="D3" s="230"/>
      <c r="E3" s="230"/>
      <c r="F3" s="230"/>
      <c r="G3" s="230"/>
      <c r="H3" s="231"/>
      <c r="I3" s="100"/>
    </row>
    <row r="4" spans="1:23" x14ac:dyDescent="0.2">
      <c r="A4" s="219" t="s">
        <v>63</v>
      </c>
      <c r="B4" s="208"/>
      <c r="C4" s="230" t="s">
        <v>127</v>
      </c>
      <c r="D4" s="230"/>
      <c r="E4" s="230"/>
      <c r="F4" s="230"/>
      <c r="G4" s="230"/>
      <c r="H4" s="231"/>
      <c r="I4" s="100"/>
    </row>
    <row r="5" spans="1:23" x14ac:dyDescent="0.2">
      <c r="A5" s="219" t="s">
        <v>65</v>
      </c>
      <c r="B5" s="208"/>
      <c r="C5" s="230" t="s">
        <v>128</v>
      </c>
      <c r="D5" s="230"/>
      <c r="E5" s="230"/>
      <c r="F5" s="230"/>
      <c r="G5" s="230"/>
      <c r="H5" s="231"/>
      <c r="I5" s="100"/>
    </row>
    <row r="6" spans="1:23" x14ac:dyDescent="0.2">
      <c r="A6" s="219" t="s">
        <v>67</v>
      </c>
      <c r="B6" s="208"/>
      <c r="C6" s="230" t="s">
        <v>129</v>
      </c>
      <c r="D6" s="230"/>
      <c r="E6" s="230"/>
      <c r="F6" s="230"/>
      <c r="G6" s="230"/>
      <c r="H6" s="231"/>
      <c r="I6" s="100"/>
    </row>
    <row r="7" spans="1:23" ht="13.5" thickBot="1" x14ac:dyDescent="0.25">
      <c r="A7" s="215" t="s">
        <v>68</v>
      </c>
      <c r="B7" s="216"/>
      <c r="C7" s="228" t="s">
        <v>130</v>
      </c>
      <c r="D7" s="228"/>
      <c r="E7" s="228"/>
      <c r="F7" s="228"/>
      <c r="G7" s="228"/>
      <c r="H7" s="228"/>
      <c r="I7" s="189"/>
      <c r="J7" s="184"/>
      <c r="K7" s="190"/>
      <c r="L7" s="184"/>
      <c r="M7" s="184"/>
      <c r="N7" s="184"/>
      <c r="O7" s="184"/>
      <c r="P7" s="184"/>
      <c r="Q7" s="184"/>
      <c r="R7" s="184"/>
      <c r="S7" s="184"/>
      <c r="T7" s="184"/>
      <c r="U7" s="184"/>
      <c r="V7" s="184"/>
      <c r="W7" s="184"/>
    </row>
    <row r="8" spans="1:23" x14ac:dyDescent="0.2">
      <c r="A8" s="95"/>
      <c r="B8" s="95"/>
      <c r="C8" s="96"/>
      <c r="D8" s="96"/>
      <c r="E8" s="96"/>
      <c r="F8" s="96"/>
      <c r="G8" s="96"/>
      <c r="H8" s="96"/>
      <c r="I8" s="184"/>
      <c r="J8" s="191"/>
      <c r="K8" s="190"/>
      <c r="L8" s="184"/>
      <c r="M8" s="184"/>
      <c r="N8" s="184"/>
      <c r="O8" s="184"/>
      <c r="P8" s="184"/>
      <c r="Q8" s="184"/>
      <c r="R8" s="184"/>
      <c r="S8" s="184"/>
      <c r="T8" s="184"/>
      <c r="U8" s="184"/>
      <c r="V8" s="184"/>
      <c r="W8" s="184"/>
    </row>
    <row r="9" spans="1:23" x14ac:dyDescent="0.2">
      <c r="A9" s="6"/>
      <c r="D9" s="205" t="s">
        <v>71</v>
      </c>
      <c r="E9" s="205"/>
      <c r="F9" s="205"/>
      <c r="I9" s="184"/>
      <c r="J9" s="184"/>
      <c r="K9" s="190"/>
      <c r="L9" s="184"/>
      <c r="M9" s="184"/>
      <c r="N9" s="184"/>
      <c r="O9" s="184"/>
      <c r="P9" s="184"/>
      <c r="Q9" s="184"/>
      <c r="R9" s="184"/>
      <c r="S9" s="184"/>
      <c r="T9" s="184"/>
      <c r="U9" s="184"/>
      <c r="V9" s="184"/>
      <c r="W9" s="184"/>
    </row>
    <row r="10" spans="1:23" s="26" customFormat="1" x14ac:dyDescent="0.2">
      <c r="A10" s="9" t="s">
        <v>23</v>
      </c>
      <c r="B10" s="9" t="s">
        <v>73</v>
      </c>
      <c r="C10" s="9" t="s">
        <v>50</v>
      </c>
      <c r="D10" s="9" t="s">
        <v>74</v>
      </c>
      <c r="E10" s="9" t="s">
        <v>75</v>
      </c>
      <c r="F10" s="9" t="s">
        <v>76</v>
      </c>
      <c r="G10" s="9" t="s">
        <v>77</v>
      </c>
      <c r="H10" s="9" t="s">
        <v>78</v>
      </c>
      <c r="I10" s="192"/>
      <c r="J10" s="192"/>
      <c r="K10" s="192"/>
      <c r="L10" s="192"/>
      <c r="M10" s="192"/>
      <c r="N10" s="185"/>
      <c r="O10" s="185"/>
      <c r="P10" s="185"/>
      <c r="Q10" s="185"/>
      <c r="R10" s="185"/>
      <c r="S10" s="185"/>
      <c r="T10" s="185"/>
      <c r="U10" s="185"/>
      <c r="V10" s="185"/>
      <c r="W10" s="185"/>
    </row>
    <row r="11" spans="1:23" x14ac:dyDescent="0.2">
      <c r="A11" s="102"/>
      <c r="B11" s="102"/>
      <c r="C11" s="102"/>
      <c r="D11" s="102"/>
      <c r="E11" s="102"/>
      <c r="F11" s="102"/>
      <c r="G11" s="102"/>
      <c r="H11" s="103"/>
      <c r="I11" s="189"/>
      <c r="J11" s="184"/>
      <c r="K11" s="190"/>
      <c r="L11" s="184"/>
      <c r="M11" s="184"/>
      <c r="N11" s="184"/>
      <c r="O11" s="186">
        <v>503</v>
      </c>
      <c r="P11" s="186">
        <v>504</v>
      </c>
      <c r="Q11" s="186">
        <v>505</v>
      </c>
      <c r="R11" s="186">
        <v>511</v>
      </c>
      <c r="S11" s="186">
        <v>570</v>
      </c>
      <c r="T11" s="186" t="s">
        <v>11</v>
      </c>
      <c r="U11" s="184"/>
      <c r="V11" s="184"/>
      <c r="W11" s="184"/>
    </row>
    <row r="12" spans="1:23" x14ac:dyDescent="0.2">
      <c r="A12" s="234" t="s">
        <v>131</v>
      </c>
      <c r="B12" s="234"/>
      <c r="C12" s="234"/>
      <c r="D12" s="234"/>
      <c r="E12" s="234"/>
      <c r="F12" s="234"/>
      <c r="G12" s="103">
        <v>48566123.659999996</v>
      </c>
      <c r="H12" s="103"/>
      <c r="I12" s="193"/>
      <c r="J12" s="193"/>
      <c r="K12" s="190"/>
      <c r="L12" s="184"/>
      <c r="M12" s="184"/>
      <c r="N12" s="184" t="s">
        <v>121</v>
      </c>
      <c r="O12" s="187">
        <v>8910896</v>
      </c>
      <c r="P12" s="187">
        <v>6877033</v>
      </c>
      <c r="Q12" s="187">
        <v>1008488</v>
      </c>
      <c r="R12" s="187">
        <f>737068+235257</f>
        <v>972325</v>
      </c>
      <c r="S12" s="187">
        <v>248145</v>
      </c>
      <c r="T12" s="187">
        <f>SUM(O12:S12)</f>
        <v>18016887</v>
      </c>
      <c r="U12" s="184"/>
      <c r="V12" s="184"/>
      <c r="W12" s="184"/>
    </row>
    <row r="13" spans="1:23" x14ac:dyDescent="0.2">
      <c r="A13" s="227"/>
      <c r="B13" s="227"/>
      <c r="C13" s="227"/>
      <c r="D13" s="227"/>
      <c r="E13" s="227"/>
      <c r="F13" s="227"/>
      <c r="G13" s="103"/>
      <c r="H13" s="103">
        <f>SUM(G12:G12)</f>
        <v>48566123.659999996</v>
      </c>
      <c r="I13" s="194"/>
      <c r="J13" s="190"/>
      <c r="K13" s="190"/>
      <c r="L13" s="190"/>
      <c r="M13" s="184"/>
      <c r="N13" s="184" t="s">
        <v>123</v>
      </c>
      <c r="O13" s="187">
        <v>3351462</v>
      </c>
      <c r="P13" s="187">
        <v>2223041</v>
      </c>
      <c r="Q13" s="187">
        <v>322822</v>
      </c>
      <c r="R13" s="187">
        <f>291771+103792</f>
        <v>395563</v>
      </c>
      <c r="S13" s="187">
        <v>0</v>
      </c>
      <c r="T13" s="187">
        <f>SUM(O13:S13)</f>
        <v>6292888</v>
      </c>
      <c r="U13" s="184"/>
      <c r="V13" s="184"/>
      <c r="W13" s="184"/>
    </row>
    <row r="14" spans="1:23" x14ac:dyDescent="0.2">
      <c r="A14" s="106">
        <f>'FERC Interest Rates'!A85</f>
        <v>43585</v>
      </c>
      <c r="B14" s="103" t="s">
        <v>120</v>
      </c>
      <c r="C14" s="115">
        <f>6292888+193853</f>
        <v>6486741</v>
      </c>
      <c r="D14" s="110"/>
      <c r="E14" s="103">
        <f>SUM(ROUND(T12*0,2)+ROUND((T13+T14)*-0.07276,2))</f>
        <v>-471975.28</v>
      </c>
      <c r="F14" s="103">
        <f t="shared" ref="F14:F17" si="0">ROUND(H13*VLOOKUP(A14,FERCINT19,2)/365*VLOOKUP(A14,FERCINT19,3),2)</f>
        <v>217549.62</v>
      </c>
      <c r="G14" s="103"/>
      <c r="H14" s="103">
        <f>H13+SUM(E14:G14)</f>
        <v>48311698</v>
      </c>
      <c r="I14" s="193"/>
      <c r="J14" s="184"/>
      <c r="K14" s="190"/>
      <c r="L14" s="195"/>
      <c r="M14" s="195"/>
      <c r="N14" s="184" t="s">
        <v>132</v>
      </c>
      <c r="O14" s="196"/>
      <c r="P14" s="196">
        <v>2258</v>
      </c>
      <c r="Q14" s="196">
        <v>128</v>
      </c>
      <c r="R14" s="196"/>
      <c r="S14" s="196">
        <v>191467</v>
      </c>
      <c r="T14" s="196">
        <f>SUM(O14:S14)</f>
        <v>193853</v>
      </c>
      <c r="U14" s="184"/>
      <c r="V14" s="184"/>
      <c r="W14" s="184"/>
    </row>
    <row r="15" spans="1:23" x14ac:dyDescent="0.2">
      <c r="A15" s="106">
        <f>'FERC Interest Rates'!A86</f>
        <v>43616</v>
      </c>
      <c r="B15" s="117">
        <v>-7.2760000000000005E-2</v>
      </c>
      <c r="C15" s="115">
        <f>+'Therm Sales'!I71</f>
        <v>14672895</v>
      </c>
      <c r="D15" s="110"/>
      <c r="E15" s="111">
        <f>ROUND(C15*B15,2)-0.01</f>
        <v>-1067599.8500000001</v>
      </c>
      <c r="F15" s="103">
        <f t="shared" si="0"/>
        <v>223623.6</v>
      </c>
      <c r="G15" s="103"/>
      <c r="H15" s="103">
        <f>H14+SUM(D15:G15)</f>
        <v>47467721.75</v>
      </c>
      <c r="I15" s="193"/>
      <c r="J15" s="193"/>
      <c r="K15" s="190"/>
      <c r="L15" s="195"/>
      <c r="M15" s="195"/>
      <c r="N15" s="184" t="s">
        <v>11</v>
      </c>
      <c r="O15" s="187">
        <f>SUM(O12:O14)</f>
        <v>12262358</v>
      </c>
      <c r="P15" s="187">
        <f t="shared" ref="P15:T15" si="1">SUM(P12:P14)</f>
        <v>9102332</v>
      </c>
      <c r="Q15" s="187">
        <f t="shared" si="1"/>
        <v>1331438</v>
      </c>
      <c r="R15" s="187">
        <f t="shared" si="1"/>
        <v>1367888</v>
      </c>
      <c r="S15" s="187">
        <f t="shared" si="1"/>
        <v>439612</v>
      </c>
      <c r="T15" s="187">
        <f t="shared" si="1"/>
        <v>24503628</v>
      </c>
      <c r="U15" s="184"/>
      <c r="V15" s="184"/>
      <c r="W15" s="184"/>
    </row>
    <row r="16" spans="1:23" x14ac:dyDescent="0.2">
      <c r="A16" s="106">
        <f>'FERC Interest Rates'!A87</f>
        <v>43646</v>
      </c>
      <c r="B16" s="117">
        <v>-7.2760000000000005E-2</v>
      </c>
      <c r="C16" s="115">
        <f>+'Therm Sales'!I72</f>
        <v>8957567</v>
      </c>
      <c r="D16" s="112"/>
      <c r="E16" s="90">
        <f>ROUND(C16*B16,2)</f>
        <v>-651752.56999999995</v>
      </c>
      <c r="F16" s="103">
        <f t="shared" si="0"/>
        <v>212629.38</v>
      </c>
      <c r="G16" s="101"/>
      <c r="H16" s="113">
        <f>H15+SUM(D16:G16)</f>
        <v>47028598.560000002</v>
      </c>
      <c r="I16" s="193"/>
      <c r="J16" s="193"/>
      <c r="K16" s="190"/>
      <c r="L16" s="195"/>
      <c r="M16" s="195"/>
      <c r="N16" s="184"/>
      <c r="O16" s="184"/>
      <c r="P16" s="184"/>
      <c r="Q16" s="184"/>
      <c r="R16" s="184"/>
      <c r="S16" s="184"/>
      <c r="T16" s="184"/>
      <c r="U16" s="184"/>
      <c r="V16" s="184"/>
      <c r="W16" s="184"/>
    </row>
    <row r="17" spans="1:23" x14ac:dyDescent="0.2">
      <c r="A17" s="106">
        <f>'FERC Interest Rates'!A88</f>
        <v>43677</v>
      </c>
      <c r="B17" s="117">
        <v>-7.2760000000000005E-2</v>
      </c>
      <c r="C17" s="115">
        <f>+'Therm Sales'!I73</f>
        <v>7650859</v>
      </c>
      <c r="D17" s="112"/>
      <c r="E17" s="90">
        <f>ROUND(C17*B17,2)</f>
        <v>-556676.5</v>
      </c>
      <c r="F17" s="103">
        <f t="shared" si="0"/>
        <v>219681.54</v>
      </c>
      <c r="G17" s="101"/>
      <c r="H17" s="113">
        <f t="shared" ref="H17" si="2">H16+SUM(D17:G17)</f>
        <v>46691603.600000001</v>
      </c>
      <c r="I17" s="184"/>
      <c r="J17" s="193"/>
      <c r="K17" s="190"/>
      <c r="L17" s="195"/>
      <c r="M17" s="195"/>
      <c r="N17" s="184"/>
      <c r="O17" s="184"/>
      <c r="P17" s="184"/>
      <c r="Q17" s="184"/>
      <c r="R17" s="184"/>
      <c r="S17" s="184"/>
      <c r="T17" s="184"/>
      <c r="U17" s="184"/>
      <c r="V17" s="184"/>
      <c r="W17" s="184"/>
    </row>
    <row r="18" spans="1:23" x14ac:dyDescent="0.2">
      <c r="A18" s="106"/>
      <c r="B18" s="117"/>
      <c r="C18" s="115"/>
      <c r="D18" s="112"/>
      <c r="E18" s="90"/>
      <c r="F18" s="103"/>
      <c r="G18" s="101"/>
      <c r="H18" s="113"/>
      <c r="I18" s="184"/>
      <c r="J18" s="193"/>
      <c r="K18" s="190"/>
      <c r="L18" s="195"/>
      <c r="M18" s="195"/>
      <c r="N18" s="184"/>
      <c r="O18" s="184"/>
      <c r="P18" s="184"/>
      <c r="Q18" s="184"/>
      <c r="R18" s="184"/>
      <c r="S18" s="184"/>
      <c r="T18" s="184"/>
      <c r="U18" s="184"/>
      <c r="V18" s="184"/>
      <c r="W18" s="184"/>
    </row>
    <row r="19" spans="1:23" x14ac:dyDescent="0.2">
      <c r="A19" s="106"/>
      <c r="B19" s="117"/>
      <c r="C19" s="115"/>
      <c r="D19" s="112"/>
      <c r="E19" s="90"/>
      <c r="F19" s="103"/>
      <c r="G19" s="101"/>
      <c r="H19" s="113"/>
      <c r="J19" s="90"/>
      <c r="L19" s="108"/>
      <c r="M19" s="108"/>
    </row>
    <row r="20" spans="1:23" x14ac:dyDescent="0.2">
      <c r="A20" s="106"/>
      <c r="B20" s="117"/>
      <c r="C20" s="115"/>
      <c r="D20" s="112"/>
      <c r="E20" s="90"/>
      <c r="F20" s="103"/>
      <c r="G20" s="101"/>
      <c r="H20" s="113"/>
      <c r="J20" s="90"/>
      <c r="L20" s="108"/>
      <c r="M20" s="108"/>
    </row>
    <row r="21" spans="1:23" x14ac:dyDescent="0.2">
      <c r="A21" s="106"/>
      <c r="B21" s="117"/>
      <c r="C21" s="115"/>
      <c r="D21" s="112"/>
      <c r="E21" s="90"/>
      <c r="F21" s="103"/>
      <c r="G21" s="101"/>
      <c r="H21" s="113"/>
      <c r="J21" s="90"/>
      <c r="L21" s="108"/>
      <c r="M21" s="108"/>
    </row>
    <row r="22" spans="1:23" x14ac:dyDescent="0.2">
      <c r="A22" s="106"/>
      <c r="B22" s="117"/>
      <c r="C22" s="115"/>
      <c r="D22" s="99"/>
      <c r="E22" s="90"/>
      <c r="F22" s="103"/>
      <c r="H22" s="113"/>
      <c r="J22" s="90"/>
      <c r="L22" s="108"/>
      <c r="M22" s="108"/>
    </row>
    <row r="23" spans="1:23" x14ac:dyDescent="0.2">
      <c r="A23" s="106"/>
      <c r="B23" s="117"/>
      <c r="C23" s="115"/>
      <c r="D23" s="99"/>
      <c r="E23" s="111"/>
      <c r="F23" s="103"/>
      <c r="H23" s="113"/>
      <c r="J23" s="90"/>
      <c r="L23" s="108"/>
      <c r="M23" s="108"/>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E772-8B3F-4117-B5D9-FC0BBFC7DE4B}">
  <dimension ref="A1:I28"/>
  <sheetViews>
    <sheetView showGridLines="0" tabSelected="1" view="pageBreakPreview" zoomScale="90" zoomScaleNormal="100" zoomScaleSheetLayoutView="90" workbookViewId="0">
      <selection activeCell="G86" activeCellId="1" sqref="D86 G86"/>
    </sheetView>
  </sheetViews>
  <sheetFormatPr defaultRowHeight="12.75" x14ac:dyDescent="0.2"/>
  <cols>
    <col min="1" max="1" width="1.33203125" style="130" customWidth="1"/>
    <col min="2" max="2" width="7.77734375" style="130" customWidth="1"/>
    <col min="3" max="3" width="18.44140625" style="130" customWidth="1"/>
    <col min="4" max="4" width="15.88671875" style="130" customWidth="1"/>
    <col min="5" max="5" width="14.77734375" style="130" customWidth="1"/>
    <col min="6" max="6" width="12.77734375" style="130" bestFit="1" customWidth="1"/>
    <col min="7" max="7" width="13.77734375" style="130" bestFit="1" customWidth="1"/>
    <col min="8" max="8" width="2.88671875" style="130" customWidth="1"/>
    <col min="9" max="16384" width="8.88671875" style="130"/>
  </cols>
  <sheetData>
    <row r="1" spans="1:9" ht="18" customHeight="1" x14ac:dyDescent="0.2">
      <c r="A1" s="133"/>
      <c r="B1" s="134" t="s">
        <v>148</v>
      </c>
      <c r="C1" s="134"/>
      <c r="D1" s="134"/>
      <c r="E1" s="134"/>
      <c r="F1" s="134"/>
      <c r="G1" s="135"/>
      <c r="H1" s="136"/>
      <c r="I1" s="133"/>
    </row>
    <row r="2" spans="1:9" ht="15" x14ac:dyDescent="0.2">
      <c r="A2" s="133"/>
      <c r="B2" s="134" t="s">
        <v>149</v>
      </c>
      <c r="C2" s="137">
        <f>'[2]Core Cost Incurred'!B2</f>
        <v>43671</v>
      </c>
      <c r="D2" s="138"/>
      <c r="E2" s="138"/>
      <c r="F2" s="138"/>
      <c r="G2" s="138"/>
      <c r="H2" s="133"/>
      <c r="I2" s="133"/>
    </row>
    <row r="3" spans="1:9" x14ac:dyDescent="0.2">
      <c r="A3" s="133"/>
      <c r="B3" s="133"/>
      <c r="C3" s="133"/>
      <c r="D3" s="133"/>
      <c r="E3" s="133"/>
      <c r="F3" s="133"/>
      <c r="G3" s="133"/>
      <c r="H3" s="133"/>
      <c r="I3" s="133"/>
    </row>
    <row r="4" spans="1:9" ht="15" customHeight="1" thickBot="1" x14ac:dyDescent="0.25">
      <c r="A4" s="133"/>
      <c r="B4" s="235"/>
      <c r="C4" s="235"/>
      <c r="D4" s="235"/>
      <c r="E4" s="235"/>
      <c r="F4" s="139"/>
      <c r="G4" s="140"/>
      <c r="H4" s="133"/>
      <c r="I4" s="133"/>
    </row>
    <row r="5" spans="1:9" ht="14.25" x14ac:dyDescent="0.2">
      <c r="A5" s="133"/>
      <c r="B5" s="141"/>
      <c r="C5" s="141"/>
      <c r="D5" s="142" t="s">
        <v>150</v>
      </c>
      <c r="E5" s="142" t="s">
        <v>151</v>
      </c>
      <c r="F5" s="143" t="s">
        <v>75</v>
      </c>
      <c r="G5" s="142" t="s">
        <v>11</v>
      </c>
      <c r="H5" s="133"/>
      <c r="I5" s="133"/>
    </row>
    <row r="6" spans="1:9" ht="15" x14ac:dyDescent="0.25">
      <c r="A6" s="133"/>
      <c r="B6" s="144" t="s">
        <v>152</v>
      </c>
      <c r="C6" s="145"/>
      <c r="D6" s="146">
        <v>692010</v>
      </c>
      <c r="E6" s="146">
        <v>691010</v>
      </c>
      <c r="F6" s="147">
        <v>693010</v>
      </c>
      <c r="G6" s="146"/>
      <c r="H6" s="148"/>
      <c r="I6" s="133"/>
    </row>
    <row r="7" spans="1:9" ht="16.5" customHeight="1" x14ac:dyDescent="0.2">
      <c r="A7" s="133"/>
      <c r="B7" s="131" t="s">
        <v>153</v>
      </c>
      <c r="C7" s="132"/>
      <c r="D7" s="149">
        <v>1843845.6400000001</v>
      </c>
      <c r="E7" s="149">
        <v>1309128.8599999996</v>
      </c>
      <c r="F7" s="150">
        <v>613292.83999999985</v>
      </c>
      <c r="G7" s="151">
        <v>3766267.34</v>
      </c>
      <c r="H7" s="133"/>
      <c r="I7" s="133"/>
    </row>
    <row r="8" spans="1:9" ht="16.5" customHeight="1" x14ac:dyDescent="0.2">
      <c r="A8" s="133"/>
      <c r="B8" s="131" t="s">
        <v>154</v>
      </c>
      <c r="C8" s="132"/>
      <c r="D8" s="152">
        <f>'[2]Core Cost Incurred'!K42</f>
        <v>1772185.71</v>
      </c>
      <c r="E8" s="152">
        <f>'[2]Core Cost Incurred'!K43</f>
        <v>3803344.629999999</v>
      </c>
      <c r="F8" s="153">
        <v>0</v>
      </c>
      <c r="G8" s="154">
        <f>SUM(D8:E8)</f>
        <v>5575530.3399999989</v>
      </c>
      <c r="H8" s="133"/>
      <c r="I8" s="133"/>
    </row>
    <row r="9" spans="1:9" ht="16.5" customHeight="1" x14ac:dyDescent="0.2">
      <c r="A9" s="133"/>
      <c r="B9" s="131" t="s">
        <v>155</v>
      </c>
      <c r="C9" s="132"/>
      <c r="D9" s="155">
        <f>D7-D8</f>
        <v>71659.930000000168</v>
      </c>
      <c r="E9" s="156">
        <f>E7-E8</f>
        <v>-2494215.7699999996</v>
      </c>
      <c r="F9" s="156">
        <f t="shared" ref="F9" si="0">F7-F8</f>
        <v>613292.83999999985</v>
      </c>
      <c r="G9" s="155">
        <f>G7-G8</f>
        <v>-1809262.9999999991</v>
      </c>
      <c r="H9" s="133"/>
      <c r="I9" s="133"/>
    </row>
    <row r="10" spans="1:9" ht="16.5" customHeight="1" x14ac:dyDescent="0.2">
      <c r="A10" s="133"/>
      <c r="B10" s="131" t="s">
        <v>156</v>
      </c>
      <c r="C10" s="132"/>
      <c r="D10" s="183">
        <v>2193.13</v>
      </c>
      <c r="E10" s="157"/>
      <c r="F10" s="182"/>
      <c r="G10" s="183">
        <v>2193.13</v>
      </c>
      <c r="H10" s="133"/>
      <c r="I10" s="133"/>
    </row>
    <row r="11" spans="1:9" ht="16.5" customHeight="1" x14ac:dyDescent="0.2">
      <c r="A11" s="133"/>
      <c r="B11" s="144" t="s">
        <v>157</v>
      </c>
      <c r="C11" s="158"/>
      <c r="D11" s="155"/>
      <c r="E11" s="155">
        <v>352350.7</v>
      </c>
      <c r="F11" s="159"/>
      <c r="G11" s="155">
        <v>352350.7</v>
      </c>
      <c r="H11" s="133"/>
      <c r="I11" s="133"/>
    </row>
    <row r="12" spans="1:9" ht="16.5" customHeight="1" x14ac:dyDescent="0.25">
      <c r="A12" s="133"/>
      <c r="B12" s="161" t="s">
        <v>158</v>
      </c>
      <c r="C12" s="162"/>
      <c r="D12" s="163">
        <f>+D7-D8+D10</f>
        <v>73853.060000000172</v>
      </c>
      <c r="E12" s="163">
        <f>+E9+E11</f>
        <v>-2141865.0699999994</v>
      </c>
      <c r="F12" s="164">
        <f>+F7-F8</f>
        <v>613292.83999999985</v>
      </c>
      <c r="G12" s="163">
        <f>G9+G11+G10</f>
        <v>-1454719.1699999992</v>
      </c>
      <c r="H12" s="133"/>
      <c r="I12" s="133"/>
    </row>
    <row r="13" spans="1:9" ht="14.25" customHeight="1" x14ac:dyDescent="0.2">
      <c r="A13" s="133"/>
      <c r="B13" s="133"/>
      <c r="C13" s="133"/>
      <c r="D13" s="132"/>
      <c r="E13" s="132"/>
      <c r="F13" s="165"/>
      <c r="G13" s="132"/>
      <c r="H13" s="133"/>
      <c r="I13" s="133"/>
    </row>
    <row r="14" spans="1:9" ht="14.25" customHeight="1" x14ac:dyDescent="0.2">
      <c r="A14" s="133"/>
      <c r="B14" s="133"/>
      <c r="C14" s="133"/>
      <c r="D14" s="132" t="s">
        <v>159</v>
      </c>
      <c r="E14" s="132"/>
      <c r="F14" s="165"/>
      <c r="G14" s="132"/>
      <c r="H14" s="133"/>
      <c r="I14" s="133"/>
    </row>
    <row r="15" spans="1:9" ht="14.25" customHeight="1" x14ac:dyDescent="0.2">
      <c r="A15" s="133"/>
      <c r="B15" s="133"/>
      <c r="C15" s="133"/>
      <c r="D15" s="132"/>
      <c r="E15" s="166"/>
      <c r="F15" s="165"/>
      <c r="G15" s="132"/>
      <c r="H15" s="133"/>
      <c r="I15" s="133"/>
    </row>
    <row r="16" spans="1:9" ht="14.25" customHeight="1" x14ac:dyDescent="0.2">
      <c r="A16" s="133"/>
      <c r="B16" s="167" t="s">
        <v>160</v>
      </c>
      <c r="C16" s="167"/>
      <c r="D16" s="168" t="s">
        <v>1</v>
      </c>
      <c r="E16" s="169" t="s">
        <v>1</v>
      </c>
      <c r="F16" s="170"/>
      <c r="G16" s="171"/>
      <c r="H16" s="133"/>
      <c r="I16" s="133"/>
    </row>
    <row r="17" spans="1:9" ht="14.25" customHeight="1" x14ac:dyDescent="0.2">
      <c r="A17" s="133"/>
      <c r="B17" s="148"/>
      <c r="C17" s="148"/>
      <c r="D17" s="172"/>
      <c r="E17" s="172"/>
      <c r="F17" s="173"/>
      <c r="G17" s="132"/>
      <c r="H17" s="133"/>
      <c r="I17" s="133"/>
    </row>
    <row r="18" spans="1:9" ht="14.25" customHeight="1" x14ac:dyDescent="0.2">
      <c r="A18" s="133"/>
      <c r="B18" s="148"/>
      <c r="C18" s="148"/>
      <c r="D18" s="160">
        <f>-D12</f>
        <v>-73853.060000000172</v>
      </c>
      <c r="E18" s="160">
        <f>-E9-E11</f>
        <v>2141865.0699999994</v>
      </c>
      <c r="F18" s="174">
        <f>-F12</f>
        <v>-613292.83999999985</v>
      </c>
      <c r="G18" s="160">
        <f>SUM(D18:F18)</f>
        <v>1454719.1699999995</v>
      </c>
      <c r="H18" s="133"/>
      <c r="I18" s="133"/>
    </row>
    <row r="19" spans="1:9" ht="14.25" customHeight="1" thickBot="1" x14ac:dyDescent="0.25">
      <c r="A19" s="133"/>
      <c r="B19" s="167" t="s">
        <v>161</v>
      </c>
      <c r="C19" s="167"/>
      <c r="D19" s="175" t="s">
        <v>3</v>
      </c>
      <c r="E19" s="176" t="s">
        <v>4</v>
      </c>
      <c r="F19" s="177"/>
      <c r="G19" s="171"/>
      <c r="H19" s="133"/>
      <c r="I19" s="133"/>
    </row>
    <row r="20" spans="1:9" x14ac:dyDescent="0.2">
      <c r="A20" s="133"/>
      <c r="B20" s="148"/>
      <c r="C20" s="148"/>
      <c r="D20" s="133"/>
      <c r="E20" s="178"/>
      <c r="F20" s="178"/>
      <c r="G20" s="178"/>
      <c r="H20" s="133"/>
      <c r="I20" s="133"/>
    </row>
    <row r="21" spans="1:9" x14ac:dyDescent="0.2">
      <c r="A21" s="133"/>
      <c r="B21" s="133"/>
      <c r="C21" s="133"/>
      <c r="D21" s="148"/>
      <c r="E21" s="179"/>
      <c r="F21" s="180"/>
      <c r="G21" s="133"/>
      <c r="H21" s="133"/>
      <c r="I21" s="133"/>
    </row>
    <row r="22" spans="1:9" x14ac:dyDescent="0.2">
      <c r="A22" s="133"/>
      <c r="B22" s="133"/>
      <c r="C22" s="133"/>
      <c r="D22" s="133"/>
      <c r="E22" s="179"/>
      <c r="F22" s="180"/>
      <c r="G22" s="133"/>
      <c r="H22" s="133"/>
      <c r="I22" s="133"/>
    </row>
    <row r="23" spans="1:9" x14ac:dyDescent="0.2">
      <c r="A23" s="133"/>
      <c r="B23" s="133"/>
      <c r="C23" s="133"/>
      <c r="D23" s="133"/>
      <c r="E23" s="179"/>
      <c r="F23" s="180"/>
      <c r="G23" s="133"/>
      <c r="H23" s="133"/>
      <c r="I23" s="133"/>
    </row>
    <row r="24" spans="1:9" x14ac:dyDescent="0.2">
      <c r="A24" s="133"/>
      <c r="B24" s="133"/>
      <c r="C24" s="133"/>
      <c r="D24" s="133"/>
      <c r="E24" s="133"/>
      <c r="F24" s="180"/>
      <c r="G24" s="133"/>
      <c r="H24" s="133"/>
      <c r="I24" s="133"/>
    </row>
    <row r="25" spans="1:9" x14ac:dyDescent="0.2">
      <c r="A25" s="133"/>
      <c r="B25" s="133"/>
      <c r="C25" s="133"/>
      <c r="D25" s="133"/>
      <c r="E25" s="133"/>
      <c r="F25" s="133"/>
      <c r="G25" s="133"/>
      <c r="H25" s="133"/>
      <c r="I25" s="133"/>
    </row>
    <row r="26" spans="1:9" x14ac:dyDescent="0.2">
      <c r="A26" s="133"/>
      <c r="B26" s="133"/>
      <c r="C26" s="133"/>
      <c r="D26" s="133"/>
      <c r="E26" s="133"/>
      <c r="F26" s="133"/>
      <c r="G26" s="133"/>
      <c r="H26" s="133"/>
      <c r="I26" s="133"/>
    </row>
    <row r="27" spans="1:9" x14ac:dyDescent="0.2">
      <c r="A27" s="133"/>
      <c r="B27" s="181"/>
      <c r="C27" s="181"/>
      <c r="D27" s="133"/>
      <c r="E27" s="133"/>
      <c r="F27" s="133"/>
      <c r="G27" s="133"/>
      <c r="H27" s="133"/>
      <c r="I27" s="133"/>
    </row>
    <row r="28" spans="1:9" x14ac:dyDescent="0.2">
      <c r="A28" s="133"/>
      <c r="B28" s="133"/>
      <c r="C28" s="133"/>
      <c r="D28" s="133"/>
      <c r="E28" s="133"/>
      <c r="F28" s="133"/>
      <c r="G28" s="133"/>
      <c r="H28" s="133"/>
      <c r="I28" s="133"/>
    </row>
  </sheetData>
  <mergeCells count="1">
    <mergeCell ref="B4:E4"/>
  </mergeCells>
  <pageMargins left="0.75" right="0.75" top="0.7" bottom="1" header="0.7" footer="0.5"/>
  <pageSetup scale="79"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736D-655A-49FD-BFDD-D2D177B75FFE}">
  <dimension ref="A1:L48"/>
  <sheetViews>
    <sheetView showGridLines="0" view="pageBreakPreview" zoomScale="106" zoomScaleNormal="60" zoomScaleSheetLayoutView="106" workbookViewId="0">
      <pane ySplit="10" topLeftCell="A32" activePane="bottomLeft" state="frozen"/>
      <selection activeCell="G86" activeCellId="1" sqref="D86 G86"/>
      <selection pane="bottomLeft" activeCell="G86" activeCellId="1" sqref="D86 G86"/>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1" t="s">
        <v>58</v>
      </c>
      <c r="B1" s="222"/>
      <c r="C1" s="223" t="s">
        <v>59</v>
      </c>
      <c r="D1" s="223"/>
      <c r="E1" s="223"/>
      <c r="F1" s="223"/>
      <c r="G1" s="223"/>
      <c r="H1" s="224"/>
    </row>
    <row r="2" spans="1:12" x14ac:dyDescent="0.2">
      <c r="A2" s="219" t="s">
        <v>60</v>
      </c>
      <c r="B2" s="208"/>
      <c r="C2" s="209" t="s">
        <v>94</v>
      </c>
      <c r="D2" s="209"/>
      <c r="E2" s="209"/>
      <c r="F2" s="209"/>
      <c r="G2" s="209"/>
      <c r="H2" s="220"/>
    </row>
    <row r="3" spans="1:12" x14ac:dyDescent="0.2">
      <c r="A3" s="219" t="s">
        <v>62</v>
      </c>
      <c r="B3" s="208"/>
      <c r="C3" s="209" t="s">
        <v>95</v>
      </c>
      <c r="D3" s="209"/>
      <c r="E3" s="209"/>
      <c r="F3" s="209"/>
      <c r="G3" s="209"/>
      <c r="H3" s="220"/>
    </row>
    <row r="4" spans="1:12" x14ac:dyDescent="0.2">
      <c r="A4" s="219" t="s">
        <v>63</v>
      </c>
      <c r="B4" s="208"/>
      <c r="C4" s="225" t="s">
        <v>93</v>
      </c>
      <c r="D4" s="225"/>
      <c r="E4" s="225"/>
      <c r="F4" s="225"/>
      <c r="G4" s="225"/>
      <c r="H4" s="226"/>
    </row>
    <row r="5" spans="1:12" x14ac:dyDescent="0.2">
      <c r="A5" s="219" t="s">
        <v>65</v>
      </c>
      <c r="B5" s="208"/>
      <c r="C5" s="236" t="s">
        <v>96</v>
      </c>
      <c r="D5" s="209"/>
      <c r="E5" s="209"/>
      <c r="F5" s="209"/>
      <c r="G5" s="209"/>
      <c r="H5" s="220"/>
    </row>
    <row r="6" spans="1:12" x14ac:dyDescent="0.2">
      <c r="A6" s="219" t="s">
        <v>67</v>
      </c>
      <c r="B6" s="208"/>
      <c r="C6" s="209" t="s">
        <v>0</v>
      </c>
      <c r="D6" s="209"/>
      <c r="E6" s="209"/>
      <c r="F6" s="209"/>
      <c r="G6" s="209"/>
      <c r="H6" s="220"/>
    </row>
    <row r="7" spans="1:12" ht="27.75" customHeight="1" thickBot="1" x14ac:dyDescent="0.25">
      <c r="A7" s="215" t="s">
        <v>68</v>
      </c>
      <c r="B7" s="216"/>
      <c r="C7" s="217" t="s">
        <v>97</v>
      </c>
      <c r="D7" s="217"/>
      <c r="E7" s="217"/>
      <c r="F7" s="217"/>
      <c r="G7" s="217"/>
      <c r="H7" s="218"/>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x14ac:dyDescent="0.2">
      <c r="A11" s="206" t="s">
        <v>98</v>
      </c>
      <c r="B11" s="206"/>
      <c r="C11" s="206"/>
      <c r="D11" s="206"/>
      <c r="E11" s="206"/>
      <c r="F11" s="206"/>
      <c r="G11" s="206"/>
      <c r="H11" s="1">
        <v>0</v>
      </c>
      <c r="K11" s="87"/>
      <c r="L11" s="88"/>
    </row>
    <row r="12" spans="1:12" x14ac:dyDescent="0.2">
      <c r="A12" s="97">
        <f>'FERC Interest Rates'!A56</f>
        <v>42704</v>
      </c>
      <c r="D12" s="1">
        <f>325429.79+1504154.47</f>
        <v>1829584.26</v>
      </c>
      <c r="F12" s="99"/>
      <c r="H12" s="1">
        <f t="shared" ref="H12:H36" si="0">H11+SUM(D12:G12)</f>
        <v>1829584.26</v>
      </c>
      <c r="K12" s="87"/>
      <c r="L12" s="88"/>
    </row>
    <row r="13" spans="1:12" x14ac:dyDescent="0.2">
      <c r="A13" s="97">
        <f>'FERC Interest Rates'!A57</f>
        <v>42735</v>
      </c>
      <c r="D13" s="1">
        <v>390272.83</v>
      </c>
      <c r="F13" s="99"/>
      <c r="H13" s="1">
        <f t="shared" si="0"/>
        <v>2219857.09</v>
      </c>
      <c r="K13" s="87"/>
      <c r="L13" s="88"/>
    </row>
    <row r="14" spans="1:12" x14ac:dyDescent="0.2">
      <c r="A14" s="97">
        <f>'FERC Interest Rates'!A58</f>
        <v>42766</v>
      </c>
      <c r="D14" s="1">
        <f>272326.45+192536</f>
        <v>464862.45</v>
      </c>
      <c r="F14" s="99"/>
      <c r="H14" s="1">
        <f t="shared" si="0"/>
        <v>2684719.54</v>
      </c>
      <c r="K14" s="87"/>
      <c r="L14" s="88"/>
    </row>
    <row r="15" spans="1:12" x14ac:dyDescent="0.2">
      <c r="A15" s="97">
        <f>'FERC Interest Rates'!A59</f>
        <v>42794</v>
      </c>
      <c r="D15" s="1">
        <v>109382</v>
      </c>
      <c r="F15" s="99"/>
      <c r="H15" s="1">
        <f t="shared" si="0"/>
        <v>2794101.54</v>
      </c>
      <c r="K15" s="87"/>
      <c r="L15" s="88"/>
    </row>
    <row r="16" spans="1:12" x14ac:dyDescent="0.2">
      <c r="A16" s="97">
        <f>'FERC Interest Rates'!A60</f>
        <v>42825</v>
      </c>
      <c r="D16" s="1">
        <v>168936.75</v>
      </c>
      <c r="F16" s="99"/>
      <c r="H16" s="1">
        <f t="shared" si="0"/>
        <v>2963038.29</v>
      </c>
      <c r="K16" s="87"/>
      <c r="L16" s="88"/>
    </row>
    <row r="17" spans="1:12" x14ac:dyDescent="0.2">
      <c r="A17" s="97">
        <f>'FERC Interest Rates'!A61</f>
        <v>42855</v>
      </c>
      <c r="D17" s="1">
        <v>190068.32</v>
      </c>
      <c r="F17" s="99"/>
      <c r="H17" s="1">
        <f t="shared" si="0"/>
        <v>3153106.61</v>
      </c>
      <c r="K17" s="87"/>
      <c r="L17" s="88"/>
    </row>
    <row r="18" spans="1:12" x14ac:dyDescent="0.2">
      <c r="A18" s="97">
        <f>'FERC Interest Rates'!A62</f>
        <v>42886</v>
      </c>
      <c r="D18" s="1">
        <v>73109.5</v>
      </c>
      <c r="F18" s="99"/>
      <c r="H18" s="1">
        <f t="shared" si="0"/>
        <v>3226216.11</v>
      </c>
      <c r="K18" s="87"/>
      <c r="L18" s="88"/>
    </row>
    <row r="19" spans="1:12" x14ac:dyDescent="0.2">
      <c r="A19" s="97">
        <f>'FERC Interest Rates'!A63</f>
        <v>42916</v>
      </c>
      <c r="D19" s="1">
        <f>518868.82+62942-28803</f>
        <v>553007.82000000007</v>
      </c>
      <c r="F19" s="99"/>
      <c r="H19" s="1">
        <f t="shared" si="0"/>
        <v>3779223.9299999997</v>
      </c>
      <c r="K19" s="87"/>
      <c r="L19" s="88"/>
    </row>
    <row r="20" spans="1:12" x14ac:dyDescent="0.2">
      <c r="A20" s="97">
        <f>'FERC Interest Rates'!A64</f>
        <v>42947</v>
      </c>
      <c r="D20" s="1">
        <v>77847.12</v>
      </c>
      <c r="F20" s="99"/>
      <c r="H20" s="1">
        <f t="shared" si="0"/>
        <v>3857071.05</v>
      </c>
      <c r="K20" s="87"/>
      <c r="L20" s="88"/>
    </row>
    <row r="21" spans="1:12" x14ac:dyDescent="0.2">
      <c r="A21" s="97">
        <f>'FERC Interest Rates'!A65</f>
        <v>42978</v>
      </c>
      <c r="D21" s="1">
        <f>158071.04+280033.17</f>
        <v>438104.20999999996</v>
      </c>
      <c r="F21" s="99"/>
      <c r="H21" s="1">
        <f t="shared" si="0"/>
        <v>4295175.26</v>
      </c>
      <c r="K21" s="87"/>
      <c r="L21" s="88"/>
    </row>
    <row r="22" spans="1:12" x14ac:dyDescent="0.2">
      <c r="A22" s="97">
        <f>'FERC Interest Rates'!A66</f>
        <v>43008</v>
      </c>
      <c r="D22" s="1">
        <v>619247.39</v>
      </c>
      <c r="F22" s="99"/>
      <c r="H22" s="1">
        <f t="shared" si="0"/>
        <v>4914422.6499999994</v>
      </c>
      <c r="K22" s="87"/>
      <c r="L22" s="88"/>
    </row>
    <row r="23" spans="1:12" x14ac:dyDescent="0.2">
      <c r="A23" s="97">
        <f>'FERC Interest Rates'!A67</f>
        <v>43039</v>
      </c>
      <c r="D23" s="1">
        <v>530347.31999999995</v>
      </c>
      <c r="F23" s="99"/>
      <c r="H23" s="1">
        <f t="shared" si="0"/>
        <v>5444769.9699999997</v>
      </c>
      <c r="K23" s="87"/>
      <c r="L23" s="88"/>
    </row>
    <row r="24" spans="1:12" x14ac:dyDescent="0.2">
      <c r="A24" s="97">
        <f>'FERC Interest Rates'!A68</f>
        <v>43069</v>
      </c>
      <c r="D24" s="1">
        <v>436250.57</v>
      </c>
      <c r="F24" s="99"/>
      <c r="H24" s="1">
        <f t="shared" si="0"/>
        <v>5881020.54</v>
      </c>
      <c r="K24" s="87"/>
      <c r="L24" s="88"/>
    </row>
    <row r="25" spans="1:12" x14ac:dyDescent="0.2">
      <c r="A25" s="97">
        <f>'FERC Interest Rates'!A69</f>
        <v>43100</v>
      </c>
      <c r="D25" s="1">
        <v>157673.95000000001</v>
      </c>
      <c r="F25" s="99"/>
      <c r="H25" s="1">
        <f t="shared" si="0"/>
        <v>6038694.4900000002</v>
      </c>
      <c r="K25" s="87"/>
      <c r="L25" s="88"/>
    </row>
    <row r="26" spans="1:12" x14ac:dyDescent="0.2">
      <c r="A26" s="97">
        <f>'FERC Interest Rates'!A70</f>
        <v>43131</v>
      </c>
      <c r="D26" s="1">
        <v>26261.16</v>
      </c>
      <c r="F26" s="99"/>
      <c r="H26" s="1">
        <f t="shared" si="0"/>
        <v>6064955.6500000004</v>
      </c>
      <c r="K26" s="87"/>
      <c r="L26" s="88"/>
    </row>
    <row r="27" spans="1:12" x14ac:dyDescent="0.2">
      <c r="A27" s="97">
        <f>'FERC Interest Rates'!A71</f>
        <v>43159</v>
      </c>
      <c r="D27" s="1">
        <v>17396.48</v>
      </c>
      <c r="F27" s="99"/>
      <c r="H27" s="1">
        <f t="shared" si="0"/>
        <v>6082352.1300000008</v>
      </c>
      <c r="K27" s="87"/>
      <c r="L27" s="88"/>
    </row>
    <row r="28" spans="1:12" x14ac:dyDescent="0.2">
      <c r="A28" s="97">
        <f>'FERC Interest Rates'!A72</f>
        <v>43190</v>
      </c>
      <c r="D28" s="1">
        <v>338011.56</v>
      </c>
      <c r="F28" s="99"/>
      <c r="H28" s="1">
        <f t="shared" si="0"/>
        <v>6420363.6900000004</v>
      </c>
      <c r="K28" s="87"/>
      <c r="L28" s="88"/>
    </row>
    <row r="29" spans="1:12" x14ac:dyDescent="0.2">
      <c r="A29" s="97">
        <f>'FERC Interest Rates'!A73</f>
        <v>43220</v>
      </c>
      <c r="D29" s="1">
        <v>151734.49</v>
      </c>
      <c r="F29" s="99"/>
      <c r="H29" s="1">
        <f t="shared" si="0"/>
        <v>6572098.1800000006</v>
      </c>
      <c r="K29" s="87"/>
      <c r="L29" s="88"/>
    </row>
    <row r="30" spans="1:12" x14ac:dyDescent="0.2">
      <c r="A30" s="97">
        <f>'FERC Interest Rates'!A74</f>
        <v>43251</v>
      </c>
      <c r="D30" s="1">
        <f>86916.82-1007417.53</f>
        <v>-920500.71</v>
      </c>
      <c r="F30" s="99"/>
      <c r="H30" s="1">
        <f t="shared" si="0"/>
        <v>5651597.4700000007</v>
      </c>
      <c r="K30" s="87"/>
      <c r="L30" s="88"/>
    </row>
    <row r="31" spans="1:12" x14ac:dyDescent="0.2">
      <c r="A31" s="97">
        <f>'FERC Interest Rates'!A75</f>
        <v>43281</v>
      </c>
      <c r="D31" s="1">
        <v>139629.48000000001</v>
      </c>
      <c r="F31" s="99"/>
      <c r="H31" s="1">
        <f t="shared" si="0"/>
        <v>5791226.9500000011</v>
      </c>
      <c r="K31" s="87"/>
      <c r="L31" s="88"/>
    </row>
    <row r="32" spans="1:12" x14ac:dyDescent="0.2">
      <c r="A32" s="97">
        <f>'FERC Interest Rates'!A76</f>
        <v>43312</v>
      </c>
      <c r="D32" s="1">
        <v>84422.19</v>
      </c>
      <c r="F32" s="99"/>
      <c r="H32" s="1">
        <f t="shared" si="0"/>
        <v>5875649.1400000015</v>
      </c>
      <c r="K32" s="87"/>
      <c r="L32" s="88"/>
    </row>
    <row r="33" spans="1:12" x14ac:dyDescent="0.2">
      <c r="A33" s="97"/>
      <c r="F33" s="10" t="s">
        <v>99</v>
      </c>
      <c r="G33" s="1">
        <v>-5423017.3499999996</v>
      </c>
      <c r="H33" s="1">
        <f>+H32+G33</f>
        <v>452631.7900000019</v>
      </c>
      <c r="K33" s="87"/>
      <c r="L33" s="88"/>
    </row>
    <row r="34" spans="1:12" x14ac:dyDescent="0.2">
      <c r="A34" s="97">
        <f>'FERC Interest Rates'!A77</f>
        <v>43343</v>
      </c>
      <c r="D34" s="1">
        <v>452125.91</v>
      </c>
      <c r="F34" s="99"/>
      <c r="H34" s="1">
        <f>H33+SUM(D34:G34)</f>
        <v>904757.70000000182</v>
      </c>
      <c r="K34" s="87"/>
      <c r="L34" s="88"/>
    </row>
    <row r="35" spans="1:12" x14ac:dyDescent="0.2">
      <c r="A35" s="97">
        <f>'FERC Interest Rates'!A78</f>
        <v>43373</v>
      </c>
      <c r="D35" s="1">
        <v>974073.17</v>
      </c>
      <c r="F35" s="99"/>
      <c r="H35" s="1">
        <f t="shared" si="0"/>
        <v>1878830.870000002</v>
      </c>
      <c r="K35" s="87"/>
      <c r="L35" s="88"/>
    </row>
    <row r="36" spans="1:12" x14ac:dyDescent="0.2">
      <c r="A36" s="97">
        <f>'FERC Interest Rates'!A79</f>
        <v>43404</v>
      </c>
      <c r="D36" s="1">
        <v>557816.93999999994</v>
      </c>
      <c r="F36" s="99"/>
      <c r="H36" s="1">
        <f t="shared" si="0"/>
        <v>2436647.8100000019</v>
      </c>
      <c r="K36" s="87"/>
      <c r="L36" s="88"/>
    </row>
    <row r="37" spans="1:12" x14ac:dyDescent="0.2">
      <c r="A37" s="97">
        <f>'FERC Interest Rates'!A80</f>
        <v>43434</v>
      </c>
      <c r="D37" s="1">
        <v>116255.54</v>
      </c>
      <c r="F37" s="99"/>
      <c r="H37" s="1">
        <f t="shared" ref="H37:H45" si="1">H36+SUM(D37:G37)</f>
        <v>2552903.350000002</v>
      </c>
      <c r="K37" s="87"/>
      <c r="L37" s="88"/>
    </row>
    <row r="38" spans="1:12" x14ac:dyDescent="0.2">
      <c r="A38" s="97">
        <f>'FERC Interest Rates'!A81</f>
        <v>43465</v>
      </c>
      <c r="D38" s="1">
        <v>2879176.41</v>
      </c>
      <c r="F38" s="99"/>
      <c r="H38" s="1">
        <f t="shared" si="1"/>
        <v>5432079.7600000016</v>
      </c>
      <c r="K38" s="87"/>
      <c r="L38" s="88"/>
    </row>
    <row r="39" spans="1:12" x14ac:dyDescent="0.2">
      <c r="A39" s="97">
        <f>'FERC Interest Rates'!A82</f>
        <v>43496</v>
      </c>
      <c r="D39" s="1">
        <v>0</v>
      </c>
      <c r="F39" s="99"/>
      <c r="H39" s="1">
        <f t="shared" si="1"/>
        <v>5432079.7600000016</v>
      </c>
      <c r="K39" s="87"/>
      <c r="L39" s="88"/>
    </row>
    <row r="40" spans="1:12" x14ac:dyDescent="0.2">
      <c r="A40" s="97">
        <f>'FERC Interest Rates'!A83</f>
        <v>43524</v>
      </c>
      <c r="D40" s="1">
        <v>1277.6600000000001</v>
      </c>
      <c r="F40" s="99"/>
      <c r="H40" s="1">
        <f t="shared" si="1"/>
        <v>5433357.4200000018</v>
      </c>
      <c r="K40" s="87"/>
      <c r="L40" s="88"/>
    </row>
    <row r="41" spans="1:12" x14ac:dyDescent="0.2">
      <c r="A41" s="97">
        <f>'FERC Interest Rates'!A84</f>
        <v>43555</v>
      </c>
      <c r="D41" s="1">
        <v>34609.919999999998</v>
      </c>
      <c r="F41" s="99"/>
      <c r="H41" s="1">
        <f t="shared" si="1"/>
        <v>5467967.3400000017</v>
      </c>
      <c r="K41" s="87"/>
      <c r="L41" s="88"/>
    </row>
    <row r="42" spans="1:12" x14ac:dyDescent="0.2">
      <c r="A42" s="97">
        <f>'FERC Interest Rates'!A85</f>
        <v>43585</v>
      </c>
      <c r="D42" s="1">
        <v>70274.070000000007</v>
      </c>
      <c r="F42" s="99"/>
      <c r="H42" s="1">
        <f t="shared" si="1"/>
        <v>5538241.410000002</v>
      </c>
      <c r="K42" s="87"/>
      <c r="L42" s="88"/>
    </row>
    <row r="43" spans="1:12" x14ac:dyDescent="0.2">
      <c r="A43" s="97">
        <f>'FERC Interest Rates'!A86</f>
        <v>43616</v>
      </c>
      <c r="D43" s="1">
        <v>5021.25</v>
      </c>
      <c r="F43" s="99"/>
      <c r="H43" s="1">
        <f t="shared" si="1"/>
        <v>5543262.660000002</v>
      </c>
      <c r="K43" s="87"/>
      <c r="L43" s="88"/>
    </row>
    <row r="44" spans="1:12" x14ac:dyDescent="0.2">
      <c r="A44" s="97">
        <f>'FERC Interest Rates'!A87</f>
        <v>43646</v>
      </c>
      <c r="D44" s="1">
        <v>438.17</v>
      </c>
      <c r="F44" s="99"/>
      <c r="H44" s="1">
        <f t="shared" si="1"/>
        <v>5543700.8300000019</v>
      </c>
      <c r="K44" s="87"/>
      <c r="L44" s="88"/>
    </row>
    <row r="45" spans="1:12" x14ac:dyDescent="0.2">
      <c r="A45" s="97">
        <f>'FERC Interest Rates'!A88</f>
        <v>43677</v>
      </c>
      <c r="D45" s="1">
        <f>1750+759581.44</f>
        <v>761331.44</v>
      </c>
      <c r="F45" s="99"/>
      <c r="H45" s="1">
        <f t="shared" si="1"/>
        <v>6305032.2700000014</v>
      </c>
      <c r="K45" s="87"/>
      <c r="L45" s="88"/>
    </row>
    <row r="46" spans="1:12" x14ac:dyDescent="0.2">
      <c r="A46" s="97"/>
      <c r="F46" s="99"/>
      <c r="K46" s="87"/>
      <c r="L46" s="88"/>
    </row>
    <row r="47" spans="1:12" x14ac:dyDescent="0.2">
      <c r="A47" s="97"/>
      <c r="F47" s="99"/>
      <c r="K47" s="87"/>
      <c r="L47" s="88"/>
    </row>
    <row r="48" spans="1:12" x14ac:dyDescent="0.2">
      <c r="A48" s="97"/>
      <c r="F48" s="99"/>
      <c r="K48" s="87"/>
      <c r="L48" s="88"/>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B271-4EBB-4176-A386-E49D1A626382}">
  <dimension ref="A1:L88"/>
  <sheetViews>
    <sheetView view="pageBreakPreview" zoomScaleNormal="75" zoomScaleSheetLayoutView="100" workbookViewId="0">
      <pane xSplit="1" ySplit="10" topLeftCell="B65"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1" t="s">
        <v>58</v>
      </c>
      <c r="B1" s="222"/>
      <c r="C1" s="237" t="s">
        <v>59</v>
      </c>
      <c r="D1" s="237"/>
      <c r="E1" s="237"/>
      <c r="F1" s="237"/>
      <c r="G1" s="237"/>
      <c r="H1" s="238"/>
    </row>
    <row r="2" spans="1:12" x14ac:dyDescent="0.2">
      <c r="A2" s="219" t="s">
        <v>60</v>
      </c>
      <c r="B2" s="208"/>
      <c r="C2" s="209" t="s">
        <v>100</v>
      </c>
      <c r="D2" s="209"/>
      <c r="E2" s="209"/>
      <c r="F2" s="209"/>
      <c r="G2" s="209"/>
      <c r="H2" s="220"/>
    </row>
    <row r="3" spans="1:12" x14ac:dyDescent="0.2">
      <c r="A3" s="219" t="s">
        <v>62</v>
      </c>
      <c r="B3" s="208"/>
      <c r="C3" s="209" t="s">
        <v>12</v>
      </c>
      <c r="D3" s="209"/>
      <c r="E3" s="209"/>
      <c r="F3" s="209"/>
      <c r="G3" s="209"/>
      <c r="H3" s="220"/>
    </row>
    <row r="4" spans="1:12" x14ac:dyDescent="0.2">
      <c r="A4" s="219" t="s">
        <v>63</v>
      </c>
      <c r="B4" s="208"/>
      <c r="C4" s="209" t="s">
        <v>64</v>
      </c>
      <c r="D4" s="209"/>
      <c r="E4" s="209"/>
      <c r="F4" s="209"/>
      <c r="G4" s="209"/>
      <c r="H4" s="220"/>
    </row>
    <row r="5" spans="1:12" x14ac:dyDescent="0.2">
      <c r="A5" s="219" t="s">
        <v>65</v>
      </c>
      <c r="B5" s="208"/>
      <c r="C5" s="209" t="s">
        <v>101</v>
      </c>
      <c r="D5" s="209"/>
      <c r="E5" s="209"/>
      <c r="F5" s="209"/>
      <c r="G5" s="209"/>
      <c r="H5" s="220"/>
    </row>
    <row r="6" spans="1:12" x14ac:dyDescent="0.2">
      <c r="A6" s="219" t="s">
        <v>67</v>
      </c>
      <c r="B6" s="208"/>
      <c r="C6" s="209" t="s">
        <v>88</v>
      </c>
      <c r="D6" s="209"/>
      <c r="E6" s="209"/>
      <c r="F6" s="209"/>
      <c r="G6" s="209"/>
      <c r="H6" s="220"/>
    </row>
    <row r="7" spans="1:12" ht="13.5" thickBot="1" x14ac:dyDescent="0.25">
      <c r="A7" s="215" t="s">
        <v>68</v>
      </c>
      <c r="B7" s="216"/>
      <c r="C7" s="217" t="s">
        <v>102</v>
      </c>
      <c r="D7" s="217"/>
      <c r="E7" s="217"/>
      <c r="F7" s="217"/>
      <c r="G7" s="217"/>
      <c r="H7" s="218"/>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158578.29</v>
      </c>
      <c r="K11" s="87"/>
      <c r="L11" s="88"/>
    </row>
    <row r="12" spans="1:12" hidden="1" x14ac:dyDescent="0.2">
      <c r="A12" s="97">
        <f>'FERC Interest Rates'!A20</f>
        <v>41608</v>
      </c>
      <c r="D12" s="1">
        <v>24828.55</v>
      </c>
      <c r="F12" s="1">
        <f t="shared" ref="F12:F13" si="0">ROUND(H11*VLOOKUP(A12,FERCINT13,2)/365*VLOOKUP(A12,FERCINT13,3),2)</f>
        <v>423.6</v>
      </c>
      <c r="H12" s="1">
        <f t="shared" ref="H12:H36" si="1">+SUM(D12:G12)+H11</f>
        <v>183830.44</v>
      </c>
      <c r="K12" s="87"/>
      <c r="L12" s="88"/>
    </row>
    <row r="13" spans="1:12" hidden="1" x14ac:dyDescent="0.2">
      <c r="A13" s="97">
        <f>'FERC Interest Rates'!A21</f>
        <v>41639</v>
      </c>
      <c r="D13" s="1">
        <v>61920.67</v>
      </c>
      <c r="F13" s="1">
        <f t="shared" si="0"/>
        <v>507.42</v>
      </c>
      <c r="H13" s="1">
        <f t="shared" si="1"/>
        <v>246258.53</v>
      </c>
      <c r="K13" s="87"/>
      <c r="L13" s="88"/>
    </row>
    <row r="14" spans="1:12" hidden="1" x14ac:dyDescent="0.2">
      <c r="A14" s="97">
        <f>'FERC Interest Rates'!A22</f>
        <v>41670</v>
      </c>
      <c r="D14" s="1">
        <v>106224.99</v>
      </c>
      <c r="F14" s="1">
        <f t="shared" ref="F14:F26" si="2">ROUND(H13*VLOOKUP(A14,FERCINT14,2)/365*VLOOKUP(A14,FERCINT14,3),2)</f>
        <v>679.74</v>
      </c>
      <c r="H14" s="1">
        <f t="shared" si="1"/>
        <v>353163.26</v>
      </c>
      <c r="K14" s="87"/>
      <c r="L14" s="88"/>
    </row>
    <row r="15" spans="1:12" hidden="1" x14ac:dyDescent="0.2">
      <c r="A15" s="97">
        <f>'FERC Interest Rates'!A23</f>
        <v>41698</v>
      </c>
      <c r="D15" s="1">
        <f>16449+6136.5</f>
        <v>22585.5</v>
      </c>
      <c r="F15" s="1">
        <f t="shared" si="2"/>
        <v>880.49</v>
      </c>
      <c r="H15" s="1">
        <f t="shared" si="1"/>
        <v>376629.25</v>
      </c>
      <c r="K15" s="87"/>
      <c r="L15" s="88"/>
    </row>
    <row r="16" spans="1:12" hidden="1" x14ac:dyDescent="0.2">
      <c r="A16" s="97">
        <f>'FERC Interest Rates'!A24</f>
        <v>41729</v>
      </c>
      <c r="D16" s="1">
        <f>11600+4102.2</f>
        <v>15702.2</v>
      </c>
      <c r="F16" s="1">
        <f t="shared" si="2"/>
        <v>1039.5999999999999</v>
      </c>
      <c r="H16" s="1">
        <f t="shared" si="1"/>
        <v>393371.05</v>
      </c>
      <c r="K16" s="87"/>
      <c r="L16" s="88"/>
    </row>
    <row r="17" spans="1:12" hidden="1" x14ac:dyDescent="0.2">
      <c r="A17" s="97">
        <f>'FERC Interest Rates'!A25</f>
        <v>41759</v>
      </c>
      <c r="D17" s="1">
        <v>6983.2</v>
      </c>
      <c r="F17" s="1">
        <f t="shared" si="2"/>
        <v>1050.79</v>
      </c>
      <c r="H17" s="1">
        <f t="shared" si="1"/>
        <v>401405.04</v>
      </c>
      <c r="K17" s="87"/>
      <c r="L17" s="88"/>
    </row>
    <row r="18" spans="1:12" hidden="1" x14ac:dyDescent="0.2">
      <c r="A18" s="97">
        <f>'FERC Interest Rates'!A26</f>
        <v>41790</v>
      </c>
      <c r="D18" s="1">
        <v>23544</v>
      </c>
      <c r="F18" s="1">
        <f t="shared" si="2"/>
        <v>1107.99</v>
      </c>
      <c r="H18" s="1">
        <f t="shared" si="1"/>
        <v>426057.02999999997</v>
      </c>
      <c r="K18" s="87"/>
      <c r="L18" s="88"/>
    </row>
    <row r="19" spans="1:12" hidden="1" x14ac:dyDescent="0.2">
      <c r="A19" s="97">
        <f>'FERC Interest Rates'!A27</f>
        <v>41820</v>
      </c>
      <c r="D19" s="1">
        <v>-3291</v>
      </c>
      <c r="F19" s="1">
        <f t="shared" si="2"/>
        <v>1138.0999999999999</v>
      </c>
      <c r="H19" s="1">
        <f t="shared" si="1"/>
        <v>423904.12999999995</v>
      </c>
      <c r="K19" s="87"/>
      <c r="L19" s="88"/>
    </row>
    <row r="20" spans="1:12" hidden="1" x14ac:dyDescent="0.2">
      <c r="A20" s="97">
        <f>'FERC Interest Rates'!A28</f>
        <v>41851</v>
      </c>
      <c r="D20" s="1">
        <v>54271</v>
      </c>
      <c r="F20" s="1">
        <f t="shared" si="2"/>
        <v>1170.0899999999999</v>
      </c>
      <c r="H20" s="1">
        <f t="shared" si="1"/>
        <v>479345.22</v>
      </c>
      <c r="K20" s="87"/>
      <c r="L20" s="88"/>
    </row>
    <row r="21" spans="1:12" hidden="1" x14ac:dyDescent="0.2">
      <c r="A21" s="97">
        <f>'FERC Interest Rates'!A29</f>
        <v>41882</v>
      </c>
      <c r="D21" s="1">
        <v>6460</v>
      </c>
      <c r="F21" s="1">
        <f t="shared" si="2"/>
        <v>1323.12</v>
      </c>
      <c r="H21" s="1">
        <f t="shared" si="1"/>
        <v>487128.33999999997</v>
      </c>
      <c r="K21" s="87"/>
      <c r="L21" s="88"/>
    </row>
    <row r="22" spans="1:12" hidden="1" x14ac:dyDescent="0.2">
      <c r="A22" s="97">
        <f>'FERC Interest Rates'!A30</f>
        <v>41912</v>
      </c>
      <c r="D22" s="1">
        <v>97919.2</v>
      </c>
      <c r="F22" s="1">
        <f t="shared" si="2"/>
        <v>1301.23</v>
      </c>
      <c r="H22" s="1">
        <f t="shared" si="1"/>
        <v>586348.77</v>
      </c>
      <c r="K22" s="87"/>
      <c r="L22" s="88"/>
    </row>
    <row r="23" spans="1:12" hidden="1" x14ac:dyDescent="0.2">
      <c r="A23" s="97">
        <f>'FERC Interest Rates'!A31</f>
        <v>41943</v>
      </c>
      <c r="D23" s="1">
        <v>4238.3</v>
      </c>
      <c r="F23" s="1">
        <f t="shared" si="2"/>
        <v>1618.48</v>
      </c>
      <c r="H23" s="1">
        <f t="shared" si="1"/>
        <v>592205.55000000005</v>
      </c>
      <c r="K23" s="87"/>
      <c r="L23" s="88"/>
    </row>
    <row r="24" spans="1:12" hidden="1" x14ac:dyDescent="0.2">
      <c r="A24" s="199" t="s">
        <v>103</v>
      </c>
      <c r="B24" s="199"/>
      <c r="C24" s="199"/>
      <c r="D24" s="199"/>
      <c r="E24" s="199"/>
      <c r="F24" s="199"/>
      <c r="G24" s="1">
        <v>-483282.64</v>
      </c>
      <c r="H24" s="1">
        <f t="shared" si="1"/>
        <v>108922.91000000003</v>
      </c>
    </row>
    <row r="25" spans="1:12" hidden="1" x14ac:dyDescent="0.2">
      <c r="A25" s="97">
        <f>'FERC Interest Rates'!A32</f>
        <v>41973</v>
      </c>
      <c r="D25" s="1">
        <v>33374.75</v>
      </c>
      <c r="F25" s="1">
        <f t="shared" si="2"/>
        <v>290.95999999999998</v>
      </c>
      <c r="H25" s="1">
        <f t="shared" si="1"/>
        <v>142588.62000000002</v>
      </c>
      <c r="K25" s="87"/>
      <c r="L25" s="88"/>
    </row>
    <row r="26" spans="1:12" hidden="1" x14ac:dyDescent="0.2">
      <c r="A26" s="97">
        <f>'FERC Interest Rates'!A33</f>
        <v>42004</v>
      </c>
      <c r="D26" s="1">
        <v>21640</v>
      </c>
      <c r="F26" s="1">
        <f t="shared" si="2"/>
        <v>393.58</v>
      </c>
      <c r="H26" s="1">
        <f t="shared" si="1"/>
        <v>164622.20000000001</v>
      </c>
      <c r="K26" s="87"/>
      <c r="L26" s="88"/>
    </row>
    <row r="27" spans="1:12" hidden="1" x14ac:dyDescent="0.2">
      <c r="A27" s="97">
        <f>'FERC Interest Rates'!A34</f>
        <v>42035</v>
      </c>
      <c r="D27" s="1">
        <v>37399</v>
      </c>
      <c r="F27" s="1">
        <f t="shared" ref="F27:F36" si="3">ROUND(H26*VLOOKUP(A27,FERCINT15,2)/365*VLOOKUP(A27,FERCINT15,3),2)</f>
        <v>454.4</v>
      </c>
      <c r="H27" s="1">
        <f t="shared" si="1"/>
        <v>202475.6</v>
      </c>
      <c r="K27" s="87"/>
      <c r="L27" s="88"/>
    </row>
    <row r="28" spans="1:12" hidden="1" x14ac:dyDescent="0.2">
      <c r="A28" s="97">
        <f>'FERC Interest Rates'!A35</f>
        <v>42063</v>
      </c>
      <c r="D28" s="1">
        <v>55859</v>
      </c>
      <c r="F28" s="1">
        <f t="shared" si="3"/>
        <v>504.8</v>
      </c>
      <c r="H28" s="1">
        <f t="shared" si="1"/>
        <v>258839.40000000002</v>
      </c>
      <c r="K28" s="87"/>
      <c r="L28" s="88"/>
    </row>
    <row r="29" spans="1:12" hidden="1" x14ac:dyDescent="0.2">
      <c r="A29" s="97">
        <f>'FERC Interest Rates'!A36</f>
        <v>42094</v>
      </c>
      <c r="D29" s="1">
        <v>169431.4</v>
      </c>
      <c r="F29" s="1">
        <f t="shared" si="3"/>
        <v>714.47</v>
      </c>
      <c r="H29" s="1">
        <f t="shared" si="1"/>
        <v>428985.27</v>
      </c>
      <c r="K29" s="87"/>
      <c r="L29" s="88"/>
    </row>
    <row r="30" spans="1:12" hidden="1" x14ac:dyDescent="0.2">
      <c r="A30" s="97">
        <f>'FERC Interest Rates'!A37</f>
        <v>42124</v>
      </c>
      <c r="D30" s="1">
        <v>28883.5</v>
      </c>
      <c r="F30" s="1">
        <f t="shared" si="3"/>
        <v>1145.92</v>
      </c>
      <c r="H30" s="1">
        <f t="shared" si="1"/>
        <v>459014.69</v>
      </c>
      <c r="K30" s="87"/>
      <c r="L30" s="88"/>
    </row>
    <row r="31" spans="1:12" hidden="1" x14ac:dyDescent="0.2">
      <c r="A31" s="97">
        <f>'FERC Interest Rates'!A38</f>
        <v>42155</v>
      </c>
      <c r="D31" s="1">
        <v>5600</v>
      </c>
      <c r="F31" s="1">
        <f t="shared" si="3"/>
        <v>1267.01</v>
      </c>
      <c r="H31" s="1">
        <f t="shared" si="1"/>
        <v>465881.7</v>
      </c>
      <c r="K31" s="87"/>
      <c r="L31" s="88"/>
    </row>
    <row r="32" spans="1:12" hidden="1" x14ac:dyDescent="0.2">
      <c r="A32" s="97">
        <f>'FERC Interest Rates'!A39</f>
        <v>42185</v>
      </c>
      <c r="D32" s="1">
        <v>9188</v>
      </c>
      <c r="F32" s="1">
        <f t="shared" si="3"/>
        <v>1244.48</v>
      </c>
      <c r="H32" s="1">
        <f t="shared" si="1"/>
        <v>476314.18</v>
      </c>
      <c r="K32" s="87"/>
      <c r="L32" s="88"/>
    </row>
    <row r="33" spans="1:12" hidden="1" x14ac:dyDescent="0.2">
      <c r="A33" s="97">
        <f>'FERC Interest Rates'!A40</f>
        <v>42216</v>
      </c>
      <c r="D33" s="1">
        <v>51916.2</v>
      </c>
      <c r="F33" s="1">
        <f t="shared" si="3"/>
        <v>1314.76</v>
      </c>
      <c r="H33" s="1">
        <f t="shared" si="1"/>
        <v>529545.14</v>
      </c>
      <c r="K33" s="87"/>
      <c r="L33" s="88"/>
    </row>
    <row r="34" spans="1:12" hidden="1" x14ac:dyDescent="0.2">
      <c r="A34" s="97">
        <f>'FERC Interest Rates'!A41</f>
        <v>42247</v>
      </c>
      <c r="D34" s="1">
        <v>9960</v>
      </c>
      <c r="F34" s="1">
        <f t="shared" si="3"/>
        <v>1461.69</v>
      </c>
      <c r="H34" s="1">
        <f t="shared" si="1"/>
        <v>540966.82999999996</v>
      </c>
      <c r="K34" s="87"/>
      <c r="L34" s="88"/>
    </row>
    <row r="35" spans="1:12" hidden="1" x14ac:dyDescent="0.2">
      <c r="A35" s="97">
        <f>'FERC Interest Rates'!A42</f>
        <v>42277</v>
      </c>
      <c r="D35" s="1">
        <v>171485.2</v>
      </c>
      <c r="F35" s="1">
        <f>ROUND(H34*VLOOKUP(A35,FERCINT15,2)/365*VLOOKUP(A35,FERCINT15,3),2)</f>
        <v>1445.05</v>
      </c>
      <c r="H35" s="1">
        <f>+SUM(D35:G35)+H34</f>
        <v>713897.08</v>
      </c>
      <c r="K35" s="87"/>
      <c r="L35" s="88"/>
    </row>
    <row r="36" spans="1:12" hidden="1" x14ac:dyDescent="0.2">
      <c r="A36" s="97">
        <f>'FERC Interest Rates'!A43</f>
        <v>42308</v>
      </c>
      <c r="D36" s="1">
        <v>63970</v>
      </c>
      <c r="F36" s="1">
        <f t="shared" si="3"/>
        <v>1970.55</v>
      </c>
      <c r="H36" s="1">
        <f t="shared" si="1"/>
        <v>779837.63</v>
      </c>
      <c r="K36" s="87"/>
      <c r="L36" s="88"/>
    </row>
    <row r="37" spans="1:12" hidden="1" x14ac:dyDescent="0.2">
      <c r="A37" s="97">
        <f>'FERC Interest Rates'!A44</f>
        <v>42338</v>
      </c>
      <c r="D37" s="1">
        <v>0</v>
      </c>
      <c r="F37" s="1">
        <f t="shared" ref="F37:F39" si="4">ROUND(H36*VLOOKUP(A37,FERCINT15,2)/365*VLOOKUP(A37,FERCINT15,3),2)</f>
        <v>2083.13</v>
      </c>
      <c r="H37" s="1">
        <f t="shared" ref="H37:H75" si="5">+SUM(D37:G37)+H36</f>
        <v>781920.76</v>
      </c>
      <c r="K37" s="87"/>
      <c r="L37" s="88"/>
    </row>
    <row r="38" spans="1:12" hidden="1" x14ac:dyDescent="0.2">
      <c r="A38" s="199" t="s">
        <v>104</v>
      </c>
      <c r="B38" s="199"/>
      <c r="C38" s="199"/>
      <c r="D38" s="199"/>
      <c r="E38" s="199"/>
      <c r="F38" s="199"/>
      <c r="G38" s="1">
        <v>-535321.06999999995</v>
      </c>
      <c r="H38" s="1">
        <f t="shared" si="5"/>
        <v>246599.69000000006</v>
      </c>
      <c r="K38" s="87"/>
      <c r="L38" s="88"/>
    </row>
    <row r="39" spans="1:12" hidden="1" x14ac:dyDescent="0.2">
      <c r="A39" s="97">
        <f>'FERC Interest Rates'!A45</f>
        <v>42369</v>
      </c>
      <c r="D39" s="1">
        <v>106186</v>
      </c>
      <c r="F39" s="1">
        <f t="shared" si="4"/>
        <v>680.68</v>
      </c>
      <c r="H39" s="1">
        <f t="shared" si="5"/>
        <v>353466.37000000005</v>
      </c>
      <c r="K39" s="87"/>
      <c r="L39" s="88"/>
    </row>
    <row r="40" spans="1:12" hidden="1" x14ac:dyDescent="0.2">
      <c r="A40" s="97">
        <f>'FERC Interest Rates'!A46</f>
        <v>42400</v>
      </c>
      <c r="D40" s="1">
        <v>42155</v>
      </c>
      <c r="F40" s="1">
        <f t="shared" ref="F40:F52" si="6">ROUND(H39*VLOOKUP(A40,FERCINT16,2)/365*VLOOKUP(A40,FERCINT16,3),2)</f>
        <v>975.66</v>
      </c>
      <c r="H40" s="1">
        <f t="shared" si="5"/>
        <v>396597.03</v>
      </c>
      <c r="K40" s="87"/>
      <c r="L40" s="88"/>
    </row>
    <row r="41" spans="1:12" hidden="1" x14ac:dyDescent="0.2">
      <c r="A41" s="97">
        <f>'FERC Interest Rates'!A47</f>
        <v>42429</v>
      </c>
      <c r="D41" s="1">
        <v>46723.95</v>
      </c>
      <c r="F41" s="1">
        <f t="shared" si="6"/>
        <v>1024.0899999999999</v>
      </c>
      <c r="H41" s="1">
        <f t="shared" si="5"/>
        <v>444345.07</v>
      </c>
      <c r="K41" s="87"/>
      <c r="L41" s="88"/>
    </row>
    <row r="42" spans="1:12" hidden="1" x14ac:dyDescent="0.2">
      <c r="A42" s="97">
        <f>'FERC Interest Rates'!A48</f>
        <v>42460</v>
      </c>
      <c r="D42" s="1">
        <v>4550</v>
      </c>
      <c r="F42" s="1">
        <f t="shared" si="6"/>
        <v>1226.51</v>
      </c>
      <c r="H42" s="1">
        <f t="shared" si="5"/>
        <v>450121.58</v>
      </c>
      <c r="K42" s="87"/>
      <c r="L42" s="88"/>
    </row>
    <row r="43" spans="1:12" hidden="1" x14ac:dyDescent="0.2">
      <c r="A43" s="97">
        <f>'FERC Interest Rates'!A49</f>
        <v>42490</v>
      </c>
      <c r="D43" s="1">
        <v>4473</v>
      </c>
      <c r="F43" s="1">
        <f t="shared" si="6"/>
        <v>1280.07</v>
      </c>
      <c r="H43" s="1">
        <f t="shared" si="5"/>
        <v>455874.65</v>
      </c>
      <c r="K43" s="87"/>
      <c r="L43" s="88"/>
    </row>
    <row r="44" spans="1:12" hidden="1" x14ac:dyDescent="0.2">
      <c r="A44" s="97">
        <f>'FERC Interest Rates'!A50</f>
        <v>42521</v>
      </c>
      <c r="D44" s="1">
        <v>40528</v>
      </c>
      <c r="F44" s="1">
        <f t="shared" si="6"/>
        <v>1339.65</v>
      </c>
      <c r="H44" s="1">
        <f t="shared" si="5"/>
        <v>497742.30000000005</v>
      </c>
      <c r="K44" s="87"/>
      <c r="L44" s="88"/>
    </row>
    <row r="45" spans="1:12" hidden="1" x14ac:dyDescent="0.2">
      <c r="A45" s="97">
        <f>'FERC Interest Rates'!A51</f>
        <v>42551</v>
      </c>
      <c r="D45" s="1">
        <v>6989</v>
      </c>
      <c r="F45" s="1">
        <f t="shared" si="6"/>
        <v>1415.5</v>
      </c>
      <c r="H45" s="1">
        <f t="shared" si="5"/>
        <v>506146.80000000005</v>
      </c>
      <c r="K45" s="87"/>
      <c r="L45" s="88"/>
    </row>
    <row r="46" spans="1:12" hidden="1" x14ac:dyDescent="0.2">
      <c r="A46" s="97">
        <f>'FERC Interest Rates'!A52</f>
        <v>42582</v>
      </c>
      <c r="D46" s="1">
        <f>2580+4908</f>
        <v>7488</v>
      </c>
      <c r="F46" s="1">
        <f t="shared" si="6"/>
        <v>1504.57</v>
      </c>
      <c r="H46" s="1">
        <f t="shared" si="5"/>
        <v>515139.37000000005</v>
      </c>
      <c r="K46" s="87"/>
      <c r="L46" s="88"/>
    </row>
    <row r="47" spans="1:12" hidden="1" x14ac:dyDescent="0.2">
      <c r="A47" s="97">
        <f>'FERC Interest Rates'!A53</f>
        <v>42613</v>
      </c>
      <c r="D47" s="1">
        <v>19963.5</v>
      </c>
      <c r="F47" s="1">
        <f t="shared" si="6"/>
        <v>1531.3</v>
      </c>
      <c r="H47" s="1">
        <f t="shared" si="5"/>
        <v>536634.17000000004</v>
      </c>
      <c r="K47" s="87"/>
      <c r="L47" s="88"/>
    </row>
    <row r="48" spans="1:12" hidden="1" x14ac:dyDescent="0.2">
      <c r="A48" s="97">
        <f>'FERC Interest Rates'!A54</f>
        <v>42643</v>
      </c>
      <c r="D48" s="1">
        <f>22375+2149.65</f>
        <v>24524.65</v>
      </c>
      <c r="F48" s="1">
        <f t="shared" si="6"/>
        <v>1543.74</v>
      </c>
      <c r="H48" s="1">
        <f t="shared" si="5"/>
        <v>562702.56000000006</v>
      </c>
      <c r="K48" s="87"/>
      <c r="L48" s="88"/>
    </row>
    <row r="49" spans="1:12" hidden="1" x14ac:dyDescent="0.2">
      <c r="A49" s="97">
        <f>'FERC Interest Rates'!A55</f>
        <v>42674</v>
      </c>
      <c r="D49" s="1">
        <v>0</v>
      </c>
      <c r="F49" s="1">
        <f t="shared" si="6"/>
        <v>1672.69</v>
      </c>
      <c r="H49" s="1">
        <f t="shared" si="5"/>
        <v>564375.25</v>
      </c>
      <c r="K49" s="87"/>
      <c r="L49" s="88"/>
    </row>
    <row r="50" spans="1:12" x14ac:dyDescent="0.2">
      <c r="A50" s="199" t="s">
        <v>105</v>
      </c>
      <c r="B50" s="199"/>
      <c r="C50" s="199"/>
      <c r="D50" s="199"/>
      <c r="E50" s="199"/>
      <c r="F50" s="199"/>
      <c r="G50" s="1">
        <v>-519697.25</v>
      </c>
      <c r="H50" s="1">
        <f t="shared" si="5"/>
        <v>44678</v>
      </c>
      <c r="K50" s="87"/>
      <c r="L50" s="88"/>
    </row>
    <row r="51" spans="1:12" x14ac:dyDescent="0.2">
      <c r="A51" s="97">
        <f>'FERC Interest Rates'!A56</f>
        <v>42704</v>
      </c>
      <c r="D51" s="1">
        <v>213476.98</v>
      </c>
      <c r="F51" s="1">
        <f t="shared" si="6"/>
        <v>128.53</v>
      </c>
      <c r="H51" s="1">
        <f t="shared" si="5"/>
        <v>258283.51</v>
      </c>
      <c r="K51" s="87"/>
      <c r="L51" s="88"/>
    </row>
    <row r="52" spans="1:12" x14ac:dyDescent="0.2">
      <c r="A52" s="97">
        <f>'FERC Interest Rates'!A57</f>
        <v>42735</v>
      </c>
      <c r="D52" s="1">
        <f>42403.12+40955.44</f>
        <v>83358.559999999998</v>
      </c>
      <c r="F52" s="1">
        <f t="shared" si="6"/>
        <v>767.77</v>
      </c>
      <c r="H52" s="1">
        <f t="shared" si="5"/>
        <v>342409.84</v>
      </c>
      <c r="K52" s="87"/>
      <c r="L52" s="88"/>
    </row>
    <row r="53" spans="1:12" x14ac:dyDescent="0.2">
      <c r="A53" s="97">
        <f>'FERC Interest Rates'!A58</f>
        <v>42766</v>
      </c>
      <c r="D53" s="1">
        <v>0</v>
      </c>
      <c r="F53" s="1">
        <f t="shared" ref="F53:F62" si="7">ROUND(H52*VLOOKUP(A53,FERCINT17,2)/365*VLOOKUP(A53,FERCINT17,3),2)</f>
        <v>1017.85</v>
      </c>
      <c r="H53" s="1">
        <f t="shared" si="5"/>
        <v>343427.69</v>
      </c>
      <c r="K53" s="87"/>
      <c r="L53" s="88"/>
    </row>
    <row r="54" spans="1:12" x14ac:dyDescent="0.2">
      <c r="A54" s="97">
        <f>'FERC Interest Rates'!A59</f>
        <v>42794</v>
      </c>
      <c r="D54" s="1">
        <f>10882.25+29905</f>
        <v>40787.25</v>
      </c>
      <c r="F54" s="1">
        <f t="shared" si="7"/>
        <v>922.08</v>
      </c>
      <c r="H54" s="1">
        <f t="shared" si="5"/>
        <v>385137.02</v>
      </c>
      <c r="K54" s="87"/>
      <c r="L54" s="88"/>
    </row>
    <row r="55" spans="1:12" x14ac:dyDescent="0.2">
      <c r="A55" s="97">
        <f>'FERC Interest Rates'!A60</f>
        <v>42825</v>
      </c>
      <c r="D55" s="1">
        <f>1091.24+3400</f>
        <v>4491.24</v>
      </c>
      <c r="F55" s="1">
        <f t="shared" si="7"/>
        <v>1144.8599999999999</v>
      </c>
      <c r="H55" s="1">
        <f t="shared" si="5"/>
        <v>390773.12</v>
      </c>
      <c r="K55" s="87"/>
      <c r="L55" s="88"/>
    </row>
    <row r="56" spans="1:12" x14ac:dyDescent="0.2">
      <c r="A56" s="97">
        <f>'FERC Interest Rates'!A61</f>
        <v>42855</v>
      </c>
      <c r="D56" s="1">
        <v>28779.5</v>
      </c>
      <c r="F56" s="1">
        <f t="shared" si="7"/>
        <v>1191.5899999999999</v>
      </c>
      <c r="H56" s="1">
        <f t="shared" si="5"/>
        <v>420744.21</v>
      </c>
      <c r="K56" s="87"/>
      <c r="L56" s="88"/>
    </row>
    <row r="57" spans="1:12" x14ac:dyDescent="0.2">
      <c r="A57" s="97">
        <f>'FERC Interest Rates'!A62</f>
        <v>42886</v>
      </c>
      <c r="D57" s="1">
        <v>20974.400000000001</v>
      </c>
      <c r="F57" s="1">
        <f t="shared" si="7"/>
        <v>1325.75</v>
      </c>
      <c r="H57" s="1">
        <f t="shared" si="5"/>
        <v>443044.36000000004</v>
      </c>
      <c r="K57" s="87"/>
      <c r="L57" s="88"/>
    </row>
    <row r="58" spans="1:12" x14ac:dyDescent="0.2">
      <c r="A58" s="97">
        <f>'FERC Interest Rates'!A63</f>
        <v>42916</v>
      </c>
      <c r="D58" s="1">
        <v>28083.65</v>
      </c>
      <c r="F58" s="1">
        <f t="shared" si="7"/>
        <v>1350.98</v>
      </c>
      <c r="H58" s="1">
        <f t="shared" si="5"/>
        <v>472478.99000000005</v>
      </c>
      <c r="K58" s="87"/>
      <c r="L58" s="88"/>
    </row>
    <row r="59" spans="1:12" x14ac:dyDescent="0.2">
      <c r="A59" s="97">
        <f>'FERC Interest Rates'!A64</f>
        <v>42947</v>
      </c>
      <c r="D59" s="1">
        <f>2895-21442.5</f>
        <v>-18547.5</v>
      </c>
      <c r="F59" s="1">
        <f t="shared" si="7"/>
        <v>1589.08</v>
      </c>
      <c r="H59" s="1">
        <f t="shared" si="5"/>
        <v>455520.57000000007</v>
      </c>
      <c r="K59" s="87"/>
      <c r="L59" s="88"/>
    </row>
    <row r="60" spans="1:12" x14ac:dyDescent="0.2">
      <c r="A60" s="97">
        <f>'FERC Interest Rates'!A65</f>
        <v>42978</v>
      </c>
      <c r="D60" s="1">
        <f>37068.84+39620.18-650-600</f>
        <v>75439.01999999999</v>
      </c>
      <c r="F60" s="1">
        <f t="shared" si="7"/>
        <v>1532.05</v>
      </c>
      <c r="H60" s="1">
        <f t="shared" si="5"/>
        <v>532491.64</v>
      </c>
      <c r="K60" s="87"/>
      <c r="L60" s="88"/>
    </row>
    <row r="61" spans="1:12" x14ac:dyDescent="0.2">
      <c r="A61" s="97">
        <f>'FERC Interest Rates'!A66</f>
        <v>43008</v>
      </c>
      <c r="D61" s="1">
        <v>0</v>
      </c>
      <c r="F61" s="1">
        <f t="shared" si="7"/>
        <v>1733.15</v>
      </c>
      <c r="H61" s="1">
        <f t="shared" si="5"/>
        <v>534224.79</v>
      </c>
      <c r="K61" s="87"/>
      <c r="L61" s="88"/>
    </row>
    <row r="62" spans="1:12" x14ac:dyDescent="0.2">
      <c r="A62" s="97">
        <f>'FERC Interest Rates'!A67</f>
        <v>43039</v>
      </c>
      <c r="D62" s="1">
        <f>25136+53412</f>
        <v>78548</v>
      </c>
      <c r="F62" s="1">
        <f t="shared" si="7"/>
        <v>1910.18</v>
      </c>
      <c r="H62" s="1">
        <f t="shared" si="5"/>
        <v>614682.97</v>
      </c>
      <c r="K62" s="87"/>
      <c r="L62" s="88"/>
    </row>
    <row r="63" spans="1:12" x14ac:dyDescent="0.2">
      <c r="A63" s="199" t="s">
        <v>105</v>
      </c>
      <c r="B63" s="199"/>
      <c r="C63" s="199"/>
      <c r="D63" s="199"/>
      <c r="E63" s="199"/>
      <c r="F63" s="199"/>
      <c r="G63" s="1">
        <v>-460179.79</v>
      </c>
      <c r="H63" s="1">
        <f t="shared" si="5"/>
        <v>154503.18</v>
      </c>
      <c r="K63" s="87"/>
      <c r="L63" s="88"/>
    </row>
    <row r="64" spans="1:12" x14ac:dyDescent="0.2">
      <c r="A64" s="97">
        <f>'FERC Interest Rates'!A68</f>
        <v>43069</v>
      </c>
      <c r="D64" s="1">
        <f>32939.25+17373</f>
        <v>50312.25</v>
      </c>
      <c r="F64" s="1">
        <f>ROUND(H63*VLOOKUP(A64,FERCINT17,2)/365*VLOOKUP(A64,FERCINT17,3),2)</f>
        <v>534.62</v>
      </c>
      <c r="H64" s="1">
        <f t="shared" si="5"/>
        <v>205350.05</v>
      </c>
      <c r="K64" s="87"/>
      <c r="L64" s="88"/>
    </row>
    <row r="65" spans="1:12" x14ac:dyDescent="0.2">
      <c r="A65" s="97">
        <f>'FERC Interest Rates'!A69</f>
        <v>43100</v>
      </c>
      <c r="D65" s="1">
        <f>126561.3-734.25</f>
        <v>125827.05</v>
      </c>
      <c r="F65" s="1">
        <f>ROUND(H64*VLOOKUP(A65,FERCINT17,2)/365*VLOOKUP(A65,FERCINT17,3),2)</f>
        <v>734.25</v>
      </c>
      <c r="H65" s="1">
        <f t="shared" si="5"/>
        <v>331911.34999999998</v>
      </c>
      <c r="K65" s="87"/>
      <c r="L65" s="88"/>
    </row>
    <row r="66" spans="1:12" x14ac:dyDescent="0.2">
      <c r="A66" s="97">
        <f>'FERC Interest Rates'!A70</f>
        <v>43131</v>
      </c>
      <c r="D66" s="1">
        <v>16554.25</v>
      </c>
      <c r="F66" s="1">
        <f t="shared" ref="F66:F78" si="8">ROUND(H65*VLOOKUP(A66,FERCINT18,2)/365*VLOOKUP(A66,FERCINT18,3),2)</f>
        <v>1198.06</v>
      </c>
      <c r="H66" s="1">
        <f t="shared" si="5"/>
        <v>349663.66</v>
      </c>
      <c r="K66" s="87"/>
      <c r="L66" s="88"/>
    </row>
    <row r="67" spans="1:12" x14ac:dyDescent="0.2">
      <c r="A67" s="97">
        <f>'FERC Interest Rates'!A71</f>
        <v>43159</v>
      </c>
      <c r="D67" s="1">
        <v>109895.15</v>
      </c>
      <c r="F67" s="1">
        <f t="shared" si="8"/>
        <v>1140</v>
      </c>
      <c r="H67" s="1">
        <f t="shared" si="5"/>
        <v>460698.80999999994</v>
      </c>
      <c r="K67" s="87"/>
      <c r="L67" s="88"/>
    </row>
    <row r="68" spans="1:12" x14ac:dyDescent="0.2">
      <c r="A68" s="97">
        <f>'FERC Interest Rates'!A72</f>
        <v>43190</v>
      </c>
      <c r="D68" s="1">
        <v>0</v>
      </c>
      <c r="F68" s="1">
        <f t="shared" si="8"/>
        <v>1662.93</v>
      </c>
      <c r="H68" s="1">
        <f t="shared" si="5"/>
        <v>462361.73999999993</v>
      </c>
      <c r="K68" s="87"/>
      <c r="L68" s="88"/>
    </row>
    <row r="69" spans="1:12" x14ac:dyDescent="0.2">
      <c r="A69" s="97">
        <f>'FERC Interest Rates'!A73</f>
        <v>43220</v>
      </c>
      <c r="D69" s="1">
        <v>58267.93</v>
      </c>
      <c r="F69" s="1">
        <f t="shared" si="8"/>
        <v>1698.7</v>
      </c>
      <c r="H69" s="1">
        <f t="shared" si="5"/>
        <v>522328.36999999994</v>
      </c>
      <c r="K69" s="87"/>
      <c r="L69" s="88"/>
    </row>
    <row r="70" spans="1:12" x14ac:dyDescent="0.2">
      <c r="A70" s="97">
        <f>'FERC Interest Rates'!A74</f>
        <v>43251</v>
      </c>
      <c r="D70" s="1">
        <v>59699.5</v>
      </c>
      <c r="F70" s="1">
        <f t="shared" si="8"/>
        <v>1982.99</v>
      </c>
      <c r="H70" s="1">
        <f t="shared" si="5"/>
        <v>584010.86</v>
      </c>
      <c r="K70" s="87"/>
      <c r="L70" s="88"/>
    </row>
    <row r="71" spans="1:12" x14ac:dyDescent="0.2">
      <c r="A71" s="97">
        <f>'FERC Interest Rates'!A75</f>
        <v>43281</v>
      </c>
      <c r="D71" s="1">
        <v>163358.29999999999</v>
      </c>
      <c r="F71" s="1">
        <f t="shared" si="8"/>
        <v>2145.64</v>
      </c>
      <c r="H71" s="1">
        <f t="shared" si="5"/>
        <v>749514.8</v>
      </c>
      <c r="K71" s="87"/>
      <c r="L71" s="88"/>
    </row>
    <row r="72" spans="1:12" x14ac:dyDescent="0.2">
      <c r="A72" s="97">
        <f>'FERC Interest Rates'!A76</f>
        <v>43312</v>
      </c>
      <c r="D72" s="1">
        <v>105554.05</v>
      </c>
      <c r="F72" s="1">
        <f t="shared" si="8"/>
        <v>2985.53</v>
      </c>
      <c r="H72" s="1">
        <f t="shared" si="5"/>
        <v>858054.38</v>
      </c>
      <c r="K72" s="87"/>
      <c r="L72" s="88"/>
    </row>
    <row r="73" spans="1:12" x14ac:dyDescent="0.2">
      <c r="A73" s="97">
        <f>'FERC Interest Rates'!A77</f>
        <v>43343</v>
      </c>
      <c r="D73" s="1">
        <v>42842.2</v>
      </c>
      <c r="F73" s="1">
        <f t="shared" si="8"/>
        <v>3417.88</v>
      </c>
      <c r="H73" s="1">
        <f t="shared" si="5"/>
        <v>904314.46</v>
      </c>
      <c r="K73" s="87"/>
      <c r="L73" s="88"/>
    </row>
    <row r="74" spans="1:12" x14ac:dyDescent="0.2">
      <c r="A74" s="97">
        <f>'FERC Interest Rates'!A78</f>
        <v>43373</v>
      </c>
      <c r="D74" s="1">
        <v>0</v>
      </c>
      <c r="F74" s="1">
        <f t="shared" si="8"/>
        <v>3485.95</v>
      </c>
      <c r="H74" s="1">
        <f t="shared" si="5"/>
        <v>907800.40999999992</v>
      </c>
      <c r="K74" s="87"/>
      <c r="L74" s="88"/>
    </row>
    <row r="75" spans="1:12" x14ac:dyDescent="0.2">
      <c r="A75" s="97">
        <f>'FERC Interest Rates'!A79</f>
        <v>43404</v>
      </c>
      <c r="D75" s="1">
        <v>245757.14</v>
      </c>
      <c r="F75" s="1">
        <f t="shared" si="8"/>
        <v>3824.2</v>
      </c>
      <c r="H75" s="1">
        <f t="shared" si="5"/>
        <v>1157381.75</v>
      </c>
      <c r="K75" s="87"/>
      <c r="L75" s="88"/>
    </row>
    <row r="76" spans="1:12" x14ac:dyDescent="0.2">
      <c r="A76" s="199" t="s">
        <v>105</v>
      </c>
      <c r="B76" s="199"/>
      <c r="C76" s="199"/>
      <c r="D76" s="199"/>
      <c r="E76" s="199"/>
      <c r="F76" s="199"/>
      <c r="G76" s="1">
        <v>-868436.09</v>
      </c>
      <c r="H76" s="1">
        <f t="shared" ref="H76:H85" si="9">+SUM(D76:G76)+H75</f>
        <v>288945.66000000003</v>
      </c>
      <c r="K76" s="87"/>
      <c r="L76" s="88"/>
    </row>
    <row r="77" spans="1:12" x14ac:dyDescent="0.2">
      <c r="A77" s="97">
        <f>'FERC Interest Rates'!A80</f>
        <v>43434</v>
      </c>
      <c r="D77" s="1">
        <v>62900.65</v>
      </c>
      <c r="F77" s="1">
        <f t="shared" si="8"/>
        <v>1177.95</v>
      </c>
      <c r="H77" s="1">
        <f t="shared" si="9"/>
        <v>353024.26</v>
      </c>
      <c r="K77" s="87"/>
      <c r="L77" s="88"/>
    </row>
    <row r="78" spans="1:12" x14ac:dyDescent="0.2">
      <c r="A78" s="97">
        <f>'FERC Interest Rates'!A81</f>
        <v>43465</v>
      </c>
      <c r="D78" s="1">
        <v>30133.96</v>
      </c>
      <c r="F78" s="1">
        <f t="shared" si="8"/>
        <v>1487.15</v>
      </c>
      <c r="H78" s="1">
        <f t="shared" si="9"/>
        <v>384645.37</v>
      </c>
      <c r="K78" s="87"/>
      <c r="L78" s="88"/>
    </row>
    <row r="79" spans="1:12" x14ac:dyDescent="0.2">
      <c r="A79" s="97">
        <f>'FERC Interest Rates'!A82</f>
        <v>43496</v>
      </c>
      <c r="D79" s="1">
        <v>12568</v>
      </c>
      <c r="F79" s="1">
        <f t="shared" ref="F79:F85" si="10">ROUND(H78*VLOOKUP(A79,FERCINT19,2)/365*VLOOKUP(A79,FERCINT19,3),2)</f>
        <v>1692.23</v>
      </c>
      <c r="H79" s="1">
        <f t="shared" si="9"/>
        <v>398905.59999999998</v>
      </c>
      <c r="K79" s="87"/>
      <c r="L79" s="88"/>
    </row>
    <row r="80" spans="1:12" x14ac:dyDescent="0.2">
      <c r="A80" s="97">
        <f>'FERC Interest Rates'!A83</f>
        <v>43524</v>
      </c>
      <c r="D80" s="1">
        <v>63287</v>
      </c>
      <c r="F80" s="1">
        <f t="shared" si="10"/>
        <v>1585.13</v>
      </c>
      <c r="H80" s="1">
        <f t="shared" si="9"/>
        <v>463777.73</v>
      </c>
      <c r="K80" s="87"/>
      <c r="L80" s="88"/>
    </row>
    <row r="81" spans="1:12" x14ac:dyDescent="0.2">
      <c r="A81" s="97">
        <f>'FERC Interest Rates'!A84</f>
        <v>43555</v>
      </c>
      <c r="D81" s="1">
        <v>17170.5</v>
      </c>
      <c r="F81" s="1">
        <f t="shared" si="10"/>
        <v>2040.37</v>
      </c>
      <c r="H81" s="1">
        <f t="shared" si="9"/>
        <v>482988.6</v>
      </c>
      <c r="K81" s="87"/>
      <c r="L81" s="88"/>
    </row>
    <row r="82" spans="1:12" x14ac:dyDescent="0.2">
      <c r="A82" s="97">
        <f>'FERC Interest Rates'!A85</f>
        <v>43585</v>
      </c>
      <c r="D82" s="1">
        <v>148908.5</v>
      </c>
      <c r="F82" s="1">
        <f t="shared" si="10"/>
        <v>2163.52</v>
      </c>
      <c r="H82" s="1">
        <f t="shared" si="9"/>
        <v>634060.62</v>
      </c>
      <c r="K82" s="87"/>
      <c r="L82" s="88"/>
    </row>
    <row r="83" spans="1:12" x14ac:dyDescent="0.2">
      <c r="A83" s="97">
        <f>'FERC Interest Rates'!A86</f>
        <v>43616</v>
      </c>
      <c r="D83" s="1">
        <v>26801.5</v>
      </c>
      <c r="F83" s="1">
        <f t="shared" si="10"/>
        <v>2934.92</v>
      </c>
      <c r="H83" s="1">
        <f t="shared" si="9"/>
        <v>663797.04</v>
      </c>
      <c r="K83" s="87"/>
      <c r="L83" s="88"/>
    </row>
    <row r="84" spans="1:12" x14ac:dyDescent="0.2">
      <c r="A84" s="97">
        <f>'FERC Interest Rates'!A87</f>
        <v>43646</v>
      </c>
      <c r="D84" s="1">
        <v>145001.82999999999</v>
      </c>
      <c r="F84" s="1">
        <f t="shared" si="10"/>
        <v>2973.45</v>
      </c>
      <c r="H84" s="1">
        <f t="shared" si="9"/>
        <v>811772.32000000007</v>
      </c>
      <c r="K84" s="87"/>
      <c r="L84" s="88"/>
    </row>
    <row r="85" spans="1:12" x14ac:dyDescent="0.2">
      <c r="A85" s="97">
        <f>'FERC Interest Rates'!A88</f>
        <v>43677</v>
      </c>
      <c r="D85" s="1">
        <v>201351.13</v>
      </c>
      <c r="F85" s="1">
        <f t="shared" si="10"/>
        <v>3791.98</v>
      </c>
      <c r="H85" s="1">
        <f t="shared" si="9"/>
        <v>1016915.43</v>
      </c>
      <c r="K85" s="87"/>
      <c r="L85" s="88"/>
    </row>
    <row r="86" spans="1:12" x14ac:dyDescent="0.2">
      <c r="A86" s="97"/>
      <c r="K86" s="87"/>
      <c r="L86" s="88"/>
    </row>
    <row r="87" spans="1:12" x14ac:dyDescent="0.2">
      <c r="A87" s="97"/>
      <c r="K87" s="87"/>
      <c r="L87" s="88"/>
    </row>
    <row r="88" spans="1:12" x14ac:dyDescent="0.2">
      <c r="A88" s="97"/>
      <c r="K88" s="87"/>
      <c r="L88" s="88"/>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0E2F3-EC7D-4E41-9002-DA051AE15F2A}">
  <dimension ref="A1:L88"/>
  <sheetViews>
    <sheetView view="pageBreakPreview" zoomScaleNormal="75" zoomScaleSheetLayoutView="100" workbookViewId="0">
      <pane xSplit="1" ySplit="10" topLeftCell="B63"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1" t="s">
        <v>58</v>
      </c>
      <c r="B1" s="222"/>
      <c r="C1" s="237" t="s">
        <v>59</v>
      </c>
      <c r="D1" s="237"/>
      <c r="E1" s="237"/>
      <c r="F1" s="237"/>
      <c r="G1" s="237"/>
      <c r="H1" s="238"/>
    </row>
    <row r="2" spans="1:12" x14ac:dyDescent="0.2">
      <c r="A2" s="219" t="s">
        <v>60</v>
      </c>
      <c r="B2" s="208"/>
      <c r="C2" s="209" t="s">
        <v>106</v>
      </c>
      <c r="D2" s="209"/>
      <c r="E2" s="209"/>
      <c r="F2" s="209"/>
      <c r="G2" s="209"/>
      <c r="H2" s="220"/>
    </row>
    <row r="3" spans="1:12" x14ac:dyDescent="0.2">
      <c r="A3" s="219" t="s">
        <v>62</v>
      </c>
      <c r="B3" s="208"/>
      <c r="C3" s="209" t="s">
        <v>13</v>
      </c>
      <c r="D3" s="209"/>
      <c r="E3" s="209"/>
      <c r="F3" s="209"/>
      <c r="G3" s="209"/>
      <c r="H3" s="220"/>
    </row>
    <row r="4" spans="1:12" x14ac:dyDescent="0.2">
      <c r="A4" s="219" t="s">
        <v>63</v>
      </c>
      <c r="B4" s="208"/>
      <c r="C4" s="225" t="s">
        <v>64</v>
      </c>
      <c r="D4" s="225"/>
      <c r="E4" s="225"/>
      <c r="F4" s="225"/>
      <c r="G4" s="225"/>
      <c r="H4" s="226"/>
    </row>
    <row r="5" spans="1:12" x14ac:dyDescent="0.2">
      <c r="A5" s="219" t="s">
        <v>65</v>
      </c>
      <c r="B5" s="208"/>
      <c r="C5" s="225" t="s">
        <v>107</v>
      </c>
      <c r="D5" s="225"/>
      <c r="E5" s="225"/>
      <c r="F5" s="225"/>
      <c r="G5" s="225"/>
      <c r="H5" s="226"/>
    </row>
    <row r="6" spans="1:12" x14ac:dyDescent="0.2">
      <c r="A6" s="219" t="s">
        <v>67</v>
      </c>
      <c r="B6" s="208"/>
      <c r="C6" s="209" t="s">
        <v>88</v>
      </c>
      <c r="D6" s="209"/>
      <c r="E6" s="209"/>
      <c r="F6" s="209"/>
      <c r="G6" s="209"/>
      <c r="H6" s="220"/>
    </row>
    <row r="7" spans="1:12" ht="13.5" thickBot="1" x14ac:dyDescent="0.25">
      <c r="A7" s="215" t="s">
        <v>68</v>
      </c>
      <c r="B7" s="216"/>
      <c r="C7" s="217" t="s">
        <v>102</v>
      </c>
      <c r="D7" s="217"/>
      <c r="E7" s="217"/>
      <c r="F7" s="217"/>
      <c r="G7" s="217"/>
      <c r="H7" s="218"/>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34127.81</v>
      </c>
      <c r="K11" s="87"/>
      <c r="L11" s="88"/>
    </row>
    <row r="12" spans="1:12" hidden="1" x14ac:dyDescent="0.2">
      <c r="A12" s="97">
        <f>'FERC Interest Rates'!A20</f>
        <v>41608</v>
      </c>
      <c r="D12" s="1">
        <f>589.95+3436.51</f>
        <v>4026.46</v>
      </c>
      <c r="F12" s="1">
        <f t="shared" ref="F12:F13" si="0">ROUND(H11*VLOOKUP(A12,FERCINT13,2)/365*VLOOKUP(A12,FERCINT13,3),2)</f>
        <v>91.16</v>
      </c>
      <c r="H12" s="1">
        <f t="shared" ref="H12:H36" si="1">+SUM(D12:G12)+H11</f>
        <v>38245.43</v>
      </c>
      <c r="K12" s="87"/>
      <c r="L12" s="88"/>
    </row>
    <row r="13" spans="1:12" hidden="1" x14ac:dyDescent="0.2">
      <c r="A13" s="97">
        <f>'FERC Interest Rates'!A21</f>
        <v>41639</v>
      </c>
      <c r="D13" s="1">
        <v>3341.37</v>
      </c>
      <c r="F13" s="1">
        <f t="shared" si="0"/>
        <v>105.57</v>
      </c>
      <c r="H13" s="1">
        <f t="shared" si="1"/>
        <v>41692.370000000003</v>
      </c>
      <c r="K13" s="87"/>
      <c r="L13" s="88"/>
    </row>
    <row r="14" spans="1:12" hidden="1" x14ac:dyDescent="0.2">
      <c r="A14" s="97">
        <f>'FERC Interest Rates'!A22</f>
        <v>41670</v>
      </c>
      <c r="D14" s="1">
        <v>3500.93</v>
      </c>
      <c r="F14" s="1">
        <f t="shared" ref="F14:F23" si="2">ROUND(H13*VLOOKUP(A14,FERCINT14,2)/365*VLOOKUP(A14,FERCINT14,3),2)</f>
        <v>115.08</v>
      </c>
      <c r="H14" s="1">
        <f t="shared" si="1"/>
        <v>45308.380000000005</v>
      </c>
      <c r="K14" s="87"/>
      <c r="L14" s="88"/>
    </row>
    <row r="15" spans="1:12" hidden="1" x14ac:dyDescent="0.2">
      <c r="A15" s="97">
        <f>'FERC Interest Rates'!A23</f>
        <v>41698</v>
      </c>
      <c r="D15" s="1">
        <f>1228.81+2800.64+2907.85</f>
        <v>6937.2999999999993</v>
      </c>
      <c r="F15" s="1">
        <f t="shared" si="2"/>
        <v>112.96</v>
      </c>
      <c r="H15" s="1">
        <f t="shared" si="1"/>
        <v>52358.640000000007</v>
      </c>
      <c r="K15" s="87"/>
      <c r="L15" s="88"/>
    </row>
    <row r="16" spans="1:12" hidden="1" x14ac:dyDescent="0.2">
      <c r="A16" s="97">
        <f>'FERC Interest Rates'!A24</f>
        <v>41729</v>
      </c>
      <c r="D16" s="1">
        <f>5104.12+1781.99</f>
        <v>6886.11</v>
      </c>
      <c r="F16" s="1">
        <f t="shared" si="2"/>
        <v>144.52000000000001</v>
      </c>
      <c r="H16" s="1">
        <f t="shared" si="1"/>
        <v>59389.270000000004</v>
      </c>
      <c r="K16" s="87"/>
      <c r="L16" s="88"/>
    </row>
    <row r="17" spans="1:12" hidden="1" x14ac:dyDescent="0.2">
      <c r="A17" s="97">
        <f>'FERC Interest Rates'!A25</f>
        <v>41759</v>
      </c>
      <c r="D17" s="1">
        <v>5578.35</v>
      </c>
      <c r="F17" s="1">
        <f t="shared" si="2"/>
        <v>158.63999999999999</v>
      </c>
      <c r="H17" s="1">
        <f t="shared" si="1"/>
        <v>65126.26</v>
      </c>
      <c r="K17" s="87"/>
      <c r="L17" s="88"/>
    </row>
    <row r="18" spans="1:12" hidden="1" x14ac:dyDescent="0.2">
      <c r="A18" s="97">
        <f>'FERC Interest Rates'!A26</f>
        <v>41790</v>
      </c>
      <c r="D18" s="1">
        <v>0</v>
      </c>
      <c r="F18" s="1">
        <f t="shared" si="2"/>
        <v>179.77</v>
      </c>
      <c r="H18" s="1">
        <f t="shared" si="1"/>
        <v>65306.03</v>
      </c>
      <c r="K18" s="87"/>
      <c r="L18" s="88"/>
    </row>
    <row r="19" spans="1:12" hidden="1" x14ac:dyDescent="0.2">
      <c r="A19" s="97">
        <f>'FERC Interest Rates'!A27</f>
        <v>41820</v>
      </c>
      <c r="D19" s="1">
        <v>8188.42</v>
      </c>
      <c r="F19" s="1">
        <f t="shared" si="2"/>
        <v>174.45</v>
      </c>
      <c r="H19" s="1">
        <f t="shared" si="1"/>
        <v>73668.899999999994</v>
      </c>
      <c r="K19" s="87"/>
      <c r="L19" s="88"/>
    </row>
    <row r="20" spans="1:12" hidden="1" x14ac:dyDescent="0.2">
      <c r="A20" s="97">
        <f>'FERC Interest Rates'!A28</f>
        <v>41851</v>
      </c>
      <c r="D20" s="1">
        <v>0</v>
      </c>
      <c r="F20" s="1">
        <f t="shared" si="2"/>
        <v>203.35</v>
      </c>
      <c r="H20" s="1">
        <f t="shared" si="1"/>
        <v>73872.25</v>
      </c>
      <c r="K20" s="87"/>
      <c r="L20" s="88"/>
    </row>
    <row r="21" spans="1:12" hidden="1" x14ac:dyDescent="0.2">
      <c r="A21" s="97">
        <f>'FERC Interest Rates'!A29</f>
        <v>41882</v>
      </c>
      <c r="D21" s="1">
        <v>5733.28</v>
      </c>
      <c r="F21" s="1">
        <f t="shared" si="2"/>
        <v>203.91</v>
      </c>
      <c r="H21" s="1">
        <f t="shared" si="1"/>
        <v>79809.440000000002</v>
      </c>
      <c r="K21" s="87"/>
      <c r="L21" s="88"/>
    </row>
    <row r="22" spans="1:12" hidden="1" x14ac:dyDescent="0.2">
      <c r="A22" s="97">
        <f>'FERC Interest Rates'!A30</f>
        <v>41912</v>
      </c>
      <c r="D22" s="1">
        <v>0</v>
      </c>
      <c r="F22" s="1">
        <f t="shared" si="2"/>
        <v>213.19</v>
      </c>
      <c r="H22" s="1">
        <f t="shared" si="1"/>
        <v>80022.63</v>
      </c>
      <c r="K22" s="87"/>
      <c r="L22" s="88"/>
    </row>
    <row r="23" spans="1:12" hidden="1" x14ac:dyDescent="0.2">
      <c r="A23" s="97">
        <f>'FERC Interest Rates'!A31</f>
        <v>41943</v>
      </c>
      <c r="D23" s="1">
        <v>3220.1</v>
      </c>
      <c r="F23" s="1">
        <f t="shared" si="2"/>
        <v>220.88</v>
      </c>
      <c r="H23" s="1">
        <f t="shared" si="1"/>
        <v>83463.61</v>
      </c>
      <c r="K23" s="87"/>
      <c r="L23" s="88"/>
    </row>
    <row r="24" spans="1:12" hidden="1" x14ac:dyDescent="0.2">
      <c r="A24" s="199" t="s">
        <v>103</v>
      </c>
      <c r="B24" s="199"/>
      <c r="C24" s="199"/>
      <c r="D24" s="199"/>
      <c r="E24" s="199"/>
      <c r="F24" s="199"/>
      <c r="G24" s="1">
        <v>-74479.05</v>
      </c>
      <c r="H24" s="1">
        <f t="shared" si="1"/>
        <v>8984.5599999999977</v>
      </c>
    </row>
    <row r="25" spans="1:12" hidden="1" x14ac:dyDescent="0.2">
      <c r="A25" s="97">
        <f>'FERC Interest Rates'!A32</f>
        <v>41973</v>
      </c>
      <c r="D25" s="1">
        <v>11345.71</v>
      </c>
      <c r="F25" s="1">
        <f>ROUND(H24*VLOOKUP(A25,FERCINT14,2)/365*VLOOKUP(A25,FERCINT14,3),2)</f>
        <v>24</v>
      </c>
      <c r="H25" s="1">
        <f t="shared" si="1"/>
        <v>20354.269999999997</v>
      </c>
      <c r="K25" s="87"/>
      <c r="L25" s="88"/>
    </row>
    <row r="26" spans="1:12" hidden="1" x14ac:dyDescent="0.2">
      <c r="A26" s="97">
        <f>'FERC Interest Rates'!A33</f>
        <v>42004</v>
      </c>
      <c r="D26" s="1">
        <v>6484.81</v>
      </c>
      <c r="F26" s="1">
        <f>ROUND(H25*VLOOKUP(A26,FERCINT14,2)/365*VLOOKUP(A26,FERCINT14,3),2)</f>
        <v>56.18</v>
      </c>
      <c r="H26" s="1">
        <f t="shared" si="1"/>
        <v>26895.26</v>
      </c>
      <c r="K26" s="87"/>
      <c r="L26" s="88"/>
    </row>
    <row r="27" spans="1:12" hidden="1" x14ac:dyDescent="0.2">
      <c r="A27" s="97">
        <f>'FERC Interest Rates'!A34</f>
        <v>42035</v>
      </c>
      <c r="D27" s="1">
        <v>0</v>
      </c>
      <c r="F27" s="1">
        <f t="shared" ref="F27:F36" si="3">ROUND(H26*VLOOKUP(A27,FERCINT15,2)/365*VLOOKUP(A27,FERCINT15,3),2)</f>
        <v>74.239999999999995</v>
      </c>
      <c r="H27" s="1">
        <f t="shared" si="1"/>
        <v>26969.5</v>
      </c>
      <c r="K27" s="87"/>
      <c r="L27" s="88"/>
    </row>
    <row r="28" spans="1:12" hidden="1" x14ac:dyDescent="0.2">
      <c r="A28" s="97">
        <f>'FERC Interest Rates'!A35</f>
        <v>42063</v>
      </c>
      <c r="D28" s="1">
        <v>18744.09</v>
      </c>
      <c r="F28" s="1">
        <f t="shared" si="3"/>
        <v>67.239999999999995</v>
      </c>
      <c r="H28" s="1">
        <f t="shared" si="1"/>
        <v>45780.83</v>
      </c>
      <c r="K28" s="87"/>
      <c r="L28" s="88"/>
    </row>
    <row r="29" spans="1:12" hidden="1" x14ac:dyDescent="0.2">
      <c r="A29" s="97">
        <f>'FERC Interest Rates'!A36</f>
        <v>42094</v>
      </c>
      <c r="D29" s="1">
        <v>20706.11</v>
      </c>
      <c r="F29" s="1">
        <f t="shared" si="3"/>
        <v>126.37</v>
      </c>
      <c r="H29" s="1">
        <f t="shared" si="1"/>
        <v>66613.31</v>
      </c>
      <c r="K29" s="87"/>
      <c r="L29" s="88"/>
    </row>
    <row r="30" spans="1:12" hidden="1" x14ac:dyDescent="0.2">
      <c r="A30" s="97">
        <f>'FERC Interest Rates'!A37</f>
        <v>42124</v>
      </c>
      <c r="D30" s="1">
        <v>6730.61</v>
      </c>
      <c r="F30" s="1">
        <f t="shared" si="3"/>
        <v>177.94</v>
      </c>
      <c r="H30" s="1">
        <f t="shared" si="1"/>
        <v>73521.86</v>
      </c>
      <c r="K30" s="87"/>
      <c r="L30" s="88"/>
    </row>
    <row r="31" spans="1:12" hidden="1" x14ac:dyDescent="0.2">
      <c r="A31" s="97">
        <f>'FERC Interest Rates'!A38</f>
        <v>42155</v>
      </c>
      <c r="D31" s="1">
        <v>6090.9</v>
      </c>
      <c r="F31" s="1">
        <f t="shared" si="3"/>
        <v>202.94</v>
      </c>
      <c r="H31" s="1">
        <f t="shared" si="1"/>
        <v>79815.7</v>
      </c>
      <c r="K31" s="87"/>
      <c r="L31" s="88"/>
    </row>
    <row r="32" spans="1:12" hidden="1" x14ac:dyDescent="0.2">
      <c r="A32" s="97">
        <f>'FERC Interest Rates'!A39</f>
        <v>42185</v>
      </c>
      <c r="D32" s="1">
        <v>2164.98</v>
      </c>
      <c r="F32" s="1">
        <f t="shared" si="3"/>
        <v>213.21</v>
      </c>
      <c r="H32" s="1">
        <f t="shared" si="1"/>
        <v>82193.89</v>
      </c>
      <c r="K32" s="87"/>
      <c r="L32" s="88"/>
    </row>
    <row r="33" spans="1:12" hidden="1" x14ac:dyDescent="0.2">
      <c r="A33" s="97">
        <f>'FERC Interest Rates'!A40</f>
        <v>42216</v>
      </c>
      <c r="D33" s="1">
        <v>4424.8900000000003</v>
      </c>
      <c r="F33" s="1">
        <f t="shared" si="3"/>
        <v>226.88</v>
      </c>
      <c r="H33" s="1">
        <f t="shared" si="1"/>
        <v>86845.66</v>
      </c>
      <c r="K33" s="87"/>
      <c r="L33" s="88"/>
    </row>
    <row r="34" spans="1:12" hidden="1" x14ac:dyDescent="0.2">
      <c r="A34" s="97">
        <f>'FERC Interest Rates'!A41</f>
        <v>42247</v>
      </c>
      <c r="D34" s="1">
        <v>0</v>
      </c>
      <c r="F34" s="1">
        <f t="shared" si="3"/>
        <v>239.72</v>
      </c>
      <c r="H34" s="1">
        <f t="shared" si="1"/>
        <v>87085.38</v>
      </c>
      <c r="K34" s="87"/>
      <c r="L34" s="88"/>
    </row>
    <row r="35" spans="1:12" hidden="1" x14ac:dyDescent="0.2">
      <c r="A35" s="97">
        <f>'FERC Interest Rates'!A42</f>
        <v>42277</v>
      </c>
      <c r="D35" s="1">
        <v>0</v>
      </c>
      <c r="F35" s="1">
        <f t="shared" si="3"/>
        <v>232.63</v>
      </c>
      <c r="H35" s="1">
        <f t="shared" si="1"/>
        <v>87318.010000000009</v>
      </c>
      <c r="K35" s="87"/>
      <c r="L35" s="88"/>
    </row>
    <row r="36" spans="1:12" hidden="1" x14ac:dyDescent="0.2">
      <c r="A36" s="97">
        <f>'FERC Interest Rates'!A43</f>
        <v>42308</v>
      </c>
      <c r="D36" s="1">
        <v>25588.39</v>
      </c>
      <c r="F36" s="1">
        <f t="shared" si="3"/>
        <v>241.02</v>
      </c>
      <c r="H36" s="1">
        <f t="shared" si="1"/>
        <v>113147.42000000001</v>
      </c>
      <c r="K36" s="87"/>
      <c r="L36" s="88"/>
    </row>
    <row r="37" spans="1:12" hidden="1" x14ac:dyDescent="0.2">
      <c r="A37" s="97">
        <f>'FERC Interest Rates'!A44</f>
        <v>42338</v>
      </c>
      <c r="D37" s="1">
        <v>0</v>
      </c>
      <c r="F37" s="1">
        <f t="shared" ref="F37" si="4">ROUND(H36*VLOOKUP(A37,FERCINT15,2)/365*VLOOKUP(A37,FERCINT15,3),2)</f>
        <v>302.24</v>
      </c>
      <c r="H37" s="1">
        <f t="shared" ref="H37:H75" si="5">+SUM(D37:G37)+H36</f>
        <v>113449.66000000002</v>
      </c>
      <c r="K37" s="87"/>
      <c r="L37" s="88"/>
    </row>
    <row r="38" spans="1:12" hidden="1" x14ac:dyDescent="0.2">
      <c r="A38" s="199" t="s">
        <v>104</v>
      </c>
      <c r="B38" s="199"/>
      <c r="C38" s="199"/>
      <c r="D38" s="199"/>
      <c r="E38" s="199"/>
      <c r="F38" s="199"/>
      <c r="G38" s="1">
        <v>-87792.92</v>
      </c>
      <c r="H38" s="1">
        <f t="shared" si="5"/>
        <v>25656.74000000002</v>
      </c>
      <c r="K38" s="87"/>
      <c r="L38" s="88"/>
    </row>
    <row r="39" spans="1:12" hidden="1" x14ac:dyDescent="0.2">
      <c r="A39" s="97">
        <f>'FERC Interest Rates'!A45</f>
        <v>42369</v>
      </c>
      <c r="D39" s="1">
        <v>5078.8599999999997</v>
      </c>
      <c r="F39" s="1">
        <f>ROUND(H38*VLOOKUP(A39,FERCINT15,2)/365*VLOOKUP(A39,FERCINT15,3),2)</f>
        <v>70.819999999999993</v>
      </c>
      <c r="H39" s="1">
        <f t="shared" si="5"/>
        <v>30806.42000000002</v>
      </c>
      <c r="K39" s="87"/>
      <c r="L39" s="88"/>
    </row>
    <row r="40" spans="1:12" hidden="1" x14ac:dyDescent="0.2">
      <c r="A40" s="97">
        <f>'FERC Interest Rates'!A46</f>
        <v>42400</v>
      </c>
      <c r="D40" s="1">
        <v>8551.1299999999992</v>
      </c>
      <c r="F40" s="1">
        <f t="shared" ref="F40:F52" si="6">ROUND(H39*VLOOKUP(A40,FERCINT16,2)/365*VLOOKUP(A40,FERCINT16,3),2)</f>
        <v>85.03</v>
      </c>
      <c r="H40" s="1">
        <f t="shared" si="5"/>
        <v>39442.580000000016</v>
      </c>
      <c r="K40" s="87"/>
      <c r="L40" s="88"/>
    </row>
    <row r="41" spans="1:12" hidden="1" x14ac:dyDescent="0.2">
      <c r="A41" s="97">
        <f>'FERC Interest Rates'!A47</f>
        <v>42429</v>
      </c>
      <c r="D41" s="1">
        <v>3435.07</v>
      </c>
      <c r="F41" s="1">
        <f t="shared" si="6"/>
        <v>101.85</v>
      </c>
      <c r="H41" s="1">
        <f t="shared" si="5"/>
        <v>42979.500000000015</v>
      </c>
      <c r="K41" s="87"/>
      <c r="L41" s="88"/>
    </row>
    <row r="42" spans="1:12" hidden="1" x14ac:dyDescent="0.2">
      <c r="A42" s="97">
        <f>'FERC Interest Rates'!A48</f>
        <v>42460</v>
      </c>
      <c r="D42" s="1">
        <v>4412.76</v>
      </c>
      <c r="F42" s="1">
        <f t="shared" si="6"/>
        <v>118.64</v>
      </c>
      <c r="H42" s="1">
        <f t="shared" si="5"/>
        <v>47510.900000000016</v>
      </c>
      <c r="K42" s="87"/>
      <c r="L42" s="88"/>
    </row>
    <row r="43" spans="1:12" hidden="1" x14ac:dyDescent="0.2">
      <c r="A43" s="97">
        <f>'FERC Interest Rates'!A49</f>
        <v>42490</v>
      </c>
      <c r="D43" s="1">
        <v>25403.73</v>
      </c>
      <c r="F43" s="1">
        <f t="shared" si="6"/>
        <v>135.11000000000001</v>
      </c>
      <c r="H43" s="1">
        <f t="shared" si="5"/>
        <v>73049.74000000002</v>
      </c>
      <c r="K43" s="87"/>
      <c r="L43" s="88"/>
    </row>
    <row r="44" spans="1:12" hidden="1" x14ac:dyDescent="0.2">
      <c r="A44" s="97">
        <f>'FERC Interest Rates'!A50</f>
        <v>42521</v>
      </c>
      <c r="D44" s="1">
        <v>3688.79</v>
      </c>
      <c r="F44" s="1">
        <f t="shared" si="6"/>
        <v>214.67</v>
      </c>
      <c r="H44" s="1">
        <f t="shared" si="5"/>
        <v>76953.200000000026</v>
      </c>
      <c r="K44" s="87"/>
      <c r="L44" s="88"/>
    </row>
    <row r="45" spans="1:12" hidden="1" x14ac:dyDescent="0.2">
      <c r="A45" s="97">
        <f>'FERC Interest Rates'!A51</f>
        <v>42551</v>
      </c>
      <c r="D45" s="1">
        <v>0</v>
      </c>
      <c r="F45" s="1">
        <f t="shared" si="6"/>
        <v>218.84</v>
      </c>
      <c r="H45" s="1">
        <f t="shared" si="5"/>
        <v>77172.040000000023</v>
      </c>
      <c r="K45" s="87"/>
      <c r="L45" s="88"/>
    </row>
    <row r="46" spans="1:12" hidden="1" x14ac:dyDescent="0.2">
      <c r="A46" s="97">
        <f>'FERC Interest Rates'!A52</f>
        <v>42582</v>
      </c>
      <c r="D46" s="1">
        <f>1816.41+6474.96+4396.78</f>
        <v>12688.150000000001</v>
      </c>
      <c r="F46" s="1">
        <f t="shared" si="6"/>
        <v>229.4</v>
      </c>
      <c r="H46" s="1">
        <f t="shared" si="5"/>
        <v>90089.590000000026</v>
      </c>
      <c r="K46" s="87"/>
      <c r="L46" s="88"/>
    </row>
    <row r="47" spans="1:12" hidden="1" x14ac:dyDescent="0.2">
      <c r="A47" s="97">
        <f>'FERC Interest Rates'!A53</f>
        <v>42613</v>
      </c>
      <c r="D47" s="1">
        <v>3099.7</v>
      </c>
      <c r="F47" s="1">
        <f t="shared" si="6"/>
        <v>267.8</v>
      </c>
      <c r="H47" s="1">
        <f t="shared" si="5"/>
        <v>93457.090000000026</v>
      </c>
      <c r="K47" s="87"/>
      <c r="L47" s="88"/>
    </row>
    <row r="48" spans="1:12" hidden="1" x14ac:dyDescent="0.2">
      <c r="A48" s="97">
        <f>'FERC Interest Rates'!A54</f>
        <v>42643</v>
      </c>
      <c r="D48" s="1">
        <f>2502.49+4807.17</f>
        <v>7309.66</v>
      </c>
      <c r="F48" s="1">
        <f t="shared" si="6"/>
        <v>268.85000000000002</v>
      </c>
      <c r="H48" s="1">
        <f t="shared" si="5"/>
        <v>101035.60000000002</v>
      </c>
      <c r="K48" s="87"/>
      <c r="L48" s="88"/>
    </row>
    <row r="49" spans="1:12" hidden="1" x14ac:dyDescent="0.2">
      <c r="A49" s="97">
        <f>'FERC Interest Rates'!A55</f>
        <v>42674</v>
      </c>
      <c r="D49" s="1">
        <v>0</v>
      </c>
      <c r="F49" s="1">
        <f t="shared" si="6"/>
        <v>300.33999999999997</v>
      </c>
      <c r="H49" s="1">
        <f t="shared" si="5"/>
        <v>101335.94000000002</v>
      </c>
      <c r="K49" s="87"/>
      <c r="L49" s="88"/>
    </row>
    <row r="50" spans="1:12" x14ac:dyDescent="0.2">
      <c r="A50" s="199" t="s">
        <v>105</v>
      </c>
      <c r="B50" s="199"/>
      <c r="C50" s="199"/>
      <c r="D50" s="199"/>
      <c r="E50" s="199"/>
      <c r="F50" s="199"/>
      <c r="G50" s="1">
        <v>-90886.69</v>
      </c>
      <c r="H50" s="1">
        <f t="shared" si="5"/>
        <v>10449.250000000015</v>
      </c>
      <c r="K50" s="87"/>
      <c r="L50" s="88"/>
    </row>
    <row r="51" spans="1:12" x14ac:dyDescent="0.2">
      <c r="A51" s="97">
        <f>'FERC Interest Rates'!A56</f>
        <v>42704</v>
      </c>
      <c r="D51" s="1">
        <v>9221.16</v>
      </c>
      <c r="F51" s="1">
        <f t="shared" si="6"/>
        <v>30.06</v>
      </c>
      <c r="H51" s="1">
        <f t="shared" si="5"/>
        <v>19700.470000000016</v>
      </c>
      <c r="K51" s="87"/>
      <c r="L51" s="88"/>
    </row>
    <row r="52" spans="1:12" x14ac:dyDescent="0.2">
      <c r="A52" s="97">
        <f>'FERC Interest Rates'!A57</f>
        <v>42735</v>
      </c>
      <c r="D52" s="1">
        <f>4780.4+649.65+4137.84</f>
        <v>9567.89</v>
      </c>
      <c r="F52" s="1">
        <f t="shared" si="6"/>
        <v>58.56</v>
      </c>
      <c r="H52" s="1">
        <f t="shared" si="5"/>
        <v>29326.920000000013</v>
      </c>
      <c r="K52" s="87"/>
      <c r="L52" s="88"/>
    </row>
    <row r="53" spans="1:12" x14ac:dyDescent="0.2">
      <c r="A53" s="97">
        <f>'FERC Interest Rates'!A58</f>
        <v>42766</v>
      </c>
      <c r="D53" s="1">
        <v>0</v>
      </c>
      <c r="F53" s="1">
        <f t="shared" ref="F53:F62" si="7">ROUND(H52*VLOOKUP(A53,FERCINT17,2)/365*VLOOKUP(A53,FERCINT17,3),2)</f>
        <v>87.18</v>
      </c>
      <c r="H53" s="1">
        <f t="shared" si="5"/>
        <v>29414.100000000013</v>
      </c>
      <c r="K53" s="87"/>
      <c r="L53" s="88"/>
    </row>
    <row r="54" spans="1:12" x14ac:dyDescent="0.2">
      <c r="A54" s="97">
        <f>'FERC Interest Rates'!A59</f>
        <v>42794</v>
      </c>
      <c r="D54" s="1">
        <v>0</v>
      </c>
      <c r="F54" s="1">
        <f t="shared" si="7"/>
        <v>78.97</v>
      </c>
      <c r="H54" s="1">
        <f t="shared" si="5"/>
        <v>29493.070000000014</v>
      </c>
      <c r="K54" s="87"/>
      <c r="L54" s="88"/>
    </row>
    <row r="55" spans="1:12" x14ac:dyDescent="0.2">
      <c r="A55" s="97">
        <f>'FERC Interest Rates'!A60</f>
        <v>42825</v>
      </c>
      <c r="D55" s="1">
        <f>6290.27+10000</f>
        <v>16290.27</v>
      </c>
      <c r="F55" s="1">
        <f t="shared" si="7"/>
        <v>87.67</v>
      </c>
      <c r="H55" s="1">
        <f t="shared" si="5"/>
        <v>45871.010000000017</v>
      </c>
      <c r="K55" s="87"/>
      <c r="L55" s="88"/>
    </row>
    <row r="56" spans="1:12" x14ac:dyDescent="0.2">
      <c r="A56" s="97">
        <f>'FERC Interest Rates'!A61</f>
        <v>42855</v>
      </c>
      <c r="D56" s="1">
        <f>7252.13+20000</f>
        <v>27252.13</v>
      </c>
      <c r="F56" s="1">
        <f t="shared" si="7"/>
        <v>139.88</v>
      </c>
      <c r="H56" s="1">
        <f t="shared" si="5"/>
        <v>73263.020000000019</v>
      </c>
      <c r="K56" s="87"/>
      <c r="L56" s="88"/>
    </row>
    <row r="57" spans="1:12" x14ac:dyDescent="0.2">
      <c r="A57" s="97">
        <f>'FERC Interest Rates'!A62</f>
        <v>42886</v>
      </c>
      <c r="D57" s="1">
        <v>0</v>
      </c>
      <c r="F57" s="1">
        <f t="shared" si="7"/>
        <v>230.85</v>
      </c>
      <c r="H57" s="1">
        <f t="shared" si="5"/>
        <v>73493.870000000024</v>
      </c>
      <c r="K57" s="87"/>
      <c r="L57" s="88"/>
    </row>
    <row r="58" spans="1:12" x14ac:dyDescent="0.2">
      <c r="A58" s="97">
        <f>'FERC Interest Rates'!A63</f>
        <v>42916</v>
      </c>
      <c r="D58" s="1">
        <f>5163.92+10000</f>
        <v>15163.92</v>
      </c>
      <c r="F58" s="1">
        <f t="shared" si="7"/>
        <v>224.11</v>
      </c>
      <c r="H58" s="1">
        <f t="shared" si="5"/>
        <v>88881.900000000023</v>
      </c>
      <c r="K58" s="87"/>
      <c r="L58" s="88"/>
    </row>
    <row r="59" spans="1:12" x14ac:dyDescent="0.2">
      <c r="A59" s="97">
        <f>'FERC Interest Rates'!A64</f>
        <v>42947</v>
      </c>
      <c r="D59" s="1">
        <v>4007</v>
      </c>
      <c r="F59" s="1">
        <f t="shared" si="7"/>
        <v>298.94</v>
      </c>
      <c r="H59" s="1">
        <f t="shared" si="5"/>
        <v>93187.840000000026</v>
      </c>
      <c r="K59" s="87"/>
      <c r="L59" s="88"/>
    </row>
    <row r="60" spans="1:12" x14ac:dyDescent="0.2">
      <c r="A60" s="97">
        <f>'FERC Interest Rates'!A65</f>
        <v>42978</v>
      </c>
      <c r="D60" s="1">
        <f>38847.79-313.42</f>
        <v>38534.370000000003</v>
      </c>
      <c r="F60" s="1">
        <f t="shared" si="7"/>
        <v>313.42</v>
      </c>
      <c r="H60" s="1">
        <f t="shared" si="5"/>
        <v>132035.63000000003</v>
      </c>
      <c r="K60" s="87"/>
      <c r="L60" s="88"/>
    </row>
    <row r="61" spans="1:12" x14ac:dyDescent="0.2">
      <c r="A61" s="97">
        <f>'FERC Interest Rates'!A66</f>
        <v>43008</v>
      </c>
      <c r="D61" s="1">
        <v>4967</v>
      </c>
      <c r="F61" s="1">
        <f t="shared" si="7"/>
        <v>429.75</v>
      </c>
      <c r="H61" s="1">
        <f t="shared" si="5"/>
        <v>137432.38000000003</v>
      </c>
      <c r="K61" s="87"/>
      <c r="L61" s="88"/>
    </row>
    <row r="62" spans="1:12" x14ac:dyDescent="0.2">
      <c r="A62" s="97">
        <f>'FERC Interest Rates'!A67</f>
        <v>43039</v>
      </c>
      <c r="D62" s="1">
        <f>23744.38-491.41</f>
        <v>23252.97</v>
      </c>
      <c r="F62" s="1">
        <f t="shared" si="7"/>
        <v>491.41</v>
      </c>
      <c r="H62" s="1">
        <f t="shared" si="5"/>
        <v>161176.76000000004</v>
      </c>
      <c r="K62" s="87"/>
      <c r="L62" s="88"/>
    </row>
    <row r="63" spans="1:12" x14ac:dyDescent="0.2">
      <c r="A63" s="199" t="s">
        <v>105</v>
      </c>
      <c r="B63" s="199"/>
      <c r="C63" s="199"/>
      <c r="D63" s="199"/>
      <c r="E63" s="199"/>
      <c r="F63" s="199"/>
      <c r="G63" s="1">
        <v>-94141</v>
      </c>
      <c r="H63" s="1">
        <f t="shared" si="5"/>
        <v>67035.760000000038</v>
      </c>
      <c r="K63" s="87"/>
      <c r="L63" s="88"/>
    </row>
    <row r="64" spans="1:12" x14ac:dyDescent="0.2">
      <c r="A64" s="97">
        <f>'FERC Interest Rates'!A68</f>
        <v>43069</v>
      </c>
      <c r="D64" s="1">
        <f>28158.1-231.96</f>
        <v>27926.14</v>
      </c>
      <c r="F64" s="1">
        <f>ROUND(H63*VLOOKUP(A64,FERCINT17,2)/365*VLOOKUP(A64,FERCINT17,3),2)</f>
        <v>231.96</v>
      </c>
      <c r="H64" s="1">
        <f t="shared" si="5"/>
        <v>95193.860000000044</v>
      </c>
      <c r="K64" s="87"/>
      <c r="L64" s="88"/>
    </row>
    <row r="65" spans="1:12" x14ac:dyDescent="0.2">
      <c r="A65" s="97">
        <f>'FERC Interest Rates'!A69</f>
        <v>43100</v>
      </c>
      <c r="D65" s="1">
        <f>18785.63-340.38</f>
        <v>18445.25</v>
      </c>
      <c r="F65" s="1">
        <f>ROUND(H64*VLOOKUP(A65,FERCINT17,2)/365*VLOOKUP(A65,FERCINT17,3),2)</f>
        <v>340.38</v>
      </c>
      <c r="H65" s="1">
        <f t="shared" si="5"/>
        <v>113979.49000000005</v>
      </c>
      <c r="K65" s="87"/>
      <c r="L65" s="88"/>
    </row>
    <row r="66" spans="1:12" x14ac:dyDescent="0.2">
      <c r="A66" s="97">
        <f>'FERC Interest Rates'!A70</f>
        <v>43131</v>
      </c>
      <c r="D66" s="1">
        <v>6893.54</v>
      </c>
      <c r="F66" s="1">
        <f t="shared" ref="F66:F78" si="8">ROUND(H65*VLOOKUP(A66,FERCINT18,2)/365*VLOOKUP(A66,FERCINT18,3),2)</f>
        <v>411.42</v>
      </c>
      <c r="H66" s="1">
        <f t="shared" si="5"/>
        <v>121284.45000000006</v>
      </c>
      <c r="K66" s="87"/>
      <c r="L66" s="88"/>
    </row>
    <row r="67" spans="1:12" x14ac:dyDescent="0.2">
      <c r="A67" s="97">
        <f>'FERC Interest Rates'!A71</f>
        <v>43159</v>
      </c>
      <c r="D67" s="1">
        <v>37090.82</v>
      </c>
      <c r="F67" s="1">
        <f t="shared" si="8"/>
        <v>395.42</v>
      </c>
      <c r="H67" s="1">
        <f t="shared" si="5"/>
        <v>158770.69000000006</v>
      </c>
      <c r="K67" s="87"/>
      <c r="L67" s="88"/>
    </row>
    <row r="68" spans="1:12" x14ac:dyDescent="0.2">
      <c r="A68" s="97">
        <f>'FERC Interest Rates'!A72</f>
        <v>43190</v>
      </c>
      <c r="D68" s="1">
        <v>12947.9</v>
      </c>
      <c r="F68" s="1">
        <f t="shared" si="8"/>
        <v>573.1</v>
      </c>
      <c r="H68" s="1">
        <f t="shared" si="5"/>
        <v>172291.69000000006</v>
      </c>
      <c r="K68" s="87"/>
      <c r="L68" s="88"/>
    </row>
    <row r="69" spans="1:12" x14ac:dyDescent="0.2">
      <c r="A69" s="97">
        <f>'FERC Interest Rates'!A73</f>
        <v>43220</v>
      </c>
      <c r="D69" s="1">
        <v>19987.78</v>
      </c>
      <c r="F69" s="1">
        <f t="shared" si="8"/>
        <v>632.99</v>
      </c>
      <c r="H69" s="1">
        <f t="shared" si="5"/>
        <v>192912.46000000005</v>
      </c>
      <c r="K69" s="87"/>
      <c r="L69" s="88"/>
    </row>
    <row r="70" spans="1:12" x14ac:dyDescent="0.2">
      <c r="A70" s="97">
        <f>'FERC Interest Rates'!A74</f>
        <v>43251</v>
      </c>
      <c r="D70" s="1">
        <v>42373.93</v>
      </c>
      <c r="F70" s="1">
        <f t="shared" si="8"/>
        <v>732.38</v>
      </c>
      <c r="H70" s="1">
        <f t="shared" si="5"/>
        <v>236018.77000000005</v>
      </c>
      <c r="K70" s="87"/>
      <c r="L70" s="88"/>
    </row>
    <row r="71" spans="1:12" x14ac:dyDescent="0.2">
      <c r="A71" s="97">
        <f>'FERC Interest Rates'!A75</f>
        <v>43281</v>
      </c>
      <c r="D71" s="1">
        <v>12874.36</v>
      </c>
      <c r="F71" s="1">
        <f t="shared" si="8"/>
        <v>867.13</v>
      </c>
      <c r="H71" s="1">
        <f t="shared" si="5"/>
        <v>249760.26000000004</v>
      </c>
      <c r="K71" s="87"/>
      <c r="L71" s="88"/>
    </row>
    <row r="72" spans="1:12" x14ac:dyDescent="0.2">
      <c r="A72" s="97">
        <f>'FERC Interest Rates'!A76</f>
        <v>43312</v>
      </c>
      <c r="D72" s="1">
        <v>4041.26</v>
      </c>
      <c r="F72" s="1">
        <f t="shared" si="8"/>
        <v>994.87</v>
      </c>
      <c r="H72" s="1">
        <f t="shared" si="5"/>
        <v>254796.39000000004</v>
      </c>
      <c r="K72" s="87"/>
      <c r="L72" s="88"/>
    </row>
    <row r="73" spans="1:12" x14ac:dyDescent="0.2">
      <c r="A73" s="97">
        <f>'FERC Interest Rates'!A77</f>
        <v>43343</v>
      </c>
      <c r="D73" s="1">
        <v>0</v>
      </c>
      <c r="F73" s="1">
        <f t="shared" si="8"/>
        <v>1014.93</v>
      </c>
      <c r="H73" s="1">
        <f t="shared" si="5"/>
        <v>255811.32000000004</v>
      </c>
      <c r="K73" s="87"/>
      <c r="L73" s="88"/>
    </row>
    <row r="74" spans="1:12" x14ac:dyDescent="0.2">
      <c r="A74" s="97">
        <f>'FERC Interest Rates'!A78</f>
        <v>43373</v>
      </c>
      <c r="D74" s="1">
        <v>22272.44</v>
      </c>
      <c r="F74" s="1">
        <f t="shared" si="8"/>
        <v>986.1</v>
      </c>
      <c r="H74" s="1">
        <f t="shared" si="5"/>
        <v>279069.86000000004</v>
      </c>
      <c r="K74" s="87"/>
      <c r="L74" s="88"/>
    </row>
    <row r="75" spans="1:12" x14ac:dyDescent="0.2">
      <c r="A75" s="97">
        <f>'FERC Interest Rates'!A79</f>
        <v>43404</v>
      </c>
      <c r="D75" s="1">
        <v>17998.2</v>
      </c>
      <c r="F75" s="1">
        <f t="shared" si="8"/>
        <v>1175.6099999999999</v>
      </c>
      <c r="H75" s="1">
        <f t="shared" si="5"/>
        <v>298243.67000000004</v>
      </c>
      <c r="K75" s="87"/>
      <c r="L75" s="88"/>
    </row>
    <row r="76" spans="1:12" x14ac:dyDescent="0.2">
      <c r="A76" s="199" t="s">
        <v>105</v>
      </c>
      <c r="B76" s="199"/>
      <c r="C76" s="199"/>
      <c r="D76" s="199"/>
      <c r="E76" s="199"/>
      <c r="F76" s="199"/>
      <c r="G76" s="1">
        <v>-257879.21</v>
      </c>
      <c r="H76" s="1">
        <f t="shared" ref="H76:H85" si="9">+SUM(D76:G76)+H75</f>
        <v>40364.46000000005</v>
      </c>
      <c r="K76" s="87"/>
      <c r="L76" s="88"/>
    </row>
    <row r="77" spans="1:12" x14ac:dyDescent="0.2">
      <c r="A77" s="97">
        <f>'FERC Interest Rates'!A80</f>
        <v>43434</v>
      </c>
      <c r="D77" s="1">
        <v>36751.74</v>
      </c>
      <c r="F77" s="1">
        <f t="shared" si="8"/>
        <v>164.55</v>
      </c>
      <c r="H77" s="1">
        <f t="shared" si="9"/>
        <v>77280.750000000058</v>
      </c>
      <c r="K77" s="87"/>
      <c r="L77" s="88"/>
    </row>
    <row r="78" spans="1:12" x14ac:dyDescent="0.2">
      <c r="A78" s="97">
        <f>'FERC Interest Rates'!A81</f>
        <v>43465</v>
      </c>
      <c r="D78" s="1">
        <v>21435.49</v>
      </c>
      <c r="F78" s="1">
        <f t="shared" si="8"/>
        <v>325.55</v>
      </c>
      <c r="H78" s="1">
        <f t="shared" si="9"/>
        <v>99041.790000000066</v>
      </c>
      <c r="K78" s="87"/>
      <c r="L78" s="88"/>
    </row>
    <row r="79" spans="1:12" x14ac:dyDescent="0.2">
      <c r="A79" s="97">
        <f>'FERC Interest Rates'!A82</f>
        <v>43496</v>
      </c>
      <c r="D79" s="1">
        <v>12822.72</v>
      </c>
      <c r="F79" s="1">
        <f t="shared" ref="F79:F85" si="10">ROUND(H78*VLOOKUP(A79,FERCINT19,2)/365*VLOOKUP(A79,FERCINT19,3),2)</f>
        <v>435.73</v>
      </c>
      <c r="H79" s="1">
        <f t="shared" si="9"/>
        <v>112300.24000000006</v>
      </c>
      <c r="K79" s="87"/>
      <c r="L79" s="88"/>
    </row>
    <row r="80" spans="1:12" x14ac:dyDescent="0.2">
      <c r="A80" s="97">
        <f>'FERC Interest Rates'!A83</f>
        <v>43524</v>
      </c>
      <c r="D80" s="1">
        <v>21709.68</v>
      </c>
      <c r="F80" s="1">
        <f t="shared" si="10"/>
        <v>446.25</v>
      </c>
      <c r="H80" s="1">
        <f t="shared" si="9"/>
        <v>134456.17000000007</v>
      </c>
      <c r="K80" s="87"/>
      <c r="L80" s="88"/>
    </row>
    <row r="81" spans="1:12" x14ac:dyDescent="0.2">
      <c r="A81" s="97">
        <f>'FERC Interest Rates'!A84</f>
        <v>43555</v>
      </c>
      <c r="D81" s="1">
        <v>75864.240000000005</v>
      </c>
      <c r="F81" s="1">
        <f t="shared" si="10"/>
        <v>591.53</v>
      </c>
      <c r="H81" s="1">
        <f t="shared" si="9"/>
        <v>210911.94000000006</v>
      </c>
      <c r="K81" s="87"/>
      <c r="L81" s="88"/>
    </row>
    <row r="82" spans="1:12" x14ac:dyDescent="0.2">
      <c r="A82" s="97">
        <f>'FERC Interest Rates'!A85</f>
        <v>43585</v>
      </c>
      <c r="D82" s="1">
        <v>10000</v>
      </c>
      <c r="F82" s="1">
        <f t="shared" si="10"/>
        <v>944.77</v>
      </c>
      <c r="H82" s="1">
        <f t="shared" si="9"/>
        <v>221856.71000000005</v>
      </c>
      <c r="K82" s="87"/>
      <c r="L82" s="88"/>
    </row>
    <row r="83" spans="1:12" x14ac:dyDescent="0.2">
      <c r="A83" s="97">
        <f>'FERC Interest Rates'!A86</f>
        <v>43616</v>
      </c>
      <c r="D83" s="1">
        <v>106891.82</v>
      </c>
      <c r="F83" s="1">
        <f t="shared" si="10"/>
        <v>1026.92</v>
      </c>
      <c r="H83" s="1">
        <f t="shared" si="9"/>
        <v>329775.45000000007</v>
      </c>
      <c r="K83" s="87"/>
      <c r="L83" s="88"/>
    </row>
    <row r="84" spans="1:12" x14ac:dyDescent="0.2">
      <c r="A84" s="97">
        <f>'FERC Interest Rates'!A87</f>
        <v>43646</v>
      </c>
      <c r="D84" s="1">
        <v>127859.55</v>
      </c>
      <c r="F84" s="1">
        <f t="shared" si="10"/>
        <v>1477.21</v>
      </c>
      <c r="H84" s="1">
        <f t="shared" si="9"/>
        <v>459112.21000000008</v>
      </c>
      <c r="K84" s="87"/>
      <c r="L84" s="88"/>
    </row>
    <row r="85" spans="1:12" x14ac:dyDescent="0.2">
      <c r="A85" s="97">
        <f>'FERC Interest Rates'!A88</f>
        <v>43677</v>
      </c>
      <c r="D85" s="1">
        <v>46888.87</v>
      </c>
      <c r="F85" s="1">
        <f t="shared" si="10"/>
        <v>2144.62</v>
      </c>
      <c r="H85" s="1">
        <f t="shared" si="9"/>
        <v>508145.70000000007</v>
      </c>
      <c r="K85" s="87"/>
      <c r="L85" s="88"/>
    </row>
    <row r="86" spans="1:12" x14ac:dyDescent="0.2">
      <c r="A86" s="97"/>
      <c r="K86" s="87"/>
      <c r="L86" s="88"/>
    </row>
    <row r="87" spans="1:12" x14ac:dyDescent="0.2">
      <c r="A87" s="97"/>
      <c r="K87" s="87"/>
      <c r="L87" s="88"/>
    </row>
    <row r="88" spans="1:12" x14ac:dyDescent="0.2">
      <c r="A88" s="97"/>
      <c r="K88" s="87"/>
      <c r="L88" s="88"/>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24358-C040-4D84-902F-D207F42C3514}">
  <dimension ref="A1:L88"/>
  <sheetViews>
    <sheetView showGridLines="0" view="pageBreakPreview" zoomScaleNormal="60" zoomScaleSheetLayoutView="100" workbookViewId="0">
      <pane xSplit="1" ySplit="10" topLeftCell="B64" activePane="bottomRight" state="frozen"/>
      <selection activeCell="G86" activeCellId="1" sqref="D86 G86"/>
      <selection pane="topRight" activeCell="G86" activeCellId="1" sqref="D86 G86"/>
      <selection pane="bottomLeft" activeCell="G86" activeCellId="1" sqref="D86 G86"/>
      <selection pane="bottomRight" activeCell="G86" activeCellId="1" sqref="D86 G86"/>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1" t="s">
        <v>58</v>
      </c>
      <c r="B1" s="222"/>
      <c r="C1" s="223" t="s">
        <v>59</v>
      </c>
      <c r="D1" s="223"/>
      <c r="E1" s="223"/>
      <c r="F1" s="223"/>
      <c r="G1" s="223"/>
      <c r="H1" s="224"/>
    </row>
    <row r="2" spans="1:12" x14ac:dyDescent="0.2">
      <c r="A2" s="219" t="s">
        <v>60</v>
      </c>
      <c r="B2" s="208"/>
      <c r="C2" s="225" t="s">
        <v>108</v>
      </c>
      <c r="D2" s="225"/>
      <c r="E2" s="225"/>
      <c r="F2" s="225"/>
      <c r="G2" s="225"/>
      <c r="H2" s="226"/>
    </row>
    <row r="3" spans="1:12" x14ac:dyDescent="0.2">
      <c r="A3" s="219" t="s">
        <v>62</v>
      </c>
      <c r="B3" s="208"/>
      <c r="C3" s="209" t="s">
        <v>14</v>
      </c>
      <c r="D3" s="209"/>
      <c r="E3" s="209"/>
      <c r="F3" s="209"/>
      <c r="G3" s="209"/>
      <c r="H3" s="220"/>
    </row>
    <row r="4" spans="1:12" x14ac:dyDescent="0.2">
      <c r="A4" s="219" t="s">
        <v>63</v>
      </c>
      <c r="B4" s="208"/>
      <c r="C4" s="209" t="s">
        <v>64</v>
      </c>
      <c r="D4" s="209"/>
      <c r="E4" s="209"/>
      <c r="F4" s="209"/>
      <c r="G4" s="209"/>
      <c r="H4" s="220"/>
    </row>
    <row r="5" spans="1:12" x14ac:dyDescent="0.2">
      <c r="A5" s="219" t="s">
        <v>65</v>
      </c>
      <c r="B5" s="208"/>
      <c r="C5" s="209" t="s">
        <v>101</v>
      </c>
      <c r="D5" s="209"/>
      <c r="E5" s="209"/>
      <c r="F5" s="209"/>
      <c r="G5" s="209"/>
      <c r="H5" s="220"/>
    </row>
    <row r="6" spans="1:12" x14ac:dyDescent="0.2">
      <c r="A6" s="219" t="s">
        <v>67</v>
      </c>
      <c r="B6" s="208"/>
      <c r="C6" s="209" t="s">
        <v>88</v>
      </c>
      <c r="D6" s="209"/>
      <c r="E6" s="209"/>
      <c r="F6" s="209"/>
      <c r="G6" s="209"/>
      <c r="H6" s="220"/>
    </row>
    <row r="7" spans="1:12" ht="13.5" thickBot="1" x14ac:dyDescent="0.25">
      <c r="A7" s="215" t="s">
        <v>68</v>
      </c>
      <c r="B7" s="216"/>
      <c r="C7" s="217" t="s">
        <v>109</v>
      </c>
      <c r="D7" s="217"/>
      <c r="E7" s="217"/>
      <c r="F7" s="217"/>
      <c r="G7" s="217"/>
      <c r="H7" s="218"/>
    </row>
    <row r="8" spans="1:12" x14ac:dyDescent="0.2">
      <c r="A8" s="95"/>
      <c r="B8" s="95"/>
      <c r="C8" s="96"/>
      <c r="D8" s="96"/>
      <c r="E8" s="96"/>
      <c r="F8" s="96"/>
      <c r="G8" s="96"/>
      <c r="H8" s="96"/>
      <c r="J8" s="91"/>
    </row>
    <row r="9" spans="1:12" x14ac:dyDescent="0.2">
      <c r="A9" s="6"/>
      <c r="D9" s="205" t="s">
        <v>71</v>
      </c>
      <c r="E9" s="205"/>
      <c r="F9" s="205"/>
    </row>
    <row r="10" spans="1:12" s="9" customFormat="1" x14ac:dyDescent="0.2">
      <c r="A10" s="9" t="s">
        <v>23</v>
      </c>
      <c r="B10" s="9" t="s">
        <v>73</v>
      </c>
      <c r="C10" s="9" t="s">
        <v>50</v>
      </c>
      <c r="D10" s="9" t="s">
        <v>74</v>
      </c>
      <c r="E10" s="9" t="s">
        <v>75</v>
      </c>
      <c r="F10" s="9" t="s">
        <v>76</v>
      </c>
      <c r="G10" s="9" t="s">
        <v>77</v>
      </c>
      <c r="H10" s="9" t="s">
        <v>78</v>
      </c>
      <c r="I10" s="2"/>
      <c r="J10" s="2"/>
      <c r="K10" s="2"/>
      <c r="L10" s="2"/>
    </row>
    <row r="11" spans="1:12" hidden="1" x14ac:dyDescent="0.2">
      <c r="A11" s="206" t="s">
        <v>79</v>
      </c>
      <c r="B11" s="206"/>
      <c r="C11" s="206"/>
      <c r="D11" s="206"/>
      <c r="E11" s="206"/>
      <c r="F11" s="206"/>
      <c r="G11" s="206"/>
      <c r="H11" s="1">
        <v>386395.83</v>
      </c>
      <c r="K11" s="87"/>
      <c r="L11" s="88"/>
    </row>
    <row r="12" spans="1:12" hidden="1" x14ac:dyDescent="0.2">
      <c r="A12" s="97">
        <f>'FERC Interest Rates'!A20</f>
        <v>41608</v>
      </c>
      <c r="D12" s="1">
        <v>47894.04</v>
      </c>
      <c r="F12" s="1">
        <f t="shared" ref="F12:F13" si="0">ROUND(H11*VLOOKUP(A12,FERCINT13,2)/365*VLOOKUP(A12,FERCINT13,3),2)</f>
        <v>1032.1500000000001</v>
      </c>
      <c r="H12" s="1">
        <f t="shared" ref="H12:H75" si="1">H11+SUM(D12:G12)</f>
        <v>435322.02</v>
      </c>
      <c r="K12" s="87"/>
      <c r="L12" s="88"/>
    </row>
    <row r="13" spans="1:12" hidden="1" x14ac:dyDescent="0.2">
      <c r="A13" s="97">
        <f>'FERC Interest Rates'!A21</f>
        <v>41639</v>
      </c>
      <c r="D13" s="1">
        <v>166162.6</v>
      </c>
      <c r="F13" s="1">
        <f t="shared" si="0"/>
        <v>1201.6099999999999</v>
      </c>
      <c r="H13" s="1">
        <f t="shared" si="1"/>
        <v>602686.23</v>
      </c>
      <c r="K13" s="87"/>
      <c r="L13" s="88"/>
    </row>
    <row r="14" spans="1:12" hidden="1" x14ac:dyDescent="0.2">
      <c r="A14" s="97">
        <f>'FERC Interest Rates'!A22</f>
        <v>41670</v>
      </c>
      <c r="D14" s="1">
        <v>69918.740000000005</v>
      </c>
      <c r="F14" s="1">
        <f t="shared" ref="F14:F26" si="2">ROUND(H13*VLOOKUP(A14,FERCINT14,2)/365*VLOOKUP(A14,FERCINT14,3),2)</f>
        <v>1663.58</v>
      </c>
      <c r="H14" s="1">
        <f t="shared" si="1"/>
        <v>674268.55</v>
      </c>
      <c r="K14" s="87"/>
      <c r="L14" s="88"/>
    </row>
    <row r="15" spans="1:12" hidden="1" x14ac:dyDescent="0.2">
      <c r="A15" s="97">
        <f>'FERC Interest Rates'!A23</f>
        <v>41698</v>
      </c>
      <c r="D15" s="1">
        <v>89751.29</v>
      </c>
      <c r="F15" s="1">
        <f t="shared" si="2"/>
        <v>1681.05</v>
      </c>
      <c r="H15" s="1">
        <f t="shared" si="1"/>
        <v>765700.89</v>
      </c>
      <c r="K15" s="87"/>
      <c r="L15" s="88"/>
    </row>
    <row r="16" spans="1:12" hidden="1" x14ac:dyDescent="0.2">
      <c r="A16" s="97">
        <f>'FERC Interest Rates'!A24</f>
        <v>41729</v>
      </c>
      <c r="D16" s="1">
        <v>77979.5</v>
      </c>
      <c r="F16" s="1">
        <f t="shared" si="2"/>
        <v>2113.54</v>
      </c>
      <c r="H16" s="1">
        <f t="shared" si="1"/>
        <v>845793.93</v>
      </c>
      <c r="K16" s="87"/>
      <c r="L16" s="88"/>
    </row>
    <row r="17" spans="1:12" hidden="1" x14ac:dyDescent="0.2">
      <c r="A17" s="97">
        <f>'FERC Interest Rates'!A25</f>
        <v>41759</v>
      </c>
      <c r="D17" s="1">
        <v>97835.520000000004</v>
      </c>
      <c r="F17" s="1">
        <f t="shared" si="2"/>
        <v>2259.31</v>
      </c>
      <c r="H17" s="1">
        <f t="shared" si="1"/>
        <v>945888.76</v>
      </c>
      <c r="K17" s="87"/>
      <c r="L17" s="88"/>
    </row>
    <row r="18" spans="1:12" hidden="1" x14ac:dyDescent="0.2">
      <c r="A18" s="97">
        <f>'FERC Interest Rates'!A26</f>
        <v>41790</v>
      </c>
      <c r="D18" s="1">
        <v>158076.60999999999</v>
      </c>
      <c r="F18" s="1">
        <f t="shared" si="2"/>
        <v>2610.91</v>
      </c>
      <c r="H18" s="1">
        <f t="shared" si="1"/>
        <v>1106576.28</v>
      </c>
      <c r="K18" s="87"/>
      <c r="L18" s="88"/>
    </row>
    <row r="19" spans="1:12" hidden="1" x14ac:dyDescent="0.2">
      <c r="A19" s="97">
        <f>'FERC Interest Rates'!A27</f>
        <v>41820</v>
      </c>
      <c r="D19" s="1">
        <f>130663.59-8978.9</f>
        <v>121684.69</v>
      </c>
      <c r="F19" s="1">
        <f t="shared" si="2"/>
        <v>2955.92</v>
      </c>
      <c r="H19" s="1">
        <f t="shared" si="1"/>
        <v>1231216.8900000001</v>
      </c>
      <c r="K19" s="87"/>
      <c r="L19" s="88"/>
    </row>
    <row r="20" spans="1:12" hidden="1" x14ac:dyDescent="0.2">
      <c r="A20" s="97">
        <f>'FERC Interest Rates'!A28</f>
        <v>41851</v>
      </c>
      <c r="D20" s="1">
        <v>-47127.839999999997</v>
      </c>
      <c r="F20" s="1">
        <f t="shared" si="2"/>
        <v>3398.5</v>
      </c>
      <c r="H20" s="1">
        <f t="shared" si="1"/>
        <v>1187487.55</v>
      </c>
      <c r="K20" s="87"/>
      <c r="L20" s="88"/>
    </row>
    <row r="21" spans="1:12" hidden="1" x14ac:dyDescent="0.2">
      <c r="A21" s="97">
        <f>'FERC Interest Rates'!A29</f>
        <v>41882</v>
      </c>
      <c r="D21" s="1">
        <v>121270.24</v>
      </c>
      <c r="F21" s="1">
        <f t="shared" si="2"/>
        <v>3277.79</v>
      </c>
      <c r="H21" s="1">
        <f t="shared" si="1"/>
        <v>1312035.58</v>
      </c>
      <c r="K21" s="87"/>
      <c r="L21" s="88"/>
    </row>
    <row r="22" spans="1:12" hidden="1" x14ac:dyDescent="0.2">
      <c r="A22" s="97">
        <f>'FERC Interest Rates'!A30</f>
        <v>41912</v>
      </c>
      <c r="D22" s="1">
        <v>31597.98</v>
      </c>
      <c r="F22" s="1">
        <f t="shared" si="2"/>
        <v>3504.75</v>
      </c>
      <c r="H22" s="1">
        <f t="shared" si="1"/>
        <v>1347138.31</v>
      </c>
      <c r="K22" s="87"/>
      <c r="L22" s="88"/>
    </row>
    <row r="23" spans="1:12" hidden="1" x14ac:dyDescent="0.2">
      <c r="A23" s="97">
        <f>'FERC Interest Rates'!A31</f>
        <v>41943</v>
      </c>
      <c r="D23" s="1">
        <f>79038.71+8978.9</f>
        <v>88017.61</v>
      </c>
      <c r="F23" s="1">
        <f t="shared" si="2"/>
        <v>3718.47</v>
      </c>
      <c r="H23" s="1">
        <f t="shared" si="1"/>
        <v>1438874.3900000001</v>
      </c>
      <c r="K23" s="87"/>
      <c r="L23" s="88"/>
    </row>
    <row r="24" spans="1:12" hidden="1" x14ac:dyDescent="0.2">
      <c r="A24" s="199" t="s">
        <v>103</v>
      </c>
      <c r="B24" s="199"/>
      <c r="C24" s="199"/>
      <c r="D24" s="199"/>
      <c r="E24" s="199"/>
      <c r="F24" s="199"/>
      <c r="G24" s="1">
        <v>-1206319.4099999999</v>
      </c>
      <c r="H24" s="1">
        <f t="shared" si="1"/>
        <v>232554.98000000021</v>
      </c>
    </row>
    <row r="25" spans="1:12" hidden="1" x14ac:dyDescent="0.2">
      <c r="A25" s="97">
        <f>'FERC Interest Rates'!A32</f>
        <v>41973</v>
      </c>
      <c r="D25" s="1">
        <v>65573.350000000006</v>
      </c>
      <c r="F25" s="1">
        <f t="shared" si="2"/>
        <v>621.21</v>
      </c>
      <c r="H25" s="1">
        <f t="shared" si="1"/>
        <v>298749.54000000021</v>
      </c>
      <c r="K25" s="87"/>
      <c r="L25" s="88"/>
    </row>
    <row r="26" spans="1:12" hidden="1" x14ac:dyDescent="0.2">
      <c r="A26" s="97">
        <f>'FERC Interest Rates'!A33</f>
        <v>42004</v>
      </c>
      <c r="D26" s="1">
        <v>99335.85</v>
      </c>
      <c r="F26" s="1">
        <f t="shared" si="2"/>
        <v>824.63</v>
      </c>
      <c r="H26" s="1">
        <f t="shared" si="1"/>
        <v>398910.02000000025</v>
      </c>
      <c r="K26" s="87"/>
      <c r="L26" s="88"/>
    </row>
    <row r="27" spans="1:12" hidden="1" x14ac:dyDescent="0.2">
      <c r="A27" s="97">
        <f>'FERC Interest Rates'!A34</f>
        <v>42035</v>
      </c>
      <c r="D27" s="1">
        <v>143728.71</v>
      </c>
      <c r="F27" s="1">
        <f t="shared" ref="F27:F36" si="3">ROUND(H26*VLOOKUP(A27,FERCINT15,2)/365*VLOOKUP(A27,FERCINT15,3),2)</f>
        <v>1101.0999999999999</v>
      </c>
      <c r="H27" s="1">
        <f t="shared" si="1"/>
        <v>543739.83000000031</v>
      </c>
      <c r="K27" s="87"/>
      <c r="L27" s="88"/>
    </row>
    <row r="28" spans="1:12" hidden="1" x14ac:dyDescent="0.2">
      <c r="A28" s="97">
        <f>'FERC Interest Rates'!A35</f>
        <v>42063</v>
      </c>
      <c r="D28" s="1">
        <v>76093.56</v>
      </c>
      <c r="F28" s="1">
        <f t="shared" si="3"/>
        <v>1355.63</v>
      </c>
      <c r="H28" s="1">
        <f t="shared" si="1"/>
        <v>621189.02000000025</v>
      </c>
      <c r="K28" s="87"/>
      <c r="L28" s="88"/>
    </row>
    <row r="29" spans="1:12" hidden="1" x14ac:dyDescent="0.2">
      <c r="A29" s="97">
        <f>'FERC Interest Rates'!A36</f>
        <v>42094</v>
      </c>
      <c r="D29" s="1">
        <v>135794.16</v>
      </c>
      <c r="F29" s="1">
        <f t="shared" si="3"/>
        <v>1714.65</v>
      </c>
      <c r="H29" s="1">
        <f t="shared" si="1"/>
        <v>758697.83000000031</v>
      </c>
      <c r="K29" s="87"/>
      <c r="L29" s="88"/>
    </row>
    <row r="30" spans="1:12" hidden="1" x14ac:dyDescent="0.2">
      <c r="A30" s="97">
        <f>'FERC Interest Rates'!A37</f>
        <v>42124</v>
      </c>
      <c r="D30" s="1">
        <v>39911.660000000003</v>
      </c>
      <c r="F30" s="1">
        <f t="shared" si="3"/>
        <v>2026.66</v>
      </c>
      <c r="H30" s="1">
        <f t="shared" si="1"/>
        <v>800636.15000000037</v>
      </c>
      <c r="K30" s="87"/>
      <c r="L30" s="88"/>
    </row>
    <row r="31" spans="1:12" hidden="1" x14ac:dyDescent="0.2">
      <c r="A31" s="97">
        <f>'FERC Interest Rates'!A38</f>
        <v>42155</v>
      </c>
      <c r="D31" s="1">
        <v>72461.679999999993</v>
      </c>
      <c r="F31" s="1">
        <f t="shared" si="3"/>
        <v>2209.98</v>
      </c>
      <c r="H31" s="1">
        <f t="shared" si="1"/>
        <v>875307.81000000041</v>
      </c>
      <c r="K31" s="87"/>
      <c r="L31" s="88"/>
    </row>
    <row r="32" spans="1:12" hidden="1" x14ac:dyDescent="0.2">
      <c r="A32" s="97">
        <f>'FERC Interest Rates'!A39</f>
        <v>42185</v>
      </c>
      <c r="D32" s="1">
        <v>88146.33</v>
      </c>
      <c r="F32" s="1">
        <f t="shared" si="3"/>
        <v>2338.15</v>
      </c>
      <c r="H32" s="1">
        <f t="shared" si="1"/>
        <v>965792.29000000039</v>
      </c>
      <c r="K32" s="87"/>
      <c r="L32" s="88"/>
    </row>
    <row r="33" spans="1:12" hidden="1" x14ac:dyDescent="0.2">
      <c r="A33" s="97">
        <f>'FERC Interest Rates'!A40</f>
        <v>42216</v>
      </c>
      <c r="D33" s="1">
        <v>126477.72</v>
      </c>
      <c r="F33" s="1">
        <f t="shared" si="3"/>
        <v>2665.85</v>
      </c>
      <c r="H33" s="1">
        <f t="shared" si="1"/>
        <v>1094935.8600000003</v>
      </c>
      <c r="K33" s="87"/>
      <c r="L33" s="88"/>
    </row>
    <row r="34" spans="1:12" hidden="1" x14ac:dyDescent="0.2">
      <c r="A34" s="97">
        <f>'FERC Interest Rates'!A41</f>
        <v>42247</v>
      </c>
      <c r="D34" s="1">
        <v>108373.09</v>
      </c>
      <c r="F34" s="1">
        <f t="shared" si="3"/>
        <v>3022.32</v>
      </c>
      <c r="H34" s="1">
        <f t="shared" si="1"/>
        <v>1206331.2700000003</v>
      </c>
      <c r="K34" s="87"/>
      <c r="L34" s="88"/>
    </row>
    <row r="35" spans="1:12" hidden="1" x14ac:dyDescent="0.2">
      <c r="A35" s="97">
        <f>'FERC Interest Rates'!A42</f>
        <v>42277</v>
      </c>
      <c r="D35" s="1">
        <v>69945.34</v>
      </c>
      <c r="F35" s="1">
        <f t="shared" si="3"/>
        <v>3222.39</v>
      </c>
      <c r="H35" s="1">
        <f t="shared" si="1"/>
        <v>1279499.0000000002</v>
      </c>
      <c r="K35" s="87"/>
      <c r="L35" s="88"/>
    </row>
    <row r="36" spans="1:12" hidden="1" x14ac:dyDescent="0.2">
      <c r="A36" s="97">
        <f>'FERC Interest Rates'!A43</f>
        <v>42308</v>
      </c>
      <c r="D36" s="1">
        <v>254190.89</v>
      </c>
      <c r="F36" s="1">
        <f t="shared" si="3"/>
        <v>3531.77</v>
      </c>
      <c r="H36" s="1">
        <f t="shared" si="1"/>
        <v>1537221.6600000001</v>
      </c>
      <c r="K36" s="87"/>
      <c r="L36" s="88"/>
    </row>
    <row r="37" spans="1:12" hidden="1" x14ac:dyDescent="0.2">
      <c r="A37" s="97">
        <f>'FERC Interest Rates'!A44</f>
        <v>42338</v>
      </c>
      <c r="D37" s="1">
        <v>82841.539999999994</v>
      </c>
      <c r="F37" s="1">
        <f t="shared" ref="F37:F39" si="4">ROUND(H36*VLOOKUP(A37,FERCINT15,2)/365*VLOOKUP(A37,FERCINT15,3),2)</f>
        <v>4106.28</v>
      </c>
      <c r="H37" s="1">
        <f t="shared" si="1"/>
        <v>1624169.4800000002</v>
      </c>
      <c r="K37" s="87"/>
      <c r="L37" s="88"/>
    </row>
    <row r="38" spans="1:12" hidden="1" x14ac:dyDescent="0.2">
      <c r="A38" s="199" t="s">
        <v>104</v>
      </c>
      <c r="B38" s="199"/>
      <c r="C38" s="199"/>
      <c r="D38" s="199"/>
      <c r="E38" s="199"/>
      <c r="F38" s="199"/>
      <c r="G38" s="1">
        <v>-1106878.69</v>
      </c>
      <c r="H38" s="1">
        <f t="shared" si="1"/>
        <v>517290.79000000027</v>
      </c>
      <c r="K38" s="87"/>
      <c r="L38" s="88"/>
    </row>
    <row r="39" spans="1:12" hidden="1" x14ac:dyDescent="0.2">
      <c r="A39" s="97">
        <f>'FERC Interest Rates'!A45</f>
        <v>42369</v>
      </c>
      <c r="D39" s="1">
        <v>218943.3</v>
      </c>
      <c r="F39" s="1">
        <f t="shared" si="4"/>
        <v>1427.86</v>
      </c>
      <c r="H39" s="1">
        <f t="shared" si="1"/>
        <v>737661.95000000019</v>
      </c>
      <c r="K39" s="87"/>
      <c r="L39" s="88"/>
    </row>
    <row r="40" spans="1:12" hidden="1" x14ac:dyDescent="0.2">
      <c r="A40" s="97">
        <f>'FERC Interest Rates'!A46</f>
        <v>42400</v>
      </c>
      <c r="D40" s="1">
        <v>60717.4</v>
      </c>
      <c r="F40" s="1">
        <f t="shared" ref="F40:F52" si="5">ROUND(H39*VLOOKUP(A40,FERCINT16,2)/365*VLOOKUP(A40,FERCINT16,3),2)</f>
        <v>2036.15</v>
      </c>
      <c r="H40" s="1">
        <f t="shared" si="1"/>
        <v>800415.50000000023</v>
      </c>
      <c r="K40" s="87"/>
      <c r="L40" s="88"/>
    </row>
    <row r="41" spans="1:12" hidden="1" x14ac:dyDescent="0.2">
      <c r="A41" s="97">
        <f>'FERC Interest Rates'!A47</f>
        <v>42429</v>
      </c>
      <c r="D41" s="1">
        <v>160907.60999999999</v>
      </c>
      <c r="F41" s="1">
        <f t="shared" si="5"/>
        <v>2066.83</v>
      </c>
      <c r="H41" s="1">
        <f t="shared" si="1"/>
        <v>963389.94000000018</v>
      </c>
      <c r="K41" s="87"/>
      <c r="L41" s="88"/>
    </row>
    <row r="42" spans="1:12" hidden="1" x14ac:dyDescent="0.2">
      <c r="A42" s="97">
        <f>'FERC Interest Rates'!A48</f>
        <v>42460</v>
      </c>
      <c r="D42" s="1">
        <v>173541.02</v>
      </c>
      <c r="F42" s="1">
        <f t="shared" si="5"/>
        <v>2659.22</v>
      </c>
      <c r="H42" s="1">
        <f t="shared" si="1"/>
        <v>1139590.1800000002</v>
      </c>
      <c r="K42" s="87"/>
      <c r="L42" s="88"/>
    </row>
    <row r="43" spans="1:12" hidden="1" x14ac:dyDescent="0.2">
      <c r="A43" s="97">
        <f>'FERC Interest Rates'!A49</f>
        <v>42490</v>
      </c>
      <c r="D43" s="1">
        <v>198857.32</v>
      </c>
      <c r="F43" s="1">
        <f t="shared" si="5"/>
        <v>3240.81</v>
      </c>
      <c r="H43" s="1">
        <f t="shared" si="1"/>
        <v>1341688.31</v>
      </c>
      <c r="K43" s="87"/>
      <c r="L43" s="88"/>
    </row>
    <row r="44" spans="1:12" hidden="1" x14ac:dyDescent="0.2">
      <c r="A44" s="97">
        <f>'FERC Interest Rates'!A50</f>
        <v>42521</v>
      </c>
      <c r="D44" s="1">
        <v>122350.54</v>
      </c>
      <c r="F44" s="1">
        <f t="shared" si="5"/>
        <v>3942.73</v>
      </c>
      <c r="H44" s="1">
        <f t="shared" si="1"/>
        <v>1467981.58</v>
      </c>
      <c r="K44" s="87"/>
      <c r="L44" s="88"/>
    </row>
    <row r="45" spans="1:12" hidden="1" x14ac:dyDescent="0.2">
      <c r="A45" s="97">
        <f>'FERC Interest Rates'!A51</f>
        <v>42551</v>
      </c>
      <c r="D45" s="1">
        <v>26118.2</v>
      </c>
      <c r="F45" s="1">
        <f t="shared" si="5"/>
        <v>4174.7</v>
      </c>
      <c r="H45" s="1">
        <f t="shared" si="1"/>
        <v>1498274.48</v>
      </c>
      <c r="K45" s="87"/>
      <c r="L45" s="88"/>
    </row>
    <row r="46" spans="1:12" hidden="1" x14ac:dyDescent="0.2">
      <c r="A46" s="97">
        <f>'FERC Interest Rates'!A52</f>
        <v>42582</v>
      </c>
      <c r="D46" s="1">
        <f>400057.38-4453.77</f>
        <v>395603.61</v>
      </c>
      <c r="F46" s="1">
        <f t="shared" si="5"/>
        <v>4453.7700000000004</v>
      </c>
      <c r="H46" s="1">
        <f t="shared" si="1"/>
        <v>1898331.8599999999</v>
      </c>
      <c r="K46" s="87"/>
      <c r="L46" s="88"/>
    </row>
    <row r="47" spans="1:12" hidden="1" x14ac:dyDescent="0.2">
      <c r="A47" s="97">
        <f>'FERC Interest Rates'!A53</f>
        <v>42613</v>
      </c>
      <c r="D47" s="1">
        <f>49154.9-5642.99</f>
        <v>43511.91</v>
      </c>
      <c r="F47" s="1">
        <f t="shared" si="5"/>
        <v>5642.99</v>
      </c>
      <c r="H47" s="1">
        <f t="shared" si="1"/>
        <v>1947486.7599999998</v>
      </c>
      <c r="K47" s="87"/>
      <c r="L47" s="88"/>
    </row>
    <row r="48" spans="1:12" hidden="1" x14ac:dyDescent="0.2">
      <c r="A48" s="97">
        <f>'FERC Interest Rates'!A54</f>
        <v>42643</v>
      </c>
      <c r="D48" s="1">
        <f>108108.23-5602.36</f>
        <v>102505.87</v>
      </c>
      <c r="F48" s="1">
        <f t="shared" si="5"/>
        <v>5602.36</v>
      </c>
      <c r="H48" s="1">
        <f t="shared" si="1"/>
        <v>2055594.9899999998</v>
      </c>
      <c r="K48" s="87"/>
      <c r="L48" s="88"/>
    </row>
    <row r="49" spans="1:12" hidden="1" x14ac:dyDescent="0.2">
      <c r="A49" s="97">
        <f>'FERC Interest Rates'!A55</f>
        <v>42674</v>
      </c>
      <c r="D49" s="1">
        <f>98315.56-6110.47</f>
        <v>92205.09</v>
      </c>
      <c r="F49" s="1">
        <f t="shared" si="5"/>
        <v>6110.47</v>
      </c>
      <c r="H49" s="1">
        <f t="shared" si="1"/>
        <v>2153910.5499999998</v>
      </c>
      <c r="K49" s="87"/>
      <c r="L49" s="88"/>
    </row>
    <row r="50" spans="1:12" x14ac:dyDescent="0.2">
      <c r="A50" s="199" t="s">
        <v>105</v>
      </c>
      <c r="B50" s="199"/>
      <c r="C50" s="199"/>
      <c r="D50" s="199"/>
      <c r="E50" s="199"/>
      <c r="F50" s="199"/>
      <c r="G50" s="1">
        <v>-1915128.08</v>
      </c>
      <c r="H50" s="1">
        <f t="shared" si="1"/>
        <v>238782.46999999974</v>
      </c>
      <c r="K50" s="87"/>
      <c r="L50" s="88"/>
    </row>
    <row r="51" spans="1:12" x14ac:dyDescent="0.2">
      <c r="A51" s="97">
        <f>'FERC Interest Rates'!A56</f>
        <v>42704</v>
      </c>
      <c r="D51" s="1">
        <v>147702.82999999999</v>
      </c>
      <c r="F51" s="1">
        <f t="shared" si="5"/>
        <v>686.91</v>
      </c>
      <c r="H51" s="1">
        <f t="shared" si="1"/>
        <v>387172.20999999973</v>
      </c>
      <c r="K51" s="87"/>
      <c r="L51" s="88"/>
    </row>
    <row r="52" spans="1:12" x14ac:dyDescent="0.2">
      <c r="A52" s="97">
        <f>'FERC Interest Rates'!A57</f>
        <v>42735</v>
      </c>
      <c r="D52" s="1">
        <f>214948.96-686.91-1150.91-65556.41</f>
        <v>147554.72999999998</v>
      </c>
      <c r="F52" s="1">
        <f t="shared" si="5"/>
        <v>1150.9100000000001</v>
      </c>
      <c r="H52" s="1">
        <f t="shared" si="1"/>
        <v>535877.84999999974</v>
      </c>
      <c r="K52" s="87"/>
      <c r="L52" s="88"/>
    </row>
    <row r="53" spans="1:12" x14ac:dyDescent="0.2">
      <c r="A53" s="97">
        <f>'FERC Interest Rates'!A58</f>
        <v>42766</v>
      </c>
      <c r="D53" s="1">
        <f>286307.59-1592.95</f>
        <v>284714.64</v>
      </c>
      <c r="F53" s="1">
        <f t="shared" ref="F53:F62" si="6">ROUND(H52*VLOOKUP(A53,FERCINT17,2)/365*VLOOKUP(A53,FERCINT17,3),2)</f>
        <v>1592.95</v>
      </c>
      <c r="H53" s="1">
        <f t="shared" si="1"/>
        <v>822185.43999999971</v>
      </c>
      <c r="K53" s="87"/>
      <c r="L53" s="88"/>
    </row>
    <row r="54" spans="1:12" x14ac:dyDescent="0.2">
      <c r="A54" s="97">
        <f>'FERC Interest Rates'!A59</f>
        <v>42794</v>
      </c>
      <c r="D54" s="1">
        <f>112177.3-2207.51</f>
        <v>109969.79000000001</v>
      </c>
      <c r="F54" s="1">
        <f t="shared" si="6"/>
        <v>2207.5100000000002</v>
      </c>
      <c r="H54" s="1">
        <f t="shared" si="1"/>
        <v>934362.73999999976</v>
      </c>
      <c r="K54" s="87"/>
      <c r="L54" s="88"/>
    </row>
    <row r="55" spans="1:12" x14ac:dyDescent="0.2">
      <c r="A55" s="97">
        <f>'FERC Interest Rates'!A60</f>
        <v>42825</v>
      </c>
      <c r="D55" s="1">
        <f>244311.86-2777.49</f>
        <v>241534.37</v>
      </c>
      <c r="F55" s="1">
        <f t="shared" si="6"/>
        <v>2777.49</v>
      </c>
      <c r="H55" s="1">
        <f t="shared" si="1"/>
        <v>1178674.5999999996</v>
      </c>
      <c r="K55" s="87"/>
      <c r="L55" s="88"/>
    </row>
    <row r="56" spans="1:12" x14ac:dyDescent="0.2">
      <c r="A56" s="97">
        <f>'FERC Interest Rates'!A61</f>
        <v>42855</v>
      </c>
      <c r="D56" s="1">
        <f>52288.9-3594.15</f>
        <v>48694.75</v>
      </c>
      <c r="F56" s="1">
        <f t="shared" si="6"/>
        <v>3594.15</v>
      </c>
      <c r="H56" s="1">
        <f t="shared" si="1"/>
        <v>1230963.4999999995</v>
      </c>
      <c r="K56" s="87"/>
      <c r="L56" s="88"/>
    </row>
    <row r="57" spans="1:12" x14ac:dyDescent="0.2">
      <c r="A57" s="97">
        <f>'FERC Interest Rates'!A62</f>
        <v>42886</v>
      </c>
      <c r="D57" s="1">
        <f>133086.53-3878.72-47.21</f>
        <v>129160.59999999999</v>
      </c>
      <c r="F57" s="1">
        <f t="shared" si="6"/>
        <v>3878.72</v>
      </c>
      <c r="H57" s="1">
        <f t="shared" si="1"/>
        <v>1364002.8199999996</v>
      </c>
      <c r="K57" s="87"/>
      <c r="L57" s="88"/>
    </row>
    <row r="58" spans="1:12" x14ac:dyDescent="0.2">
      <c r="A58" s="97">
        <f>'FERC Interest Rates'!A63</f>
        <v>42916</v>
      </c>
      <c r="D58" s="1">
        <f>151925.48-4159.27</f>
        <v>147766.21000000002</v>
      </c>
      <c r="F58" s="1">
        <f t="shared" si="6"/>
        <v>4159.2700000000004</v>
      </c>
      <c r="H58" s="1">
        <f t="shared" si="1"/>
        <v>1515928.2999999996</v>
      </c>
      <c r="K58" s="87"/>
      <c r="L58" s="88"/>
    </row>
    <row r="59" spans="1:12" x14ac:dyDescent="0.2">
      <c r="A59" s="97">
        <f>'FERC Interest Rates'!A64</f>
        <v>42947</v>
      </c>
      <c r="D59" s="1">
        <f>77575.2-18144.75-5098.5</f>
        <v>54331.95</v>
      </c>
      <c r="F59" s="1">
        <f t="shared" si="6"/>
        <v>5098.5</v>
      </c>
      <c r="H59" s="1">
        <f t="shared" si="1"/>
        <v>1575358.7499999995</v>
      </c>
      <c r="K59" s="87"/>
      <c r="L59" s="88"/>
    </row>
    <row r="60" spans="1:12" x14ac:dyDescent="0.2">
      <c r="A60" s="97">
        <f>'FERC Interest Rates'!A65</f>
        <v>42978</v>
      </c>
      <c r="D60" s="1">
        <f>233570.4-5298.38</f>
        <v>228272.02</v>
      </c>
      <c r="F60" s="1">
        <f t="shared" si="6"/>
        <v>5298.38</v>
      </c>
      <c r="H60" s="1">
        <f t="shared" si="1"/>
        <v>1808929.1499999994</v>
      </c>
      <c r="K60" s="87"/>
      <c r="L60" s="88"/>
    </row>
    <row r="61" spans="1:12" x14ac:dyDescent="0.2">
      <c r="A61" s="97">
        <f>'FERC Interest Rates'!A66</f>
        <v>43008</v>
      </c>
      <c r="D61" s="1">
        <f>137485.6-5887.69</f>
        <v>131597.91</v>
      </c>
      <c r="F61" s="1">
        <f t="shared" si="6"/>
        <v>5887.69</v>
      </c>
      <c r="H61" s="1">
        <f t="shared" si="1"/>
        <v>1946414.7499999995</v>
      </c>
      <c r="K61" s="87"/>
      <c r="L61" s="88"/>
    </row>
    <row r="62" spans="1:12" x14ac:dyDescent="0.2">
      <c r="A62" s="97">
        <f>'FERC Interest Rates'!A67</f>
        <v>43039</v>
      </c>
      <c r="D62" s="1">
        <f>297118.94-500-6959.63</f>
        <v>289659.31</v>
      </c>
      <c r="F62" s="1">
        <f t="shared" si="6"/>
        <v>6959.63</v>
      </c>
      <c r="H62" s="1">
        <f t="shared" si="1"/>
        <v>2243033.6899999995</v>
      </c>
      <c r="K62" s="87"/>
      <c r="L62" s="88"/>
    </row>
    <row r="63" spans="1:12" x14ac:dyDescent="0.2">
      <c r="A63" s="199" t="s">
        <v>105</v>
      </c>
      <c r="B63" s="199"/>
      <c r="C63" s="199"/>
      <c r="D63" s="199"/>
      <c r="E63" s="199"/>
      <c r="F63" s="199"/>
      <c r="G63" s="1">
        <v>-1591472.06</v>
      </c>
      <c r="H63" s="1">
        <f t="shared" si="1"/>
        <v>651561.62999999942</v>
      </c>
      <c r="K63" s="87"/>
      <c r="L63" s="88"/>
    </row>
    <row r="64" spans="1:12" x14ac:dyDescent="0.2">
      <c r="A64" s="97">
        <f>'FERC Interest Rates'!A68</f>
        <v>43069</v>
      </c>
      <c r="D64" s="1">
        <f>95905.36-50-100-100-50-100-2254.58</f>
        <v>93250.78</v>
      </c>
      <c r="F64" s="1">
        <f>ROUND(H63*VLOOKUP(A64,FERCINT17,2)/365*VLOOKUP(A64,FERCINT17,3),2)</f>
        <v>2254.58</v>
      </c>
      <c r="H64" s="1">
        <f t="shared" si="1"/>
        <v>747066.98999999941</v>
      </c>
      <c r="K64" s="87"/>
      <c r="L64" s="88"/>
    </row>
    <row r="65" spans="1:12" x14ac:dyDescent="0.2">
      <c r="A65" s="97">
        <f>'FERC Interest Rates'!A69</f>
        <v>43100</v>
      </c>
      <c r="D65" s="1">
        <f>229118.83-2671.23-35</f>
        <v>226412.59999999998</v>
      </c>
      <c r="F65" s="1">
        <f>ROUND(H64*VLOOKUP(A65,FERCINT17,2)/365*VLOOKUP(A65,FERCINT17,3),2)</f>
        <v>2671.23</v>
      </c>
      <c r="H65" s="1">
        <f t="shared" si="1"/>
        <v>976150.81999999937</v>
      </c>
      <c r="K65" s="87"/>
      <c r="L65" s="88"/>
    </row>
    <row r="66" spans="1:12" x14ac:dyDescent="0.2">
      <c r="A66" s="97">
        <f>'FERC Interest Rates'!A70</f>
        <v>43131</v>
      </c>
      <c r="D66" s="1">
        <v>45890.720000000001</v>
      </c>
      <c r="F66" s="1">
        <f t="shared" ref="F66:F78" si="7">ROUND(H65*VLOOKUP(A66,FERCINT18,2)/365*VLOOKUP(A66,FERCINT18,3),2)</f>
        <v>3523.5</v>
      </c>
      <c r="H66" s="1">
        <f t="shared" si="1"/>
        <v>1025565.0399999993</v>
      </c>
      <c r="K66" s="87"/>
      <c r="L66" s="88"/>
    </row>
    <row r="67" spans="1:12" x14ac:dyDescent="0.2">
      <c r="A67" s="97">
        <f>'FERC Interest Rates'!A71</f>
        <v>43159</v>
      </c>
      <c r="D67" s="1">
        <v>246242.68</v>
      </c>
      <c r="F67" s="1">
        <f t="shared" si="7"/>
        <v>3343.62</v>
      </c>
      <c r="H67" s="1">
        <f t="shared" si="1"/>
        <v>1275151.3399999994</v>
      </c>
      <c r="K67" s="87"/>
      <c r="L67" s="88"/>
    </row>
    <row r="68" spans="1:12" x14ac:dyDescent="0.2">
      <c r="A68" s="97">
        <f>'FERC Interest Rates'!A72</f>
        <v>43190</v>
      </c>
      <c r="D68" s="1">
        <v>225852.11</v>
      </c>
      <c r="F68" s="1">
        <f t="shared" si="7"/>
        <v>4602.7700000000004</v>
      </c>
      <c r="H68" s="1">
        <f t="shared" si="1"/>
        <v>1505606.2199999993</v>
      </c>
      <c r="K68" s="87"/>
      <c r="L68" s="88"/>
    </row>
    <row r="69" spans="1:12" x14ac:dyDescent="0.2">
      <c r="A69" s="97">
        <f>'FERC Interest Rates'!A73</f>
        <v>43220</v>
      </c>
      <c r="D69" s="1">
        <f>137753.77-39.54-669.94</f>
        <v>137044.28999999998</v>
      </c>
      <c r="F69" s="1">
        <f t="shared" si="7"/>
        <v>5531.56</v>
      </c>
      <c r="H69" s="1">
        <f t="shared" si="1"/>
        <v>1648182.0699999994</v>
      </c>
      <c r="K69" s="87"/>
      <c r="L69" s="88"/>
    </row>
    <row r="70" spans="1:12" x14ac:dyDescent="0.2">
      <c r="A70" s="97">
        <f>'FERC Interest Rates'!A74</f>
        <v>43251</v>
      </c>
      <c r="D70" s="1">
        <v>334506.46999999997</v>
      </c>
      <c r="F70" s="1">
        <f t="shared" si="7"/>
        <v>6257.22</v>
      </c>
      <c r="H70" s="1">
        <f t="shared" si="1"/>
        <v>1988945.7599999993</v>
      </c>
      <c r="K70" s="87"/>
      <c r="L70" s="88"/>
    </row>
    <row r="71" spans="1:12" x14ac:dyDescent="0.2">
      <c r="A71" s="97">
        <f>'FERC Interest Rates'!A75</f>
        <v>43281</v>
      </c>
      <c r="D71" s="1">
        <f>299916.4-259.67</f>
        <v>299656.73000000004</v>
      </c>
      <c r="F71" s="1">
        <f t="shared" si="7"/>
        <v>7307.33</v>
      </c>
      <c r="H71" s="1">
        <f t="shared" si="1"/>
        <v>2295909.8199999994</v>
      </c>
      <c r="K71" s="87"/>
      <c r="L71" s="88"/>
    </row>
    <row r="72" spans="1:12" x14ac:dyDescent="0.2">
      <c r="A72" s="97">
        <f>'FERC Interest Rates'!A76</f>
        <v>43312</v>
      </c>
      <c r="D72" s="1">
        <v>201823.56</v>
      </c>
      <c r="F72" s="1">
        <f t="shared" si="7"/>
        <v>9145.27</v>
      </c>
      <c r="H72" s="1">
        <f t="shared" si="1"/>
        <v>2506878.6499999994</v>
      </c>
      <c r="K72" s="87"/>
      <c r="L72" s="88"/>
    </row>
    <row r="73" spans="1:12" x14ac:dyDescent="0.2">
      <c r="A73" s="97">
        <f>'FERC Interest Rates'!A77</f>
        <v>43343</v>
      </c>
      <c r="D73" s="1">
        <v>156718.91</v>
      </c>
      <c r="F73" s="1">
        <f t="shared" si="7"/>
        <v>9985.6200000000008</v>
      </c>
      <c r="H73" s="1">
        <f t="shared" si="1"/>
        <v>2673583.1799999992</v>
      </c>
      <c r="K73" s="87"/>
      <c r="L73" s="88"/>
    </row>
    <row r="74" spans="1:12" x14ac:dyDescent="0.2">
      <c r="A74" s="97">
        <f>'FERC Interest Rates'!A78</f>
        <v>43373</v>
      </c>
      <c r="D74" s="1">
        <f>272137.95</f>
        <v>272137.95</v>
      </c>
      <c r="F74" s="1">
        <f t="shared" si="7"/>
        <v>10306.11</v>
      </c>
      <c r="H74" s="1">
        <f t="shared" si="1"/>
        <v>2956027.2399999993</v>
      </c>
      <c r="K74" s="87"/>
      <c r="L74" s="88"/>
    </row>
    <row r="75" spans="1:12" x14ac:dyDescent="0.2">
      <c r="A75" s="97">
        <f>'FERC Interest Rates'!A79</f>
        <v>43404</v>
      </c>
      <c r="D75" s="1">
        <v>92798.27</v>
      </c>
      <c r="F75" s="1">
        <f t="shared" si="7"/>
        <v>12452.57</v>
      </c>
      <c r="H75" s="1">
        <f t="shared" si="1"/>
        <v>3061278.0799999991</v>
      </c>
      <c r="K75" s="87"/>
      <c r="L75" s="88"/>
    </row>
    <row r="76" spans="1:12" x14ac:dyDescent="0.2">
      <c r="A76" s="199" t="s">
        <v>105</v>
      </c>
      <c r="B76" s="199"/>
      <c r="C76" s="199"/>
      <c r="D76" s="199"/>
      <c r="E76" s="199"/>
      <c r="F76" s="199"/>
      <c r="G76" s="1">
        <v>-2537209.6800000002</v>
      </c>
      <c r="H76" s="1">
        <f t="shared" ref="H76:H85" si="8">H75+SUM(D76:G76)</f>
        <v>524068.39999999898</v>
      </c>
      <c r="K76" s="87"/>
      <c r="L76" s="88"/>
    </row>
    <row r="77" spans="1:12" x14ac:dyDescent="0.2">
      <c r="A77" s="97">
        <f>'FERC Interest Rates'!A80</f>
        <v>43434</v>
      </c>
      <c r="D77" s="1">
        <v>110725.27</v>
      </c>
      <c r="F77" s="1">
        <f t="shared" si="7"/>
        <v>2136.48</v>
      </c>
      <c r="H77" s="1">
        <f t="shared" si="8"/>
        <v>636930.14999999898</v>
      </c>
      <c r="K77" s="87"/>
      <c r="L77" s="88"/>
    </row>
    <row r="78" spans="1:12" x14ac:dyDescent="0.2">
      <c r="A78" s="97">
        <f>'FERC Interest Rates'!A81</f>
        <v>43465</v>
      </c>
      <c r="D78" s="1">
        <f>322408.71-10204.7</f>
        <v>312204.01</v>
      </c>
      <c r="F78" s="1">
        <f t="shared" si="7"/>
        <v>2683.13</v>
      </c>
      <c r="H78" s="1">
        <f t="shared" si="8"/>
        <v>951817.28999999899</v>
      </c>
      <c r="K78" s="87"/>
      <c r="L78" s="88"/>
    </row>
    <row r="79" spans="1:12" x14ac:dyDescent="0.2">
      <c r="A79" s="97">
        <f>'FERC Interest Rates'!A82</f>
        <v>43496</v>
      </c>
      <c r="D79" s="1">
        <v>121153.03</v>
      </c>
      <c r="F79" s="1">
        <f t="shared" ref="F79:F85" si="9">ROUND(H78*VLOOKUP(A79,FERCINT19,2)/365*VLOOKUP(A79,FERCINT19,3),2)</f>
        <v>4187.47</v>
      </c>
      <c r="H79" s="1">
        <f t="shared" si="8"/>
        <v>1077157.7899999991</v>
      </c>
      <c r="K79" s="87"/>
      <c r="L79" s="88"/>
    </row>
    <row r="80" spans="1:12" x14ac:dyDescent="0.2">
      <c r="A80" s="97">
        <f>'FERC Interest Rates'!A83</f>
        <v>43524</v>
      </c>
      <c r="D80" s="1">
        <v>64189.56</v>
      </c>
      <c r="F80" s="1">
        <f t="shared" si="9"/>
        <v>4280.3</v>
      </c>
      <c r="H80" s="1">
        <f t="shared" si="8"/>
        <v>1145627.6499999992</v>
      </c>
      <c r="K80" s="87"/>
      <c r="L80" s="88"/>
    </row>
    <row r="81" spans="1:12" x14ac:dyDescent="0.2">
      <c r="A81" s="97">
        <f>'FERC Interest Rates'!A84</f>
        <v>43555</v>
      </c>
      <c r="D81" s="1">
        <v>344013.41</v>
      </c>
      <c r="F81" s="1">
        <f t="shared" si="9"/>
        <v>5040.13</v>
      </c>
      <c r="H81" s="1">
        <f t="shared" si="8"/>
        <v>1494681.1899999992</v>
      </c>
      <c r="K81" s="87"/>
      <c r="L81" s="88"/>
    </row>
    <row r="82" spans="1:12" x14ac:dyDescent="0.2">
      <c r="A82" s="97">
        <f>'FERC Interest Rates'!A85</f>
        <v>43585</v>
      </c>
      <c r="D82" s="1">
        <v>141696.70000000001</v>
      </c>
      <c r="F82" s="1">
        <f t="shared" si="9"/>
        <v>6695.35</v>
      </c>
      <c r="H82" s="1">
        <f t="shared" si="8"/>
        <v>1643073.2399999993</v>
      </c>
      <c r="K82" s="87"/>
      <c r="L82" s="88"/>
    </row>
    <row r="83" spans="1:12" x14ac:dyDescent="0.2">
      <c r="A83" s="97">
        <f>'FERC Interest Rates'!A86</f>
        <v>43616</v>
      </c>
      <c r="D83" s="1">
        <v>163612.56</v>
      </c>
      <c r="F83" s="1">
        <f t="shared" si="9"/>
        <v>7605.4</v>
      </c>
      <c r="H83" s="1">
        <f t="shared" si="8"/>
        <v>1814291.1999999993</v>
      </c>
      <c r="K83" s="87"/>
      <c r="L83" s="88"/>
    </row>
    <row r="84" spans="1:12" x14ac:dyDescent="0.2">
      <c r="A84" s="97">
        <f>'FERC Interest Rates'!A87</f>
        <v>43646</v>
      </c>
      <c r="D84" s="1">
        <v>270185.32</v>
      </c>
      <c r="F84" s="1">
        <f t="shared" si="9"/>
        <v>8127.03</v>
      </c>
      <c r="H84" s="1">
        <f t="shared" si="8"/>
        <v>2092603.5499999993</v>
      </c>
      <c r="K84" s="87"/>
      <c r="L84" s="88"/>
    </row>
    <row r="85" spans="1:12" x14ac:dyDescent="0.2">
      <c r="A85" s="97">
        <f>'FERC Interest Rates'!A88</f>
        <v>43677</v>
      </c>
      <c r="D85" s="1">
        <v>220071.34</v>
      </c>
      <c r="F85" s="1">
        <f t="shared" si="9"/>
        <v>9775.0400000000009</v>
      </c>
      <c r="H85" s="1">
        <f t="shared" si="8"/>
        <v>2322449.9299999992</v>
      </c>
      <c r="K85" s="87"/>
      <c r="L85" s="88"/>
    </row>
    <row r="86" spans="1:12" x14ac:dyDescent="0.2">
      <c r="A86" s="97"/>
      <c r="K86" s="87"/>
      <c r="L86" s="88"/>
    </row>
    <row r="87" spans="1:12" x14ac:dyDescent="0.2">
      <c r="A87" s="97"/>
      <c r="K87" s="87"/>
      <c r="L87" s="88"/>
    </row>
    <row r="88" spans="1:12" x14ac:dyDescent="0.2">
      <c r="A88" s="97"/>
      <c r="K88" s="87"/>
      <c r="L88" s="88"/>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2019-08-15T07:00:00+00:00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65789-899A-4A21-A3E2-09BB0FD93C99}"/>
</file>

<file path=customXml/itemProps2.xml><?xml version="1.0" encoding="utf-8"?>
<ds:datastoreItem xmlns:ds="http://schemas.openxmlformats.org/officeDocument/2006/customXml" ds:itemID="{E8C33ADD-1E24-4884-BE09-CD16CA72AC58}"/>
</file>

<file path=customXml/itemProps3.xml><?xml version="1.0" encoding="utf-8"?>
<ds:datastoreItem xmlns:ds="http://schemas.openxmlformats.org/officeDocument/2006/customXml" ds:itemID="{8601885C-2267-4C94-A4E0-0A04E99B7DB3}"/>
</file>

<file path=customXml/itemProps4.xml><?xml version="1.0" encoding="utf-8"?>
<ds:datastoreItem xmlns:ds="http://schemas.openxmlformats.org/officeDocument/2006/customXml" ds:itemID="{EB6207B3-AEFD-4D08-8417-E6AD741307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DG 2530.01253</vt:lpstr>
      <vt:lpstr>DG 2530.01254</vt:lpstr>
      <vt:lpstr>DG 2530.01286</vt:lpstr>
      <vt:lpstr>DG 2530.01288</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2019-08-09T21:52:04Z</cp:lastPrinted>
  <dcterms:created xsi:type="dcterms:W3CDTF">2019-08-09T21:42:11Z</dcterms:created>
  <dcterms:modified xsi:type="dcterms:W3CDTF">2019-08-15T16:19:25Z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