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April 2018\27\171010\"/>
    </mc:Choice>
  </mc:AlternateContent>
  <bookViews>
    <workbookView xWindow="0" yWindow="0" windowWidth="24000" windowHeight="9510" activeTab="2"/>
  </bookViews>
  <sheets>
    <sheet name="Core Cost Incurred" sheetId="14" r:id="rId1"/>
    <sheet name="WA Rates" sheetId="9" r:id="rId2"/>
    <sheet name="WA DEFERRALS" sheetId="15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FERCINT18">'[1]FERC Interest Rates'!$A$70:$C$81</definedName>
    <definedName name="_xlnm.Print_Area" localSheetId="0">'Core Cost Incurred'!$A$1:$Y$48</definedName>
    <definedName name="_xlnm.Print_Area" localSheetId="2">'WA DEFERRALS'!$A$1:$G$22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C8" i="15"/>
  <c r="F8" i="15" s="1"/>
  <c r="F9" i="15" s="1"/>
  <c r="F12" i="15" s="1"/>
  <c r="D8" i="15"/>
  <c r="D9" i="15" s="1"/>
  <c r="C9" i="15"/>
  <c r="E9" i="15"/>
  <c r="C12" i="15"/>
  <c r="E12" i="15"/>
  <c r="E18" i="15" s="1"/>
  <c r="C18" i="15"/>
  <c r="D12" i="15" l="1"/>
  <c r="D18" i="15"/>
  <c r="F18" i="15" s="1"/>
  <c r="V48" i="14" l="1"/>
  <c r="AB43" i="14"/>
  <c r="AA43" i="14"/>
  <c r="Y43" i="14"/>
  <c r="V43" i="14"/>
  <c r="AB42" i="14"/>
  <c r="AB44" i="14" s="1"/>
  <c r="AA42" i="14"/>
  <c r="AA44" i="14" s="1"/>
  <c r="Y42" i="14"/>
  <c r="Y44" i="14" s="1"/>
  <c r="V42" i="14"/>
  <c r="V44" i="14" s="1"/>
  <c r="P47" i="14" s="1"/>
  <c r="AB38" i="14"/>
  <c r="AB40" i="14" s="1"/>
  <c r="AA38" i="14"/>
  <c r="AA40" i="14" s="1"/>
  <c r="Y38" i="14"/>
  <c r="Y40" i="14" s="1"/>
  <c r="V38" i="14"/>
  <c r="V40" i="14" s="1"/>
  <c r="S38" i="14"/>
  <c r="P38" i="14"/>
  <c r="M37" i="14"/>
  <c r="J37" i="14"/>
  <c r="G37" i="14" s="1"/>
  <c r="M36" i="14"/>
  <c r="J36" i="14"/>
  <c r="G36" i="14"/>
  <c r="M35" i="14"/>
  <c r="J35" i="14"/>
  <c r="G35" i="14"/>
  <c r="M34" i="14"/>
  <c r="J34" i="14"/>
  <c r="G34" i="14" s="1"/>
  <c r="M33" i="14"/>
  <c r="J33" i="14"/>
  <c r="G33" i="14" s="1"/>
  <c r="M32" i="14"/>
  <c r="J32" i="14"/>
  <c r="G32" i="14"/>
  <c r="M31" i="14"/>
  <c r="J31" i="14"/>
  <c r="G31" i="14"/>
  <c r="M30" i="14"/>
  <c r="J30" i="14"/>
  <c r="G30" i="14" s="1"/>
  <c r="M29" i="14"/>
  <c r="J29" i="14"/>
  <c r="G29" i="14" s="1"/>
  <c r="M28" i="14"/>
  <c r="J28" i="14"/>
  <c r="G28" i="14"/>
  <c r="M27" i="14"/>
  <c r="J27" i="14"/>
  <c r="G27" i="14"/>
  <c r="M26" i="14"/>
  <c r="M42" i="14" s="1"/>
  <c r="J26" i="14"/>
  <c r="G26" i="14" s="1"/>
  <c r="M25" i="14"/>
  <c r="J25" i="14"/>
  <c r="G25" i="14" s="1"/>
  <c r="M24" i="14"/>
  <c r="J24" i="14"/>
  <c r="J38" i="14" s="1"/>
  <c r="G24" i="14"/>
  <c r="AB22" i="14"/>
  <c r="AA22" i="14"/>
  <c r="Y22" i="14"/>
  <c r="V22" i="14"/>
  <c r="S21" i="14"/>
  <c r="P21" i="14"/>
  <c r="J21" i="14" s="1"/>
  <c r="G21" i="14" s="1"/>
  <c r="M21" i="14"/>
  <c r="M20" i="14"/>
  <c r="J20" i="14"/>
  <c r="G20" i="14" s="1"/>
  <c r="M19" i="14"/>
  <c r="J19" i="14"/>
  <c r="G19" i="14"/>
  <c r="M18" i="14"/>
  <c r="J18" i="14"/>
  <c r="G18" i="14"/>
  <c r="S17" i="14"/>
  <c r="S22" i="14" s="1"/>
  <c r="S40" i="14" s="1"/>
  <c r="P17" i="14"/>
  <c r="P22" i="14" s="1"/>
  <c r="J17" i="14"/>
  <c r="AB15" i="14"/>
  <c r="AA15" i="14"/>
  <c r="Y15" i="14"/>
  <c r="X15" i="14"/>
  <c r="X40" i="14" s="1"/>
  <c r="V15" i="14"/>
  <c r="U15" i="14"/>
  <c r="U40" i="14" s="1"/>
  <c r="S15" i="14"/>
  <c r="R15" i="14"/>
  <c r="R40" i="14" s="1"/>
  <c r="M14" i="14"/>
  <c r="L14" i="14"/>
  <c r="J14" i="14"/>
  <c r="G14" i="14" s="1"/>
  <c r="I14" i="14"/>
  <c r="F14" i="14" s="1"/>
  <c r="M13" i="14"/>
  <c r="L13" i="14"/>
  <c r="F13" i="14" s="1"/>
  <c r="J13" i="14"/>
  <c r="I13" i="14"/>
  <c r="G13" i="14"/>
  <c r="M12" i="14"/>
  <c r="L12" i="14"/>
  <c r="J12" i="14"/>
  <c r="G12" i="14" s="1"/>
  <c r="I12" i="14"/>
  <c r="F12" i="14" s="1"/>
  <c r="M11" i="14"/>
  <c r="L11" i="14"/>
  <c r="F11" i="14" s="1"/>
  <c r="J11" i="14"/>
  <c r="I11" i="14"/>
  <c r="G11" i="14"/>
  <c r="S10" i="14"/>
  <c r="S42" i="14" s="1"/>
  <c r="R10" i="14"/>
  <c r="P10" i="14"/>
  <c r="P15" i="14" s="1"/>
  <c r="O10" i="14"/>
  <c r="O15" i="14" s="1"/>
  <c r="O40" i="14" s="1"/>
  <c r="M10" i="14"/>
  <c r="L10" i="14"/>
  <c r="J10" i="14"/>
  <c r="G10" i="14" s="1"/>
  <c r="I10" i="14"/>
  <c r="F10" i="14" s="1"/>
  <c r="F15" i="14" s="1"/>
  <c r="F40" i="14" s="1"/>
  <c r="M9" i="14"/>
  <c r="J9" i="14"/>
  <c r="G9" i="14" s="1"/>
  <c r="M8" i="14"/>
  <c r="L8" i="14"/>
  <c r="J8" i="14"/>
  <c r="J42" i="14" s="1"/>
  <c r="J44" i="14" s="1"/>
  <c r="I8" i="14"/>
  <c r="I15" i="14" s="1"/>
  <c r="I40" i="14" s="1"/>
  <c r="F8" i="14"/>
  <c r="M7" i="14"/>
  <c r="J7" i="14"/>
  <c r="G7" i="14" s="1"/>
  <c r="M6" i="14"/>
  <c r="M15" i="14" s="1"/>
  <c r="J6" i="14"/>
  <c r="J43" i="14" s="1"/>
  <c r="V3" i="14"/>
  <c r="V1" i="14"/>
  <c r="F59" i="9"/>
  <c r="F58" i="9"/>
  <c r="F57" i="9"/>
  <c r="F56" i="9"/>
  <c r="L46" i="9"/>
  <c r="I46" i="9"/>
  <c r="H46" i="9"/>
  <c r="G46" i="9"/>
  <c r="F46" i="9"/>
  <c r="K46" i="9" s="1"/>
  <c r="L44" i="9"/>
  <c r="J44" i="9"/>
  <c r="I44" i="9"/>
  <c r="H44" i="9"/>
  <c r="K44" i="9" s="1"/>
  <c r="M44" i="9" s="1"/>
  <c r="G44" i="9"/>
  <c r="L43" i="9"/>
  <c r="K43" i="9"/>
  <c r="I43" i="9"/>
  <c r="H43" i="9"/>
  <c r="G43" i="9"/>
  <c r="J43" i="9" s="1"/>
  <c r="M43" i="9" s="1"/>
  <c r="L42" i="9"/>
  <c r="K42" i="9"/>
  <c r="J42" i="9"/>
  <c r="M42" i="9" s="1"/>
  <c r="I42" i="9"/>
  <c r="H42" i="9"/>
  <c r="G42" i="9"/>
  <c r="K41" i="9"/>
  <c r="J41" i="9"/>
  <c r="I41" i="9"/>
  <c r="L41" i="9" s="1"/>
  <c r="M41" i="9" s="1"/>
  <c r="H41" i="9"/>
  <c r="G41" i="9"/>
  <c r="L40" i="9"/>
  <c r="J40" i="9"/>
  <c r="I40" i="9"/>
  <c r="H40" i="9"/>
  <c r="K40" i="9" s="1"/>
  <c r="M40" i="9" s="1"/>
  <c r="G40" i="9"/>
  <c r="L39" i="9"/>
  <c r="K39" i="9"/>
  <c r="I39" i="9"/>
  <c r="H39" i="9"/>
  <c r="G39" i="9"/>
  <c r="J39" i="9" s="1"/>
  <c r="M39" i="9" s="1"/>
  <c r="L37" i="9"/>
  <c r="K37" i="9"/>
  <c r="J37" i="9"/>
  <c r="M37" i="9" s="1"/>
  <c r="I37" i="9"/>
  <c r="H37" i="9"/>
  <c r="G37" i="9"/>
  <c r="K36" i="9"/>
  <c r="J36" i="9"/>
  <c r="I36" i="9"/>
  <c r="L36" i="9" s="1"/>
  <c r="M36" i="9" s="1"/>
  <c r="H36" i="9"/>
  <c r="G36" i="9"/>
  <c r="L35" i="9"/>
  <c r="K35" i="9"/>
  <c r="I35" i="9"/>
  <c r="G35" i="9"/>
  <c r="J35" i="9" s="1"/>
  <c r="M35" i="9" s="1"/>
  <c r="L33" i="9"/>
  <c r="K33" i="9"/>
  <c r="J33" i="9"/>
  <c r="M33" i="9" s="1"/>
  <c r="I33" i="9"/>
  <c r="H33" i="9"/>
  <c r="G33" i="9"/>
  <c r="K32" i="9"/>
  <c r="J32" i="9"/>
  <c r="I32" i="9"/>
  <c r="L32" i="9" s="1"/>
  <c r="M32" i="9" s="1"/>
  <c r="H32" i="9"/>
  <c r="G32" i="9"/>
  <c r="L31" i="9"/>
  <c r="J31" i="9"/>
  <c r="I31" i="9"/>
  <c r="H31" i="9"/>
  <c r="K31" i="9" s="1"/>
  <c r="M31" i="9" s="1"/>
  <c r="G31" i="9"/>
  <c r="L29" i="9"/>
  <c r="K29" i="9"/>
  <c r="I29" i="9"/>
  <c r="H29" i="9"/>
  <c r="G29" i="9"/>
  <c r="J29" i="9" s="1"/>
  <c r="M29" i="9" s="1"/>
  <c r="L28" i="9"/>
  <c r="K28" i="9"/>
  <c r="J28" i="9"/>
  <c r="M28" i="9" s="1"/>
  <c r="I28" i="9"/>
  <c r="H28" i="9"/>
  <c r="G28" i="9"/>
  <c r="K27" i="9"/>
  <c r="J27" i="9"/>
  <c r="I27" i="9"/>
  <c r="L27" i="9" s="1"/>
  <c r="M27" i="9" s="1"/>
  <c r="H27" i="9"/>
  <c r="G27" i="9"/>
  <c r="L25" i="9"/>
  <c r="J25" i="9"/>
  <c r="I25" i="9"/>
  <c r="H25" i="9"/>
  <c r="K25" i="9" s="1"/>
  <c r="M25" i="9" s="1"/>
  <c r="G25" i="9"/>
  <c r="L24" i="9"/>
  <c r="I24" i="9"/>
  <c r="G24" i="9"/>
  <c r="J24" i="9" s="1"/>
  <c r="L23" i="9"/>
  <c r="J23" i="9"/>
  <c r="I23" i="9"/>
  <c r="G23" i="9"/>
  <c r="K22" i="9"/>
  <c r="J22" i="9"/>
  <c r="I22" i="9"/>
  <c r="L22" i="9" s="1"/>
  <c r="M22" i="9" s="1"/>
  <c r="H22" i="9"/>
  <c r="G22" i="9"/>
  <c r="L21" i="9"/>
  <c r="J21" i="9"/>
  <c r="I21" i="9"/>
  <c r="H21" i="9"/>
  <c r="K21" i="9" s="1"/>
  <c r="M21" i="9" s="1"/>
  <c r="G21" i="9"/>
  <c r="L20" i="9"/>
  <c r="K20" i="9"/>
  <c r="I20" i="9"/>
  <c r="G20" i="9"/>
  <c r="J20" i="9" s="1"/>
  <c r="M20" i="9" s="1"/>
  <c r="H18" i="9"/>
  <c r="K18" i="9" s="1"/>
  <c r="G18" i="9"/>
  <c r="J18" i="9" s="1"/>
  <c r="J17" i="9"/>
  <c r="M17" i="9" s="1"/>
  <c r="H17" i="9"/>
  <c r="K17" i="9" s="1"/>
  <c r="G17" i="9"/>
  <c r="L16" i="9"/>
  <c r="K16" i="9"/>
  <c r="I16" i="9"/>
  <c r="H16" i="9"/>
  <c r="G16" i="9"/>
  <c r="J16" i="9" s="1"/>
  <c r="M16" i="9" s="1"/>
  <c r="L15" i="9"/>
  <c r="K15" i="9"/>
  <c r="J15" i="9"/>
  <c r="M15" i="9" s="1"/>
  <c r="I15" i="9"/>
  <c r="H15" i="9"/>
  <c r="G15" i="9"/>
  <c r="H13" i="9"/>
  <c r="K13" i="9" s="1"/>
  <c r="G13" i="9"/>
  <c r="J13" i="9" s="1"/>
  <c r="J12" i="9"/>
  <c r="M12" i="9" s="1"/>
  <c r="H12" i="9"/>
  <c r="K12" i="9" s="1"/>
  <c r="G12" i="9"/>
  <c r="L11" i="9"/>
  <c r="K11" i="9"/>
  <c r="I11" i="9"/>
  <c r="G11" i="9"/>
  <c r="J11" i="9" s="1"/>
  <c r="M11" i="9" s="1"/>
  <c r="K10" i="9"/>
  <c r="J10" i="9"/>
  <c r="I10" i="9"/>
  <c r="L10" i="9" s="1"/>
  <c r="M10" i="9" s="1"/>
  <c r="H10" i="9"/>
  <c r="G10" i="9"/>
  <c r="L9" i="9"/>
  <c r="L48" i="9" s="1"/>
  <c r="L50" i="9" s="1"/>
  <c r="K9" i="9"/>
  <c r="J9" i="9"/>
  <c r="H8" i="9"/>
  <c r="I8" i="9" s="1"/>
  <c r="E3" i="9"/>
  <c r="S59" i="14"/>
  <c r="O59" i="14"/>
  <c r="O60" i="14"/>
  <c r="P61" i="14"/>
  <c r="R61" i="14"/>
  <c r="S61" i="14"/>
  <c r="P59" i="14"/>
  <c r="O61" i="14"/>
  <c r="P60" i="14"/>
  <c r="R59" i="14"/>
  <c r="P62" i="14" l="1"/>
  <c r="S62" i="14"/>
  <c r="S47" i="14"/>
  <c r="Y46" i="14"/>
  <c r="P40" i="14"/>
  <c r="G38" i="14"/>
  <c r="L15" i="14"/>
  <c r="L40" i="14" s="1"/>
  <c r="P42" i="14"/>
  <c r="P43" i="14"/>
  <c r="J22" i="14"/>
  <c r="J40" i="14" s="1"/>
  <c r="M38" i="14"/>
  <c r="G8" i="14"/>
  <c r="M17" i="14"/>
  <c r="S43" i="14"/>
  <c r="S44" i="14" s="1"/>
  <c r="S46" i="14" s="1"/>
  <c r="S48" i="14" s="1"/>
  <c r="G6" i="14"/>
  <c r="J15" i="14"/>
  <c r="M13" i="9"/>
  <c r="M18" i="9"/>
  <c r="M23" i="9"/>
  <c r="M9" i="9"/>
  <c r="H24" i="9"/>
  <c r="K24" i="9" s="1"/>
  <c r="M24" i="9" s="1"/>
  <c r="H23" i="9"/>
  <c r="K23" i="9" s="1"/>
  <c r="K48" i="9" s="1"/>
  <c r="K50" i="9" s="1"/>
  <c r="J46" i="9"/>
  <c r="M46" i="9" s="1"/>
  <c r="F48" i="9"/>
  <c r="F50" i="9" s="1"/>
  <c r="F73" i="9" s="1"/>
  <c r="G15" i="14" l="1"/>
  <c r="M22" i="14"/>
  <c r="M40" i="14" s="1"/>
  <c r="G17" i="14"/>
  <c r="G22" i="14" s="1"/>
  <c r="G40" i="14" s="1"/>
  <c r="P44" i="14"/>
  <c r="P46" i="14" s="1"/>
  <c r="P48" i="14" s="1"/>
  <c r="M43" i="14"/>
  <c r="M44" i="14" s="1"/>
  <c r="J46" i="14" s="1"/>
  <c r="M48" i="9"/>
  <c r="J48" i="9"/>
  <c r="J50" i="9" s="1"/>
  <c r="O49" i="9" l="1"/>
  <c r="M50" i="9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<sst xmlns="http://schemas.openxmlformats.org/spreadsheetml/2006/main" count="472" uniqueCount="206">
  <si>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</si>
  <si>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</si>
  <si>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</si>
  <si>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</si>
  <si>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</si>
  <si>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</si>
  <si>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</si>
  <si>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</si>
  <si>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</si>
  <si>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</si>
  <si>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</si>
  <si>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</si>
  <si>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</si>
  <si>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</si>
  <si>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</si>
  <si>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</si>
  <si>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</si>
  <si>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</si>
  <si>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</si>
  <si>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</si>
  <si>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</si>
  <si>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</si>
  <si>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</si>
  <si>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</si>
  <si>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</si>
  <si>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</si>
  <si>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</si>
  <si>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</si>
  <si>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</si>
  <si>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</si>
  <si>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</si>
  <si>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</si>
  <si>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</si>
  <si>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</si>
  <si>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</si>
  <si>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</si>
  <si>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</si>
  <si>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</si>
  <si>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</si>
  <si>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</si>
  <si>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</si>
  <si>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</si>
  <si>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</si>
  <si>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</si>
  <si>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</si>
  <si>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</si>
  <si>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</si>
  <si>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</si>
  <si>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</si>
  <si>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</si>
  <si>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</si>
  <si>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</si>
  <si>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</si>
  <si>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</si>
  <si>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</si>
  <si>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</si>
  <si>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</si>
  <si>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</si>
  <si>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</si>
  <si>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</si>
  <si>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</si>
  <si>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</si>
  <si>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</si>
  <si>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</si>
  <si>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</si>
  <si>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</si>
  <si>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</si>
  <si>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</si>
  <si>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</si>
  <si>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</si>
  <si>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</si>
  <si>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</si>
  <si>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</si>
  <si>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</si>
  <si>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</si>
  <si>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</si>
  <si>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</si>
  <si>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</si>
  <si>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</si>
  <si>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</si>
  <si>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</si>
  <si>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</si>
  <si>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</si>
  <si>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</si>
  <si>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</si>
  <si>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</si>
  <si>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</si>
  <si>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</si>
  <si>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</si>
  <si>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</si>
  <si>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</si>
  <si>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</si>
  <si>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</si>
  <si>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</si>
  <si>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</si>
  <si>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</si>
  <si>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</si>
  <si>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</si>
  <si>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</si>
  <si>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</si>
  <si>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</si>
  <si>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</si>
  <si>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</si>
  <si>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</si>
  <si>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</si>
  <si>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</si>
  <si>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</si>
  <si>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</si>
  <si>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</si>
  <si>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</si>
  <si>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</si>
  <si>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</si>
  <si>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</si>
  <si>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</si>
  <si>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</si>
  <si>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</si>
  <si>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</si>
  <si>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</si>
  <si>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</si>
  <si>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</si>
  <si>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</si>
  <si>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</si>
  <si>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</si>
  <si>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</si>
  <si>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</si>
  <si>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</si>
  <si>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</si>
  <si>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</si>
  <si>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</si>
  <si>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>Sep 1 2017</t>
  </si>
  <si>
    <t>CNGWA04LV</t>
  </si>
  <si>
    <t>New Rates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</si>
  <si>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</si>
  <si>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</si>
  <si>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</si>
  <si>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</si>
  <si>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</si>
  <si>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</si>
  <si>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</si>
  <si>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</si>
  <si>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</si>
  <si>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</si>
  <si>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</si>
  <si>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</si>
  <si>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</si>
  <si>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</si>
  <si>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</si>
  <si>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</si>
  <si>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</si>
  <si>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</si>
  <si>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</si>
  <si>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</si>
  <si>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</si>
  <si>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</si>
  <si>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</si>
  <si>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</si>
  <si>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</si>
  <si>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</si>
  <si>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</si>
  <si>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</si>
  <si>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</si>
  <si>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</si>
  <si>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</si>
  <si>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</si>
  <si>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</si>
  <si>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</si>
  <si>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</si>
  <si>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</si>
  <si>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</si>
  <si>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</si>
  <si>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</si>
  <si>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</si>
  <si>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</si>
  <si>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</si>
  <si>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</si>
  <si>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</si>
  <si>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</si>
  <si>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</si>
  <si>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</si>
  <si>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</si>
  <si>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</si>
  <si>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</si>
  <si>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</si>
  <si>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</si>
  <si>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</si>
  <si>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</si>
  <si>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</si>
  <si>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</si>
  <si>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</si>
  <si>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</si>
  <si>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</si>
  <si>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</si>
  <si>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</si>
  <si>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</si>
  <si>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</si>
  <si>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3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</si>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</sst>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4" tint="-0.249977111117893"/>
      <name val="Arial"/>
      <family val="2"/>
    </font>
    <font>
      <i/>
      <sz val="8"/>
      <color indexed="10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4">
    <xf numFmtId="0" fontId="0" fillId="0" borderId="0" xfId="0"/>
    <xf numFmtId="49" fontId="2" fillId="0" borderId="0" xfId="0" applyNumberFormat="1" applyFont="1"/>
    <xf numFmtId="49" fontId="3" fillId="0" borderId="0" xfId="1" applyNumberFormat="1" applyFont="1"/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44" fontId="1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1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1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8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30" fillId="0" borderId="0" xfId="0" applyFont="1"/>
    <xf numFmtId="164" fontId="30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vertical="top"/>
    </xf>
    <xf numFmtId="164" fontId="3" fillId="0" borderId="0" xfId="1" applyNumberFormat="1" applyFont="1"/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164" fontId="30" fillId="0" borderId="0" xfId="1" applyNumberFormat="1" applyFont="1" applyFill="1"/>
    <xf numFmtId="49" fontId="31" fillId="0" borderId="0" xfId="1" applyNumberFormat="1" applyFont="1" applyAlignment="1">
      <alignment vertical="center"/>
    </xf>
    <xf numFmtId="49" fontId="30" fillId="0" borderId="0" xfId="1" applyNumberFormat="1" applyFont="1"/>
    <xf numFmtId="49" fontId="24" fillId="0" borderId="0" xfId="1" applyNumberFormat="1" applyFont="1" applyAlignment="1">
      <alignment horizontal="left"/>
    </xf>
    <xf numFmtId="164" fontId="30" fillId="0" borderId="0" xfId="1" applyNumberFormat="1" applyFont="1" applyAlignment="1">
      <alignment horizontal="left"/>
    </xf>
    <xf numFmtId="43" fontId="30" fillId="0" borderId="0" xfId="1" applyNumberFormat="1" applyFont="1"/>
    <xf numFmtId="164" fontId="30" fillId="13" borderId="0" xfId="1" applyNumberFormat="1" applyFont="1" applyFill="1"/>
    <xf numFmtId="43" fontId="37" fillId="0" borderId="0" xfId="1" applyNumberFormat="1" applyFont="1"/>
    <xf numFmtId="43" fontId="30" fillId="0" borderId="0" xfId="1" applyFont="1" applyFill="1"/>
    <xf numFmtId="49" fontId="2" fillId="0" borderId="0" xfId="1" applyNumberFormat="1" applyFont="1" applyBorder="1"/>
    <xf numFmtId="43" fontId="30" fillId="0" borderId="0" xfId="1" applyNumberFormat="1" applyFont="1" applyBorder="1"/>
    <xf numFmtId="164" fontId="1" fillId="13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3" fillId="0" borderId="0" xfId="1" applyNumberFormat="1" applyFont="1" applyAlignment="1">
      <alignment horizontal="center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4" borderId="0" xfId="1" applyNumberFormat="1" applyFont="1" applyFill="1" applyAlignment="1">
      <alignment horizontal="right"/>
    </xf>
    <xf numFmtId="0" fontId="1" fillId="14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1" fillId="0" borderId="0" xfId="1" applyNumberFormat="1" applyFont="1" applyAlignment="1">
      <alignment horizontal="left" indent="3"/>
    </xf>
    <xf numFmtId="44" fontId="1" fillId="15" borderId="0" xfId="2" applyFont="1" applyFill="1"/>
    <xf numFmtId="164" fontId="1" fillId="0" borderId="0" xfId="1" applyNumberFormat="1" applyFont="1" applyFill="1" applyAlignment="1">
      <alignment horizontal="left"/>
    </xf>
    <xf numFmtId="44" fontId="6" fillId="15" borderId="0" xfId="2" applyFont="1" applyFill="1"/>
    <xf numFmtId="164" fontId="23" fillId="0" borderId="0" xfId="1" applyNumberFormat="1" applyFont="1" applyAlignment="1">
      <alignment horizontal="left"/>
    </xf>
    <xf numFmtId="44" fontId="22" fillId="15" borderId="0" xfId="2" applyFont="1" applyFill="1"/>
    <xf numFmtId="0" fontId="2" fillId="15" borderId="0" xfId="2" applyNumberFormat="1" applyFont="1" applyFill="1" applyAlignment="1">
      <alignment horizontal="center"/>
    </xf>
    <xf numFmtId="164" fontId="33" fillId="0" borderId="0" xfId="1" applyNumberFormat="1" applyFont="1"/>
    <xf numFmtId="164" fontId="33" fillId="0" borderId="0" xfId="1" applyNumberFormat="1" applyFont="1" applyAlignment="1">
      <alignment horizontal="left"/>
    </xf>
    <xf numFmtId="164" fontId="23" fillId="0" borderId="0" xfId="1" applyNumberFormat="1" applyFont="1"/>
    <xf numFmtId="164" fontId="1" fillId="0" borderId="0" xfId="1" applyNumberFormat="1" applyFont="1" applyFill="1"/>
    <xf numFmtId="44" fontId="1" fillId="16" borderId="0" xfId="2" applyNumberFormat="1" applyFont="1" applyFill="1"/>
    <xf numFmtId="44" fontId="1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39" fillId="0" borderId="0" xfId="1" applyNumberFormat="1" applyFont="1" applyAlignment="1">
      <alignment horizontal="left"/>
    </xf>
    <xf numFmtId="164" fontId="39" fillId="0" borderId="0" xfId="1" applyNumberFormat="1" applyFont="1" applyAlignment="1">
      <alignment horizontal="left" indent="1"/>
    </xf>
    <xf numFmtId="44" fontId="34" fillId="17" borderId="0" xfId="2" applyFont="1" applyFill="1"/>
    <xf numFmtId="0" fontId="2" fillId="16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44" fontId="22" fillId="16" borderId="0" xfId="2" applyFont="1" applyFill="1"/>
    <xf numFmtId="164" fontId="40" fillId="0" borderId="0" xfId="1" applyNumberFormat="1" applyFont="1" applyAlignment="1">
      <alignment horizontal="left" indent="4"/>
    </xf>
    <xf numFmtId="164" fontId="41" fillId="0" borderId="0" xfId="1" applyNumberFormat="1" applyFont="1" applyAlignment="1">
      <alignment horizontal="left"/>
    </xf>
    <xf numFmtId="43" fontId="30" fillId="13" borderId="0" xfId="1" applyFont="1" applyFill="1"/>
    <xf numFmtId="44" fontId="6" fillId="16" borderId="0" xfId="2" applyNumberFormat="1" applyFont="1" applyFill="1"/>
    <xf numFmtId="49" fontId="1" fillId="7" borderId="0" xfId="1" applyNumberFormat="1" applyFont="1" applyFill="1" applyAlignment="1">
      <alignment horizontal="right"/>
    </xf>
    <xf numFmtId="0" fontId="1" fillId="7" borderId="0" xfId="1" applyNumberFormat="1" applyFont="1" applyFill="1" applyAlignment="1">
      <alignment horizontal="center"/>
    </xf>
    <xf numFmtId="0" fontId="2" fillId="18" borderId="0" xfId="1" applyNumberFormat="1" applyFont="1" applyFill="1" applyAlignment="1">
      <alignment horizontal="center"/>
    </xf>
    <xf numFmtId="164" fontId="1" fillId="18" borderId="0" xfId="1" applyNumberFormat="1" applyFont="1" applyFill="1"/>
    <xf numFmtId="44" fontId="6" fillId="18" borderId="0" xfId="2" applyFont="1" applyFill="1"/>
    <xf numFmtId="164" fontId="42" fillId="0" borderId="0" xfId="1" applyNumberFormat="1" applyFont="1"/>
    <xf numFmtId="164" fontId="23" fillId="13" borderId="0" xfId="1" applyNumberFormat="1" applyFont="1" applyFill="1" applyAlignment="1">
      <alignment horizontal="left" vertical="top"/>
    </xf>
    <xf numFmtId="43" fontId="43" fillId="0" borderId="0" xfId="1" applyFont="1"/>
    <xf numFmtId="164" fontId="40" fillId="0" borderId="0" xfId="1" applyNumberFormat="1" applyFont="1" applyAlignment="1">
      <alignment horizontal="left"/>
    </xf>
    <xf numFmtId="164" fontId="43" fillId="0" borderId="0" xfId="1" applyNumberFormat="1" applyFont="1"/>
    <xf numFmtId="164" fontId="1" fillId="0" borderId="2" xfId="1" applyNumberFormat="1" applyFont="1" applyBorder="1"/>
    <xf numFmtId="44" fontId="1" fillId="16" borderId="2" xfId="2" applyFont="1" applyFill="1" applyBorder="1"/>
    <xf numFmtId="164" fontId="18" fillId="0" borderId="2" xfId="1" applyNumberFormat="1" applyFont="1" applyBorder="1"/>
    <xf numFmtId="44" fontId="18" fillId="16" borderId="0" xfId="2" applyFont="1" applyFill="1"/>
    <xf numFmtId="44" fontId="22" fillId="16" borderId="2" xfId="2" applyFont="1" applyFill="1" applyBorder="1"/>
    <xf numFmtId="49" fontId="1" fillId="1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164" fontId="30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0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23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23" fillId="0" borderId="0" xfId="1" applyNumberFormat="1" applyFont="1" applyAlignment="1"/>
    <xf numFmtId="44" fontId="22" fillId="15" borderId="0" xfId="2" applyFont="1" applyFill="1" applyAlignment="1"/>
    <xf numFmtId="164" fontId="42" fillId="0" borderId="0" xfId="1" applyNumberFormat="1" applyFont="1" applyAlignment="1">
      <alignment horizontal="left"/>
    </xf>
    <xf numFmtId="44" fontId="30" fillId="0" borderId="0" xfId="2" applyFont="1"/>
    <xf numFmtId="164" fontId="23" fillId="0" borderId="2" xfId="1" applyNumberFormat="1" applyFont="1" applyBorder="1" applyAlignment="1">
      <alignment horizontal="left" indent="3"/>
    </xf>
    <xf numFmtId="44" fontId="1" fillId="15" borderId="2" xfId="2" applyFont="1" applyFill="1" applyBorder="1"/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164" fontId="23" fillId="0" borderId="3" xfId="1" applyNumberFormat="1" applyFont="1" applyBorder="1" applyAlignment="1"/>
    <xf numFmtId="44" fontId="3" fillId="0" borderId="10" xfId="2" applyFont="1" applyBorder="1"/>
    <xf numFmtId="164" fontId="30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164" fontId="2" fillId="0" borderId="0" xfId="1" applyNumberFormat="1" applyFont="1" applyAlignment="1">
      <alignment horizontal="left"/>
    </xf>
    <xf numFmtId="44" fontId="23" fillId="0" borderId="2" xfId="2" applyFont="1" applyBorder="1"/>
    <xf numFmtId="164" fontId="23" fillId="0" borderId="2" xfId="1" applyNumberFormat="1" applyFont="1" applyBorder="1" applyAlignment="1"/>
    <xf numFmtId="164" fontId="30" fillId="0" borderId="0" xfId="1" applyNumberFormat="1" applyFont="1" applyAlignment="1">
      <alignment horizontal="left" indent="1"/>
    </xf>
    <xf numFmtId="43" fontId="30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0" fillId="0" borderId="3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0" fillId="0" borderId="3" xfId="1" applyNumberFormat="1" applyFont="1" applyBorder="1" applyAlignment="1">
      <alignment horizontal="right"/>
    </xf>
    <xf numFmtId="43" fontId="30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3" fillId="13" borderId="0" xfId="1" applyNumberFormat="1" applyFont="1" applyFill="1"/>
    <xf numFmtId="44" fontId="3" fillId="16" borderId="0" xfId="2" applyFont="1" applyFill="1"/>
    <xf numFmtId="44" fontId="30" fillId="17" borderId="0" xfId="2" applyFont="1" applyFill="1"/>
    <xf numFmtId="44" fontId="3" fillId="15" borderId="0" xfId="2" applyFont="1" applyFill="1"/>
    <xf numFmtId="44" fontId="30" fillId="15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2" fillId="8" borderId="3" xfId="1" applyNumberFormat="1" applyFont="1" applyFill="1" applyBorder="1"/>
    <xf numFmtId="164" fontId="44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5" fillId="0" borderId="0" xfId="1" applyNumberFormat="1" applyFont="1" applyAlignment="1">
      <alignment horizontal="left" wrapText="1"/>
    </xf>
    <xf numFmtId="43" fontId="30" fillId="0" borderId="0" xfId="1" applyNumberFormat="1" applyFont="1" applyAlignment="1">
      <alignment horizontal="left"/>
    </xf>
    <xf numFmtId="164" fontId="44" fillId="0" borderId="0" xfId="1" applyNumberFormat="1" applyFont="1"/>
    <xf numFmtId="43" fontId="3" fillId="0" borderId="0" xfId="1" applyNumberFormat="1" applyFont="1" applyAlignment="1">
      <alignment horizontal="left"/>
    </xf>
    <xf numFmtId="43" fontId="2" fillId="19" borderId="3" xfId="1" applyNumberFormat="1" applyFont="1" applyFill="1" applyBorder="1" applyAlignment="1">
      <alignment horizontal="left"/>
    </xf>
    <xf numFmtId="164" fontId="30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0" fillId="0" borderId="0" xfId="1" applyFont="1"/>
    <xf numFmtId="49" fontId="3" fillId="13" borderId="0" xfId="0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0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30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1" fillId="0" borderId="0" xfId="4"/>
    <xf numFmtId="0" fontId="1" fillId="0" borderId="0" xfId="4" applyFill="1"/>
    <xf numFmtId="164" fontId="30" fillId="0" borderId="0" xfId="5" applyNumberFormat="1" applyFont="1" applyFill="1"/>
    <xf numFmtId="0" fontId="1" fillId="0" borderId="0" xfId="4" applyFill="1" applyAlignment="1">
      <alignment horizontal="center"/>
    </xf>
    <xf numFmtId="44" fontId="1" fillId="0" borderId="0" xfId="4" applyNumberFormat="1" applyFill="1"/>
    <xf numFmtId="0" fontId="1" fillId="0" borderId="0" xfId="4" applyFont="1" applyFill="1" applyBorder="1"/>
    <xf numFmtId="0" fontId="1" fillId="0" borderId="0" xfId="4" applyFont="1" applyFill="1"/>
    <xf numFmtId="0" fontId="22" fillId="0" borderId="0" xfId="4" applyFont="1" applyFill="1" applyAlignment="1">
      <alignment horizontal="center"/>
    </xf>
    <xf numFmtId="0" fontId="22" fillId="0" borderId="9" xfId="4" applyFont="1" applyFill="1" applyBorder="1" applyAlignment="1">
      <alignment horizontal="center"/>
    </xf>
    <xf numFmtId="0" fontId="3" fillId="0" borderId="0" xfId="4" applyFont="1" applyFill="1" applyAlignment="1">
      <alignment horizontal="right"/>
    </xf>
    <xf numFmtId="44" fontId="3" fillId="0" borderId="0" xfId="4" applyNumberFormat="1" applyFont="1" applyFill="1" applyAlignment="1">
      <alignment horizontal="right"/>
    </xf>
    <xf numFmtId="164" fontId="1" fillId="0" borderId="0" xfId="5" applyNumberFormat="1" applyFont="1" applyFill="1"/>
    <xf numFmtId="44" fontId="3" fillId="0" borderId="0" xfId="4" applyNumberFormat="1" applyFont="1" applyFill="1"/>
    <xf numFmtId="44" fontId="3" fillId="0" borderId="4" xfId="4" applyNumberFormat="1" applyFont="1" applyFill="1" applyBorder="1"/>
    <xf numFmtId="0" fontId="3" fillId="0" borderId="0" xfId="4" applyFont="1" applyFill="1"/>
    <xf numFmtId="49" fontId="32" fillId="0" borderId="4" xfId="4" applyNumberFormat="1" applyFont="1" applyFill="1" applyBorder="1" applyAlignment="1">
      <alignment horizontal="center"/>
    </xf>
    <xf numFmtId="49" fontId="32" fillId="0" borderId="0" xfId="4" applyNumberFormat="1" applyFont="1" applyFill="1" applyAlignment="1">
      <alignment horizontal="center"/>
    </xf>
    <xf numFmtId="44" fontId="22" fillId="0" borderId="4" xfId="4" applyNumberFormat="1" applyFont="1" applyFill="1" applyBorder="1" applyAlignment="1">
      <alignment horizontal="center"/>
    </xf>
    <xf numFmtId="44" fontId="3" fillId="0" borderId="7" xfId="4" applyNumberFormat="1" applyFont="1" applyFill="1" applyBorder="1" applyAlignment="1">
      <alignment horizontal="left"/>
    </xf>
    <xf numFmtId="44" fontId="3" fillId="0" borderId="0" xfId="4" applyNumberFormat="1" applyFont="1" applyFill="1" applyAlignment="1">
      <alignment horizontal="center"/>
    </xf>
    <xf numFmtId="0" fontId="3" fillId="0" borderId="4" xfId="4" applyFont="1" applyFill="1" applyBorder="1"/>
    <xf numFmtId="0" fontId="3" fillId="0" borderId="7" xfId="4" applyFont="1" applyFill="1" applyBorder="1"/>
    <xf numFmtId="44" fontId="2" fillId="0" borderId="3" xfId="4" applyNumberFormat="1" applyFont="1" applyFill="1" applyBorder="1"/>
    <xf numFmtId="44" fontId="2" fillId="0" borderId="8" xfId="4" applyNumberFormat="1" applyFont="1" applyFill="1" applyBorder="1"/>
    <xf numFmtId="0" fontId="8" fillId="0" borderId="3" xfId="4" applyFont="1" applyFill="1" applyBorder="1"/>
    <xf numFmtId="0" fontId="2" fillId="0" borderId="3" xfId="4" applyFont="1" applyFill="1" applyBorder="1" applyAlignment="1">
      <alignment horizontal="left" indent="1"/>
    </xf>
    <xf numFmtId="44" fontId="3" fillId="0" borderId="0" xfId="6" applyFont="1" applyFill="1"/>
    <xf numFmtId="44" fontId="3" fillId="0" borderId="4" xfId="6" applyFont="1" applyFill="1" applyBorder="1"/>
    <xf numFmtId="0" fontId="1" fillId="0" borderId="2" xfId="4" applyFont="1" applyFill="1" applyBorder="1"/>
    <xf numFmtId="0" fontId="3" fillId="0" borderId="2" xfId="4" applyFont="1" applyFill="1" applyBorder="1" applyAlignment="1">
      <alignment horizontal="left" indent="1"/>
    </xf>
    <xf numFmtId="0" fontId="1" fillId="0" borderId="0" xfId="4" applyFont="1" applyFill="1" applyAlignment="1">
      <alignment horizontal="left"/>
    </xf>
    <xf numFmtId="0" fontId="3" fillId="0" borderId="7" xfId="6" applyNumberFormat="1" applyFont="1" applyFill="1" applyBorder="1" applyAlignment="1">
      <alignment horizontal="left"/>
    </xf>
    <xf numFmtId="44" fontId="3" fillId="0" borderId="7" xfId="6" applyFont="1" applyFill="1" applyBorder="1"/>
    <xf numFmtId="44" fontId="3" fillId="0" borderId="0" xfId="6" applyFont="1" applyFill="1" applyBorder="1"/>
    <xf numFmtId="0" fontId="3" fillId="0" borderId="0" xfId="4" applyFont="1" applyFill="1" applyAlignment="1">
      <alignment horizontal="left" indent="1"/>
    </xf>
    <xf numFmtId="44" fontId="3" fillId="0" borderId="6" xfId="6" applyFont="1" applyFill="1" applyBorder="1"/>
    <xf numFmtId="44" fontId="3" fillId="0" borderId="2" xfId="4" applyNumberFormat="1" applyFont="1" applyFill="1" applyBorder="1"/>
    <xf numFmtId="44" fontId="3" fillId="0" borderId="5" xfId="6" applyFont="1" applyFill="1" applyBorder="1"/>
    <xf numFmtId="44" fontId="3" fillId="0" borderId="2" xfId="6" applyFont="1" applyFill="1" applyBorder="1"/>
    <xf numFmtId="44" fontId="3" fillId="0" borderId="0" xfId="4" applyNumberFormat="1" applyFont="1" applyFill="1" applyBorder="1" applyAlignment="1">
      <alignment horizontal="center"/>
    </xf>
    <xf numFmtId="44" fontId="3" fillId="0" borderId="4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8" fillId="0" borderId="2" xfId="4" applyFont="1" applyFill="1" applyBorder="1"/>
    <xf numFmtId="0" fontId="3" fillId="0" borderId="2" xfId="4" applyFont="1" applyFill="1" applyBorder="1"/>
    <xf numFmtId="0" fontId="32" fillId="0" borderId="0" xfId="4" applyFont="1" applyFill="1" applyBorder="1" applyAlignment="1">
      <alignment horizontal="center"/>
    </xf>
    <xf numFmtId="0" fontId="32" fillId="0" borderId="4" xfId="4" applyFont="1" applyFill="1" applyBorder="1" applyAlignment="1">
      <alignment horizontal="center"/>
    </xf>
    <xf numFmtId="0" fontId="8" fillId="0" borderId="0" xfId="4" applyFont="1" applyFill="1" applyBorder="1"/>
    <xf numFmtId="0" fontId="1" fillId="0" borderId="2" xfId="4" applyFill="1" applyBorder="1" applyAlignment="1">
      <alignment horizontal="center"/>
    </xf>
    <xf numFmtId="0" fontId="1" fillId="0" borderId="1" xfId="4" applyFill="1" applyBorder="1" applyAlignment="1">
      <alignment horizontal="center"/>
    </xf>
    <xf numFmtId="169" fontId="31" fillId="0" borderId="0" xfId="4" applyNumberFormat="1" applyFont="1" applyFill="1" applyBorder="1" applyAlignment="1"/>
    <xf numFmtId="169" fontId="31" fillId="0" borderId="0" xfId="4" applyNumberFormat="1" applyFont="1" applyFill="1" applyBorder="1" applyAlignment="1">
      <alignment horizontal="left"/>
    </xf>
    <xf numFmtId="0" fontId="31" fillId="0" borderId="0" xfId="4" applyFont="1" applyFill="1"/>
    <xf numFmtId="0" fontId="8" fillId="0" borderId="0" xfId="4" applyFont="1" applyFill="1" applyAlignment="1">
      <alignment horizontal="center" vertical="center"/>
    </xf>
    <xf numFmtId="0" fontId="31" fillId="0" borderId="0" xfId="4" applyFont="1" applyFill="1" applyAlignment="1">
      <alignment horizontal="right"/>
    </xf>
    <xf numFmtId="0" fontId="31" fillId="0" borderId="0" xfId="4" applyFont="1" applyFill="1" applyAlignment="1"/>
    <xf numFmtId="49" fontId="8" fillId="2" borderId="2" xfId="1" applyNumberFormat="1" applyFont="1" applyFill="1" applyBorder="1" applyAlignment="1">
      <alignment horizontal="left"/>
    </xf>
    <xf numFmtId="169" fontId="22" fillId="0" borderId="0" xfId="1" applyNumberFormat="1" applyFont="1" applyBorder="1" applyAlignment="1">
      <alignment horizontal="center"/>
    </xf>
    <xf numFmtId="164" fontId="35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169" fontId="36" fillId="0" borderId="0" xfId="1" applyNumberFormat="1" applyFont="1" applyBorder="1" applyAlignment="1">
      <alignment horizontal="left"/>
    </xf>
    <xf numFmtId="164" fontId="31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1" fillId="0" borderId="2" xfId="4" applyFill="1" applyBorder="1" applyAlignment="1">
      <alignment horizontal="center"/>
    </xf>
  </cellXfs>
  <cellStyles count="7">
    <cellStyle name="Comma" xfId="1" builtinId="3"/>
    <cellStyle name="Comma 3" xfId="5"/>
    <cellStyle name="Currency" xfId="2" builtinId="4"/>
    <cellStyle name="Currency 3" xfId="6"/>
    <cellStyle name="Normal" xfId="0" builtinId="0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3-2018\WA\UG-171010%20CNGC%20Monthly%20PGA%20Rpt%20March%202018,%204.27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Library/GSI_SSJDE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3-2018\Core%20GC%20Allocations%203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4.2500000000000003E-2</v>
          </cell>
          <cell r="C73">
            <v>30</v>
          </cell>
        </row>
        <row r="74">
          <cell r="A74">
            <v>43251</v>
          </cell>
          <cell r="B74">
            <v>4.2500000000000003E-2</v>
          </cell>
          <cell r="C74">
            <v>31</v>
          </cell>
        </row>
        <row r="75">
          <cell r="A75">
            <v>43281</v>
          </cell>
          <cell r="B75">
            <v>4.2500000000000003E-2</v>
          </cell>
          <cell r="C75">
            <v>30</v>
          </cell>
        </row>
        <row r="76">
          <cell r="A76">
            <v>43312</v>
          </cell>
          <cell r="B76">
            <v>4.2500000000000003E-2</v>
          </cell>
          <cell r="C76">
            <v>31</v>
          </cell>
        </row>
        <row r="77">
          <cell r="A77">
            <v>43343</v>
          </cell>
          <cell r="B77">
            <v>4.2500000000000003E-2</v>
          </cell>
          <cell r="C77">
            <v>31</v>
          </cell>
        </row>
        <row r="78">
          <cell r="A78">
            <v>43373</v>
          </cell>
          <cell r="B78">
            <v>4.2500000000000003E-2</v>
          </cell>
          <cell r="C78">
            <v>30</v>
          </cell>
        </row>
        <row r="79">
          <cell r="A79">
            <v>43404</v>
          </cell>
          <cell r="B79">
            <v>4.2500000000000003E-2</v>
          </cell>
          <cell r="C79">
            <v>31</v>
          </cell>
        </row>
        <row r="80">
          <cell r="A80">
            <v>43434</v>
          </cell>
          <cell r="B80">
            <v>4.2500000000000003E-2</v>
          </cell>
          <cell r="C80">
            <v>30</v>
          </cell>
        </row>
        <row r="81">
          <cell r="A81">
            <v>43465</v>
          </cell>
          <cell r="B81">
            <v>4.2500000000000003E-2</v>
          </cell>
          <cell r="C81">
            <v>31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 Old Rates"/>
      <sheetName val="WA Rates"/>
      <sheetName val="OR Rates 2015"/>
      <sheetName val="OR Deferrals Incl true-up 2"/>
      <sheetName val="OR Rates Old Rates"/>
      <sheetName val="OR Rates"/>
      <sheetName val="Core Cost Incurr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48">
          <cell r="J48">
            <v>7338968.0800000019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43184</v>
          </cell>
        </row>
        <row r="42">
          <cell r="J42">
            <v>6332188.7199999997</v>
          </cell>
        </row>
        <row r="43">
          <cell r="J43">
            <v>3902861.8399999994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F63"/>
  <sheetViews>
    <sheetView showGridLines="0" zoomScaleNormal="100" zoomScaleSheetLayoutView="100" workbookViewId="0">
      <pane xSplit="5" topLeftCell="F1" activePane="topRight" state="frozen"/>
      <selection pane="topRight" activeCell="Y33" sqref="Y33"/>
    </sheetView>
  </sheetViews>
  <sheetFormatPr defaultRowHeight="14.1" customHeight="1" x14ac:dyDescent="0.25"/>
  <cols>
    <col min="1" max="1" width="2.7109375" style="88" customWidth="1"/>
    <col min="2" max="2" width="5.5703125" style="88" customWidth="1"/>
    <col min="3" max="3" width="6.42578125" style="88" customWidth="1"/>
    <col min="4" max="4" width="7.5703125" style="100" customWidth="1"/>
    <col min="5" max="5" width="29.5703125" style="74" customWidth="1"/>
    <col min="6" max="6" width="11.140625" style="74" bestFit="1" customWidth="1"/>
    <col min="7" max="7" width="14.5703125" style="91" bestFit="1" customWidth="1"/>
    <col min="8" max="8" width="2.7109375" style="74" customWidth="1"/>
    <col min="9" max="9" width="12.7109375" style="74" bestFit="1" customWidth="1"/>
    <col min="10" max="10" width="16.85546875" style="91" bestFit="1" customWidth="1"/>
    <col min="11" max="11" width="2.7109375" style="74" customWidth="1"/>
    <col min="12" max="12" width="13.42578125" style="74" bestFit="1" customWidth="1"/>
    <col min="13" max="13" width="16.28515625" style="91" customWidth="1"/>
    <col min="14" max="14" width="3" style="74" customWidth="1"/>
    <col min="15" max="15" width="12.85546875" style="74" bestFit="1" customWidth="1"/>
    <col min="16" max="16" width="17.42578125" style="74" customWidth="1"/>
    <col min="17" max="17" width="3.7109375" style="74" customWidth="1"/>
    <col min="18" max="18" width="12.85546875" style="74" bestFit="1" customWidth="1"/>
    <col min="19" max="19" width="16.85546875" style="74" customWidth="1"/>
    <col min="20" max="20" width="3.5703125" style="74" customWidth="1"/>
    <col min="21" max="21" width="9.5703125" style="74" bestFit="1" customWidth="1"/>
    <col min="22" max="22" width="16" style="74" bestFit="1" customWidth="1"/>
    <col min="23" max="23" width="1.7109375" style="74" hidden="1" customWidth="1"/>
    <col min="24" max="24" width="10" style="74" bestFit="1" customWidth="1"/>
    <col min="25" max="25" width="14.7109375" style="74" bestFit="1" customWidth="1"/>
    <col min="26" max="26" width="1.7109375" style="74" hidden="1" customWidth="1"/>
    <col min="27" max="28" width="15.7109375" style="74" hidden="1" customWidth="1"/>
    <col min="29" max="29" width="2.140625" style="74" customWidth="1"/>
    <col min="30" max="30" width="11.42578125" style="74" bestFit="1" customWidth="1"/>
    <col min="31" max="31" width="10.7109375" style="74" bestFit="1" customWidth="1"/>
    <col min="32" max="32" width="13.7109375" style="74" bestFit="1" customWidth="1"/>
    <col min="33" max="16384" width="9.140625" style="74"/>
  </cols>
  <sheetData>
    <row r="1" spans="1:32" ht="15.75" customHeight="1" x14ac:dyDescent="0.25">
      <c r="A1" s="87" t="s">
        <v>132</v>
      </c>
      <c r="C1" s="89"/>
      <c r="D1" s="89"/>
      <c r="E1" s="89"/>
      <c r="F1" s="90"/>
      <c r="H1" s="92"/>
      <c r="J1" s="93"/>
      <c r="N1" s="92"/>
      <c r="O1" s="86"/>
      <c r="P1" s="94"/>
      <c r="Q1" s="86"/>
      <c r="R1" s="86"/>
      <c r="S1" s="86"/>
      <c r="T1" s="92"/>
      <c r="V1" s="298">
        <f>A2-31</f>
        <v>43153</v>
      </c>
      <c r="W1" s="298"/>
      <c r="X1" s="298"/>
    </row>
    <row r="2" spans="1:32" ht="15" customHeight="1" x14ac:dyDescent="0.25">
      <c r="A2" s="301">
        <v>43184</v>
      </c>
      <c r="B2" s="301"/>
      <c r="C2" s="301"/>
      <c r="D2" s="301"/>
      <c r="F2" s="302" t="s">
        <v>95</v>
      </c>
      <c r="G2" s="302"/>
      <c r="H2" s="92"/>
      <c r="I2" s="303" t="s">
        <v>133</v>
      </c>
      <c r="J2" s="303"/>
      <c r="K2" s="303"/>
      <c r="L2" s="303"/>
      <c r="M2" s="303"/>
      <c r="N2" s="92"/>
      <c r="O2" s="304" t="s">
        <v>134</v>
      </c>
      <c r="P2" s="304"/>
      <c r="Q2" s="304"/>
      <c r="R2" s="304"/>
      <c r="S2" s="304"/>
      <c r="T2" s="92"/>
      <c r="V2" s="304" t="s">
        <v>135</v>
      </c>
      <c r="W2" s="304"/>
      <c r="X2" s="304"/>
    </row>
    <row r="3" spans="1:32" ht="15" x14ac:dyDescent="0.25">
      <c r="D3" s="95"/>
      <c r="G3" s="96"/>
      <c r="H3" s="92"/>
      <c r="J3" s="93"/>
      <c r="N3" s="92"/>
      <c r="T3" s="97"/>
      <c r="V3" s="298">
        <f>A2</f>
        <v>43184</v>
      </c>
      <c r="W3" s="298"/>
      <c r="X3" s="298"/>
      <c r="Y3" s="98"/>
      <c r="AA3" s="299" t="s">
        <v>136</v>
      </c>
      <c r="AB3" s="299"/>
      <c r="AC3" s="99"/>
    </row>
    <row r="4" spans="1:32" ht="16.5" customHeight="1" x14ac:dyDescent="0.25">
      <c r="E4" s="101" t="s">
        <v>137</v>
      </c>
      <c r="H4" s="92"/>
      <c r="I4" s="300" t="s">
        <v>138</v>
      </c>
      <c r="J4" s="300"/>
      <c r="K4" s="102"/>
      <c r="L4" s="300" t="s">
        <v>139</v>
      </c>
      <c r="M4" s="300"/>
      <c r="N4" s="103"/>
      <c r="O4" s="300" t="s">
        <v>138</v>
      </c>
      <c r="P4" s="300"/>
      <c r="Q4" s="102"/>
      <c r="R4" s="300" t="s">
        <v>139</v>
      </c>
      <c r="S4" s="300"/>
      <c r="T4" s="103"/>
      <c r="U4" s="300" t="s">
        <v>138</v>
      </c>
      <c r="V4" s="300"/>
      <c r="W4" s="102"/>
      <c r="X4" s="300" t="s">
        <v>139</v>
      </c>
      <c r="Y4" s="300"/>
      <c r="AA4" s="104" t="s">
        <v>101</v>
      </c>
      <c r="AB4" s="104" t="s">
        <v>105</v>
      </c>
      <c r="AC4" s="104"/>
    </row>
    <row r="5" spans="1:32" s="58" customFormat="1" ht="15.75" customHeight="1" x14ac:dyDescent="0.2">
      <c r="A5" s="297" t="s">
        <v>140</v>
      </c>
      <c r="B5" s="297"/>
      <c r="C5" s="297"/>
      <c r="D5" s="297"/>
      <c r="E5" s="105"/>
      <c r="F5" s="106" t="s">
        <v>122</v>
      </c>
      <c r="G5" s="107" t="s">
        <v>141</v>
      </c>
      <c r="H5" s="92"/>
      <c r="I5" s="108" t="s">
        <v>122</v>
      </c>
      <c r="J5" s="109" t="s">
        <v>141</v>
      </c>
      <c r="K5" s="110"/>
      <c r="L5" s="108" t="s">
        <v>122</v>
      </c>
      <c r="M5" s="109" t="s">
        <v>141</v>
      </c>
      <c r="N5" s="92"/>
      <c r="O5" s="106" t="s">
        <v>122</v>
      </c>
      <c r="P5" s="107" t="s">
        <v>141</v>
      </c>
      <c r="Q5" s="110"/>
      <c r="R5" s="108" t="s">
        <v>122</v>
      </c>
      <c r="S5" s="109" t="s">
        <v>141</v>
      </c>
      <c r="T5" s="92"/>
      <c r="U5" s="108" t="s">
        <v>142</v>
      </c>
      <c r="V5" s="111" t="s">
        <v>141</v>
      </c>
      <c r="W5" s="110"/>
      <c r="X5" s="112" t="s">
        <v>142</v>
      </c>
      <c r="Y5" s="111" t="s">
        <v>141</v>
      </c>
      <c r="AA5" s="113" t="s">
        <v>141</v>
      </c>
      <c r="AB5" s="113" t="s">
        <v>141</v>
      </c>
      <c r="AC5" s="113"/>
    </row>
    <row r="6" spans="1:32" ht="14.25" customHeight="1" x14ac:dyDescent="0.25">
      <c r="A6" s="114" t="s">
        <v>143</v>
      </c>
      <c r="B6" s="115">
        <v>6011</v>
      </c>
      <c r="C6" s="115">
        <v>28040</v>
      </c>
      <c r="D6" s="116">
        <v>671010</v>
      </c>
      <c r="E6" s="58" t="s">
        <v>144</v>
      </c>
      <c r="F6" s="117" t="s">
        <v>145</v>
      </c>
      <c r="G6" s="118">
        <f>J6+M6</f>
        <v>342142.5</v>
      </c>
      <c r="H6" s="92"/>
      <c r="I6" s="119"/>
      <c r="J6" s="120">
        <f>+P6+V6</f>
        <v>41946.67</v>
      </c>
      <c r="K6" s="121" t="s">
        <v>146</v>
      </c>
      <c r="L6" s="119"/>
      <c r="M6" s="120">
        <f>+S6+Y6</f>
        <v>300195.83</v>
      </c>
      <c r="N6" s="92" t="s">
        <v>146</v>
      </c>
      <c r="O6" s="119"/>
      <c r="P6" s="122">
        <v>41946.67</v>
      </c>
      <c r="Q6" s="58"/>
      <c r="R6" s="119"/>
      <c r="S6" s="122">
        <v>300195.83</v>
      </c>
      <c r="T6" s="92"/>
      <c r="U6" s="123"/>
      <c r="V6" s="124"/>
      <c r="X6" s="90"/>
      <c r="Y6" s="124"/>
      <c r="AD6" s="125">
        <v>671010</v>
      </c>
    </row>
    <row r="7" spans="1:32" ht="14.25" customHeight="1" x14ac:dyDescent="0.25">
      <c r="A7" s="114" t="s">
        <v>143</v>
      </c>
      <c r="B7" s="115">
        <v>6011</v>
      </c>
      <c r="C7" s="115">
        <v>28040</v>
      </c>
      <c r="D7" s="116">
        <v>671030</v>
      </c>
      <c r="E7" s="58" t="s">
        <v>147</v>
      </c>
      <c r="F7" s="117" t="s">
        <v>145</v>
      </c>
      <c r="G7" s="118">
        <f t="shared" ref="G7:G13" si="0">+J7+M7</f>
        <v>362119.04</v>
      </c>
      <c r="H7" s="92"/>
      <c r="I7" s="119"/>
      <c r="J7" s="120">
        <f>+P7+V7</f>
        <v>205919.88999999998</v>
      </c>
      <c r="K7" s="121" t="s">
        <v>146</v>
      </c>
      <c r="L7" s="119"/>
      <c r="M7" s="120">
        <f>+S7+Y7</f>
        <v>156199.15</v>
      </c>
      <c r="N7" s="92" t="s">
        <v>146</v>
      </c>
      <c r="O7" s="119"/>
      <c r="P7" s="122">
        <v>198949.61</v>
      </c>
      <c r="Q7" s="58"/>
      <c r="R7" s="119"/>
      <c r="S7" s="122">
        <v>153278.74</v>
      </c>
      <c r="T7" s="92"/>
      <c r="U7" s="123"/>
      <c r="V7" s="122">
        <v>6970.28</v>
      </c>
      <c r="W7" s="126"/>
      <c r="X7" s="127"/>
      <c r="Y7" s="122">
        <v>2920.41</v>
      </c>
      <c r="AD7" s="125">
        <v>671030</v>
      </c>
    </row>
    <row r="8" spans="1:32" ht="14.25" customHeight="1" x14ac:dyDescent="0.25">
      <c r="A8" s="114" t="s">
        <v>143</v>
      </c>
      <c r="B8" s="115">
        <v>6011</v>
      </c>
      <c r="C8" s="115">
        <v>28040</v>
      </c>
      <c r="D8" s="116">
        <v>671050</v>
      </c>
      <c r="E8" s="58" t="s">
        <v>148</v>
      </c>
      <c r="F8" s="128">
        <f t="shared" ref="F8:F14" si="1">+I8+L8</f>
        <v>36224620</v>
      </c>
      <c r="G8" s="118">
        <f t="shared" si="0"/>
        <v>8044902.7599999998</v>
      </c>
      <c r="H8" s="92"/>
      <c r="I8" s="129">
        <f>+O8+U8</f>
        <v>26354969</v>
      </c>
      <c r="J8" s="130">
        <f>+P8+V8</f>
        <v>6190587.46</v>
      </c>
      <c r="K8" s="121" t="s">
        <v>149</v>
      </c>
      <c r="L8" s="58">
        <f>+R8+X8</f>
        <v>9869651</v>
      </c>
      <c r="M8" s="131">
        <f>+S8+Y8</f>
        <v>1854315.3</v>
      </c>
      <c r="N8" s="92" t="s">
        <v>149</v>
      </c>
      <c r="O8" s="132">
        <v>26351986</v>
      </c>
      <c r="P8" s="133">
        <v>6201515.4299999997</v>
      </c>
      <c r="Q8" s="58"/>
      <c r="R8" s="132">
        <v>9870454</v>
      </c>
      <c r="S8" s="133">
        <v>1856409.48</v>
      </c>
      <c r="T8" s="92"/>
      <c r="U8" s="134">
        <v>2983</v>
      </c>
      <c r="V8" s="133">
        <v>-10927.97</v>
      </c>
      <c r="W8" s="126"/>
      <c r="X8" s="135">
        <v>-803</v>
      </c>
      <c r="Y8" s="133">
        <v>-2094.1799999999998</v>
      </c>
      <c r="AA8" s="136">
        <v>0</v>
      </c>
      <c r="AB8" s="136">
        <v>0</v>
      </c>
      <c r="AD8" s="137">
        <v>671050</v>
      </c>
    </row>
    <row r="9" spans="1:32" ht="14.25" customHeight="1" x14ac:dyDescent="0.25">
      <c r="A9" s="114" t="s">
        <v>143</v>
      </c>
      <c r="B9" s="115">
        <v>6011</v>
      </c>
      <c r="C9" s="115">
        <v>28040</v>
      </c>
      <c r="D9" s="116">
        <v>671051</v>
      </c>
      <c r="E9" s="58" t="s">
        <v>150</v>
      </c>
      <c r="F9" s="117" t="s">
        <v>145</v>
      </c>
      <c r="G9" s="118">
        <f t="shared" si="0"/>
        <v>0</v>
      </c>
      <c r="H9" s="92"/>
      <c r="I9" s="138"/>
      <c r="J9" s="131">
        <f t="shared" ref="I9:J14" si="2">+P9+V9</f>
        <v>0</v>
      </c>
      <c r="K9" s="121" t="s">
        <v>149</v>
      </c>
      <c r="L9" s="139"/>
      <c r="M9" s="131">
        <f>+S9+Y9</f>
        <v>0</v>
      </c>
      <c r="N9" s="92" t="s">
        <v>149</v>
      </c>
      <c r="O9" s="119"/>
      <c r="P9" s="140"/>
      <c r="Q9" s="58"/>
      <c r="R9" s="119"/>
      <c r="S9" s="140"/>
      <c r="T9" s="92"/>
      <c r="U9" s="141"/>
      <c r="V9" s="140"/>
      <c r="W9" s="90"/>
      <c r="X9" s="142"/>
      <c r="Y9" s="140"/>
      <c r="AD9" s="137">
        <v>671051</v>
      </c>
    </row>
    <row r="10" spans="1:32" ht="14.25" customHeight="1" x14ac:dyDescent="0.25">
      <c r="A10" s="114" t="s">
        <v>143</v>
      </c>
      <c r="B10" s="115">
        <v>6011</v>
      </c>
      <c r="C10" s="115">
        <v>28040</v>
      </c>
      <c r="D10" s="116">
        <v>671070</v>
      </c>
      <c r="E10" s="58" t="s">
        <v>151</v>
      </c>
      <c r="F10" s="128">
        <f t="shared" si="1"/>
        <v>-1114310</v>
      </c>
      <c r="G10" s="118">
        <f>+J10+M10</f>
        <v>-210591.97</v>
      </c>
      <c r="H10" s="92"/>
      <c r="I10" s="129">
        <f t="shared" si="2"/>
        <v>-812436</v>
      </c>
      <c r="J10" s="131">
        <f t="shared" si="2"/>
        <v>-152481.75</v>
      </c>
      <c r="K10" s="121" t="s">
        <v>149</v>
      </c>
      <c r="L10" s="58">
        <f>+R10+X10</f>
        <v>-301874</v>
      </c>
      <c r="M10" s="131">
        <f>+S10+Y10</f>
        <v>-58110.219999999994</v>
      </c>
      <c r="N10" s="143" t="s">
        <v>149</v>
      </c>
      <c r="O10" s="132">
        <f>+-1028884+216448</f>
        <v>-812436</v>
      </c>
      <c r="P10" s="144">
        <f>+-234672.26+82190.51</f>
        <v>-152481.75</v>
      </c>
      <c r="Q10" s="58"/>
      <c r="R10" s="132">
        <f>+-372716+70842</f>
        <v>-301874</v>
      </c>
      <c r="S10" s="133">
        <f>+-85010.68+26900.46</f>
        <v>-58110.219999999994</v>
      </c>
      <c r="T10" s="92"/>
      <c r="U10" s="141"/>
      <c r="V10" s="140"/>
      <c r="W10" s="90">
        <v>0</v>
      </c>
      <c r="X10" s="142"/>
      <c r="Y10" s="140"/>
      <c r="AD10" s="137">
        <v>671070</v>
      </c>
    </row>
    <row r="11" spans="1:32" ht="14.25" customHeight="1" x14ac:dyDescent="0.25">
      <c r="A11" s="145" t="s">
        <v>143</v>
      </c>
      <c r="B11" s="146">
        <v>6011</v>
      </c>
      <c r="C11" s="146">
        <v>28081</v>
      </c>
      <c r="D11" s="147">
        <v>671050</v>
      </c>
      <c r="E11" s="148" t="s">
        <v>152</v>
      </c>
      <c r="F11" s="128">
        <f t="shared" si="1"/>
        <v>1622775</v>
      </c>
      <c r="G11" s="118">
        <f t="shared" si="0"/>
        <v>458488.02</v>
      </c>
      <c r="H11" s="92"/>
      <c r="I11" s="129">
        <f t="shared" si="2"/>
        <v>1423823</v>
      </c>
      <c r="J11" s="131">
        <f t="shared" si="2"/>
        <v>402277.39</v>
      </c>
      <c r="K11" s="121" t="s">
        <v>149</v>
      </c>
      <c r="L11" s="58">
        <f t="shared" ref="L11:M14" si="3">+R11+X11</f>
        <v>198952</v>
      </c>
      <c r="M11" s="131">
        <f t="shared" si="3"/>
        <v>56210.63</v>
      </c>
      <c r="N11" s="92" t="s">
        <v>149</v>
      </c>
      <c r="O11" s="132">
        <v>1423823</v>
      </c>
      <c r="P11" s="149">
        <v>402277.39</v>
      </c>
      <c r="Q11" s="150">
        <v>-1</v>
      </c>
      <c r="R11" s="132">
        <v>198952</v>
      </c>
      <c r="S11" s="149">
        <v>56210.63</v>
      </c>
      <c r="T11" s="151">
        <v>-4</v>
      </c>
      <c r="U11" s="141"/>
      <c r="V11" s="140"/>
      <c r="W11" s="90"/>
      <c r="X11" s="142"/>
      <c r="Y11" s="140"/>
      <c r="AD11" s="147">
        <v>671050</v>
      </c>
      <c r="AE11" s="126"/>
    </row>
    <row r="12" spans="1:32" ht="14.25" customHeight="1" x14ac:dyDescent="0.25">
      <c r="A12" s="145" t="s">
        <v>143</v>
      </c>
      <c r="B12" s="146">
        <v>6011</v>
      </c>
      <c r="C12" s="146">
        <v>28082</v>
      </c>
      <c r="D12" s="147">
        <v>671050</v>
      </c>
      <c r="E12" s="148" t="s">
        <v>153</v>
      </c>
      <c r="F12" s="128">
        <f t="shared" si="1"/>
        <v>0</v>
      </c>
      <c r="G12" s="118">
        <f t="shared" si="0"/>
        <v>0</v>
      </c>
      <c r="H12" s="92"/>
      <c r="I12" s="129">
        <f t="shared" si="2"/>
        <v>0</v>
      </c>
      <c r="J12" s="131">
        <f t="shared" si="2"/>
        <v>0</v>
      </c>
      <c r="K12" s="121" t="s">
        <v>149</v>
      </c>
      <c r="L12" s="48">
        <f t="shared" si="3"/>
        <v>0</v>
      </c>
      <c r="M12" s="131">
        <f t="shared" si="3"/>
        <v>0</v>
      </c>
      <c r="N12" s="92" t="s">
        <v>149</v>
      </c>
      <c r="O12" s="132">
        <v>0</v>
      </c>
      <c r="P12" s="149">
        <v>0</v>
      </c>
      <c r="Q12" s="150">
        <v>-2</v>
      </c>
      <c r="R12" s="152"/>
      <c r="S12" s="149"/>
      <c r="T12" s="151"/>
      <c r="U12" s="153"/>
      <c r="V12" s="140"/>
      <c r="W12" s="90"/>
      <c r="X12" s="142"/>
      <c r="Y12" s="140"/>
      <c r="AD12" s="147">
        <v>671050</v>
      </c>
      <c r="AE12" s="126"/>
      <c r="AF12" s="132"/>
    </row>
    <row r="13" spans="1:32" ht="14.25" customHeight="1" x14ac:dyDescent="0.25">
      <c r="A13" s="145" t="s">
        <v>143</v>
      </c>
      <c r="B13" s="146">
        <v>6011</v>
      </c>
      <c r="C13" s="146">
        <v>28120</v>
      </c>
      <c r="D13" s="147">
        <v>671070</v>
      </c>
      <c r="E13" s="148" t="s">
        <v>154</v>
      </c>
      <c r="F13" s="128">
        <f t="shared" si="1"/>
        <v>-31709</v>
      </c>
      <c r="G13" s="118">
        <f t="shared" si="0"/>
        <v>-8427.5400000000009</v>
      </c>
      <c r="H13" s="92"/>
      <c r="I13" s="129">
        <f t="shared" si="2"/>
        <v>-25908</v>
      </c>
      <c r="J13" s="131">
        <f>+P13+V13</f>
        <v>-7082.34</v>
      </c>
      <c r="K13" s="121" t="s">
        <v>149</v>
      </c>
      <c r="L13" s="58">
        <f t="shared" si="3"/>
        <v>-5801</v>
      </c>
      <c r="M13" s="131">
        <f t="shared" si="3"/>
        <v>-1345.2</v>
      </c>
      <c r="N13" s="92" t="s">
        <v>149</v>
      </c>
      <c r="O13" s="132">
        <v>-25908</v>
      </c>
      <c r="P13" s="149">
        <v>-7082.34</v>
      </c>
      <c r="Q13" s="150">
        <v>-3</v>
      </c>
      <c r="R13" s="154">
        <v>-5801</v>
      </c>
      <c r="S13" s="149">
        <v>-1345.2</v>
      </c>
      <c r="T13" s="151">
        <v>-5</v>
      </c>
      <c r="U13" s="141"/>
      <c r="V13" s="140"/>
      <c r="W13" s="90"/>
      <c r="X13" s="142">
        <v>0</v>
      </c>
      <c r="Y13" s="140"/>
      <c r="AD13" s="147">
        <v>671070</v>
      </c>
    </row>
    <row r="14" spans="1:32" ht="14.25" customHeight="1" x14ac:dyDescent="0.25">
      <c r="A14" s="114" t="s">
        <v>143</v>
      </c>
      <c r="B14" s="115">
        <v>6011</v>
      </c>
      <c r="C14" s="115">
        <v>28040</v>
      </c>
      <c r="D14" s="116">
        <v>671100</v>
      </c>
      <c r="E14" s="58" t="s">
        <v>155</v>
      </c>
      <c r="F14" s="128">
        <f t="shared" si="1"/>
        <v>0</v>
      </c>
      <c r="G14" s="118">
        <f>+J14+M14</f>
        <v>0</v>
      </c>
      <c r="H14" s="92"/>
      <c r="I14" s="129">
        <f>+O14+U14</f>
        <v>0</v>
      </c>
      <c r="J14" s="131">
        <f t="shared" si="2"/>
        <v>0</v>
      </c>
      <c r="K14" s="121" t="s">
        <v>149</v>
      </c>
      <c r="L14" s="155">
        <f t="shared" si="3"/>
        <v>0</v>
      </c>
      <c r="M14" s="156">
        <f t="shared" si="3"/>
        <v>0</v>
      </c>
      <c r="N14" s="92" t="s">
        <v>149</v>
      </c>
      <c r="O14" s="157"/>
      <c r="P14" s="158"/>
      <c r="Q14" s="58"/>
      <c r="R14" s="157"/>
      <c r="S14" s="140"/>
      <c r="T14" s="92"/>
      <c r="U14" s="141"/>
      <c r="V14" s="140"/>
      <c r="W14" s="90"/>
      <c r="X14" s="142"/>
      <c r="Y14" s="159"/>
      <c r="AD14" s="137">
        <v>671100</v>
      </c>
    </row>
    <row r="15" spans="1:32" ht="14.25" customHeight="1" x14ac:dyDescent="0.25">
      <c r="A15" s="114"/>
      <c r="B15" s="160"/>
      <c r="C15" s="160"/>
      <c r="D15" s="161"/>
      <c r="E15" s="162" t="s">
        <v>156</v>
      </c>
      <c r="F15" s="163">
        <f>SUM(F6:F14)</f>
        <v>36701376</v>
      </c>
      <c r="G15" s="164">
        <f>SUM(G6:G14)</f>
        <v>8988632.8100000005</v>
      </c>
      <c r="H15" s="92"/>
      <c r="I15" s="165">
        <f>SUM(I6:I14)</f>
        <v>26940448</v>
      </c>
      <c r="J15" s="82">
        <f>SUM(J6:J14)</f>
        <v>6681167.3199999994</v>
      </c>
      <c r="K15" s="121"/>
      <c r="L15" s="58">
        <f>SUM(L6:L14)</f>
        <v>9760928</v>
      </c>
      <c r="M15" s="84">
        <f>SUM(M6:M14)</f>
        <v>2307465.4899999998</v>
      </c>
      <c r="N15" s="92"/>
      <c r="O15" s="58">
        <f>SUM(O6:O14)</f>
        <v>26937465</v>
      </c>
      <c r="P15" s="166">
        <f>SUM(P6:P14)</f>
        <v>6685125.0099999998</v>
      </c>
      <c r="Q15" s="58"/>
      <c r="R15" s="58">
        <f>SUM(R6:R14)</f>
        <v>9761731</v>
      </c>
      <c r="S15" s="166">
        <f>SUM(S6:S14)</f>
        <v>2306639.2599999993</v>
      </c>
      <c r="T15" s="92"/>
      <c r="U15" s="167">
        <f>+SUM(U6:U14)</f>
        <v>2983</v>
      </c>
      <c r="V15" s="166">
        <f>SUM(V6:V14)</f>
        <v>-3957.6899999999996</v>
      </c>
      <c r="W15" s="90"/>
      <c r="X15" s="167">
        <f>SUM(X6:X14)</f>
        <v>-803</v>
      </c>
      <c r="Y15" s="166">
        <f>SUM(Y6:Y14)</f>
        <v>826.23</v>
      </c>
      <c r="AA15" s="168">
        <f>SUM(AA6:AA14)</f>
        <v>0</v>
      </c>
      <c r="AB15" s="168">
        <f>SUM(AB6:AB14)</f>
        <v>0</v>
      </c>
      <c r="AC15" s="168"/>
      <c r="AD15" s="161"/>
    </row>
    <row r="16" spans="1:32" ht="14.25" customHeight="1" x14ac:dyDescent="0.25">
      <c r="A16" s="114"/>
      <c r="B16" s="160"/>
      <c r="C16" s="160"/>
      <c r="D16" s="161"/>
      <c r="F16" s="163"/>
      <c r="G16" s="169"/>
      <c r="H16" s="92"/>
      <c r="I16" s="163"/>
      <c r="J16" s="169"/>
      <c r="K16" s="170"/>
      <c r="L16" s="163"/>
      <c r="M16" s="171"/>
      <c r="N16" s="92"/>
      <c r="O16" s="165"/>
      <c r="P16" s="53"/>
      <c r="Q16" s="58"/>
      <c r="R16" s="165"/>
      <c r="S16" s="53"/>
      <c r="T16" s="92"/>
      <c r="U16" s="172"/>
      <c r="V16" s="53"/>
      <c r="W16" s="90"/>
      <c r="X16" s="90"/>
      <c r="Y16" s="53"/>
      <c r="AD16" s="161"/>
    </row>
    <row r="17" spans="1:32" ht="14.25" customHeight="1" x14ac:dyDescent="0.25">
      <c r="A17" s="114" t="s">
        <v>143</v>
      </c>
      <c r="B17" s="115">
        <v>6011</v>
      </c>
      <c r="C17" s="115">
        <v>28040</v>
      </c>
      <c r="D17" s="116">
        <v>672010</v>
      </c>
      <c r="E17" s="58" t="s">
        <v>157</v>
      </c>
      <c r="F17" s="117"/>
      <c r="G17" s="118">
        <f>J17+M17</f>
        <v>4123719.89</v>
      </c>
      <c r="H17" s="92"/>
      <c r="I17" s="173"/>
      <c r="J17" s="120">
        <f>+P17+V17</f>
        <v>3315207</v>
      </c>
      <c r="K17" s="121" t="s">
        <v>146</v>
      </c>
      <c r="L17" s="119"/>
      <c r="M17" s="120">
        <f>+S17+Y17</f>
        <v>808512.89</v>
      </c>
      <c r="N17" s="92" t="s">
        <v>146</v>
      </c>
      <c r="O17" s="119"/>
      <c r="P17" s="122">
        <f>179539.2+3135667.8</f>
        <v>3315207</v>
      </c>
      <c r="Q17" s="58"/>
      <c r="R17" s="119"/>
      <c r="S17" s="122">
        <f>396326.21+412186.68</f>
        <v>808512.89</v>
      </c>
      <c r="T17" s="92"/>
      <c r="U17" s="174"/>
      <c r="V17" s="124"/>
      <c r="W17" s="90"/>
      <c r="X17" s="123"/>
      <c r="Y17" s="175"/>
      <c r="AD17" s="125">
        <v>672010</v>
      </c>
    </row>
    <row r="18" spans="1:32" ht="14.25" customHeight="1" x14ac:dyDescent="0.25">
      <c r="A18" s="114" t="s">
        <v>143</v>
      </c>
      <c r="B18" s="115">
        <v>6011</v>
      </c>
      <c r="C18" s="115">
        <v>28040</v>
      </c>
      <c r="D18" s="116">
        <v>672020</v>
      </c>
      <c r="E18" s="58" t="s">
        <v>158</v>
      </c>
      <c r="F18" s="117"/>
      <c r="G18" s="118">
        <f>J18+M18</f>
        <v>-83098.720000000001</v>
      </c>
      <c r="H18" s="92"/>
      <c r="I18" s="173"/>
      <c r="J18" s="131">
        <f>+P18+V18</f>
        <v>-86685.459999999992</v>
      </c>
      <c r="K18" s="121" t="s">
        <v>149</v>
      </c>
      <c r="L18" s="119"/>
      <c r="M18" s="131">
        <f>+S18+Y18</f>
        <v>3586.739999999998</v>
      </c>
      <c r="N18" s="92" t="s">
        <v>149</v>
      </c>
      <c r="O18" s="119"/>
      <c r="P18" s="133">
        <v>71576.63</v>
      </c>
      <c r="Q18" s="58"/>
      <c r="R18" s="119"/>
      <c r="S18" s="133">
        <v>22044.37</v>
      </c>
      <c r="T18" s="92"/>
      <c r="U18" s="174"/>
      <c r="V18" s="133">
        <v>-158262.09</v>
      </c>
      <c r="W18" s="127"/>
      <c r="X18" s="176"/>
      <c r="Y18" s="133">
        <v>-18457.63</v>
      </c>
      <c r="AD18" s="137">
        <v>672020</v>
      </c>
      <c r="AE18" s="177"/>
    </row>
    <row r="19" spans="1:32" ht="14.25" customHeight="1" x14ac:dyDescent="0.25">
      <c r="A19" s="114" t="s">
        <v>143</v>
      </c>
      <c r="B19" s="115">
        <v>6011</v>
      </c>
      <c r="C19" s="115">
        <v>28040</v>
      </c>
      <c r="D19" s="116">
        <v>672030</v>
      </c>
      <c r="E19" s="58" t="s">
        <v>159</v>
      </c>
      <c r="F19" s="117"/>
      <c r="G19" s="118">
        <f>J19+M19</f>
        <v>0</v>
      </c>
      <c r="H19" s="92"/>
      <c r="I19" s="173"/>
      <c r="J19" s="120">
        <f>+P19+V19</f>
        <v>0</v>
      </c>
      <c r="K19" s="121" t="s">
        <v>146</v>
      </c>
      <c r="L19" s="119"/>
      <c r="M19" s="120">
        <f>+S19+Y19</f>
        <v>0</v>
      </c>
      <c r="N19" s="92" t="s">
        <v>146</v>
      </c>
      <c r="O19" s="119"/>
      <c r="P19" s="124"/>
      <c r="Q19" s="58"/>
      <c r="R19" s="119"/>
      <c r="S19" s="122"/>
      <c r="T19" s="92"/>
      <c r="U19" s="174"/>
      <c r="V19" s="122"/>
      <c r="W19" s="127"/>
      <c r="X19" s="176"/>
      <c r="Y19" s="122"/>
      <c r="AD19" s="125">
        <v>672030</v>
      </c>
      <c r="AE19" s="177"/>
    </row>
    <row r="20" spans="1:32" ht="14.25" customHeight="1" x14ac:dyDescent="0.25">
      <c r="A20" s="114" t="s">
        <v>143</v>
      </c>
      <c r="B20" s="115">
        <v>6011</v>
      </c>
      <c r="C20" s="115">
        <v>28040</v>
      </c>
      <c r="D20" s="116">
        <v>672040</v>
      </c>
      <c r="E20" s="58" t="s">
        <v>160</v>
      </c>
      <c r="F20" s="117"/>
      <c r="G20" s="118">
        <f>J20+M20</f>
        <v>669344.77</v>
      </c>
      <c r="H20" s="92"/>
      <c r="I20" s="173"/>
      <c r="J20" s="120">
        <f>+P20+V20</f>
        <v>625208.07999999996</v>
      </c>
      <c r="K20" s="121" t="s">
        <v>146</v>
      </c>
      <c r="L20" s="119"/>
      <c r="M20" s="120">
        <f>+S20+Y20</f>
        <v>44136.69</v>
      </c>
      <c r="N20" s="92" t="s">
        <v>146</v>
      </c>
      <c r="O20" s="119"/>
      <c r="P20" s="122">
        <v>625208.07999999996</v>
      </c>
      <c r="Q20" s="58"/>
      <c r="R20" s="119"/>
      <c r="S20" s="122">
        <v>44136.69</v>
      </c>
      <c r="T20" s="92"/>
      <c r="U20" s="174"/>
      <c r="V20" s="122"/>
      <c r="W20" s="127"/>
      <c r="X20" s="176"/>
      <c r="Y20" s="122"/>
      <c r="AD20" s="125">
        <v>672040</v>
      </c>
      <c r="AE20" s="177"/>
      <c r="AF20" s="177"/>
    </row>
    <row r="21" spans="1:32" ht="14.25" customHeight="1" x14ac:dyDescent="0.25">
      <c r="A21" s="114" t="s">
        <v>143</v>
      </c>
      <c r="B21" s="115">
        <v>6011</v>
      </c>
      <c r="C21" s="115">
        <v>28040</v>
      </c>
      <c r="D21" s="116">
        <v>672050</v>
      </c>
      <c r="E21" s="58" t="s">
        <v>161</v>
      </c>
      <c r="F21" s="117"/>
      <c r="G21" s="118">
        <f>J21+M21</f>
        <v>-652716.29</v>
      </c>
      <c r="H21" s="92"/>
      <c r="I21" s="178"/>
      <c r="J21" s="120">
        <f>+P21+V21</f>
        <v>-572561.61</v>
      </c>
      <c r="K21" s="121" t="s">
        <v>146</v>
      </c>
      <c r="L21" s="119"/>
      <c r="M21" s="179">
        <f>+S21+Y21</f>
        <v>-80154.680000000008</v>
      </c>
      <c r="N21" s="92" t="s">
        <v>146</v>
      </c>
      <c r="O21" s="119"/>
      <c r="P21" s="122">
        <f>+-108.04-569078.46</f>
        <v>-569186.5</v>
      </c>
      <c r="Q21" s="180"/>
      <c r="R21" s="181"/>
      <c r="S21" s="182">
        <f>+-152.86-79530.13</f>
        <v>-79682.990000000005</v>
      </c>
      <c r="T21" s="92"/>
      <c r="U21" s="174"/>
      <c r="V21" s="122">
        <v>-3375.11</v>
      </c>
      <c r="W21" s="127"/>
      <c r="X21" s="176"/>
      <c r="Y21" s="122">
        <v>-471.69</v>
      </c>
      <c r="AD21" s="125">
        <v>672050</v>
      </c>
      <c r="AE21" s="177"/>
      <c r="AF21" s="177"/>
    </row>
    <row r="22" spans="1:32" ht="14.25" customHeight="1" x14ac:dyDescent="0.25">
      <c r="A22" s="114"/>
      <c r="B22" s="160"/>
      <c r="C22" s="160"/>
      <c r="D22" s="161"/>
      <c r="E22" s="165" t="s">
        <v>162</v>
      </c>
      <c r="F22" s="183"/>
      <c r="G22" s="184">
        <f>SUM(G17:G21)</f>
        <v>4057249.6499999994</v>
      </c>
      <c r="H22" s="92"/>
      <c r="I22" s="185"/>
      <c r="J22" s="84">
        <f>SUM(J17:J21)</f>
        <v>3281168.0100000002</v>
      </c>
      <c r="K22" s="121"/>
      <c r="L22" s="186"/>
      <c r="M22" s="84">
        <f>SUM(M17:M21)</f>
        <v>776081.64</v>
      </c>
      <c r="N22" s="92"/>
      <c r="O22" s="165"/>
      <c r="P22" s="166">
        <f>SUM(P17:P21)</f>
        <v>3442805.21</v>
      </c>
      <c r="Q22" s="121"/>
      <c r="R22" s="83"/>
      <c r="S22" s="166">
        <f>SUM(S17:S21)</f>
        <v>795010.96</v>
      </c>
      <c r="T22" s="92"/>
      <c r="U22" s="187"/>
      <c r="V22" s="188">
        <f>SUM(V17:V21)</f>
        <v>-161637.19999999998</v>
      </c>
      <c r="W22" s="90"/>
      <c r="X22" s="123"/>
      <c r="Y22" s="166">
        <f>SUM(Y17:Y21)</f>
        <v>-18929.32</v>
      </c>
      <c r="AA22" s="168">
        <f>SUM(AA17:AA21)</f>
        <v>0</v>
      </c>
      <c r="AB22" s="168">
        <f>SUM(AB17:AB21)</f>
        <v>0</v>
      </c>
      <c r="AC22" s="168"/>
      <c r="AD22" s="161"/>
    </row>
    <row r="23" spans="1:32" ht="14.25" customHeight="1" x14ac:dyDescent="0.25">
      <c r="A23" s="114"/>
      <c r="B23" s="160"/>
      <c r="C23" s="160"/>
      <c r="D23" s="161"/>
      <c r="E23" s="189"/>
      <c r="F23" s="128"/>
      <c r="G23" s="169"/>
      <c r="H23" s="92"/>
      <c r="I23" s="173"/>
      <c r="J23" s="171"/>
      <c r="K23" s="170"/>
      <c r="L23" s="190"/>
      <c r="M23" s="171"/>
      <c r="N23" s="92"/>
      <c r="O23" s="165"/>
      <c r="P23" s="53"/>
      <c r="Q23" s="58"/>
      <c r="R23" s="58"/>
      <c r="S23" s="53"/>
      <c r="T23" s="92"/>
      <c r="U23" s="174"/>
      <c r="V23" s="82"/>
      <c r="W23" s="90"/>
      <c r="X23" s="123"/>
      <c r="Y23" s="53"/>
      <c r="AD23" s="161"/>
    </row>
    <row r="24" spans="1:32" ht="14.25" customHeight="1" x14ac:dyDescent="0.25">
      <c r="A24" s="114" t="s">
        <v>143</v>
      </c>
      <c r="B24" s="115">
        <v>6011</v>
      </c>
      <c r="C24" s="115">
        <v>28040</v>
      </c>
      <c r="D24" s="116">
        <v>673020</v>
      </c>
      <c r="E24" s="58" t="s">
        <v>163</v>
      </c>
      <c r="F24" s="117"/>
      <c r="G24" s="118">
        <f>J24+M24</f>
        <v>65991.539999999994</v>
      </c>
      <c r="H24" s="92"/>
      <c r="I24" s="173"/>
      <c r="J24" s="120">
        <f t="shared" ref="J24:J37" si="4">+P24+V24</f>
        <v>57899.56</v>
      </c>
      <c r="K24" s="121" t="s">
        <v>146</v>
      </c>
      <c r="L24" s="119"/>
      <c r="M24" s="120">
        <f t="shared" ref="M24:M33" si="5">+S24+Y24</f>
        <v>8091.98</v>
      </c>
      <c r="N24" s="92" t="s">
        <v>146</v>
      </c>
      <c r="O24" s="119"/>
      <c r="P24" s="122">
        <v>57899.56</v>
      </c>
      <c r="Q24" s="58"/>
      <c r="R24" s="119"/>
      <c r="S24" s="122">
        <v>8091.98</v>
      </c>
      <c r="T24" s="92"/>
      <c r="U24" s="174"/>
      <c r="V24" s="122"/>
      <c r="W24" s="191"/>
      <c r="X24" s="191"/>
      <c r="Y24" s="122"/>
      <c r="AD24" s="125">
        <v>673020</v>
      </c>
    </row>
    <row r="25" spans="1:32" ht="14.25" customHeight="1" x14ac:dyDescent="0.25">
      <c r="A25" s="114" t="s">
        <v>143</v>
      </c>
      <c r="B25" s="115">
        <v>6011</v>
      </c>
      <c r="C25" s="115">
        <v>28040</v>
      </c>
      <c r="D25" s="116">
        <v>673030</v>
      </c>
      <c r="E25" s="58" t="s">
        <v>164</v>
      </c>
      <c r="F25" s="117"/>
      <c r="G25" s="118">
        <f t="shared" ref="G25:G37" si="6">J25+M25</f>
        <v>67948.34</v>
      </c>
      <c r="H25" s="92"/>
      <c r="I25" s="173"/>
      <c r="J25" s="120">
        <f t="shared" si="4"/>
        <v>61282.61</v>
      </c>
      <c r="K25" s="121" t="s">
        <v>146</v>
      </c>
      <c r="L25" s="119"/>
      <c r="M25" s="120">
        <f t="shared" si="5"/>
        <v>6665.73</v>
      </c>
      <c r="N25" s="92" t="s">
        <v>146</v>
      </c>
      <c r="O25" s="119"/>
      <c r="P25" s="122">
        <v>61282.61</v>
      </c>
      <c r="Q25" s="58"/>
      <c r="R25" s="119"/>
      <c r="S25" s="122">
        <v>6665.73</v>
      </c>
      <c r="T25" s="92"/>
      <c r="U25" s="174"/>
      <c r="V25" s="122"/>
      <c r="W25" s="191"/>
      <c r="X25" s="191"/>
      <c r="Y25" s="122"/>
      <c r="AD25" s="125">
        <v>673030</v>
      </c>
    </row>
    <row r="26" spans="1:32" ht="14.25" customHeight="1" x14ac:dyDescent="0.25">
      <c r="A26" s="114" t="s">
        <v>143</v>
      </c>
      <c r="B26" s="115">
        <v>6011</v>
      </c>
      <c r="C26" s="115">
        <v>28040</v>
      </c>
      <c r="D26" s="116">
        <v>673040</v>
      </c>
      <c r="E26" s="58" t="s">
        <v>165</v>
      </c>
      <c r="F26" s="117"/>
      <c r="G26" s="118">
        <f t="shared" si="6"/>
        <v>0</v>
      </c>
      <c r="H26" s="92"/>
      <c r="I26" s="173"/>
      <c r="J26" s="131">
        <f t="shared" si="4"/>
        <v>0</v>
      </c>
      <c r="K26" s="121" t="s">
        <v>149</v>
      </c>
      <c r="L26" s="119"/>
      <c r="M26" s="131">
        <f>+S26+Y26</f>
        <v>0</v>
      </c>
      <c r="N26" s="92" t="s">
        <v>149</v>
      </c>
      <c r="O26" s="119"/>
      <c r="P26" s="133"/>
      <c r="Q26" s="58"/>
      <c r="R26" s="119"/>
      <c r="S26" s="133"/>
      <c r="T26" s="92"/>
      <c r="U26" s="174"/>
      <c r="V26" s="133"/>
      <c r="W26" s="191"/>
      <c r="X26" s="191"/>
      <c r="Y26" s="133"/>
      <c r="AD26" s="137">
        <v>673040</v>
      </c>
    </row>
    <row r="27" spans="1:32" ht="14.25" customHeight="1" x14ac:dyDescent="0.25">
      <c r="A27" s="114" t="s">
        <v>143</v>
      </c>
      <c r="B27" s="115">
        <v>6011</v>
      </c>
      <c r="C27" s="115">
        <v>28040</v>
      </c>
      <c r="D27" s="116">
        <v>673050</v>
      </c>
      <c r="E27" s="58" t="s">
        <v>166</v>
      </c>
      <c r="F27" s="117"/>
      <c r="G27" s="118">
        <f t="shared" si="6"/>
        <v>-20058.96</v>
      </c>
      <c r="H27" s="92"/>
      <c r="I27" s="173"/>
      <c r="J27" s="131">
        <f t="shared" si="4"/>
        <v>-18091.18</v>
      </c>
      <c r="K27" s="121" t="s">
        <v>149</v>
      </c>
      <c r="L27" s="119"/>
      <c r="M27" s="120">
        <f t="shared" si="5"/>
        <v>-1967.78</v>
      </c>
      <c r="N27" s="92" t="s">
        <v>146</v>
      </c>
      <c r="O27" s="119"/>
      <c r="P27" s="133"/>
      <c r="Q27" s="58"/>
      <c r="R27" s="119"/>
      <c r="S27" s="133"/>
      <c r="T27" s="92"/>
      <c r="U27" s="174"/>
      <c r="V27" s="133">
        <v>-18091.18</v>
      </c>
      <c r="W27" s="191"/>
      <c r="X27" s="191"/>
      <c r="Y27" s="133">
        <v>-1967.78</v>
      </c>
      <c r="AD27" s="125">
        <v>673050</v>
      </c>
    </row>
    <row r="28" spans="1:32" ht="14.25" customHeight="1" x14ac:dyDescent="0.25">
      <c r="A28" s="114" t="s">
        <v>143</v>
      </c>
      <c r="B28" s="115">
        <v>6011</v>
      </c>
      <c r="C28" s="115">
        <v>28040</v>
      </c>
      <c r="D28" s="116">
        <v>673060</v>
      </c>
      <c r="E28" s="58" t="s">
        <v>167</v>
      </c>
      <c r="F28" s="117"/>
      <c r="G28" s="118">
        <f t="shared" si="6"/>
        <v>0</v>
      </c>
      <c r="H28" s="92"/>
      <c r="I28" s="173"/>
      <c r="J28" s="131">
        <f t="shared" si="4"/>
        <v>0</v>
      </c>
      <c r="K28" s="121" t="s">
        <v>149</v>
      </c>
      <c r="L28" s="119"/>
      <c r="M28" s="120">
        <f t="shared" si="5"/>
        <v>0</v>
      </c>
      <c r="N28" s="92" t="s">
        <v>146</v>
      </c>
      <c r="O28" s="119"/>
      <c r="P28" s="133"/>
      <c r="Q28" s="58"/>
      <c r="R28" s="119"/>
      <c r="S28" s="122"/>
      <c r="T28" s="92"/>
      <c r="U28" s="174"/>
      <c r="V28" s="133"/>
      <c r="W28" s="191"/>
      <c r="X28" s="191"/>
      <c r="Y28" s="122"/>
      <c r="AD28" s="125">
        <v>673060</v>
      </c>
    </row>
    <row r="29" spans="1:32" ht="14.25" customHeight="1" x14ac:dyDescent="0.25">
      <c r="A29" s="114" t="s">
        <v>143</v>
      </c>
      <c r="B29" s="115">
        <v>6011</v>
      </c>
      <c r="C29" s="115">
        <v>28040</v>
      </c>
      <c r="D29" s="116">
        <v>673070</v>
      </c>
      <c r="E29" s="58" t="s">
        <v>168</v>
      </c>
      <c r="F29" s="117"/>
      <c r="G29" s="118">
        <f t="shared" si="6"/>
        <v>4063.2</v>
      </c>
      <c r="H29" s="92"/>
      <c r="I29" s="173"/>
      <c r="J29" s="131">
        <f t="shared" si="4"/>
        <v>3664.6</v>
      </c>
      <c r="K29" s="121" t="s">
        <v>149</v>
      </c>
      <c r="L29" s="119"/>
      <c r="M29" s="120">
        <f t="shared" si="5"/>
        <v>398.6</v>
      </c>
      <c r="N29" s="92" t="s">
        <v>146</v>
      </c>
      <c r="O29" s="119"/>
      <c r="P29" s="133"/>
      <c r="Q29" s="58"/>
      <c r="R29" s="119"/>
      <c r="S29" s="122"/>
      <c r="T29" s="92"/>
      <c r="U29" s="174"/>
      <c r="V29" s="133">
        <v>3664.6</v>
      </c>
      <c r="W29" s="191"/>
      <c r="X29" s="191"/>
      <c r="Y29" s="122">
        <v>398.6</v>
      </c>
      <c r="AD29" s="125">
        <v>673070</v>
      </c>
    </row>
    <row r="30" spans="1:32" ht="14.25" customHeight="1" x14ac:dyDescent="0.25">
      <c r="A30" s="114" t="s">
        <v>143</v>
      </c>
      <c r="B30" s="115">
        <v>6011</v>
      </c>
      <c r="C30" s="115">
        <v>28040</v>
      </c>
      <c r="D30" s="116">
        <v>673080</v>
      </c>
      <c r="E30" s="58" t="s">
        <v>169</v>
      </c>
      <c r="F30" s="117"/>
      <c r="G30" s="118">
        <f t="shared" si="6"/>
        <v>19747.36</v>
      </c>
      <c r="H30" s="92"/>
      <c r="I30" s="173"/>
      <c r="J30" s="120">
        <f t="shared" si="4"/>
        <v>17926.5</v>
      </c>
      <c r="K30" s="121" t="s">
        <v>146</v>
      </c>
      <c r="L30" s="119"/>
      <c r="M30" s="120">
        <f t="shared" si="5"/>
        <v>1820.8600000000001</v>
      </c>
      <c r="N30" s="92" t="s">
        <v>146</v>
      </c>
      <c r="O30" s="119"/>
      <c r="P30" s="122">
        <v>17029.240000000002</v>
      </c>
      <c r="Q30" s="58"/>
      <c r="R30" s="119"/>
      <c r="S30" s="122">
        <v>1729.72</v>
      </c>
      <c r="T30" s="92"/>
      <c r="U30" s="174"/>
      <c r="V30" s="122">
        <v>897.26</v>
      </c>
      <c r="W30" s="191"/>
      <c r="X30" s="191"/>
      <c r="Y30" s="122">
        <v>91.14</v>
      </c>
      <c r="AD30" s="125">
        <v>673080</v>
      </c>
    </row>
    <row r="31" spans="1:32" ht="14.25" customHeight="1" x14ac:dyDescent="0.25">
      <c r="A31" s="114" t="s">
        <v>143</v>
      </c>
      <c r="B31" s="115">
        <v>6011</v>
      </c>
      <c r="C31" s="115">
        <v>28040</v>
      </c>
      <c r="D31" s="116">
        <v>673090</v>
      </c>
      <c r="E31" s="58" t="s">
        <v>170</v>
      </c>
      <c r="F31" s="117"/>
      <c r="G31" s="118">
        <f t="shared" si="6"/>
        <v>0</v>
      </c>
      <c r="H31" s="92"/>
      <c r="I31" s="173"/>
      <c r="J31" s="131">
        <f t="shared" si="4"/>
        <v>0</v>
      </c>
      <c r="K31" s="121" t="s">
        <v>149</v>
      </c>
      <c r="L31" s="119"/>
      <c r="M31" s="131">
        <f>+S31+Y31</f>
        <v>0</v>
      </c>
      <c r="N31" s="92" t="s">
        <v>149</v>
      </c>
      <c r="O31" s="119"/>
      <c r="P31" s="133"/>
      <c r="Q31" s="58"/>
      <c r="R31" s="119"/>
      <c r="S31" s="133"/>
      <c r="T31" s="92"/>
      <c r="U31" s="174"/>
      <c r="V31" s="133"/>
      <c r="W31" s="191"/>
      <c r="X31" s="191"/>
      <c r="Y31" s="133"/>
      <c r="AD31" s="137">
        <v>673090</v>
      </c>
    </row>
    <row r="32" spans="1:32" ht="14.25" customHeight="1" x14ac:dyDescent="0.25">
      <c r="A32" s="114" t="s">
        <v>143</v>
      </c>
      <c r="B32" s="115">
        <v>6011</v>
      </c>
      <c r="C32" s="115">
        <v>28040</v>
      </c>
      <c r="D32" s="116">
        <v>673120</v>
      </c>
      <c r="E32" s="58" t="s">
        <v>171</v>
      </c>
      <c r="F32" s="117"/>
      <c r="G32" s="118">
        <f t="shared" si="6"/>
        <v>150024.26999999999</v>
      </c>
      <c r="H32" s="92"/>
      <c r="I32" s="173"/>
      <c r="J32" s="120">
        <f t="shared" si="4"/>
        <v>131628.03</v>
      </c>
      <c r="K32" s="121" t="s">
        <v>146</v>
      </c>
      <c r="L32" s="119"/>
      <c r="M32" s="120">
        <f t="shared" si="5"/>
        <v>18396.239999999998</v>
      </c>
      <c r="N32" s="92" t="s">
        <v>146</v>
      </c>
      <c r="O32" s="119"/>
      <c r="P32" s="122">
        <v>128505.68</v>
      </c>
      <c r="Q32" s="58"/>
      <c r="R32" s="119"/>
      <c r="S32" s="122">
        <v>17959.87</v>
      </c>
      <c r="T32" s="92"/>
      <c r="U32" s="174"/>
      <c r="V32" s="122">
        <v>3122.35</v>
      </c>
      <c r="W32" s="191"/>
      <c r="X32" s="191"/>
      <c r="Y32" s="122">
        <v>436.37</v>
      </c>
      <c r="AD32" s="125">
        <v>673120</v>
      </c>
    </row>
    <row r="33" spans="1:30" ht="14.25" customHeight="1" x14ac:dyDescent="0.25">
      <c r="A33" s="114" t="s">
        <v>143</v>
      </c>
      <c r="B33" s="115">
        <v>6011</v>
      </c>
      <c r="C33" s="115">
        <v>28040</v>
      </c>
      <c r="D33" s="116">
        <v>673130</v>
      </c>
      <c r="E33" s="58" t="s">
        <v>172</v>
      </c>
      <c r="F33" s="117"/>
      <c r="G33" s="118">
        <f t="shared" si="6"/>
        <v>108.5</v>
      </c>
      <c r="H33" s="92"/>
      <c r="I33" s="173"/>
      <c r="J33" s="120">
        <f t="shared" si="4"/>
        <v>97.86</v>
      </c>
      <c r="K33" s="121" t="s">
        <v>146</v>
      </c>
      <c r="L33" s="119"/>
      <c r="M33" s="120">
        <f t="shared" si="5"/>
        <v>10.64</v>
      </c>
      <c r="N33" s="92" t="s">
        <v>146</v>
      </c>
      <c r="O33" s="119"/>
      <c r="P33" s="122">
        <v>97.86</v>
      </c>
      <c r="Q33" s="58"/>
      <c r="R33" s="119"/>
      <c r="S33" s="122">
        <v>10.64</v>
      </c>
      <c r="T33" s="92"/>
      <c r="U33" s="174"/>
      <c r="V33" s="124"/>
      <c r="W33" s="90"/>
      <c r="X33" s="123"/>
      <c r="Y33" s="124"/>
      <c r="AD33" s="125">
        <v>673130</v>
      </c>
    </row>
    <row r="34" spans="1:30" ht="14.25" customHeight="1" x14ac:dyDescent="0.25">
      <c r="A34" s="114" t="s">
        <v>143</v>
      </c>
      <c r="B34" s="115">
        <v>6011</v>
      </c>
      <c r="C34" s="115">
        <v>28040</v>
      </c>
      <c r="D34" s="116">
        <v>673140</v>
      </c>
      <c r="E34" s="58" t="s">
        <v>173</v>
      </c>
      <c r="F34" s="117"/>
      <c r="G34" s="118">
        <f t="shared" si="6"/>
        <v>0</v>
      </c>
      <c r="H34" s="92"/>
      <c r="I34" s="173"/>
      <c r="J34" s="131">
        <f t="shared" si="4"/>
        <v>0</v>
      </c>
      <c r="K34" s="121" t="s">
        <v>149</v>
      </c>
      <c r="L34" s="119"/>
      <c r="M34" s="131">
        <f>+S34+Y34</f>
        <v>0</v>
      </c>
      <c r="N34" s="92" t="s">
        <v>149</v>
      </c>
      <c r="O34" s="119"/>
      <c r="P34" s="133"/>
      <c r="Q34" s="58"/>
      <c r="R34" s="119"/>
      <c r="S34" s="133"/>
      <c r="T34" s="92"/>
      <c r="U34" s="174"/>
      <c r="V34" s="140"/>
      <c r="W34" s="90"/>
      <c r="X34" s="123"/>
      <c r="Y34" s="140"/>
      <c r="AD34" s="137">
        <v>673140</v>
      </c>
    </row>
    <row r="35" spans="1:30" ht="14.25" customHeight="1" x14ac:dyDescent="0.25">
      <c r="A35" s="114" t="s">
        <v>143</v>
      </c>
      <c r="B35" s="115">
        <v>6011</v>
      </c>
      <c r="C35" s="115">
        <v>28040</v>
      </c>
      <c r="D35" s="116">
        <v>673160</v>
      </c>
      <c r="E35" s="58" t="s">
        <v>174</v>
      </c>
      <c r="F35" s="117"/>
      <c r="G35" s="118">
        <f t="shared" si="6"/>
        <v>0</v>
      </c>
      <c r="H35" s="92"/>
      <c r="I35" s="173"/>
      <c r="J35" s="131">
        <f t="shared" si="4"/>
        <v>0</v>
      </c>
      <c r="K35" s="121" t="s">
        <v>149</v>
      </c>
      <c r="L35" s="119"/>
      <c r="M35" s="131">
        <f>+S35+Y35</f>
        <v>0</v>
      </c>
      <c r="N35" s="92" t="s">
        <v>149</v>
      </c>
      <c r="O35" s="119"/>
      <c r="P35" s="133"/>
      <c r="Q35" s="58"/>
      <c r="R35" s="119"/>
      <c r="S35" s="133"/>
      <c r="T35" s="92"/>
      <c r="U35" s="174"/>
      <c r="V35" s="140"/>
      <c r="W35" s="90"/>
      <c r="X35" s="123"/>
      <c r="Y35" s="140"/>
      <c r="AD35" s="137">
        <v>673160</v>
      </c>
    </row>
    <row r="36" spans="1:30" ht="14.25" customHeight="1" x14ac:dyDescent="0.25">
      <c r="A36" s="114" t="s">
        <v>143</v>
      </c>
      <c r="B36" s="115">
        <v>6011</v>
      </c>
      <c r="C36" s="115">
        <v>28040</v>
      </c>
      <c r="D36" s="116">
        <v>673180</v>
      </c>
      <c r="E36" s="58" t="s">
        <v>175</v>
      </c>
      <c r="F36" s="117"/>
      <c r="G36" s="118">
        <f t="shared" si="6"/>
        <v>20166.84</v>
      </c>
      <c r="H36" s="92"/>
      <c r="I36" s="173"/>
      <c r="J36" s="120">
        <f>+P36+V36</f>
        <v>18307.25</v>
      </c>
      <c r="K36" s="121" t="s">
        <v>146</v>
      </c>
      <c r="L36" s="119"/>
      <c r="M36" s="120">
        <f>+S36+Y36</f>
        <v>1859.59</v>
      </c>
      <c r="N36" s="92" t="s">
        <v>146</v>
      </c>
      <c r="O36" s="119"/>
      <c r="P36" s="122">
        <v>18307.25</v>
      </c>
      <c r="Q36" s="58"/>
      <c r="R36" s="119"/>
      <c r="S36" s="122">
        <v>1859.59</v>
      </c>
      <c r="T36" s="92"/>
      <c r="U36" s="174"/>
      <c r="V36" s="124"/>
      <c r="W36" s="90"/>
      <c r="X36" s="123"/>
      <c r="Y36" s="124"/>
      <c r="AD36" s="125">
        <v>673180</v>
      </c>
    </row>
    <row r="37" spans="1:30" ht="14.25" customHeight="1" x14ac:dyDescent="0.25">
      <c r="A37" s="114" t="s">
        <v>143</v>
      </c>
      <c r="B37" s="115">
        <v>6011</v>
      </c>
      <c r="C37" s="115">
        <v>28040</v>
      </c>
      <c r="D37" s="116">
        <v>673190</v>
      </c>
      <c r="E37" s="155" t="s">
        <v>176</v>
      </c>
      <c r="F37" s="117"/>
      <c r="G37" s="192">
        <f t="shared" si="6"/>
        <v>0</v>
      </c>
      <c r="H37" s="92"/>
      <c r="I37" s="173"/>
      <c r="J37" s="131">
        <f t="shared" si="4"/>
        <v>0</v>
      </c>
      <c r="K37" s="121" t="s">
        <v>149</v>
      </c>
      <c r="L37" s="181"/>
      <c r="M37" s="131">
        <f>+S37+Y37</f>
        <v>0</v>
      </c>
      <c r="N37" s="92" t="s">
        <v>149</v>
      </c>
      <c r="O37" s="181"/>
      <c r="P37" s="140"/>
      <c r="Q37" s="58"/>
      <c r="R37" s="181"/>
      <c r="S37" s="159"/>
      <c r="T37" s="92"/>
      <c r="U37" s="193"/>
      <c r="V37" s="140"/>
      <c r="W37" s="90"/>
      <c r="X37" s="123"/>
      <c r="Y37" s="140"/>
      <c r="AD37" s="137">
        <v>673190</v>
      </c>
    </row>
    <row r="38" spans="1:30" ht="15" x14ac:dyDescent="0.25">
      <c r="E38" s="58" t="s">
        <v>177</v>
      </c>
      <c r="F38" s="183"/>
      <c r="G38" s="118">
        <f>SUM(G24:G37)</f>
        <v>307991.09000000003</v>
      </c>
      <c r="H38" s="92"/>
      <c r="I38" s="183"/>
      <c r="J38" s="84">
        <f>SUM(J24:J37)</f>
        <v>272715.23</v>
      </c>
      <c r="K38" s="121"/>
      <c r="L38" s="58"/>
      <c r="M38" s="84">
        <f>SUM(M24:M37)</f>
        <v>35275.859999999993</v>
      </c>
      <c r="N38" s="92"/>
      <c r="O38" s="58"/>
      <c r="P38" s="166">
        <f>SUM(P24:P37)</f>
        <v>283122.19999999995</v>
      </c>
      <c r="Q38" s="121"/>
      <c r="R38" s="83"/>
      <c r="S38" s="166">
        <f>SUM(S24:S37)</f>
        <v>36317.53</v>
      </c>
      <c r="T38" s="92"/>
      <c r="V38" s="166">
        <f>SUM(V24:V37)</f>
        <v>-10406.969999999999</v>
      </c>
      <c r="X38" s="194"/>
      <c r="Y38" s="166">
        <f>SUM(Y24:Y37)</f>
        <v>-1041.6699999999996</v>
      </c>
      <c r="AA38" s="168">
        <f>SUM(AA24:AA37)</f>
        <v>0</v>
      </c>
      <c r="AB38" s="168">
        <f>SUM(AB24:AB37)</f>
        <v>0</v>
      </c>
      <c r="AC38" s="168"/>
    </row>
    <row r="39" spans="1:30" ht="14.1" customHeight="1" x14ac:dyDescent="0.25">
      <c r="E39" s="189"/>
      <c r="G39" s="195"/>
      <c r="H39" s="92"/>
      <c r="I39" s="183"/>
      <c r="J39" s="196"/>
      <c r="K39" s="197"/>
      <c r="L39" s="183"/>
      <c r="M39" s="196"/>
      <c r="N39" s="92"/>
      <c r="O39" s="83"/>
      <c r="P39" s="84"/>
      <c r="Q39" s="58"/>
      <c r="R39" s="83"/>
      <c r="S39" s="84"/>
      <c r="T39" s="92"/>
      <c r="U39" s="198"/>
      <c r="V39" s="162"/>
      <c r="Y39" s="85"/>
      <c r="AA39" s="91"/>
      <c r="AB39" s="91"/>
      <c r="AC39" s="91"/>
    </row>
    <row r="40" spans="1:30" ht="15.75" customHeight="1" x14ac:dyDescent="0.25">
      <c r="E40" s="83" t="s">
        <v>178</v>
      </c>
      <c r="F40" s="183">
        <f>+F38+F22+F15</f>
        <v>36701376</v>
      </c>
      <c r="G40" s="118">
        <f>+G38+G22+G15</f>
        <v>13353873.550000001</v>
      </c>
      <c r="H40" s="92"/>
      <c r="I40" s="199">
        <f>+I38+I22+I15</f>
        <v>26940448</v>
      </c>
      <c r="J40" s="166">
        <f>+J38+J22+J15</f>
        <v>10235050.559999999</v>
      </c>
      <c r="K40" s="200"/>
      <c r="L40" s="199">
        <f>+L38+L22+L15</f>
        <v>9760928</v>
      </c>
      <c r="M40" s="166">
        <f>+M38+M22+M15</f>
        <v>3118822.9899999998</v>
      </c>
      <c r="N40" s="103"/>
      <c r="O40" s="199">
        <f>+O38+O22+O15</f>
        <v>26937465</v>
      </c>
      <c r="P40" s="166">
        <f>+P38+P22+P15</f>
        <v>10411052.42</v>
      </c>
      <c r="Q40" s="78"/>
      <c r="R40" s="199">
        <f>+R38+R22+R15</f>
        <v>9761731</v>
      </c>
      <c r="S40" s="166">
        <f>+S38+S22+S15</f>
        <v>3137967.7499999991</v>
      </c>
      <c r="T40" s="92"/>
      <c r="U40" s="201">
        <f>+U38+U22+U15</f>
        <v>2983</v>
      </c>
      <c r="V40" s="166">
        <f>+V38+V22+V15</f>
        <v>-176001.86</v>
      </c>
      <c r="X40" s="74">
        <f>+X38+X22+X15</f>
        <v>-803</v>
      </c>
      <c r="Y40" s="166">
        <f>+Y38+Y22+Y15</f>
        <v>-19144.759999999998</v>
      </c>
      <c r="AA40" s="168">
        <f>+AA38+AA22+AA15</f>
        <v>0</v>
      </c>
      <c r="AB40" s="168">
        <f>+AB38+AB22+AB15</f>
        <v>0</v>
      </c>
      <c r="AC40" s="168"/>
      <c r="AD40" s="177"/>
    </row>
    <row r="41" spans="1:30" ht="14.1" customHeight="1" x14ac:dyDescent="0.25">
      <c r="G41" s="202"/>
      <c r="H41" s="92"/>
      <c r="I41" s="128"/>
      <c r="J41" s="171"/>
      <c r="K41" s="197"/>
      <c r="L41" s="128"/>
      <c r="M41" s="171"/>
      <c r="N41" s="92"/>
      <c r="O41" s="58"/>
      <c r="P41" s="53"/>
      <c r="Q41" s="58"/>
      <c r="R41" s="58"/>
      <c r="S41" s="53"/>
      <c r="T41" s="92"/>
      <c r="V41" s="85"/>
      <c r="Y41" s="85"/>
    </row>
    <row r="42" spans="1:30" ht="14.1" customHeight="1" x14ac:dyDescent="0.25">
      <c r="B42" s="128" t="s">
        <v>179</v>
      </c>
      <c r="H42" s="92"/>
      <c r="I42" s="203" t="s">
        <v>85</v>
      </c>
      <c r="J42" s="204">
        <f>+J8+J9+J10+J11+J12+J13+J14+J18+J26+J27+J28+J29+J31+J34+J35+J37</f>
        <v>6332188.7199999997</v>
      </c>
      <c r="K42" s="197" t="s">
        <v>149</v>
      </c>
      <c r="L42" s="128"/>
      <c r="M42" s="205">
        <f>+M8+M9+M10+M11+M12+M13+M14+M18+M26+M31+M34+M35+M37+M27</f>
        <v>1852689.47</v>
      </c>
      <c r="N42" s="206" t="s">
        <v>149</v>
      </c>
      <c r="O42" s="58"/>
      <c r="P42" s="207">
        <f>+P8+P9+P10+P11+P12+P13+P14+P18+P26+P27+P28+P29+P31+P34+P35+P37</f>
        <v>6515805.3599999994</v>
      </c>
      <c r="Q42" s="58"/>
      <c r="R42" s="203" t="s">
        <v>99</v>
      </c>
      <c r="S42" s="207">
        <f>+S8+S10+S9+S11+S12+S13+S14+S18+S26+S31+S34+S35+S37+S27</f>
        <v>1875209.06</v>
      </c>
      <c r="T42" s="92"/>
      <c r="V42" s="207">
        <f>+V8+V9+V10+V11+V12+V13+V14+V18+V26+V27+V28+V29+V31+V34+V35+V37</f>
        <v>-183616.63999999998</v>
      </c>
      <c r="Y42" s="207">
        <f>Y9+Y10+Y11+Y12+Y13+Y14+Y18+Y26+Y31+Y34+Y35+Y37+Y8+Y27</f>
        <v>-22519.59</v>
      </c>
      <c r="AA42" s="208">
        <f>+AA8+AA9+AA10+AA11+AA12+AA13+AA14+AA18+AA26+AA27+AA28+AA29+AA31+AA34+AA35+AA37</f>
        <v>0</v>
      </c>
      <c r="AB42" s="208">
        <f>+AB6+AB8+AB9+AB10+AB11+AB12+AB13+AB14+AB18+AB26+AB31+AB34+AB35+AB37</f>
        <v>0</v>
      </c>
    </row>
    <row r="43" spans="1:30" ht="14.1" customHeight="1" x14ac:dyDescent="0.25">
      <c r="B43" s="128" t="s">
        <v>180</v>
      </c>
      <c r="H43" s="92"/>
      <c r="I43" s="203" t="s">
        <v>85</v>
      </c>
      <c r="J43" s="204">
        <f>+J6+J7+J17+J24+J25+J30+J32+J33+J36+J19+J20+J21</f>
        <v>3902861.8399999994</v>
      </c>
      <c r="K43" s="197" t="s">
        <v>146</v>
      </c>
      <c r="L43" s="128"/>
      <c r="M43" s="205">
        <f>M6+M7+M17+M24+M25+M30+M32+M33+M36+M19+M20+M21+M29+M28</f>
        <v>1266133.5200000003</v>
      </c>
      <c r="N43" s="206" t="s">
        <v>146</v>
      </c>
      <c r="O43" s="58"/>
      <c r="P43" s="209">
        <f>P6+P7+P17+P24+P25+P30+P32+P33+P36+P19+P20+P21</f>
        <v>3895247.0599999996</v>
      </c>
      <c r="Q43" s="58"/>
      <c r="R43" s="203" t="s">
        <v>99</v>
      </c>
      <c r="S43" s="209">
        <f>+S7+S6+S17+S24+S25+S30+S32+S33+S36+S19+S20+S21+S29+S28</f>
        <v>1262758.69</v>
      </c>
      <c r="T43" s="92"/>
      <c r="V43" s="209">
        <f>V6+V7+V17+V24+V25+V30+V32+V33+V36+V19+V20+V21</f>
        <v>7614.7799999999988</v>
      </c>
      <c r="Y43" s="209">
        <f>+Y7+Y17+Y24+Y25+Y30+Y32+Y33+Y36+Y19+Y20+Y21+Y29+Y28+Y6</f>
        <v>3374.8299999999995</v>
      </c>
      <c r="AA43" s="210">
        <f>AA6+AA7+AA17+AA24+AA25+AA30+AA32+AA33+AA36</f>
        <v>0</v>
      </c>
      <c r="AB43" s="210">
        <f>+AB7+AB17+AB24+AB25+AB27+AB28+AB29+AB30+AB32+AB33+AB36</f>
        <v>0</v>
      </c>
    </row>
    <row r="44" spans="1:30" ht="15" customHeight="1" x14ac:dyDescent="0.25">
      <c r="B44" s="128" t="s">
        <v>95</v>
      </c>
      <c r="H44" s="92"/>
      <c r="I44" s="128"/>
      <c r="J44" s="166">
        <f>SUM(J42:J43)</f>
        <v>10235050.559999999</v>
      </c>
      <c r="K44" s="211"/>
      <c r="L44" s="128"/>
      <c r="M44" s="166">
        <f>SUM(M42:M43)</f>
        <v>3118822.99</v>
      </c>
      <c r="N44" s="92"/>
      <c r="O44" s="58"/>
      <c r="P44" s="166">
        <f>SUM(P42:P43)</f>
        <v>10411052.419999998</v>
      </c>
      <c r="Q44" s="58"/>
      <c r="R44" s="58"/>
      <c r="S44" s="166">
        <f>SUM(S42:S43)</f>
        <v>3137967.75</v>
      </c>
      <c r="T44" s="92"/>
      <c r="V44" s="166">
        <f>SUM(V42:V43)</f>
        <v>-176001.86</v>
      </c>
      <c r="Y44" s="166">
        <f>SUM(Y42:Y43)</f>
        <v>-19144.760000000002</v>
      </c>
      <c r="AA44" s="212">
        <f>SUM(AA42:AA43)</f>
        <v>0</v>
      </c>
      <c r="AB44" s="212">
        <f>SUM(AB42:AB43)</f>
        <v>0</v>
      </c>
      <c r="AC44" s="213"/>
    </row>
    <row r="45" spans="1:30" ht="15" customHeight="1" x14ac:dyDescent="0.25">
      <c r="K45" s="86"/>
    </row>
    <row r="46" spans="1:30" ht="15" customHeight="1" x14ac:dyDescent="0.25">
      <c r="I46" s="58" t="s">
        <v>181</v>
      </c>
      <c r="J46" s="214">
        <f>J44+M44</f>
        <v>13353873.549999999</v>
      </c>
      <c r="O46" s="215" t="s">
        <v>182</v>
      </c>
      <c r="P46" s="216">
        <f>P44-P11-P12-P13</f>
        <v>10015857.369999997</v>
      </c>
      <c r="Q46" s="86"/>
      <c r="R46" s="215" t="s">
        <v>182</v>
      </c>
      <c r="S46" s="216">
        <f>S44-S11-S12-S13</f>
        <v>3083102.3200000003</v>
      </c>
      <c r="V46" s="177"/>
      <c r="Y46" s="44">
        <f>+Y44+V44</f>
        <v>-195146.62</v>
      </c>
      <c r="AD46" s="58" t="s">
        <v>183</v>
      </c>
    </row>
    <row r="47" spans="1:30" ht="15" customHeight="1" x14ac:dyDescent="0.25">
      <c r="E47" s="217"/>
      <c r="J47" s="218"/>
      <c r="O47" s="219" t="s">
        <v>184</v>
      </c>
      <c r="P47" s="220">
        <f>V44</f>
        <v>-176001.86</v>
      </c>
      <c r="Q47" s="128"/>
      <c r="R47" s="219" t="s">
        <v>184</v>
      </c>
      <c r="S47" s="220">
        <f>Y44</f>
        <v>-19144.760000000002</v>
      </c>
      <c r="V47" s="74" t="s">
        <v>185</v>
      </c>
      <c r="Y47" s="177"/>
    </row>
    <row r="48" spans="1:30" ht="15" customHeight="1" x14ac:dyDescent="0.25">
      <c r="E48" s="217"/>
      <c r="F48" s="74" t="s">
        <v>186</v>
      </c>
      <c r="P48" s="221">
        <f>P46+P47</f>
        <v>9839855.5099999979</v>
      </c>
      <c r="Q48" s="222"/>
      <c r="R48" s="222"/>
      <c r="S48" s="221">
        <f>S46+S47</f>
        <v>3063957.5600000005</v>
      </c>
      <c r="T48" s="222"/>
      <c r="U48" s="222"/>
      <c r="V48" s="223">
        <f>P11+P12+P13+S11+S12+S13</f>
        <v>450060.48</v>
      </c>
      <c r="Y48" s="224"/>
    </row>
    <row r="49" spans="1:25" ht="15" customHeight="1" x14ac:dyDescent="0.25">
      <c r="E49" s="217"/>
      <c r="K49" s="225"/>
      <c r="L49" s="226" t="s">
        <v>100</v>
      </c>
      <c r="M49" s="227" t="s">
        <v>187</v>
      </c>
      <c r="P49" s="228"/>
      <c r="S49" s="228"/>
      <c r="Y49" s="224"/>
    </row>
    <row r="50" spans="1:25" ht="14.1" customHeight="1" x14ac:dyDescent="0.25">
      <c r="K50" s="97"/>
      <c r="L50" s="226" t="s">
        <v>188</v>
      </c>
      <c r="M50" s="227" t="s">
        <v>189</v>
      </c>
      <c r="O50" s="78"/>
      <c r="Y50" s="224"/>
    </row>
    <row r="51" spans="1:25" ht="14.1" customHeight="1" x14ac:dyDescent="0.25">
      <c r="A51" s="74"/>
      <c r="K51" s="97"/>
      <c r="L51" s="226" t="s">
        <v>190</v>
      </c>
      <c r="M51" s="227" t="s">
        <v>191</v>
      </c>
    </row>
    <row r="52" spans="1:25" ht="14.1" customHeight="1" x14ac:dyDescent="0.25">
      <c r="A52" s="229"/>
      <c r="K52" s="97"/>
      <c r="L52" s="226" t="s">
        <v>192</v>
      </c>
      <c r="M52" s="227" t="s">
        <v>193</v>
      </c>
    </row>
    <row r="53" spans="1:25" ht="14.1" customHeight="1" x14ac:dyDescent="0.25">
      <c r="K53" s="97"/>
      <c r="L53" s="226" t="s">
        <v>194</v>
      </c>
      <c r="M53" s="230" t="s">
        <v>195</v>
      </c>
    </row>
    <row r="54" spans="1:25" ht="14.1" customHeight="1" x14ac:dyDescent="0.25">
      <c r="K54" s="97"/>
      <c r="L54" s="226" t="s">
        <v>196</v>
      </c>
      <c r="M54" s="227" t="s">
        <v>197</v>
      </c>
    </row>
    <row r="55" spans="1:25" ht="14.1" customHeight="1" x14ac:dyDescent="0.25">
      <c r="K55" s="97"/>
      <c r="L55" s="226" t="s">
        <v>198</v>
      </c>
      <c r="M55" s="227" t="s">
        <v>199</v>
      </c>
    </row>
    <row r="56" spans="1:25" ht="14.1" customHeight="1" x14ac:dyDescent="0.25">
      <c r="K56" s="97"/>
      <c r="L56" s="226" t="s">
        <v>200</v>
      </c>
      <c r="M56" s="227" t="s">
        <v>201</v>
      </c>
    </row>
    <row r="57" spans="1:25" ht="14.1" customHeight="1" x14ac:dyDescent="0.25">
      <c r="K57" s="86"/>
      <c r="L57" s="231"/>
      <c r="M57" s="227" t="s">
        <v>202</v>
      </c>
    </row>
    <row r="58" spans="1:25" ht="14.1" customHeight="1" thickBot="1" x14ac:dyDescent="0.3">
      <c r="O58" s="232" t="s">
        <v>142</v>
      </c>
      <c r="P58" s="233"/>
      <c r="Q58" s="232"/>
      <c r="R58" s="232" t="s">
        <v>142</v>
      </c>
      <c r="S58" s="233"/>
    </row>
    <row r="59" spans="1:25" ht="14.1" customHeight="1" x14ac:dyDescent="0.25">
      <c r="A59" s="74"/>
      <c r="I59" s="234" t="s">
        <v>203</v>
      </c>
      <c r="J59" s="235" t="s">
        <v>204</v>
      </c>
      <c r="K59" s="78"/>
      <c r="L59" s="72">
        <v>6011</v>
      </c>
      <c r="M59" s="227" t="s">
        <v>205</v>
      </c>
      <c r="O59" s="78" t="e">
        <f ca="1">[2]!SSGXA4(M$55&amp;"-"&amp;I59&amp;"-"&amp;$L59&amp;"-"&amp;$M59,M$49,M$51,M$52,M$53,M$54)</f>
        <v>#NAME?</v>
      </c>
      <c r="P59" s="76" t="e">
        <f ca="1">[2]!SSGXA4(M$55&amp;"-"&amp;I59&amp;"-"&amp;$L59&amp;"-"&amp;$M59,M$50,M$51,M$52,M$53,M$54)</f>
        <v>#NAME?</v>
      </c>
      <c r="Q59" s="128">
        <v>-1</v>
      </c>
      <c r="R59" s="78" t="e">
        <f ca="1">[2]!SSGXA4(M$55&amp;"-"&amp;J59&amp;"-"&amp;$L59&amp;"-"&amp;$M59,M$49,M$51,M$52,M$53,M$54)</f>
        <v>#NAME?</v>
      </c>
      <c r="S59" s="76" t="e">
        <f ca="1">[2]!SSGXA4(M$55&amp;"-"&amp;J59&amp;"-"&amp;$L59&amp;"-"&amp;$M59,M$50,M$51,M$52,M$53,M$54)</f>
        <v>#NAME?</v>
      </c>
      <c r="T59" s="236">
        <v>-4</v>
      </c>
    </row>
    <row r="60" spans="1:25" ht="14.1" customHeight="1" x14ac:dyDescent="0.25">
      <c r="I60" s="234" t="s">
        <v>203</v>
      </c>
      <c r="J60" s="235" t="s">
        <v>204</v>
      </c>
      <c r="K60" s="78"/>
      <c r="L60" s="72">
        <v>6011</v>
      </c>
      <c r="M60" s="72">
        <v>28082</v>
      </c>
      <c r="O60" s="78" t="e">
        <f ca="1">[2]!SSGXA4(M$55&amp;"-"&amp;I60&amp;"-"&amp;$L60&amp;"-"&amp;$M60,M$49,M$51,M$52,M$53,M$54)</f>
        <v>#NAME?</v>
      </c>
      <c r="P60" s="237" t="e">
        <f ca="1">[2]!SSGXA4(M$55&amp;"-"&amp;M$56&amp;"-"&amp;$L60&amp;"-"&amp;$M60,M$50,M$51,M$52,M$53,M$54)</f>
        <v>#NAME?</v>
      </c>
      <c r="Q60" s="128">
        <v>-2</v>
      </c>
      <c r="R60" s="76"/>
      <c r="S60" s="237"/>
      <c r="T60" s="236"/>
    </row>
    <row r="61" spans="1:25" ht="15" x14ac:dyDescent="0.25">
      <c r="I61" s="234" t="s">
        <v>203</v>
      </c>
      <c r="J61" s="235" t="s">
        <v>204</v>
      </c>
      <c r="K61" s="78"/>
      <c r="L61" s="72">
        <v>6011</v>
      </c>
      <c r="M61" s="72">
        <v>28120</v>
      </c>
      <c r="O61" s="78" t="e">
        <f ca="1">[2]!SSGXA4(M$55&amp;"-"&amp;I61&amp;"-"&amp;$L61&amp;"-"&amp;$M61,M$49,M$51,M$52,M$53,M$54)</f>
        <v>#NAME?</v>
      </c>
      <c r="P61" s="76" t="e">
        <f ca="1">[2]!SSGXA4(M$55&amp;"-"&amp;I61&amp;"-"&amp;$L61&amp;"-"&amp;$M61,M$50,M$51,M$52,M$53,M$54)</f>
        <v>#NAME?</v>
      </c>
      <c r="Q61" s="128">
        <v>-3</v>
      </c>
      <c r="R61" s="78" t="e">
        <f ca="1">[2]!SSGXA4(M$55&amp;"-"&amp;J61&amp;"-"&amp;$L61&amp;"-"&amp;$M61,M$49,M$51,M$52,M$53,M$54)</f>
        <v>#NAME?</v>
      </c>
      <c r="S61" s="76" t="e">
        <f ca="1">[2]!SSGXA4(M$55&amp;"-"&amp;J61&amp;"-"&amp;$L61&amp;"-"&amp;$M61,M$50,M$51,M$52,M$53,M$54)</f>
        <v>#NAME?</v>
      </c>
      <c r="T61" s="236">
        <v>-5</v>
      </c>
    </row>
    <row r="62" spans="1:25" ht="14.1" customHeight="1" x14ac:dyDescent="0.25">
      <c r="A62" s="73"/>
      <c r="O62" s="78"/>
      <c r="P62" s="238" t="e">
        <f ca="1">SUM(P59:P61)</f>
        <v>#NAME?</v>
      </c>
      <c r="Q62" s="102"/>
      <c r="R62" s="102"/>
      <c r="S62" s="238" t="e">
        <f ca="1">SUM(S59:S61)</f>
        <v>#NAME?</v>
      </c>
      <c r="T62" s="78"/>
    </row>
    <row r="63" spans="1:25" ht="14.1" customHeight="1" x14ac:dyDescent="0.25">
      <c r="O63" s="239"/>
      <c r="P63" s="240"/>
      <c r="Q63" s="239"/>
      <c r="R63" s="239"/>
      <c r="S63" s="240"/>
      <c r="T63" s="78"/>
    </row>
  </sheetData>
  <mergeCells count="15">
    <mergeCell ref="V1:X1"/>
    <mergeCell ref="A2:D2"/>
    <mergeCell ref="F2:G2"/>
    <mergeCell ref="I2:M2"/>
    <mergeCell ref="O2:S2"/>
    <mergeCell ref="V2:X2"/>
    <mergeCell ref="A5:D5"/>
    <mergeCell ref="V3:X3"/>
    <mergeCell ref="AA3:AB3"/>
    <mergeCell ref="I4:J4"/>
    <mergeCell ref="L4:M4"/>
    <mergeCell ref="O4:P4"/>
    <mergeCell ref="R4:S4"/>
    <mergeCell ref="U4:V4"/>
    <mergeCell ref="X4:Y4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2"/>
  <sheetViews>
    <sheetView showGridLines="0" zoomScaleNormal="100" workbookViewId="0">
      <selection activeCell="A15" sqref="A15:F15"/>
    </sheetView>
  </sheetViews>
  <sheetFormatPr defaultRowHeight="12.75" x14ac:dyDescent="0.2"/>
  <cols>
    <col min="1" max="1" width="21.7109375" style="15" customWidth="1"/>
    <col min="2" max="2" width="26.140625" style="16" customWidth="1"/>
    <col min="3" max="3" width="3.5703125" style="18" bestFit="1" customWidth="1"/>
    <col min="4" max="4" width="4" style="18" bestFit="1" customWidth="1"/>
    <col min="5" max="5" width="13.7109375" style="18" customWidth="1"/>
    <col min="6" max="6" width="15" style="48" bestFit="1" customWidth="1"/>
    <col min="7" max="7" width="12.140625" style="32" customWidth="1"/>
    <col min="8" max="8" width="11.85546875" style="32" bestFit="1" customWidth="1"/>
    <col min="9" max="9" width="14" style="32" bestFit="1" customWidth="1"/>
    <col min="10" max="11" width="16.140625" style="32" bestFit="1" customWidth="1"/>
    <col min="12" max="12" width="14.5703125" style="32" bestFit="1" customWidth="1"/>
    <col min="13" max="13" width="16.85546875" style="32" bestFit="1" customWidth="1"/>
    <col min="14" max="14" width="1.7109375" customWidth="1"/>
    <col min="15" max="15" width="15.5703125" bestFit="1" customWidth="1"/>
    <col min="16" max="26" width="9.7109375" customWidth="1"/>
    <col min="27" max="27" width="25.28515625" customWidth="1"/>
    <col min="28" max="28" width="19.28515625" bestFit="1" customWidth="1"/>
    <col min="29" max="29" width="11.42578125" bestFit="1" customWidth="1"/>
    <col min="30" max="30" width="17" bestFit="1" customWidth="1"/>
    <col min="31" max="31" width="14.7109375" customWidth="1"/>
    <col min="33" max="33" width="17" bestFit="1" customWidth="1"/>
    <col min="34" max="34" width="13.85546875" bestFit="1" customWidth="1"/>
    <col min="35" max="35" width="31.7109375" customWidth="1"/>
  </cols>
  <sheetData>
    <row r="1" spans="1:35" ht="14.25" customHeight="1" x14ac:dyDescent="0.2">
      <c r="A1" s="15" t="s">
        <v>118</v>
      </c>
      <c r="B1" s="2"/>
      <c r="D1" s="306" t="s">
        <v>91</v>
      </c>
      <c r="E1" s="306"/>
      <c r="F1" s="306"/>
      <c r="G1" s="306"/>
      <c r="H1" s="306"/>
      <c r="I1" s="306"/>
      <c r="J1" s="306"/>
      <c r="K1" s="305"/>
      <c r="L1" s="305"/>
      <c r="M1" s="305"/>
      <c r="N1" s="305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35" ht="14.25" customHeight="1" x14ac:dyDescent="0.25">
      <c r="A2" s="15" t="s">
        <v>119</v>
      </c>
      <c r="B2" s="2"/>
      <c r="C2" s="59"/>
      <c r="D2" s="306"/>
      <c r="E2" s="306"/>
      <c r="F2" s="306"/>
      <c r="G2" s="306"/>
      <c r="H2" s="306"/>
      <c r="I2" s="306"/>
      <c r="J2" s="306"/>
      <c r="K2" s="307" t="s">
        <v>0</v>
      </c>
      <c r="L2" s="307"/>
      <c r="M2" s="307"/>
      <c r="N2" s="307"/>
    </row>
    <row r="3" spans="1:35" ht="14.25" customHeight="1" x14ac:dyDescent="0.25">
      <c r="A3" s="308" t="s">
        <v>120</v>
      </c>
      <c r="B3" s="308"/>
      <c r="C3" s="59"/>
      <c r="D3" s="77"/>
      <c r="E3" s="309">
        <f>'Core Cost Incurred'!A2</f>
        <v>43184</v>
      </c>
      <c r="F3" s="309"/>
      <c r="G3" s="309"/>
      <c r="H3" s="309"/>
      <c r="I3" s="309"/>
      <c r="J3" s="309"/>
      <c r="K3" s="310" t="s">
        <v>1</v>
      </c>
      <c r="L3" s="310"/>
      <c r="M3" s="310"/>
      <c r="N3" s="310"/>
    </row>
    <row r="4" spans="1:35" ht="14.25" customHeight="1" x14ac:dyDescent="0.25">
      <c r="A4" s="311" t="s">
        <v>121</v>
      </c>
      <c r="B4" s="311"/>
      <c r="C4" s="59"/>
      <c r="D4" s="77"/>
      <c r="E4" s="309"/>
      <c r="F4" s="309"/>
      <c r="G4" s="309"/>
      <c r="H4" s="309"/>
      <c r="I4" s="309"/>
      <c r="J4" s="309"/>
      <c r="K4" s="312" t="s">
        <v>2</v>
      </c>
      <c r="L4" s="312"/>
      <c r="M4" s="312"/>
      <c r="N4" s="312"/>
    </row>
    <row r="5" spans="1:35" ht="14.25" customHeight="1" x14ac:dyDescent="0.2">
      <c r="C5" s="59"/>
      <c r="D5" s="77"/>
      <c r="E5" s="77"/>
      <c r="F5" s="77"/>
      <c r="G5" s="77"/>
      <c r="H5" s="77"/>
      <c r="I5" s="77"/>
      <c r="J5" s="77"/>
      <c r="K5" s="305"/>
      <c r="L5" s="305"/>
      <c r="M5" s="305"/>
      <c r="N5" s="305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35" x14ac:dyDescent="0.2">
      <c r="A6" s="3"/>
      <c r="B6" s="4"/>
      <c r="C6" s="5"/>
      <c r="D6" s="5"/>
      <c r="E6" s="5"/>
      <c r="F6" s="75" t="s">
        <v>92</v>
      </c>
      <c r="G6" s="60" t="s">
        <v>93</v>
      </c>
      <c r="H6" s="60" t="s">
        <v>94</v>
      </c>
      <c r="I6" s="60" t="s">
        <v>3</v>
      </c>
      <c r="J6" s="60" t="s">
        <v>93</v>
      </c>
      <c r="K6" s="60" t="s">
        <v>94</v>
      </c>
      <c r="L6" s="60"/>
      <c r="M6" s="60" t="s">
        <v>95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6"/>
    </row>
    <row r="7" spans="1:35" x14ac:dyDescent="0.2">
      <c r="A7" s="7"/>
      <c r="B7" s="8"/>
      <c r="C7" s="9"/>
      <c r="D7" s="9"/>
      <c r="E7" s="7" t="s">
        <v>4</v>
      </c>
      <c r="F7" s="75" t="s">
        <v>122</v>
      </c>
      <c r="G7" s="60" t="s">
        <v>5</v>
      </c>
      <c r="H7" s="60" t="s">
        <v>5</v>
      </c>
      <c r="I7" s="60" t="s">
        <v>6</v>
      </c>
      <c r="J7" s="60" t="s">
        <v>96</v>
      </c>
      <c r="K7" s="60" t="s">
        <v>96</v>
      </c>
      <c r="L7" s="60" t="s">
        <v>3</v>
      </c>
      <c r="M7" s="60" t="s">
        <v>3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0"/>
      <c r="AB7" s="11"/>
    </row>
    <row r="8" spans="1:35" s="14" customFormat="1" x14ac:dyDescent="0.2">
      <c r="A8" s="61"/>
      <c r="B8" s="62"/>
      <c r="C8" s="61" t="s">
        <v>7</v>
      </c>
      <c r="D8" s="61" t="s">
        <v>8</v>
      </c>
      <c r="E8" s="61" t="s">
        <v>8</v>
      </c>
      <c r="F8" s="81" t="s">
        <v>97</v>
      </c>
      <c r="G8" s="63" t="s">
        <v>129</v>
      </c>
      <c r="H8" s="63" t="str">
        <f>+G8</f>
        <v>Sep 1 2017</v>
      </c>
      <c r="I8" s="63" t="str">
        <f>H8</f>
        <v>Sep 1 2017</v>
      </c>
      <c r="J8" s="64" t="s">
        <v>98</v>
      </c>
      <c r="K8" s="64" t="s">
        <v>98</v>
      </c>
      <c r="L8" s="64" t="s">
        <v>6</v>
      </c>
      <c r="M8" s="64" t="s">
        <v>98</v>
      </c>
      <c r="N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2"/>
      <c r="AB8" s="11" t="s">
        <v>9</v>
      </c>
      <c r="AC8" s="11" t="s">
        <v>10</v>
      </c>
      <c r="AD8" s="11" t="s">
        <v>11</v>
      </c>
      <c r="AE8" s="13" t="s">
        <v>12</v>
      </c>
      <c r="AF8" s="11" t="s">
        <v>13</v>
      </c>
      <c r="AG8" s="11" t="s">
        <v>14</v>
      </c>
      <c r="AH8" s="11" t="s">
        <v>15</v>
      </c>
      <c r="AI8" s="11" t="s">
        <v>16</v>
      </c>
    </row>
    <row r="9" spans="1:35" ht="15.75" x14ac:dyDescent="0.25">
      <c r="A9" s="65" t="s">
        <v>17</v>
      </c>
      <c r="B9" s="16" t="s">
        <v>18</v>
      </c>
      <c r="C9" s="17">
        <v>1</v>
      </c>
      <c r="D9" s="18" t="s">
        <v>19</v>
      </c>
      <c r="E9" s="19" t="s">
        <v>20</v>
      </c>
      <c r="F9" s="20">
        <v>91997</v>
      </c>
      <c r="G9" s="66">
        <v>0.27335999999999999</v>
      </c>
      <c r="H9" s="66">
        <v>0.16533</v>
      </c>
      <c r="I9" s="66">
        <v>5.3220000000000003E-2</v>
      </c>
      <c r="J9" s="21">
        <f>ROUND(G9*F9,2)</f>
        <v>25148.3</v>
      </c>
      <c r="K9" s="21">
        <f>ROUND(F9*H9,2)</f>
        <v>15209.86</v>
      </c>
      <c r="L9" s="21">
        <f>ROUND(F9*I9,2)</f>
        <v>4896.08</v>
      </c>
      <c r="M9" s="21">
        <f>SUM(J9:L9)</f>
        <v>45254.240000000005</v>
      </c>
      <c r="O9" s="22" t="s">
        <v>21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3"/>
      <c r="AB9" t="s">
        <v>22</v>
      </c>
      <c r="AE9" s="23">
        <v>0</v>
      </c>
      <c r="AI9" t="s">
        <v>23</v>
      </c>
    </row>
    <row r="10" spans="1:35" ht="15" x14ac:dyDescent="0.2">
      <c r="A10" s="65" t="s">
        <v>17</v>
      </c>
      <c r="B10" s="16" t="s">
        <v>24</v>
      </c>
      <c r="C10" s="17">
        <v>1</v>
      </c>
      <c r="D10" s="18" t="s">
        <v>25</v>
      </c>
      <c r="E10" s="19" t="s">
        <v>26</v>
      </c>
      <c r="F10" s="24">
        <v>0</v>
      </c>
      <c r="G10" s="67">
        <f>$G$9</f>
        <v>0.27335999999999999</v>
      </c>
      <c r="H10" s="67">
        <f>$H$9</f>
        <v>0.16533</v>
      </c>
      <c r="I10" s="67">
        <f>$I$9</f>
        <v>5.3220000000000003E-2</v>
      </c>
      <c r="J10" s="21">
        <f>ROUND(G10*F10,2)</f>
        <v>0</v>
      </c>
      <c r="K10" s="21">
        <f>ROUND(F10*H10,2)</f>
        <v>0</v>
      </c>
      <c r="L10" s="21">
        <f>ROUND(F10*I10,2)</f>
        <v>0</v>
      </c>
      <c r="M10" s="21">
        <f>SUM(J10:L10)</f>
        <v>0</v>
      </c>
      <c r="O10" s="22" t="s">
        <v>21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  <c r="AB10" t="s">
        <v>22</v>
      </c>
      <c r="AE10" s="23">
        <v>0</v>
      </c>
      <c r="AI10" t="s">
        <v>27</v>
      </c>
    </row>
    <row r="11" spans="1:35" ht="15.75" x14ac:dyDescent="0.25">
      <c r="A11" s="65" t="s">
        <v>17</v>
      </c>
      <c r="B11" s="16" t="s">
        <v>28</v>
      </c>
      <c r="C11" s="17">
        <v>1</v>
      </c>
      <c r="D11" s="18" t="s">
        <v>29</v>
      </c>
      <c r="E11" s="19" t="s">
        <v>30</v>
      </c>
      <c r="F11" s="20">
        <v>18788639</v>
      </c>
      <c r="G11" s="67">
        <f t="shared" ref="G11:G13" si="0">$G$9</f>
        <v>0.27335999999999999</v>
      </c>
      <c r="H11" s="66">
        <v>0.16786000000000001</v>
      </c>
      <c r="I11" s="67">
        <f>$I$9</f>
        <v>5.3220000000000003E-2</v>
      </c>
      <c r="J11" s="21">
        <f>ROUND(G11*F11,2)</f>
        <v>5136062.3600000003</v>
      </c>
      <c r="K11" s="21">
        <f>ROUND(F11*H11,2)</f>
        <v>3153860.94</v>
      </c>
      <c r="L11" s="21">
        <f>ROUND(F11*I11,2)</f>
        <v>999931.37</v>
      </c>
      <c r="M11" s="21">
        <f>SUM(J11:L11)</f>
        <v>9289854.6699999999</v>
      </c>
      <c r="O11" s="22" t="s">
        <v>21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  <c r="AB11" t="s">
        <v>22</v>
      </c>
      <c r="AE11" s="23">
        <v>0</v>
      </c>
      <c r="AI11" t="s">
        <v>31</v>
      </c>
    </row>
    <row r="12" spans="1:35" ht="15.75" x14ac:dyDescent="0.25">
      <c r="A12" s="65" t="s">
        <v>32</v>
      </c>
      <c r="B12" s="16" t="s">
        <v>123</v>
      </c>
      <c r="C12" s="17">
        <v>1</v>
      </c>
      <c r="D12" s="18" t="s">
        <v>29</v>
      </c>
      <c r="E12" s="19" t="s">
        <v>30</v>
      </c>
      <c r="F12" s="25">
        <v>-14191411</v>
      </c>
      <c r="G12" s="67">
        <f t="shared" si="0"/>
        <v>0.27335999999999999</v>
      </c>
      <c r="H12" s="67">
        <f>$H$11</f>
        <v>0.16786000000000001</v>
      </c>
      <c r="I12" s="67"/>
      <c r="J12" s="21">
        <f>ROUND(G12*F12,2)</f>
        <v>-3879364.11</v>
      </c>
      <c r="K12" s="21">
        <f>ROUND(F12*H12,2)</f>
        <v>-2382170.25</v>
      </c>
      <c r="L12" s="26"/>
      <c r="M12" s="21">
        <f>SUM(J12:L12)</f>
        <v>-6261534.3599999994</v>
      </c>
      <c r="O12" s="27" t="s">
        <v>33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3"/>
      <c r="AB12" t="s">
        <v>22</v>
      </c>
      <c r="AE12" s="23">
        <v>0</v>
      </c>
      <c r="AI12" t="s">
        <v>31</v>
      </c>
    </row>
    <row r="13" spans="1:35" ht="15.75" x14ac:dyDescent="0.25">
      <c r="A13" s="65" t="s">
        <v>32</v>
      </c>
      <c r="B13" s="16" t="s">
        <v>124</v>
      </c>
      <c r="C13" s="17">
        <v>1</v>
      </c>
      <c r="D13" s="18" t="s">
        <v>29</v>
      </c>
      <c r="E13" s="19" t="s">
        <v>30</v>
      </c>
      <c r="F13" s="25">
        <v>9771873</v>
      </c>
      <c r="G13" s="67">
        <f t="shared" si="0"/>
        <v>0.27335999999999999</v>
      </c>
      <c r="H13" s="67">
        <f>$H$11</f>
        <v>0.16786000000000001</v>
      </c>
      <c r="I13" s="67"/>
      <c r="J13" s="21">
        <f>ROUND(G13*F13,2)</f>
        <v>2671239.2000000002</v>
      </c>
      <c r="K13" s="21">
        <f>ROUND(F13*H13,2)</f>
        <v>1640306.6</v>
      </c>
      <c r="L13" s="26"/>
      <c r="M13" s="21">
        <f>SUM(J13:L13)</f>
        <v>4311545.8000000007</v>
      </c>
      <c r="O13" s="27" t="s">
        <v>33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3"/>
      <c r="AB13" t="s">
        <v>22</v>
      </c>
      <c r="AE13" s="23">
        <v>0</v>
      </c>
      <c r="AI13" t="s">
        <v>31</v>
      </c>
    </row>
    <row r="14" spans="1:35" ht="12" customHeight="1" x14ac:dyDescent="0.2">
      <c r="A14" s="65"/>
      <c r="C14" s="17"/>
      <c r="E14" s="19"/>
      <c r="F14" s="24"/>
      <c r="G14" s="67"/>
      <c r="H14" s="67"/>
      <c r="I14" s="67"/>
      <c r="J14" s="21"/>
      <c r="K14" s="21"/>
      <c r="L14" s="21"/>
      <c r="M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/>
      <c r="AE14" s="23"/>
    </row>
    <row r="15" spans="1:35" ht="15.75" x14ac:dyDescent="0.25">
      <c r="A15" s="65" t="s">
        <v>34</v>
      </c>
      <c r="B15" s="16" t="s">
        <v>35</v>
      </c>
      <c r="C15" s="17">
        <v>2</v>
      </c>
      <c r="D15" s="18" t="s">
        <v>19</v>
      </c>
      <c r="E15" s="19" t="s">
        <v>20</v>
      </c>
      <c r="F15" s="20">
        <v>54</v>
      </c>
      <c r="G15" s="67">
        <f t="shared" ref="G15:G18" si="1">$G$9</f>
        <v>0.27335999999999999</v>
      </c>
      <c r="H15" s="67">
        <f t="shared" ref="H15:H18" si="2">$H$9</f>
        <v>0.16533</v>
      </c>
      <c r="I15" s="67">
        <f t="shared" ref="I15:I16" si="3">$I$9</f>
        <v>5.3220000000000003E-2</v>
      </c>
      <c r="J15" s="21">
        <f>ROUND(G15*F15,2)</f>
        <v>14.76</v>
      </c>
      <c r="K15" s="21">
        <f>ROUND(F15*H15,2)</f>
        <v>8.93</v>
      </c>
      <c r="L15" s="21">
        <f>ROUND(F15*I15,2)</f>
        <v>2.87</v>
      </c>
      <c r="M15" s="21">
        <f>SUM(J15:L15)</f>
        <v>26.56</v>
      </c>
      <c r="O15" s="22" t="s">
        <v>21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t="s">
        <v>22</v>
      </c>
      <c r="AE15" s="23">
        <v>0</v>
      </c>
      <c r="AI15" t="s">
        <v>36</v>
      </c>
    </row>
    <row r="16" spans="1:35" ht="15.75" x14ac:dyDescent="0.25">
      <c r="A16" s="65" t="s">
        <v>34</v>
      </c>
      <c r="B16" s="16" t="s">
        <v>37</v>
      </c>
      <c r="C16" s="17">
        <v>2</v>
      </c>
      <c r="D16" s="18" t="s">
        <v>38</v>
      </c>
      <c r="E16" s="19" t="s">
        <v>39</v>
      </c>
      <c r="F16" s="20">
        <v>12580071</v>
      </c>
      <c r="G16" s="67">
        <f t="shared" si="1"/>
        <v>0.27335999999999999</v>
      </c>
      <c r="H16" s="67">
        <f t="shared" si="2"/>
        <v>0.16533</v>
      </c>
      <c r="I16" s="67">
        <f t="shared" si="3"/>
        <v>5.3220000000000003E-2</v>
      </c>
      <c r="J16" s="21">
        <f>ROUND(G16*F16,2)</f>
        <v>3438888.21</v>
      </c>
      <c r="K16" s="21">
        <f>ROUND(F16*H16,2)</f>
        <v>2079863.14</v>
      </c>
      <c r="L16" s="21">
        <f>ROUND(F16*I16,2)</f>
        <v>669511.38</v>
      </c>
      <c r="M16" s="21">
        <f>SUM(J16:L16)</f>
        <v>6188262.7299999995</v>
      </c>
      <c r="O16" s="22" t="s">
        <v>21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  <c r="AB16" t="s">
        <v>22</v>
      </c>
      <c r="AE16" s="23">
        <v>0</v>
      </c>
      <c r="AI16" t="s">
        <v>40</v>
      </c>
    </row>
    <row r="17" spans="1:35" ht="15.75" x14ac:dyDescent="0.25">
      <c r="A17" s="65" t="s">
        <v>41</v>
      </c>
      <c r="B17" s="16" t="s">
        <v>125</v>
      </c>
      <c r="C17" s="17">
        <v>2</v>
      </c>
      <c r="D17" s="18" t="s">
        <v>38</v>
      </c>
      <c r="E17" s="19" t="s">
        <v>39</v>
      </c>
      <c r="F17" s="25">
        <v>-10687012</v>
      </c>
      <c r="G17" s="67">
        <f t="shared" si="1"/>
        <v>0.27335999999999999</v>
      </c>
      <c r="H17" s="67">
        <f t="shared" si="2"/>
        <v>0.16533</v>
      </c>
      <c r="I17" s="67"/>
      <c r="J17" s="21">
        <f>ROUND(G17*F17,2)</f>
        <v>-2921401.6</v>
      </c>
      <c r="K17" s="21">
        <f>ROUND(F17*H17,2)</f>
        <v>-1766883.69</v>
      </c>
      <c r="L17" s="26"/>
      <c r="M17" s="21">
        <f>SUM(J17:L17)</f>
        <v>-4688285.29</v>
      </c>
      <c r="O17" s="27" t="s">
        <v>33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3"/>
      <c r="AB17" t="s">
        <v>22</v>
      </c>
      <c r="AE17" s="23">
        <v>0</v>
      </c>
      <c r="AI17" t="s">
        <v>40</v>
      </c>
    </row>
    <row r="18" spans="1:35" ht="15.75" x14ac:dyDescent="0.25">
      <c r="A18" s="65" t="s">
        <v>41</v>
      </c>
      <c r="B18" s="16" t="s">
        <v>126</v>
      </c>
      <c r="C18" s="17">
        <v>2</v>
      </c>
      <c r="D18" s="18" t="s">
        <v>38</v>
      </c>
      <c r="E18" s="19" t="s">
        <v>39</v>
      </c>
      <c r="F18" s="25">
        <v>7181224</v>
      </c>
      <c r="G18" s="67">
        <f t="shared" si="1"/>
        <v>0.27335999999999999</v>
      </c>
      <c r="H18" s="67">
        <f t="shared" si="2"/>
        <v>0.16533</v>
      </c>
      <c r="I18" s="67"/>
      <c r="J18" s="21">
        <f>ROUND(G18*F18,2)</f>
        <v>1963059.39</v>
      </c>
      <c r="K18" s="21">
        <f>ROUND(F18*H18,2)</f>
        <v>1187271.76</v>
      </c>
      <c r="L18" s="26"/>
      <c r="M18" s="21">
        <f>SUM(J18:L18)</f>
        <v>3150331.15</v>
      </c>
      <c r="O18" s="27" t="s">
        <v>33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3"/>
      <c r="AB18" t="s">
        <v>22</v>
      </c>
      <c r="AE18" s="23">
        <v>0</v>
      </c>
      <c r="AI18" t="s">
        <v>40</v>
      </c>
    </row>
    <row r="19" spans="1:35" ht="12" customHeight="1" x14ac:dyDescent="0.2">
      <c r="A19" s="65"/>
      <c r="C19" s="17"/>
      <c r="E19" s="19"/>
      <c r="F19" s="24"/>
      <c r="G19" s="67"/>
      <c r="H19" s="67"/>
      <c r="I19" s="67"/>
      <c r="J19" s="21"/>
      <c r="K19" s="21"/>
      <c r="L19" s="21"/>
      <c r="M19" s="21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3"/>
      <c r="AE19" s="23"/>
    </row>
    <row r="20" spans="1:35" ht="15.75" x14ac:dyDescent="0.25">
      <c r="A20" s="65" t="s">
        <v>34</v>
      </c>
      <c r="B20" s="16" t="s">
        <v>42</v>
      </c>
      <c r="C20" s="17">
        <v>2</v>
      </c>
      <c r="D20" s="18" t="s">
        <v>43</v>
      </c>
      <c r="E20" s="19" t="s">
        <v>44</v>
      </c>
      <c r="F20" s="20">
        <v>1377202</v>
      </c>
      <c r="G20" s="67">
        <f t="shared" ref="G20:G25" si="4">$G$9</f>
        <v>0.27335999999999999</v>
      </c>
      <c r="H20" s="66">
        <v>0.15284</v>
      </c>
      <c r="I20" s="67">
        <f t="shared" ref="I20:I25" si="5">$I$9</f>
        <v>5.3220000000000003E-2</v>
      </c>
      <c r="J20" s="21">
        <f t="shared" ref="J20:J25" si="6">ROUND(G20*F20,2)</f>
        <v>376471.94</v>
      </c>
      <c r="K20" s="21">
        <f t="shared" ref="K20:K25" si="7">ROUND(F20*H20,2)</f>
        <v>210491.55</v>
      </c>
      <c r="L20" s="21">
        <f t="shared" ref="L20:L25" si="8">ROUND(F20*I20,2)</f>
        <v>73294.69</v>
      </c>
      <c r="M20" s="21">
        <f t="shared" ref="M20:M25" si="9">SUM(J20:L20)</f>
        <v>660258.17999999993</v>
      </c>
      <c r="O20" s="22" t="s">
        <v>21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  <c r="AB20" t="s">
        <v>22</v>
      </c>
      <c r="AE20" s="23">
        <v>0</v>
      </c>
      <c r="AI20" t="s">
        <v>45</v>
      </c>
    </row>
    <row r="21" spans="1:35" ht="15.75" x14ac:dyDescent="0.25">
      <c r="A21" s="65" t="s">
        <v>34</v>
      </c>
      <c r="B21" s="16" t="s">
        <v>46</v>
      </c>
      <c r="C21" s="17">
        <v>2</v>
      </c>
      <c r="D21" s="18" t="s">
        <v>47</v>
      </c>
      <c r="E21" s="19" t="s">
        <v>48</v>
      </c>
      <c r="F21" s="20">
        <v>4165</v>
      </c>
      <c r="G21" s="67">
        <f t="shared" si="4"/>
        <v>0.27335999999999999</v>
      </c>
      <c r="H21" s="67">
        <f>$H$9</f>
        <v>0.16533</v>
      </c>
      <c r="I21" s="67">
        <f t="shared" si="5"/>
        <v>5.3220000000000003E-2</v>
      </c>
      <c r="J21" s="21">
        <f t="shared" si="6"/>
        <v>1138.54</v>
      </c>
      <c r="K21" s="21">
        <f t="shared" si="7"/>
        <v>688.6</v>
      </c>
      <c r="L21" s="21">
        <f t="shared" si="8"/>
        <v>221.66</v>
      </c>
      <c r="M21" s="21">
        <f t="shared" si="9"/>
        <v>2048.7999999999997</v>
      </c>
      <c r="O21" s="22" t="s">
        <v>21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9"/>
      <c r="AB21" t="s">
        <v>22</v>
      </c>
      <c r="AE21" s="23">
        <v>0</v>
      </c>
      <c r="AI21" t="s">
        <v>49</v>
      </c>
    </row>
    <row r="22" spans="1:35" ht="15" x14ac:dyDescent="0.2">
      <c r="A22" s="65" t="s">
        <v>34</v>
      </c>
      <c r="B22" s="16" t="s">
        <v>50</v>
      </c>
      <c r="C22" s="17">
        <v>2</v>
      </c>
      <c r="D22" s="18" t="s">
        <v>25</v>
      </c>
      <c r="E22" s="19" t="s">
        <v>26</v>
      </c>
      <c r="F22" s="24">
        <v>0</v>
      </c>
      <c r="G22" s="67">
        <f t="shared" si="4"/>
        <v>0.27335999999999999</v>
      </c>
      <c r="H22" s="67">
        <f>$H$9</f>
        <v>0.16533</v>
      </c>
      <c r="I22" s="67">
        <f t="shared" si="5"/>
        <v>5.3220000000000003E-2</v>
      </c>
      <c r="J22" s="21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0</v>
      </c>
      <c r="O22" s="22" t="s">
        <v>21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9"/>
      <c r="AB22" t="s">
        <v>22</v>
      </c>
      <c r="AE22" s="23">
        <v>0</v>
      </c>
      <c r="AI22" t="s">
        <v>51</v>
      </c>
    </row>
    <row r="23" spans="1:35" ht="15.75" x14ac:dyDescent="0.25">
      <c r="A23" s="65" t="s">
        <v>34</v>
      </c>
      <c r="B23" s="16" t="s">
        <v>42</v>
      </c>
      <c r="C23" s="17">
        <v>2</v>
      </c>
      <c r="D23" s="18" t="s">
        <v>43</v>
      </c>
      <c r="E23" s="19" t="s">
        <v>130</v>
      </c>
      <c r="F23" s="20">
        <v>5757</v>
      </c>
      <c r="G23" s="67">
        <f t="shared" si="4"/>
        <v>0.27335999999999999</v>
      </c>
      <c r="H23" s="67">
        <f>+H25</f>
        <v>0.16533</v>
      </c>
      <c r="I23" s="67">
        <f t="shared" si="5"/>
        <v>5.3220000000000003E-2</v>
      </c>
      <c r="J23" s="21">
        <f t="shared" si="6"/>
        <v>1573.73</v>
      </c>
      <c r="K23" s="21">
        <f t="shared" si="7"/>
        <v>951.8</v>
      </c>
      <c r="L23" s="21">
        <f t="shared" si="8"/>
        <v>306.39</v>
      </c>
      <c r="M23" s="21">
        <f t="shared" si="9"/>
        <v>2831.9199999999996</v>
      </c>
      <c r="O23" s="22" t="s">
        <v>21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t="s">
        <v>22</v>
      </c>
      <c r="AE23" s="23">
        <v>0</v>
      </c>
      <c r="AI23" t="s">
        <v>45</v>
      </c>
    </row>
    <row r="24" spans="1:35" ht="15.75" x14ac:dyDescent="0.25">
      <c r="A24" s="65" t="s">
        <v>41</v>
      </c>
      <c r="B24" s="16" t="s">
        <v>52</v>
      </c>
      <c r="C24" s="17">
        <v>2</v>
      </c>
      <c r="D24" s="18" t="s">
        <v>43</v>
      </c>
      <c r="E24" s="19" t="s">
        <v>130</v>
      </c>
      <c r="F24" s="31">
        <v>-5757</v>
      </c>
      <c r="G24" s="67">
        <f t="shared" si="4"/>
        <v>0.27335999999999999</v>
      </c>
      <c r="H24" s="67">
        <f>+H25</f>
        <v>0.16533</v>
      </c>
      <c r="I24" s="67">
        <f t="shared" si="5"/>
        <v>5.3220000000000003E-2</v>
      </c>
      <c r="J24" s="21">
        <f t="shared" si="6"/>
        <v>-1573.73</v>
      </c>
      <c r="K24" s="21">
        <f t="shared" si="7"/>
        <v>-951.8</v>
      </c>
      <c r="L24" s="21">
        <f t="shared" si="8"/>
        <v>-306.39</v>
      </c>
      <c r="M24" s="21">
        <f t="shared" si="9"/>
        <v>-2831.9199999999996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0"/>
      <c r="AB24" t="s">
        <v>22</v>
      </c>
      <c r="AE24" s="23">
        <v>0</v>
      </c>
      <c r="AI24" t="s">
        <v>45</v>
      </c>
    </row>
    <row r="25" spans="1:35" ht="15.75" x14ac:dyDescent="0.25">
      <c r="A25" s="65" t="s">
        <v>41</v>
      </c>
      <c r="B25" s="16" t="s">
        <v>53</v>
      </c>
      <c r="C25" s="17">
        <v>2</v>
      </c>
      <c r="D25" s="18" t="s">
        <v>43</v>
      </c>
      <c r="E25" s="19" t="s">
        <v>130</v>
      </c>
      <c r="F25" s="31">
        <v>4526</v>
      </c>
      <c r="G25" s="67">
        <f t="shared" si="4"/>
        <v>0.27335999999999999</v>
      </c>
      <c r="H25" s="67">
        <f>+H18</f>
        <v>0.16533</v>
      </c>
      <c r="I25" s="67">
        <f t="shared" si="5"/>
        <v>5.3220000000000003E-2</v>
      </c>
      <c r="J25" s="21">
        <f t="shared" si="6"/>
        <v>1237.23</v>
      </c>
      <c r="K25" s="21">
        <f t="shared" si="7"/>
        <v>748.28</v>
      </c>
      <c r="L25" s="21">
        <f t="shared" si="8"/>
        <v>240.87</v>
      </c>
      <c r="M25" s="21">
        <f t="shared" si="9"/>
        <v>2226.38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0"/>
      <c r="AB25" t="s">
        <v>22</v>
      </c>
      <c r="AE25" s="23">
        <v>0</v>
      </c>
      <c r="AI25" t="s">
        <v>45</v>
      </c>
    </row>
    <row r="26" spans="1:35" ht="12" customHeight="1" x14ac:dyDescent="0.2">
      <c r="A26" s="65"/>
      <c r="C26" s="17"/>
      <c r="E26" s="19"/>
      <c r="F26" s="68"/>
      <c r="G26" s="69"/>
      <c r="H26" s="67"/>
      <c r="I26" s="67"/>
      <c r="J26" s="21"/>
      <c r="K26" s="21"/>
      <c r="L26" s="21"/>
      <c r="M26" s="21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0"/>
      <c r="AE26" s="23"/>
    </row>
    <row r="27" spans="1:35" ht="15.75" x14ac:dyDescent="0.25">
      <c r="A27" s="65" t="s">
        <v>54</v>
      </c>
      <c r="B27" s="16" t="s">
        <v>55</v>
      </c>
      <c r="C27" s="17">
        <v>3</v>
      </c>
      <c r="D27" s="18" t="s">
        <v>56</v>
      </c>
      <c r="E27" s="19" t="s">
        <v>57</v>
      </c>
      <c r="F27" s="20">
        <v>1403497</v>
      </c>
      <c r="G27" s="67">
        <f t="shared" ref="G27:G29" si="10">$G$9</f>
        <v>0.27335999999999999</v>
      </c>
      <c r="H27" s="67">
        <f>$H$20</f>
        <v>0.15284</v>
      </c>
      <c r="I27" s="67">
        <f t="shared" ref="I27:I29" si="11">$I$9</f>
        <v>5.3220000000000003E-2</v>
      </c>
      <c r="J27" s="21">
        <f>ROUND(G27*F27,2)</f>
        <v>383659.94</v>
      </c>
      <c r="K27" s="21">
        <f>ROUND(F27*H27,2)</f>
        <v>214510.48</v>
      </c>
      <c r="L27" s="21">
        <f>ROUND(F27*I27,2)</f>
        <v>74694.11</v>
      </c>
      <c r="M27" s="21">
        <f>SUM(J27:L27)</f>
        <v>672864.53</v>
      </c>
      <c r="O27" s="22" t="s">
        <v>21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9"/>
      <c r="AB27" t="s">
        <v>22</v>
      </c>
      <c r="AE27" s="23">
        <v>0</v>
      </c>
      <c r="AI27" t="s">
        <v>58</v>
      </c>
    </row>
    <row r="28" spans="1:35" ht="15.75" x14ac:dyDescent="0.25">
      <c r="A28" s="65" t="s">
        <v>54</v>
      </c>
      <c r="B28" s="16" t="s">
        <v>59</v>
      </c>
      <c r="C28" s="17">
        <v>3</v>
      </c>
      <c r="D28" s="18" t="s">
        <v>43</v>
      </c>
      <c r="E28" s="19" t="s">
        <v>44</v>
      </c>
      <c r="F28" s="20">
        <v>282108</v>
      </c>
      <c r="G28" s="67">
        <f t="shared" si="10"/>
        <v>0.27335999999999999</v>
      </c>
      <c r="H28" s="67">
        <f>$H$20</f>
        <v>0.15284</v>
      </c>
      <c r="I28" s="67">
        <f t="shared" si="11"/>
        <v>5.3220000000000003E-2</v>
      </c>
      <c r="J28" s="21">
        <f>ROUND(G28*F28,2)</f>
        <v>77117.039999999994</v>
      </c>
      <c r="K28" s="21">
        <f>ROUND(F28*H28,2)</f>
        <v>43117.39</v>
      </c>
      <c r="L28" s="21">
        <f>ROUND(F28*I28,2)</f>
        <v>15013.79</v>
      </c>
      <c r="M28" s="21">
        <f>SUM(J28:L28)</f>
        <v>135248.22</v>
      </c>
      <c r="O28" s="22" t="s">
        <v>21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9"/>
      <c r="AB28" t="s">
        <v>22</v>
      </c>
      <c r="AE28" s="23">
        <v>0</v>
      </c>
      <c r="AI28" t="s">
        <v>60</v>
      </c>
    </row>
    <row r="29" spans="1:35" ht="15" x14ac:dyDescent="0.2">
      <c r="A29" s="65" t="s">
        <v>54</v>
      </c>
      <c r="B29" s="16" t="s">
        <v>61</v>
      </c>
      <c r="C29" s="17">
        <v>3</v>
      </c>
      <c r="D29" s="18" t="s">
        <v>47</v>
      </c>
      <c r="E29" s="19" t="s">
        <v>48</v>
      </c>
      <c r="F29" s="24">
        <v>0</v>
      </c>
      <c r="G29" s="67">
        <f t="shared" si="10"/>
        <v>0.27335999999999999</v>
      </c>
      <c r="H29" s="67">
        <f>$H$9</f>
        <v>0.16533</v>
      </c>
      <c r="I29" s="67">
        <f t="shared" si="11"/>
        <v>5.3220000000000003E-2</v>
      </c>
      <c r="J29" s="21">
        <f>ROUND(G29*F29,2)</f>
        <v>0</v>
      </c>
      <c r="K29" s="21">
        <f>ROUND(F29*H29,2)</f>
        <v>0</v>
      </c>
      <c r="L29" s="21">
        <f>ROUND(F29*I29,2)</f>
        <v>0</v>
      </c>
      <c r="M29" s="21">
        <f>SUM(J29:L29)</f>
        <v>0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3"/>
      <c r="AB29" t="s">
        <v>22</v>
      </c>
      <c r="AE29" s="23">
        <v>0</v>
      </c>
      <c r="AI29" t="s">
        <v>62</v>
      </c>
    </row>
    <row r="30" spans="1:35" ht="12" customHeight="1" x14ac:dyDescent="0.2">
      <c r="A30" s="65"/>
      <c r="C30" s="17"/>
      <c r="E30" s="19"/>
      <c r="F30" s="24"/>
      <c r="G30" s="67"/>
      <c r="H30" s="67"/>
      <c r="I30" s="67"/>
      <c r="J30" s="21"/>
      <c r="K30" s="21"/>
      <c r="L30" s="21"/>
      <c r="M30" s="21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3"/>
      <c r="AE30" s="23"/>
    </row>
    <row r="31" spans="1:35" ht="15.75" x14ac:dyDescent="0.25">
      <c r="A31" s="65" t="s">
        <v>65</v>
      </c>
      <c r="B31" s="16" t="s">
        <v>63</v>
      </c>
      <c r="C31" s="17">
        <v>3</v>
      </c>
      <c r="D31" s="18" t="s">
        <v>56</v>
      </c>
      <c r="E31" s="19" t="s">
        <v>64</v>
      </c>
      <c r="F31" s="20">
        <v>51</v>
      </c>
      <c r="G31" s="67">
        <f t="shared" ref="G31:G33" si="12">$G$9</f>
        <v>0.27335999999999999</v>
      </c>
      <c r="H31" s="67">
        <f>$H$20</f>
        <v>0.15284</v>
      </c>
      <c r="I31" s="67">
        <f t="shared" ref="I31:I33" si="13">$I$9</f>
        <v>5.3220000000000003E-2</v>
      </c>
      <c r="J31" s="21">
        <f t="shared" ref="J31:J33" si="14">ROUND(G31*F31,2)</f>
        <v>13.94</v>
      </c>
      <c r="K31" s="21">
        <f t="shared" ref="K31:K33" si="15">ROUND(F31*H31,2)</f>
        <v>7.79</v>
      </c>
      <c r="L31" s="21">
        <f t="shared" ref="L31:L33" si="16">ROUND(F31*I31,2)</f>
        <v>2.71</v>
      </c>
      <c r="M31" s="21">
        <f t="shared" ref="M31:M33" si="17">SUM(J31:L31)</f>
        <v>24.44</v>
      </c>
      <c r="O31" s="22" t="s">
        <v>21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9"/>
      <c r="AB31" t="s">
        <v>22</v>
      </c>
      <c r="AE31" s="23">
        <v>0</v>
      </c>
      <c r="AI31" t="s">
        <v>58</v>
      </c>
    </row>
    <row r="32" spans="1:35" ht="15" x14ac:dyDescent="0.2">
      <c r="A32" s="65" t="s">
        <v>71</v>
      </c>
      <c r="B32" s="16" t="s">
        <v>52</v>
      </c>
      <c r="C32" s="17">
        <v>3</v>
      </c>
      <c r="D32" s="18" t="s">
        <v>56</v>
      </c>
      <c r="E32" s="19" t="s">
        <v>64</v>
      </c>
      <c r="F32" s="70">
        <v>0</v>
      </c>
      <c r="G32" s="67">
        <f t="shared" si="12"/>
        <v>0.27335999999999999</v>
      </c>
      <c r="H32" s="67">
        <f>$H$20</f>
        <v>0.15284</v>
      </c>
      <c r="I32" s="67">
        <f t="shared" si="13"/>
        <v>5.3220000000000003E-2</v>
      </c>
      <c r="J32" s="21">
        <f t="shared" si="14"/>
        <v>0</v>
      </c>
      <c r="K32" s="21">
        <f t="shared" si="15"/>
        <v>0</v>
      </c>
      <c r="L32" s="21">
        <f t="shared" si="16"/>
        <v>0</v>
      </c>
      <c r="M32" s="21">
        <f t="shared" si="17"/>
        <v>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t="s">
        <v>22</v>
      </c>
      <c r="AE32" s="23">
        <v>0</v>
      </c>
      <c r="AI32" t="s">
        <v>58</v>
      </c>
    </row>
    <row r="33" spans="1:35" ht="15" x14ac:dyDescent="0.2">
      <c r="A33" s="65" t="s">
        <v>71</v>
      </c>
      <c r="B33" s="16" t="s">
        <v>53</v>
      </c>
      <c r="C33" s="17">
        <v>3</v>
      </c>
      <c r="D33" s="18" t="s">
        <v>56</v>
      </c>
      <c r="E33" s="19" t="s">
        <v>64</v>
      </c>
      <c r="F33" s="70">
        <v>0</v>
      </c>
      <c r="G33" s="67">
        <f t="shared" si="12"/>
        <v>0.27335999999999999</v>
      </c>
      <c r="H33" s="67">
        <f>$H$20</f>
        <v>0.15284</v>
      </c>
      <c r="I33" s="67">
        <f t="shared" si="13"/>
        <v>5.3220000000000003E-2</v>
      </c>
      <c r="J33" s="21">
        <f t="shared" si="14"/>
        <v>0</v>
      </c>
      <c r="K33" s="21">
        <f t="shared" si="15"/>
        <v>0</v>
      </c>
      <c r="L33" s="21">
        <f t="shared" si="16"/>
        <v>0</v>
      </c>
      <c r="M33" s="21">
        <f t="shared" si="17"/>
        <v>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t="s">
        <v>22</v>
      </c>
      <c r="AE33" s="23">
        <v>0</v>
      </c>
      <c r="AI33" t="s">
        <v>58</v>
      </c>
    </row>
    <row r="34" spans="1:35" ht="12" customHeight="1" x14ac:dyDescent="0.2">
      <c r="A34" s="65"/>
      <c r="C34" s="17"/>
      <c r="E34" s="19"/>
      <c r="F34" s="24"/>
      <c r="G34" s="67"/>
      <c r="H34" s="67"/>
      <c r="I34" s="67"/>
      <c r="J34" s="21"/>
      <c r="K34" s="21"/>
      <c r="L34" s="21"/>
      <c r="M34" s="21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9"/>
      <c r="AE34" s="23"/>
    </row>
    <row r="35" spans="1:35" ht="15" x14ac:dyDescent="0.2">
      <c r="A35" s="65" t="s">
        <v>65</v>
      </c>
      <c r="B35" s="16" t="s">
        <v>66</v>
      </c>
      <c r="C35" s="17" t="s">
        <v>67</v>
      </c>
      <c r="D35" s="18" t="s">
        <v>68</v>
      </c>
      <c r="E35" s="19" t="s">
        <v>69</v>
      </c>
      <c r="F35" s="24"/>
      <c r="G35" s="67">
        <f t="shared" ref="G35:G37" si="18">$G$9</f>
        <v>0.27335999999999999</v>
      </c>
      <c r="H35" s="66">
        <v>0.1404</v>
      </c>
      <c r="I35" s="67">
        <f t="shared" ref="I35:I37" si="19">$I$9</f>
        <v>5.3220000000000003E-2</v>
      </c>
      <c r="J35" s="21">
        <f>ROUND(G35*F35,2)</f>
        <v>0</v>
      </c>
      <c r="K35" s="21">
        <f>ROUND(F35*H35,2)</f>
        <v>0</v>
      </c>
      <c r="L35" s="21">
        <f>ROUND(F35*I35,2)</f>
        <v>0</v>
      </c>
      <c r="M35" s="21">
        <f>SUM(J35:L35)</f>
        <v>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3"/>
      <c r="AB35" t="s">
        <v>22</v>
      </c>
      <c r="AE35" s="23">
        <v>0</v>
      </c>
      <c r="AI35" t="s">
        <v>70</v>
      </c>
    </row>
    <row r="36" spans="1:35" ht="15" x14ac:dyDescent="0.2">
      <c r="A36" s="65" t="s">
        <v>71</v>
      </c>
      <c r="B36" s="16" t="s">
        <v>52</v>
      </c>
      <c r="C36" s="17">
        <v>4</v>
      </c>
      <c r="D36" s="18" t="s">
        <v>68</v>
      </c>
      <c r="E36" s="19" t="s">
        <v>69</v>
      </c>
      <c r="F36" s="70">
        <v>0</v>
      </c>
      <c r="G36" s="67">
        <f t="shared" si="18"/>
        <v>0.27335999999999999</v>
      </c>
      <c r="H36" s="67">
        <f>$H$35</f>
        <v>0.1404</v>
      </c>
      <c r="I36" s="67">
        <f t="shared" si="19"/>
        <v>5.3220000000000003E-2</v>
      </c>
      <c r="J36" s="21">
        <f>ROUND(G36*F36,2)</f>
        <v>0</v>
      </c>
      <c r="K36" s="21">
        <f>ROUND(F36*H36,2)</f>
        <v>0</v>
      </c>
      <c r="L36" s="21">
        <f>ROUND(F36*I36,2)</f>
        <v>0</v>
      </c>
      <c r="M36" s="21">
        <f>SUM(J36:L36)</f>
        <v>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t="s">
        <v>22</v>
      </c>
      <c r="AE36" s="23">
        <v>0</v>
      </c>
      <c r="AI36" t="s">
        <v>72</v>
      </c>
    </row>
    <row r="37" spans="1:35" ht="15" x14ac:dyDescent="0.2">
      <c r="A37" s="65" t="s">
        <v>71</v>
      </c>
      <c r="B37" s="16" t="s">
        <v>53</v>
      </c>
      <c r="C37" s="17">
        <v>4</v>
      </c>
      <c r="D37" s="18" t="s">
        <v>68</v>
      </c>
      <c r="E37" s="19" t="s">
        <v>69</v>
      </c>
      <c r="F37" s="70">
        <v>0</v>
      </c>
      <c r="G37" s="67">
        <f t="shared" si="18"/>
        <v>0.27335999999999999</v>
      </c>
      <c r="H37" s="67">
        <f>$H$35</f>
        <v>0.1404</v>
      </c>
      <c r="I37" s="67">
        <f t="shared" si="19"/>
        <v>5.3220000000000003E-2</v>
      </c>
      <c r="J37" s="21">
        <f>ROUND(G37*F37,2)</f>
        <v>0</v>
      </c>
      <c r="K37" s="21">
        <f>ROUND(F37*H37,2)</f>
        <v>0</v>
      </c>
      <c r="L37" s="21">
        <f>ROUND(F37*I37,2)</f>
        <v>0</v>
      </c>
      <c r="M37" s="21">
        <f>SUM(J37:L37)</f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t="s">
        <v>22</v>
      </c>
      <c r="AE37" s="23">
        <v>0</v>
      </c>
      <c r="AI37" t="s">
        <v>72</v>
      </c>
    </row>
    <row r="38" spans="1:35" ht="12" customHeight="1" x14ac:dyDescent="0.2">
      <c r="A38" s="65"/>
      <c r="C38" s="17"/>
      <c r="E38" s="19"/>
      <c r="F38" s="24"/>
      <c r="G38" s="67"/>
      <c r="H38" s="67"/>
      <c r="I38" s="67"/>
      <c r="L38" s="2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3"/>
      <c r="AE38" s="23"/>
    </row>
    <row r="39" spans="1:35" ht="15.75" x14ac:dyDescent="0.25">
      <c r="A39" s="65" t="s">
        <v>73</v>
      </c>
      <c r="B39" s="16" t="s">
        <v>74</v>
      </c>
      <c r="C39" s="17" t="s">
        <v>75</v>
      </c>
      <c r="D39" s="18" t="s">
        <v>68</v>
      </c>
      <c r="E39" s="19" t="s">
        <v>69</v>
      </c>
      <c r="F39" s="20">
        <v>225310</v>
      </c>
      <c r="G39" s="67">
        <f t="shared" ref="G39:G44" si="20">$G$9</f>
        <v>0.27335999999999999</v>
      </c>
      <c r="H39" s="67">
        <f t="shared" ref="H39:H44" si="21">$H$35</f>
        <v>0.1404</v>
      </c>
      <c r="I39" s="67">
        <f t="shared" ref="I39:I44" si="22">$I$9</f>
        <v>5.3220000000000003E-2</v>
      </c>
      <c r="J39" s="21">
        <f t="shared" ref="J39:J44" si="23">ROUND(G39*F39,2)</f>
        <v>61590.74</v>
      </c>
      <c r="K39" s="21">
        <f t="shared" ref="K39:K44" si="24">ROUND(F39*H39,2)</f>
        <v>31633.52</v>
      </c>
      <c r="L39" s="21">
        <f t="shared" ref="L39:L44" si="25">ROUND(F39*I39,2)</f>
        <v>11991</v>
      </c>
      <c r="M39" s="21">
        <f t="shared" ref="M39:M44" si="26">SUM(J39:L39)</f>
        <v>105215.26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3"/>
      <c r="AB39" t="s">
        <v>22</v>
      </c>
      <c r="AE39" s="23">
        <v>0</v>
      </c>
      <c r="AI39" t="s">
        <v>72</v>
      </c>
    </row>
    <row r="40" spans="1:35" ht="15.75" x14ac:dyDescent="0.25">
      <c r="A40" s="65" t="s">
        <v>73</v>
      </c>
      <c r="B40" s="16" t="s">
        <v>52</v>
      </c>
      <c r="C40" s="17">
        <v>5</v>
      </c>
      <c r="D40" s="18" t="s">
        <v>68</v>
      </c>
      <c r="E40" s="19" t="s">
        <v>69</v>
      </c>
      <c r="F40" s="31">
        <v>-225310</v>
      </c>
      <c r="G40" s="67">
        <f t="shared" si="20"/>
        <v>0.27335999999999999</v>
      </c>
      <c r="H40" s="67">
        <f t="shared" si="21"/>
        <v>0.1404</v>
      </c>
      <c r="I40" s="67">
        <f t="shared" si="22"/>
        <v>5.3220000000000003E-2</v>
      </c>
      <c r="J40" s="21">
        <f t="shared" si="23"/>
        <v>-61590.74</v>
      </c>
      <c r="K40" s="21">
        <f t="shared" si="24"/>
        <v>-31633.52</v>
      </c>
      <c r="L40" s="21">
        <f t="shared" si="25"/>
        <v>-11991</v>
      </c>
      <c r="M40" s="21">
        <f t="shared" si="26"/>
        <v>-105215.26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t="s">
        <v>22</v>
      </c>
      <c r="AE40" s="23">
        <v>0</v>
      </c>
      <c r="AI40" t="s">
        <v>70</v>
      </c>
    </row>
    <row r="41" spans="1:35" ht="15.75" x14ac:dyDescent="0.25">
      <c r="A41" s="65" t="s">
        <v>73</v>
      </c>
      <c r="B41" s="16" t="s">
        <v>76</v>
      </c>
      <c r="C41" s="17">
        <v>5</v>
      </c>
      <c r="D41" s="18" t="s">
        <v>68</v>
      </c>
      <c r="E41" s="19" t="s">
        <v>69</v>
      </c>
      <c r="F41" s="31">
        <v>223925</v>
      </c>
      <c r="G41" s="67">
        <f t="shared" si="20"/>
        <v>0.27335999999999999</v>
      </c>
      <c r="H41" s="67">
        <f t="shared" si="21"/>
        <v>0.1404</v>
      </c>
      <c r="I41" s="67">
        <f t="shared" si="22"/>
        <v>5.3220000000000003E-2</v>
      </c>
      <c r="J41" s="21">
        <f t="shared" si="23"/>
        <v>61212.14</v>
      </c>
      <c r="K41" s="21">
        <f t="shared" si="24"/>
        <v>31439.07</v>
      </c>
      <c r="L41" s="21">
        <f t="shared" si="25"/>
        <v>11917.29</v>
      </c>
      <c r="M41" s="21">
        <f t="shared" si="26"/>
        <v>104568.5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t="s">
        <v>22</v>
      </c>
      <c r="AE41" s="23">
        <v>0</v>
      </c>
      <c r="AI41" t="s">
        <v>70</v>
      </c>
    </row>
    <row r="42" spans="1:35" ht="15.75" x14ac:dyDescent="0.25">
      <c r="A42" s="65" t="s">
        <v>77</v>
      </c>
      <c r="B42" s="16" t="s">
        <v>78</v>
      </c>
      <c r="C42" s="17">
        <v>5</v>
      </c>
      <c r="D42" s="18" t="s">
        <v>79</v>
      </c>
      <c r="E42" s="19" t="s">
        <v>80</v>
      </c>
      <c r="F42" s="20">
        <v>16849</v>
      </c>
      <c r="G42" s="67">
        <f t="shared" si="20"/>
        <v>0.27335999999999999</v>
      </c>
      <c r="H42" s="67">
        <f t="shared" si="21"/>
        <v>0.1404</v>
      </c>
      <c r="I42" s="67">
        <f t="shared" si="22"/>
        <v>5.3220000000000003E-2</v>
      </c>
      <c r="J42" s="21">
        <f t="shared" si="23"/>
        <v>4605.84</v>
      </c>
      <c r="K42" s="21">
        <f t="shared" si="24"/>
        <v>2365.6</v>
      </c>
      <c r="L42" s="21">
        <f t="shared" si="25"/>
        <v>896.7</v>
      </c>
      <c r="M42" s="21">
        <f t="shared" si="26"/>
        <v>7868.14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3"/>
      <c r="AB42" t="s">
        <v>22</v>
      </c>
      <c r="AE42" s="23">
        <v>0</v>
      </c>
      <c r="AI42" t="s">
        <v>81</v>
      </c>
    </row>
    <row r="43" spans="1:35" ht="15.75" x14ac:dyDescent="0.25">
      <c r="A43" s="65" t="s">
        <v>73</v>
      </c>
      <c r="B43" s="16" t="s">
        <v>52</v>
      </c>
      <c r="C43" s="17">
        <v>5</v>
      </c>
      <c r="D43" s="18" t="s">
        <v>79</v>
      </c>
      <c r="E43" s="19" t="s">
        <v>80</v>
      </c>
      <c r="F43" s="31">
        <v>-16849</v>
      </c>
      <c r="G43" s="67">
        <f t="shared" si="20"/>
        <v>0.27335999999999999</v>
      </c>
      <c r="H43" s="67">
        <f t="shared" si="21"/>
        <v>0.1404</v>
      </c>
      <c r="I43" s="67">
        <f t="shared" si="22"/>
        <v>5.3220000000000003E-2</v>
      </c>
      <c r="J43" s="21">
        <f>ROUND(G43*F43,2)</f>
        <v>-4605.84</v>
      </c>
      <c r="K43" s="21">
        <f t="shared" si="24"/>
        <v>-2365.6</v>
      </c>
      <c r="L43" s="21">
        <f t="shared" si="25"/>
        <v>-896.7</v>
      </c>
      <c r="M43" s="21">
        <f t="shared" si="26"/>
        <v>-7868.14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t="s">
        <v>22</v>
      </c>
      <c r="AE43" s="23">
        <v>0</v>
      </c>
      <c r="AI43" t="s">
        <v>70</v>
      </c>
    </row>
    <row r="44" spans="1:35" ht="15.75" x14ac:dyDescent="0.25">
      <c r="A44" s="65" t="s">
        <v>73</v>
      </c>
      <c r="B44" s="16" t="s">
        <v>76</v>
      </c>
      <c r="C44" s="17">
        <v>5</v>
      </c>
      <c r="D44" s="18" t="s">
        <v>79</v>
      </c>
      <c r="E44" s="19" t="s">
        <v>80</v>
      </c>
      <c r="F44" s="31">
        <v>16355</v>
      </c>
      <c r="G44" s="67">
        <f t="shared" si="20"/>
        <v>0.27335999999999999</v>
      </c>
      <c r="H44" s="67">
        <f t="shared" si="21"/>
        <v>0.1404</v>
      </c>
      <c r="I44" s="67">
        <f t="shared" si="22"/>
        <v>5.3220000000000003E-2</v>
      </c>
      <c r="J44" s="21">
        <f t="shared" si="23"/>
        <v>4470.8</v>
      </c>
      <c r="K44" s="21">
        <f t="shared" si="24"/>
        <v>2296.2399999999998</v>
      </c>
      <c r="L44" s="21">
        <f t="shared" si="25"/>
        <v>870.41</v>
      </c>
      <c r="M44" s="21">
        <f t="shared" si="26"/>
        <v>7637.45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t="s">
        <v>22</v>
      </c>
      <c r="AE44" s="23">
        <v>0</v>
      </c>
      <c r="AI44" t="s">
        <v>70</v>
      </c>
    </row>
    <row r="45" spans="1:35" ht="12" customHeight="1" x14ac:dyDescent="0.2">
      <c r="A45" s="65"/>
      <c r="C45" s="17"/>
      <c r="E45" s="19"/>
      <c r="F45" s="33"/>
      <c r="G45" s="67"/>
      <c r="H45" s="67"/>
      <c r="I45" s="67"/>
      <c r="J45" s="21"/>
      <c r="K45" s="21"/>
      <c r="L45" s="21"/>
      <c r="M45" s="21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E45" s="23"/>
    </row>
    <row r="46" spans="1:35" ht="14.25" x14ac:dyDescent="0.2">
      <c r="A46" s="65" t="s">
        <v>77</v>
      </c>
      <c r="B46" s="16" t="s">
        <v>82</v>
      </c>
      <c r="C46" s="17">
        <v>6</v>
      </c>
      <c r="D46" s="18" t="s">
        <v>68</v>
      </c>
      <c r="E46" s="19"/>
      <c r="F46" s="34">
        <f>'[3]Core Billed Therms '!$J$88</f>
        <v>0</v>
      </c>
      <c r="G46" s="67">
        <f>$G$9</f>
        <v>0.27335999999999999</v>
      </c>
      <c r="H46" s="67">
        <f>$H$35</f>
        <v>0.1404</v>
      </c>
      <c r="I46" s="67">
        <f>$I$9</f>
        <v>5.3220000000000003E-2</v>
      </c>
      <c r="J46" s="21">
        <f>ROUND(G46*F46,2)</f>
        <v>0</v>
      </c>
      <c r="K46" s="21">
        <f>ROUND(F46*H46,2)</f>
        <v>0</v>
      </c>
      <c r="L46" s="21">
        <f>ROUND(F46*I46,2)</f>
        <v>0</v>
      </c>
      <c r="M46" s="21">
        <f>SUM(J46:L46)</f>
        <v>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3"/>
      <c r="AB46" t="s">
        <v>22</v>
      </c>
      <c r="AE46" s="23">
        <v>0</v>
      </c>
      <c r="AI46" t="s">
        <v>83</v>
      </c>
    </row>
    <row r="47" spans="1:35" ht="12" customHeight="1" x14ac:dyDescent="0.2">
      <c r="A47" s="65"/>
      <c r="C47" s="17"/>
      <c r="F47" s="34"/>
      <c r="I47" s="35"/>
      <c r="J47" s="21"/>
      <c r="K47" s="21"/>
      <c r="L47" s="21"/>
      <c r="M47" s="21"/>
      <c r="AA47" s="23"/>
      <c r="AE47" s="23"/>
    </row>
    <row r="48" spans="1:35" ht="15" x14ac:dyDescent="0.25">
      <c r="A48" s="71"/>
      <c r="C48" s="36"/>
      <c r="D48" s="37"/>
      <c r="E48" s="18" t="s">
        <v>131</v>
      </c>
      <c r="F48" s="78">
        <f>SUM(F9:F47)</f>
        <v>26847264</v>
      </c>
      <c r="G48" s="38" t="s">
        <v>84</v>
      </c>
      <c r="J48" s="79">
        <f>SUM(J9:J47)</f>
        <v>7338968.0800000019</v>
      </c>
      <c r="K48" s="80">
        <f>SUM(K9:K47)</f>
        <v>4430766.6900000004</v>
      </c>
      <c r="L48" s="39">
        <f>SUM(L9:L47)</f>
        <v>1850597.23</v>
      </c>
      <c r="M48" s="39">
        <f>SUM(M9:M47)</f>
        <v>13620332.000000002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23"/>
      <c r="AE48" s="23"/>
    </row>
    <row r="49" spans="2:35" ht="14.25" x14ac:dyDescent="0.2">
      <c r="B49" s="15"/>
      <c r="C49" s="36"/>
      <c r="E49" s="18" t="s">
        <v>127</v>
      </c>
      <c r="F49" s="78"/>
      <c r="J49" s="39" t="s">
        <v>85</v>
      </c>
      <c r="K49" s="39" t="s">
        <v>85</v>
      </c>
      <c r="L49" s="39"/>
      <c r="M49" s="39"/>
      <c r="O49" s="39">
        <f>-M48</f>
        <v>-13620332.000000002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15" t="s">
        <v>86</v>
      </c>
      <c r="AB49" t="s">
        <v>22</v>
      </c>
      <c r="AE49" s="23">
        <v>0</v>
      </c>
      <c r="AI49" t="s">
        <v>87</v>
      </c>
    </row>
    <row r="50" spans="2:35" ht="15" x14ac:dyDescent="0.25">
      <c r="E50" s="1" t="s">
        <v>128</v>
      </c>
      <c r="F50" s="40">
        <f>+F48+F49</f>
        <v>26847264</v>
      </c>
      <c r="G50" s="41"/>
      <c r="J50" s="39">
        <f>SUM(J48:J49)</f>
        <v>7338968.0800000019</v>
      </c>
      <c r="K50" s="39">
        <f>SUM(K48:K49)</f>
        <v>4430766.6900000004</v>
      </c>
      <c r="L50" s="39">
        <f>SUM(L48:L49)</f>
        <v>1850597.23</v>
      </c>
      <c r="M50" s="39">
        <f>SUM(M48:M49)</f>
        <v>13620332.000000002</v>
      </c>
      <c r="N50" s="2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C50" s="23"/>
    </row>
    <row r="51" spans="2:35" ht="21.75" customHeight="1" x14ac:dyDescent="0.25">
      <c r="F51" s="43" t="s">
        <v>88</v>
      </c>
      <c r="J51" s="39"/>
      <c r="K51" s="44"/>
      <c r="L51" s="39"/>
      <c r="M51" s="39"/>
    </row>
    <row r="52" spans="2:35" ht="21.75" customHeight="1" x14ac:dyDescent="0.2">
      <c r="F52" s="45" t="s">
        <v>89</v>
      </c>
      <c r="G52" s="46"/>
      <c r="K52" s="47"/>
      <c r="L52" s="21"/>
      <c r="M52" s="21"/>
    </row>
    <row r="53" spans="2:35" x14ac:dyDescent="0.2">
      <c r="G53" s="46"/>
      <c r="K53" s="49"/>
      <c r="M53" s="44"/>
    </row>
    <row r="54" spans="2:35" x14ac:dyDescent="0.2">
      <c r="E54" s="18" t="s">
        <v>90</v>
      </c>
      <c r="K54" s="50"/>
      <c r="M54" s="51"/>
    </row>
    <row r="55" spans="2:35" x14ac:dyDescent="0.2">
      <c r="K55" s="50"/>
      <c r="L55" s="52"/>
    </row>
    <row r="56" spans="2:35" x14ac:dyDescent="0.2">
      <c r="F56" s="48">
        <f>+F42+F39+F31+F28+F27+F23+F21+F20+F16+F11+F9</f>
        <v>34775646</v>
      </c>
      <c r="K56" s="50"/>
      <c r="L56" s="52"/>
      <c r="M56" s="53"/>
    </row>
    <row r="57" spans="2:35" x14ac:dyDescent="0.2">
      <c r="F57" s="48">
        <f>+F44+F41+F33+F25</f>
        <v>244806</v>
      </c>
      <c r="K57" s="50"/>
      <c r="L57" s="52"/>
      <c r="M57" s="54"/>
    </row>
    <row r="58" spans="2:35" x14ac:dyDescent="0.2">
      <c r="F58" s="48">
        <f>+F43+F40+F32+F24</f>
        <v>-247916</v>
      </c>
      <c r="K58" s="50"/>
      <c r="L58" s="52"/>
      <c r="M58" s="54"/>
    </row>
    <row r="59" spans="2:35" x14ac:dyDescent="0.2">
      <c r="F59" s="48">
        <f>+F17+F12</f>
        <v>-24878423</v>
      </c>
      <c r="K59" s="50"/>
      <c r="L59" s="54"/>
      <c r="M59" s="52"/>
    </row>
    <row r="60" spans="2:35" x14ac:dyDescent="0.2">
      <c r="K60" s="55"/>
      <c r="M60" s="56"/>
    </row>
    <row r="61" spans="2:35" x14ac:dyDescent="0.2">
      <c r="K61" s="49"/>
      <c r="M61" s="57"/>
    </row>
    <row r="73" spans="6:6" x14ac:dyDescent="0.2">
      <c r="F73" s="48" t="e">
        <f>+F50+#REF!</f>
        <v>#REF!</v>
      </c>
    </row>
    <row r="108" spans="1:26" x14ac:dyDescent="0.2">
      <c r="A108" s="58"/>
      <c r="C108" s="36"/>
    </row>
    <row r="109" spans="1:26" x14ac:dyDescent="0.2">
      <c r="A109" s="58"/>
      <c r="C109" s="36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"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">
      <c r="C111" s="36"/>
    </row>
    <row r="112" spans="1:26" x14ac:dyDescent="0.2">
      <c r="C112" s="36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view="pageBreakPreview" topLeftCell="A15" zoomScaleNormal="100" zoomScaleSheetLayoutView="100" workbookViewId="0">
      <selection activeCell="F27" sqref="F27"/>
    </sheetView>
  </sheetViews>
  <sheetFormatPr defaultRowHeight="12.75" x14ac:dyDescent="0.2"/>
  <cols>
    <col min="1" max="1" width="9" style="241" customWidth="1"/>
    <col min="2" max="2" width="23.7109375" style="241" customWidth="1"/>
    <col min="3" max="3" width="20.42578125" style="241" customWidth="1"/>
    <col min="4" max="4" width="19" style="241" customWidth="1"/>
    <col min="5" max="5" width="20.42578125" style="241" bestFit="1" customWidth="1"/>
    <col min="6" max="6" width="19.85546875" style="241" bestFit="1" customWidth="1"/>
    <col min="7" max="7" width="3.7109375" style="241" customWidth="1"/>
    <col min="8" max="16384" width="9.140625" style="241"/>
  </cols>
  <sheetData>
    <row r="1" spans="1:9" ht="18" customHeight="1" x14ac:dyDescent="0.2">
      <c r="A1" s="296" t="s">
        <v>106</v>
      </c>
      <c r="B1" s="296"/>
      <c r="C1" s="296"/>
      <c r="D1" s="296"/>
      <c r="E1" s="296"/>
      <c r="F1" s="295"/>
      <c r="G1" s="294"/>
      <c r="H1" s="242"/>
      <c r="I1" s="242"/>
    </row>
    <row r="2" spans="1:9" ht="15" x14ac:dyDescent="0.2">
      <c r="A2" s="293" t="s">
        <v>107</v>
      </c>
      <c r="B2" s="292">
        <f>'[4]Core Cost Incurred'!A2</f>
        <v>43184</v>
      </c>
      <c r="C2" s="291"/>
      <c r="D2" s="291"/>
      <c r="E2" s="291"/>
      <c r="F2" s="291"/>
      <c r="G2" s="242"/>
      <c r="H2" s="242"/>
      <c r="I2" s="242"/>
    </row>
    <row r="3" spans="1:9" x14ac:dyDescent="0.2">
      <c r="A3" s="242"/>
      <c r="B3" s="242"/>
      <c r="C3" s="242"/>
      <c r="D3" s="242"/>
      <c r="E3" s="242"/>
      <c r="F3" s="242"/>
      <c r="G3" s="242"/>
      <c r="H3" s="242"/>
      <c r="I3" s="242"/>
    </row>
    <row r="4" spans="1:9" ht="15" customHeight="1" thickBot="1" x14ac:dyDescent="0.25">
      <c r="A4" s="313"/>
      <c r="B4" s="313"/>
      <c r="C4" s="313"/>
      <c r="D4" s="313"/>
      <c r="E4" s="290"/>
      <c r="F4" s="289"/>
      <c r="G4" s="242"/>
      <c r="H4" s="242"/>
      <c r="I4" s="242"/>
    </row>
    <row r="5" spans="1:9" ht="14.25" x14ac:dyDescent="0.2">
      <c r="A5" s="288"/>
      <c r="B5" s="288"/>
      <c r="C5" s="286" t="s">
        <v>93</v>
      </c>
      <c r="D5" s="286" t="s">
        <v>94</v>
      </c>
      <c r="E5" s="287" t="s">
        <v>6</v>
      </c>
      <c r="F5" s="286" t="s">
        <v>95</v>
      </c>
      <c r="G5" s="242"/>
      <c r="H5" s="242"/>
      <c r="I5" s="242"/>
    </row>
    <row r="6" spans="1:9" ht="14.25" x14ac:dyDescent="0.2">
      <c r="A6" s="285" t="s">
        <v>108</v>
      </c>
      <c r="B6" s="284"/>
      <c r="C6" s="282">
        <v>692010</v>
      </c>
      <c r="D6" s="282">
        <v>691010</v>
      </c>
      <c r="E6" s="283">
        <v>693010</v>
      </c>
      <c r="F6" s="282"/>
      <c r="G6" s="247"/>
      <c r="H6" s="242"/>
      <c r="I6" s="242"/>
    </row>
    <row r="7" spans="1:9" ht="16.5" customHeight="1" x14ac:dyDescent="0.2">
      <c r="A7" s="275" t="s">
        <v>109</v>
      </c>
      <c r="B7" s="242"/>
      <c r="C7" s="280">
        <v>7338968.0800000019</v>
      </c>
      <c r="D7" s="280">
        <v>4430766.6900000004</v>
      </c>
      <c r="E7" s="281">
        <v>1850597.23</v>
      </c>
      <c r="F7" s="280">
        <v>13620332.000000004</v>
      </c>
      <c r="G7" s="242"/>
      <c r="H7" s="242"/>
      <c r="I7" s="242"/>
    </row>
    <row r="8" spans="1:9" ht="16.5" customHeight="1" x14ac:dyDescent="0.2">
      <c r="A8" s="275" t="s">
        <v>110</v>
      </c>
      <c r="B8" s="247"/>
      <c r="C8" s="279">
        <f>'[4]Core Cost Incurred'!J42</f>
        <v>6332188.7199999997</v>
      </c>
      <c r="D8" s="279">
        <f>'[4]Core Cost Incurred'!J43</f>
        <v>3902861.8399999994</v>
      </c>
      <c r="E8" s="278">
        <v>0</v>
      </c>
      <c r="F8" s="277">
        <f>SUM(C8:D8)</f>
        <v>10235050.559999999</v>
      </c>
      <c r="G8" s="242"/>
      <c r="H8" s="242"/>
      <c r="I8" s="242"/>
    </row>
    <row r="9" spans="1:9" ht="16.5" customHeight="1" x14ac:dyDescent="0.2">
      <c r="A9" s="275" t="s">
        <v>111</v>
      </c>
      <c r="B9" s="242"/>
      <c r="C9" s="267">
        <f>C7-C8</f>
        <v>1006779.3600000022</v>
      </c>
      <c r="D9" s="276">
        <f>D7-D8</f>
        <v>527904.85000000102</v>
      </c>
      <c r="E9" s="276">
        <f>E7-E8</f>
        <v>1850597.23</v>
      </c>
      <c r="F9" s="267">
        <f>F7-F8</f>
        <v>3385281.4400000051</v>
      </c>
      <c r="G9" s="242"/>
      <c r="H9" s="242"/>
      <c r="I9" s="242"/>
    </row>
    <row r="10" spans="1:9" ht="16.5" customHeight="1" x14ac:dyDescent="0.2">
      <c r="A10" s="275" t="s">
        <v>112</v>
      </c>
      <c r="B10" s="242"/>
      <c r="C10" s="274"/>
      <c r="D10" s="273"/>
      <c r="E10" s="272"/>
      <c r="F10" s="271"/>
      <c r="G10" s="242"/>
      <c r="H10" s="242"/>
      <c r="I10" s="242"/>
    </row>
    <row r="11" spans="1:9" ht="16.5" customHeight="1" x14ac:dyDescent="0.2">
      <c r="A11" s="270" t="s">
        <v>113</v>
      </c>
      <c r="B11" s="269"/>
      <c r="C11" s="267"/>
      <c r="D11" s="267">
        <v>255885.42</v>
      </c>
      <c r="E11" s="268"/>
      <c r="F11" s="267">
        <v>255885.42</v>
      </c>
      <c r="G11" s="242"/>
      <c r="H11" s="242"/>
      <c r="I11" s="242"/>
    </row>
    <row r="12" spans="1:9" ht="16.5" customHeight="1" x14ac:dyDescent="0.25">
      <c r="A12" s="266" t="s">
        <v>114</v>
      </c>
      <c r="B12" s="265"/>
      <c r="C12" s="263">
        <f>+C7-C8+C10</f>
        <v>1006779.3600000022</v>
      </c>
      <c r="D12" s="263">
        <f>+D9+D11</f>
        <v>783790.27000000107</v>
      </c>
      <c r="E12" s="264">
        <f>+E7-E8</f>
        <v>1850597.23</v>
      </c>
      <c r="F12" s="263">
        <f>F9+F11</f>
        <v>3641166.860000005</v>
      </c>
      <c r="G12" s="242"/>
      <c r="H12" s="242"/>
      <c r="I12" s="242"/>
    </row>
    <row r="13" spans="1:9" ht="14.25" customHeight="1" x14ac:dyDescent="0.2">
      <c r="A13" s="242"/>
      <c r="B13" s="242"/>
      <c r="C13" s="255"/>
      <c r="D13" s="255"/>
      <c r="E13" s="261"/>
      <c r="F13" s="255"/>
      <c r="G13" s="242"/>
      <c r="H13" s="242"/>
      <c r="I13" s="242"/>
    </row>
    <row r="14" spans="1:9" ht="14.25" customHeight="1" x14ac:dyDescent="0.2">
      <c r="A14" s="242"/>
      <c r="B14" s="242"/>
      <c r="C14" s="255" t="s">
        <v>115</v>
      </c>
      <c r="D14" s="255"/>
      <c r="E14" s="261"/>
      <c r="F14" s="255"/>
      <c r="G14" s="242"/>
      <c r="H14" s="242"/>
      <c r="I14" s="242"/>
    </row>
    <row r="15" spans="1:9" ht="14.25" customHeight="1" x14ac:dyDescent="0.2">
      <c r="A15" s="242"/>
      <c r="B15" s="242"/>
      <c r="C15" s="255"/>
      <c r="D15" s="262"/>
      <c r="E15" s="261"/>
      <c r="F15" s="255"/>
      <c r="G15" s="242"/>
      <c r="H15" s="242"/>
      <c r="I15" s="242"/>
    </row>
    <row r="16" spans="1:9" ht="14.25" customHeight="1" x14ac:dyDescent="0.2">
      <c r="A16" s="252" t="s">
        <v>116</v>
      </c>
      <c r="B16" s="252"/>
      <c r="C16" s="260" t="s">
        <v>102</v>
      </c>
      <c r="D16" s="259" t="s">
        <v>102</v>
      </c>
      <c r="E16" s="258"/>
      <c r="F16" s="248"/>
      <c r="G16" s="242"/>
      <c r="H16" s="242"/>
      <c r="I16" s="242"/>
    </row>
    <row r="17" spans="1:9" ht="14.25" customHeight="1" x14ac:dyDescent="0.2">
      <c r="A17" s="247"/>
      <c r="B17" s="247"/>
      <c r="C17" s="257"/>
      <c r="D17" s="257"/>
      <c r="E17" s="256"/>
      <c r="F17" s="255"/>
      <c r="G17" s="242"/>
      <c r="H17" s="242"/>
      <c r="I17" s="242"/>
    </row>
    <row r="18" spans="1:9" ht="14.25" customHeight="1" x14ac:dyDescent="0.2">
      <c r="A18" s="247"/>
      <c r="B18" s="247"/>
      <c r="C18" s="253">
        <f>-C12</f>
        <v>-1006779.3600000022</v>
      </c>
      <c r="D18" s="253">
        <f>-D9-D11</f>
        <v>-783790.27000000107</v>
      </c>
      <c r="E18" s="254">
        <f>-E12</f>
        <v>-1850597.23</v>
      </c>
      <c r="F18" s="253">
        <f>SUM(C18:E18)</f>
        <v>-3641166.8600000031</v>
      </c>
      <c r="G18" s="242"/>
      <c r="H18" s="242"/>
      <c r="I18" s="242"/>
    </row>
    <row r="19" spans="1:9" ht="14.25" customHeight="1" thickBot="1" x14ac:dyDescent="0.25">
      <c r="A19" s="252" t="s">
        <v>117</v>
      </c>
      <c r="B19" s="252"/>
      <c r="C19" s="251" t="s">
        <v>103</v>
      </c>
      <c r="D19" s="250" t="s">
        <v>104</v>
      </c>
      <c r="E19" s="249"/>
      <c r="F19" s="248"/>
      <c r="G19" s="242"/>
      <c r="H19" s="242"/>
      <c r="I19" s="242"/>
    </row>
    <row r="20" spans="1:9" x14ac:dyDescent="0.2">
      <c r="A20" s="247"/>
      <c r="B20" s="247"/>
      <c r="C20" s="247"/>
      <c r="D20" s="246"/>
      <c r="E20" s="246"/>
      <c r="F20" s="246"/>
      <c r="G20" s="242"/>
      <c r="H20" s="242"/>
      <c r="I20" s="242"/>
    </row>
    <row r="21" spans="1:9" x14ac:dyDescent="0.2">
      <c r="A21" s="242"/>
      <c r="B21" s="242"/>
      <c r="C21" s="242"/>
      <c r="D21" s="245"/>
      <c r="E21" s="244"/>
      <c r="F21" s="242"/>
      <c r="G21" s="242"/>
      <c r="H21" s="242"/>
      <c r="I21" s="242"/>
    </row>
    <row r="22" spans="1:9" x14ac:dyDescent="0.2">
      <c r="A22" s="242"/>
      <c r="B22" s="242"/>
      <c r="C22" s="242"/>
      <c r="D22" s="245"/>
      <c r="E22" s="244"/>
      <c r="F22" s="242"/>
      <c r="G22" s="242"/>
      <c r="H22" s="242"/>
      <c r="I22" s="242"/>
    </row>
    <row r="23" spans="1:9" x14ac:dyDescent="0.2">
      <c r="A23" s="242"/>
      <c r="B23" s="242"/>
      <c r="C23" s="242"/>
      <c r="D23" s="245"/>
      <c r="E23" s="244"/>
      <c r="F23" s="242"/>
      <c r="G23" s="242"/>
      <c r="H23" s="242"/>
      <c r="I23" s="242"/>
    </row>
    <row r="24" spans="1:9" x14ac:dyDescent="0.2">
      <c r="A24" s="242"/>
      <c r="B24" s="242"/>
      <c r="C24" s="242"/>
      <c r="D24" s="242"/>
      <c r="E24" s="244"/>
      <c r="F24" s="242"/>
      <c r="G24" s="242"/>
      <c r="H24" s="242"/>
      <c r="I24" s="242"/>
    </row>
    <row r="25" spans="1:9" x14ac:dyDescent="0.2">
      <c r="A25" s="242"/>
      <c r="B25" s="242"/>
      <c r="C25" s="242"/>
      <c r="D25" s="242"/>
      <c r="E25" s="242"/>
      <c r="F25" s="242"/>
      <c r="G25" s="242"/>
      <c r="H25" s="242"/>
      <c r="I25" s="242"/>
    </row>
    <row r="26" spans="1:9" x14ac:dyDescent="0.2">
      <c r="A26" s="242"/>
      <c r="B26" s="242"/>
      <c r="C26" s="242"/>
      <c r="D26" s="242"/>
      <c r="E26" s="242"/>
      <c r="F26" s="242"/>
      <c r="G26" s="242"/>
      <c r="H26" s="242"/>
      <c r="I26" s="242"/>
    </row>
    <row r="27" spans="1:9" x14ac:dyDescent="0.2">
      <c r="A27" s="243"/>
      <c r="B27" s="243"/>
      <c r="C27" s="242"/>
      <c r="D27" s="242"/>
      <c r="E27" s="242"/>
      <c r="F27" s="242"/>
      <c r="G27" s="242"/>
      <c r="H27" s="242"/>
      <c r="I27" s="242"/>
    </row>
    <row r="28" spans="1:9" x14ac:dyDescent="0.2">
      <c r="A28" s="242"/>
      <c r="B28" s="242"/>
      <c r="C28" s="242"/>
      <c r="D28" s="242"/>
      <c r="E28" s="242"/>
      <c r="F28" s="242"/>
      <c r="G28" s="242"/>
      <c r="H28" s="242"/>
      <c r="I28" s="242"/>
    </row>
  </sheetData>
  <mergeCells count="1">
    <mergeCell ref="A4:D4"/>
  </mergeCells>
  <pageMargins left="0.5" right="0.25" top="0.5" bottom="0.25" header="0.5" footer="0.5"/>
  <pageSetup scale="86" fitToHeight="0" orientation="portrait" r:id="rId1"/>
  <headerFooter scaleWithDoc="0" alignWithMargins="0"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2018-04-27T07:00:00+00:00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701CFAB-6691-4B9B-87CF-697238F574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B1CBE-FC4E-4645-BA65-AFA2DF19A6CD}"/>
</file>

<file path=customXml/itemProps3.xml><?xml version="1.0" encoding="utf-8"?>
<ds:datastoreItem xmlns:ds="http://schemas.openxmlformats.org/officeDocument/2006/customXml" ds:itemID="{3A821380-9C63-4D9E-AE51-B4BF2084801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a7bd91e-004b-490a-8704-e368d63d59a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2967317-FB2E-4E4B-8882-DB0C6A892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WA DEFERRALS</vt:lpstr>
      <vt:lpstr>'Core Cost Incurred'!Print_Area</vt:lpstr>
      <vt:lpstr>'WA DEFERRALS'!Print_Area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2018-04-23T16:43:44Z</dcterms:created>
  <dcterms:modified xsi:type="dcterms:W3CDTF">2018-04-27T20:24:56Z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