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-15" yWindow="-15" windowWidth="9690" windowHeight="7290" tabRatio="731" activeTab="1"/>
  </bookViews>
  <sheets>
    <sheet name="Index" sheetId="17" r:id="rId1"/>
    <sheet name="WGJ-5" sheetId="19" r:id="rId2"/>
    <sheet name="WGJ-2" sheetId="1" r:id="rId3"/>
    <sheet name="WGJ-4" sheetId="16" r:id="rId4"/>
    <sheet name="Aurora" sheetId="18" r:id="rId5"/>
  </sheets>
  <externalReferences>
    <externalReference r:id="rId6"/>
  </externalReferences>
  <definedNames>
    <definedName name="_xlnm.Print_Area" localSheetId="0">Index!$A$18:$O$54</definedName>
    <definedName name="_xlnm.Print_Area" localSheetId="2">'WGJ-2'!$A$1:$F$121</definedName>
    <definedName name="_xlnm.Print_Area" localSheetId="3">'WGJ-4'!$A$1:$O$57</definedName>
    <definedName name="_xlnm.Print_Titles" localSheetId="2">'WGJ-2'!$1:$7</definedName>
  </definedNames>
  <calcPr calcId="125725"/>
</workbook>
</file>

<file path=xl/calcChain.xml><?xml version="1.0" encoding="utf-8"?>
<calcChain xmlns="http://schemas.openxmlformats.org/spreadsheetml/2006/main">
  <c r="L40" i="1"/>
  <c r="M40"/>
  <c r="N40"/>
  <c r="O40"/>
  <c r="P40"/>
  <c r="Q40"/>
  <c r="R40"/>
  <c r="S40"/>
  <c r="T40"/>
  <c r="U40"/>
  <c r="V40"/>
  <c r="K40"/>
  <c r="D24" i="19" l="1"/>
  <c r="E24"/>
  <c r="F24"/>
  <c r="G24"/>
  <c r="H24"/>
  <c r="I24"/>
  <c r="J24"/>
  <c r="K24"/>
  <c r="L24"/>
  <c r="M24"/>
  <c r="N24"/>
  <c r="C24"/>
  <c r="V73" i="1"/>
  <c r="U73"/>
  <c r="T73"/>
  <c r="S73"/>
  <c r="R73"/>
  <c r="Q73"/>
  <c r="P73"/>
  <c r="O73"/>
  <c r="N73"/>
  <c r="M73"/>
  <c r="L73"/>
  <c r="K73"/>
  <c r="L48" l="1"/>
  <c r="M48"/>
  <c r="N48"/>
  <c r="O48"/>
  <c r="P48"/>
  <c r="Q48"/>
  <c r="R48"/>
  <c r="S48"/>
  <c r="T48"/>
  <c r="U48"/>
  <c r="V48"/>
  <c r="K48"/>
  <c r="L42"/>
  <c r="M42"/>
  <c r="N42"/>
  <c r="O42"/>
  <c r="P42"/>
  <c r="Q42"/>
  <c r="R42"/>
  <c r="S42"/>
  <c r="T42"/>
  <c r="U42"/>
  <c r="V42"/>
  <c r="K42"/>
  <c r="J42"/>
  <c r="L21" l="1"/>
  <c r="M21"/>
  <c r="N21"/>
  <c r="O21"/>
  <c r="P21"/>
  <c r="Q21"/>
  <c r="R21"/>
  <c r="S21"/>
  <c r="T21"/>
  <c r="U21"/>
  <c r="V21"/>
  <c r="K21"/>
  <c r="J13"/>
  <c r="V29"/>
  <c r="U29"/>
  <c r="T29"/>
  <c r="S29"/>
  <c r="R29"/>
  <c r="Q29"/>
  <c r="P29"/>
  <c r="O29"/>
  <c r="N29"/>
  <c r="M29"/>
  <c r="L29"/>
  <c r="K29"/>
  <c r="T28"/>
  <c r="V27"/>
  <c r="U27"/>
  <c r="T27"/>
  <c r="S27"/>
  <c r="R27"/>
  <c r="Q27"/>
  <c r="P27"/>
  <c r="O27"/>
  <c r="N27"/>
  <c r="M27"/>
  <c r="L27"/>
  <c r="K27"/>
  <c r="V24"/>
  <c r="U24"/>
  <c r="T24"/>
  <c r="S24"/>
  <c r="R24"/>
  <c r="Q24"/>
  <c r="P24"/>
  <c r="O24"/>
  <c r="N24"/>
  <c r="M24"/>
  <c r="L24"/>
  <c r="K24"/>
  <c r="V16"/>
  <c r="U16"/>
  <c r="T16"/>
  <c r="S16"/>
  <c r="R16"/>
  <c r="Q16"/>
  <c r="P16"/>
  <c r="O16"/>
  <c r="N16"/>
  <c r="M16"/>
  <c r="L16"/>
  <c r="K16"/>
  <c r="V12"/>
  <c r="U12"/>
  <c r="T12"/>
  <c r="S12"/>
  <c r="R12"/>
  <c r="Q12"/>
  <c r="P12"/>
  <c r="O12"/>
  <c r="N12"/>
  <c r="M12"/>
  <c r="L12"/>
  <c r="K12"/>
  <c r="A115" l="1"/>
  <c r="A42"/>
  <c r="A43" s="1"/>
  <c r="E42"/>
  <c r="E61"/>
  <c r="E22"/>
  <c r="E17"/>
  <c r="E51" i="17"/>
  <c r="F51"/>
  <c r="G51"/>
  <c r="H51"/>
  <c r="I51"/>
  <c r="J51"/>
  <c r="K51"/>
  <c r="L51"/>
  <c r="M51"/>
  <c r="N51"/>
  <c r="O51"/>
  <c r="D51"/>
  <c r="E13" i="1"/>
  <c r="J60" l="1"/>
  <c r="J15"/>
  <c r="J36"/>
  <c r="E60"/>
  <c r="B24" i="19"/>
  <c r="J95" i="1"/>
  <c r="J58"/>
  <c r="J59"/>
  <c r="E95"/>
  <c r="E58"/>
  <c r="A9"/>
  <c r="A10" s="1"/>
  <c r="A11" s="1"/>
  <c r="A12" s="1"/>
  <c r="D33" i="16"/>
  <c r="E33"/>
  <c r="F33"/>
  <c r="G33"/>
  <c r="H33"/>
  <c r="I33"/>
  <c r="J33"/>
  <c r="K33"/>
  <c r="L33"/>
  <c r="M33"/>
  <c r="N33"/>
  <c r="O33"/>
  <c r="D104" i="1"/>
  <c r="E59"/>
  <c r="E15"/>
  <c r="E101"/>
  <c r="K101"/>
  <c r="L101"/>
  <c r="M101"/>
  <c r="N101"/>
  <c r="O101"/>
  <c r="P101"/>
  <c r="Q101"/>
  <c r="R101"/>
  <c r="S101"/>
  <c r="T101"/>
  <c r="U101"/>
  <c r="V101"/>
  <c r="E29" i="17"/>
  <c r="E28"/>
  <c r="E31" s="1"/>
  <c r="D6"/>
  <c r="H6"/>
  <c r="I6"/>
  <c r="J6"/>
  <c r="K6"/>
  <c r="L6"/>
  <c r="O6"/>
  <c r="E43"/>
  <c r="F29"/>
  <c r="F28"/>
  <c r="F31" s="1"/>
  <c r="G29"/>
  <c r="H29" s="1"/>
  <c r="I29" s="1"/>
  <c r="J29" s="1"/>
  <c r="K29" s="1"/>
  <c r="L29" s="1"/>
  <c r="M29" s="1"/>
  <c r="N29" s="1"/>
  <c r="O29" s="1"/>
  <c r="G28"/>
  <c r="G31" s="1"/>
  <c r="H28"/>
  <c r="H31" s="1"/>
  <c r="I28"/>
  <c r="I31" s="1"/>
  <c r="J28"/>
  <c r="J31" s="1"/>
  <c r="K28"/>
  <c r="K31" s="1"/>
  <c r="L28"/>
  <c r="L31" s="1"/>
  <c r="M28"/>
  <c r="M31" s="1"/>
  <c r="N28"/>
  <c r="N31" s="1"/>
  <c r="O28"/>
  <c r="O31" s="1"/>
  <c r="D28"/>
  <c r="D31" s="1"/>
  <c r="L82" i="1"/>
  <c r="M82"/>
  <c r="E20" i="19"/>
  <c r="N82" i="1"/>
  <c r="F20" i="19"/>
  <c r="O82" i="1"/>
  <c r="G20" i="19"/>
  <c r="P82" i="1"/>
  <c r="H20" i="19"/>
  <c r="Q82" i="1"/>
  <c r="I20" i="19"/>
  <c r="R82" i="1"/>
  <c r="J20" i="19" s="1"/>
  <c r="S82" i="1"/>
  <c r="K20" i="19" s="1"/>
  <c r="T82" i="1"/>
  <c r="L20" i="19" s="1"/>
  <c r="U82" i="1"/>
  <c r="M20" i="19" s="1"/>
  <c r="V82" i="1"/>
  <c r="N20" i="19" s="1"/>
  <c r="K82" i="1"/>
  <c r="C20" i="19" s="1"/>
  <c r="B22"/>
  <c r="J103" i="1"/>
  <c r="J94"/>
  <c r="J20"/>
  <c r="J23"/>
  <c r="J11"/>
  <c r="E35" i="16"/>
  <c r="L56" i="1" s="1"/>
  <c r="F35" i="16"/>
  <c r="M56" i="1" s="1"/>
  <c r="G35" i="16"/>
  <c r="N56" i="1" s="1"/>
  <c r="H35" i="16"/>
  <c r="O56" i="1" s="1"/>
  <c r="I35" i="16"/>
  <c r="P56" i="1" s="1"/>
  <c r="J35" i="16"/>
  <c r="Q56" i="1" s="1"/>
  <c r="K35" i="16"/>
  <c r="R56" i="1" s="1"/>
  <c r="L35" i="16"/>
  <c r="S56" i="1" s="1"/>
  <c r="M35" i="16"/>
  <c r="T56" i="1" s="1"/>
  <c r="N35" i="16"/>
  <c r="U56" i="1" s="1"/>
  <c r="O35" i="16"/>
  <c r="V56" i="1" s="1"/>
  <c r="D35" i="16"/>
  <c r="K56" i="1" s="1"/>
  <c r="J57"/>
  <c r="J71"/>
  <c r="C24" i="17"/>
  <c r="C23"/>
  <c r="E14"/>
  <c r="F14"/>
  <c r="G14"/>
  <c r="H14"/>
  <c r="I14"/>
  <c r="J14"/>
  <c r="K14"/>
  <c r="L14"/>
  <c r="M14"/>
  <c r="N14"/>
  <c r="O14"/>
  <c r="D14"/>
  <c r="E11" i="1"/>
  <c r="D23" i="16"/>
  <c r="D27"/>
  <c r="D31"/>
  <c r="K54" i="1" s="1"/>
  <c r="D39" i="16"/>
  <c r="D43"/>
  <c r="D47"/>
  <c r="D51"/>
  <c r="E23"/>
  <c r="E27"/>
  <c r="E31"/>
  <c r="E39"/>
  <c r="E43"/>
  <c r="E47"/>
  <c r="E51"/>
  <c r="F23"/>
  <c r="F27"/>
  <c r="F31"/>
  <c r="F39"/>
  <c r="F43"/>
  <c r="F47"/>
  <c r="F51"/>
  <c r="G23"/>
  <c r="G27"/>
  <c r="G31"/>
  <c r="G39"/>
  <c r="G43"/>
  <c r="G47"/>
  <c r="G51"/>
  <c r="H23"/>
  <c r="H27"/>
  <c r="H31"/>
  <c r="H39"/>
  <c r="H43"/>
  <c r="H47"/>
  <c r="H51"/>
  <c r="I23"/>
  <c r="I27"/>
  <c r="I31"/>
  <c r="I39"/>
  <c r="I43"/>
  <c r="I47"/>
  <c r="I51"/>
  <c r="J23"/>
  <c r="J27"/>
  <c r="J31"/>
  <c r="Q54" i="1" s="1"/>
  <c r="J39" i="16"/>
  <c r="J43"/>
  <c r="J47"/>
  <c r="J51"/>
  <c r="L23"/>
  <c r="L27"/>
  <c r="L31"/>
  <c r="L39"/>
  <c r="L43"/>
  <c r="L47"/>
  <c r="L51"/>
  <c r="M23"/>
  <c r="M27"/>
  <c r="M31"/>
  <c r="T54" i="1" s="1"/>
  <c r="M39" i="16"/>
  <c r="M43"/>
  <c r="M47"/>
  <c r="M51"/>
  <c r="N23"/>
  <c r="N27"/>
  <c r="N31"/>
  <c r="N39"/>
  <c r="N43"/>
  <c r="N47"/>
  <c r="N51"/>
  <c r="O23"/>
  <c r="O27"/>
  <c r="O31"/>
  <c r="V54" i="1" s="1"/>
  <c r="O39" i="16"/>
  <c r="O43"/>
  <c r="O47"/>
  <c r="O51"/>
  <c r="K23"/>
  <c r="K27"/>
  <c r="K31"/>
  <c r="K39"/>
  <c r="K43"/>
  <c r="K47"/>
  <c r="K51"/>
  <c r="E20" i="1"/>
  <c r="J75"/>
  <c r="E75"/>
  <c r="C35" i="16"/>
  <c r="F56" i="1" s="1"/>
  <c r="E56" s="1"/>
  <c r="E57"/>
  <c r="E34" i="16"/>
  <c r="F34"/>
  <c r="G34"/>
  <c r="H34"/>
  <c r="I34"/>
  <c r="J34"/>
  <c r="K34"/>
  <c r="L34"/>
  <c r="M34"/>
  <c r="N34"/>
  <c r="O34"/>
  <c r="D34"/>
  <c r="E39" i="17"/>
  <c r="F39"/>
  <c r="G39"/>
  <c r="H39"/>
  <c r="I39"/>
  <c r="J39"/>
  <c r="K39"/>
  <c r="L39"/>
  <c r="M39"/>
  <c r="N39"/>
  <c r="O39"/>
  <c r="D39"/>
  <c r="C14"/>
  <c r="F97" i="1" s="1"/>
  <c r="E97" s="1"/>
  <c r="B32" i="19"/>
  <c r="E21" i="17"/>
  <c r="F21"/>
  <c r="G21"/>
  <c r="H21"/>
  <c r="I21"/>
  <c r="J21"/>
  <c r="K21"/>
  <c r="L21"/>
  <c r="M21"/>
  <c r="N21"/>
  <c r="O21"/>
  <c r="D21"/>
  <c r="D21" i="16"/>
  <c r="E21"/>
  <c r="F21"/>
  <c r="G21"/>
  <c r="H21"/>
  <c r="I21"/>
  <c r="J21"/>
  <c r="K21"/>
  <c r="L21"/>
  <c r="M21"/>
  <c r="N21"/>
  <c r="O21"/>
  <c r="E94" i="1"/>
  <c r="E10"/>
  <c r="E71"/>
  <c r="E103"/>
  <c r="D13" i="16"/>
  <c r="K9" i="1" s="1"/>
  <c r="K47"/>
  <c r="K49"/>
  <c r="K50"/>
  <c r="K62"/>
  <c r="K63"/>
  <c r="K64"/>
  <c r="K65"/>
  <c r="K55"/>
  <c r="D9" i="16"/>
  <c r="K93" i="1" s="1"/>
  <c r="K97"/>
  <c r="K98"/>
  <c r="K99"/>
  <c r="K100"/>
  <c r="E13" i="16"/>
  <c r="L9" i="1" s="1"/>
  <c r="L47"/>
  <c r="L49"/>
  <c r="L50"/>
  <c r="L54"/>
  <c r="L62"/>
  <c r="L63"/>
  <c r="L64"/>
  <c r="L65"/>
  <c r="L55"/>
  <c r="E9" i="16"/>
  <c r="L93" i="1" s="1"/>
  <c r="L97"/>
  <c r="L98"/>
  <c r="L99"/>
  <c r="L100"/>
  <c r="F13" i="16"/>
  <c r="M9" i="1" s="1"/>
  <c r="M47"/>
  <c r="M49"/>
  <c r="M51" s="1"/>
  <c r="E12" i="19" s="1"/>
  <c r="M50" i="1"/>
  <c r="M54"/>
  <c r="M62"/>
  <c r="M63"/>
  <c r="M64"/>
  <c r="M65"/>
  <c r="M55"/>
  <c r="F9" i="16"/>
  <c r="M93" i="1" s="1"/>
  <c r="M97"/>
  <c r="M98"/>
  <c r="M99"/>
  <c r="M100"/>
  <c r="G13" i="16"/>
  <c r="N9" i="1" s="1"/>
  <c r="N47"/>
  <c r="N49"/>
  <c r="N50"/>
  <c r="N54"/>
  <c r="N62"/>
  <c r="N63"/>
  <c r="N64"/>
  <c r="N65"/>
  <c r="N55"/>
  <c r="G9" i="16"/>
  <c r="N93" i="1" s="1"/>
  <c r="N97"/>
  <c r="N98"/>
  <c r="N99"/>
  <c r="N100"/>
  <c r="H13" i="16"/>
  <c r="O9" i="1" s="1"/>
  <c r="O47"/>
  <c r="O49"/>
  <c r="O50"/>
  <c r="O54"/>
  <c r="O62"/>
  <c r="O63"/>
  <c r="O64"/>
  <c r="O65"/>
  <c r="O55"/>
  <c r="H9" i="16"/>
  <c r="O93" i="1" s="1"/>
  <c r="O97"/>
  <c r="O98"/>
  <c r="O99"/>
  <c r="O100"/>
  <c r="I13" i="16"/>
  <c r="P9" i="1" s="1"/>
  <c r="P47"/>
  <c r="P51" s="1"/>
  <c r="H12" i="19" s="1"/>
  <c r="P49" i="1"/>
  <c r="P50"/>
  <c r="P54"/>
  <c r="P62"/>
  <c r="P63"/>
  <c r="P64"/>
  <c r="P65"/>
  <c r="P55"/>
  <c r="I9" i="16"/>
  <c r="P93" i="1" s="1"/>
  <c r="P97"/>
  <c r="P98"/>
  <c r="P99"/>
  <c r="P100"/>
  <c r="J13" i="16"/>
  <c r="Q9" i="1" s="1"/>
  <c r="Q47"/>
  <c r="Q49"/>
  <c r="Q50"/>
  <c r="Q62"/>
  <c r="Q63"/>
  <c r="Q64"/>
  <c r="Q65"/>
  <c r="Q55"/>
  <c r="J9" i="16"/>
  <c r="Q93" i="1" s="1"/>
  <c r="Q97"/>
  <c r="Q98"/>
  <c r="Q99"/>
  <c r="Q100"/>
  <c r="K13" i="16"/>
  <c r="R9" i="1" s="1"/>
  <c r="R47"/>
  <c r="R49"/>
  <c r="R50"/>
  <c r="R54"/>
  <c r="R62"/>
  <c r="R63"/>
  <c r="R64"/>
  <c r="R65"/>
  <c r="R55"/>
  <c r="K9" i="16"/>
  <c r="R93" i="1" s="1"/>
  <c r="R97"/>
  <c r="R98"/>
  <c r="R99"/>
  <c r="R100"/>
  <c r="L13" i="16"/>
  <c r="S9" i="1" s="1"/>
  <c r="S47"/>
  <c r="S49"/>
  <c r="S50"/>
  <c r="S54"/>
  <c r="S62"/>
  <c r="S63"/>
  <c r="S64"/>
  <c r="S65"/>
  <c r="S55"/>
  <c r="L9" i="16"/>
  <c r="S93" i="1" s="1"/>
  <c r="S97"/>
  <c r="S98"/>
  <c r="S99"/>
  <c r="S100"/>
  <c r="M13" i="16"/>
  <c r="T9" i="1" s="1"/>
  <c r="T47"/>
  <c r="T49"/>
  <c r="T50"/>
  <c r="T62"/>
  <c r="T63"/>
  <c r="T64"/>
  <c r="T65"/>
  <c r="T55"/>
  <c r="M9" i="16"/>
  <c r="T93" i="1" s="1"/>
  <c r="T97"/>
  <c r="T98"/>
  <c r="T99"/>
  <c r="T100"/>
  <c r="N13" i="16"/>
  <c r="U9" i="1" s="1"/>
  <c r="U47"/>
  <c r="U49"/>
  <c r="U50"/>
  <c r="U54"/>
  <c r="U62"/>
  <c r="U63"/>
  <c r="U64"/>
  <c r="U65"/>
  <c r="U55"/>
  <c r="N9" i="16"/>
  <c r="U93" i="1" s="1"/>
  <c r="U97"/>
  <c r="U98"/>
  <c r="U99"/>
  <c r="U100"/>
  <c r="O13" i="16"/>
  <c r="V9" i="1" s="1"/>
  <c r="V47"/>
  <c r="V49"/>
  <c r="V50"/>
  <c r="V62"/>
  <c r="V63"/>
  <c r="V64"/>
  <c r="V65"/>
  <c r="V55"/>
  <c r="O9" i="16"/>
  <c r="V93" i="1" s="1"/>
  <c r="V97"/>
  <c r="V98"/>
  <c r="V99"/>
  <c r="V100"/>
  <c r="E34"/>
  <c r="C13" i="16"/>
  <c r="F9" i="1" s="1"/>
  <c r="E9" s="1"/>
  <c r="F44"/>
  <c r="C27" i="16"/>
  <c r="F47" i="1" s="1"/>
  <c r="C23" i="16"/>
  <c r="F49" i="1" s="1"/>
  <c r="E49" s="1"/>
  <c r="C47" i="16"/>
  <c r="F62" i="1" s="1"/>
  <c r="E62" s="1"/>
  <c r="C51" i="16"/>
  <c r="F63" i="1" s="1"/>
  <c r="E63" s="1"/>
  <c r="C39" i="16"/>
  <c r="F64" i="1" s="1"/>
  <c r="E64" s="1"/>
  <c r="C43" i="16"/>
  <c r="F65" i="1" s="1"/>
  <c r="E65" s="1"/>
  <c r="F82"/>
  <c r="F109"/>
  <c r="D37"/>
  <c r="D44"/>
  <c r="D51"/>
  <c r="D66"/>
  <c r="D82"/>
  <c r="D109"/>
  <c r="L41"/>
  <c r="K41"/>
  <c r="M41"/>
  <c r="N41"/>
  <c r="O41"/>
  <c r="P41"/>
  <c r="Q41"/>
  <c r="R41"/>
  <c r="S41"/>
  <c r="T41"/>
  <c r="U41"/>
  <c r="V41"/>
  <c r="J43"/>
  <c r="J40"/>
  <c r="J34"/>
  <c r="J35"/>
  <c r="C13" i="17"/>
  <c r="E41" i="1"/>
  <c r="E35"/>
  <c r="E107"/>
  <c r="J72"/>
  <c r="J73"/>
  <c r="J74"/>
  <c r="J76"/>
  <c r="J77"/>
  <c r="J78"/>
  <c r="J79"/>
  <c r="J80"/>
  <c r="J81"/>
  <c r="J70"/>
  <c r="J31"/>
  <c r="J102"/>
  <c r="E102"/>
  <c r="G31"/>
  <c r="G32"/>
  <c r="G33"/>
  <c r="G30"/>
  <c r="E31"/>
  <c r="J30"/>
  <c r="J32"/>
  <c r="J33"/>
  <c r="J19"/>
  <c r="E79"/>
  <c r="J100"/>
  <c r="E19"/>
  <c r="E18"/>
  <c r="J18"/>
  <c r="E100"/>
  <c r="E33"/>
  <c r="E32"/>
  <c r="E30"/>
  <c r="E36"/>
  <c r="J14"/>
  <c r="J24"/>
  <c r="J25"/>
  <c r="J26"/>
  <c r="J12"/>
  <c r="J98"/>
  <c r="J55"/>
  <c r="J48"/>
  <c r="E55"/>
  <c r="E77"/>
  <c r="E78"/>
  <c r="E70"/>
  <c r="E73"/>
  <c r="E74"/>
  <c r="E76"/>
  <c r="E80"/>
  <c r="E81"/>
  <c r="E29"/>
  <c r="E26"/>
  <c r="E88"/>
  <c r="E50"/>
  <c r="E14"/>
  <c r="E23"/>
  <c r="E24"/>
  <c r="E25"/>
  <c r="E27"/>
  <c r="E12"/>
  <c r="E43"/>
  <c r="E85"/>
  <c r="E96"/>
  <c r="E98"/>
  <c r="E99"/>
  <c r="E108"/>
  <c r="E112"/>
  <c r="E48"/>
  <c r="E40"/>
  <c r="J50"/>
  <c r="E82"/>
  <c r="E72"/>
  <c r="J65"/>
  <c r="N39" i="18"/>
  <c r="N40"/>
  <c r="N41" s="1"/>
  <c r="N6"/>
  <c r="N7"/>
  <c r="N8"/>
  <c r="N9"/>
  <c r="O9" s="1"/>
  <c r="N11"/>
  <c r="O11" s="1"/>
  <c r="N12"/>
  <c r="O12" s="1"/>
  <c r="N5"/>
  <c r="N36"/>
  <c r="N35"/>
  <c r="N26"/>
  <c r="N27"/>
  <c r="O27" s="1"/>
  <c r="N28"/>
  <c r="O28"/>
  <c r="N29"/>
  <c r="N31"/>
  <c r="N32"/>
  <c r="N25"/>
  <c r="P7"/>
  <c r="N37"/>
  <c r="O37" s="1"/>
  <c r="N23"/>
  <c r="O29"/>
  <c r="O14"/>
  <c r="O8"/>
  <c r="O6"/>
  <c r="O5"/>
  <c r="E29" i="16"/>
  <c r="F29"/>
  <c r="G29"/>
  <c r="H29"/>
  <c r="I29"/>
  <c r="J29"/>
  <c r="K29"/>
  <c r="L29"/>
  <c r="M29"/>
  <c r="N29"/>
  <c r="O29"/>
  <c r="D29"/>
  <c r="C29" s="1"/>
  <c r="E10"/>
  <c r="E11" s="1"/>
  <c r="F10"/>
  <c r="G10"/>
  <c r="G11" s="1"/>
  <c r="H10"/>
  <c r="H11" s="1"/>
  <c r="I10"/>
  <c r="I11" s="1"/>
  <c r="J10"/>
  <c r="K10"/>
  <c r="K11" s="1"/>
  <c r="L10"/>
  <c r="M10"/>
  <c r="M11" s="1"/>
  <c r="N10"/>
  <c r="O10"/>
  <c r="O11" s="1"/>
  <c r="F11"/>
  <c r="J11"/>
  <c r="L11"/>
  <c r="N11"/>
  <c r="F12"/>
  <c r="G12"/>
  <c r="H12"/>
  <c r="I12"/>
  <c r="J12"/>
  <c r="L12"/>
  <c r="N12"/>
  <c r="O12"/>
  <c r="E14"/>
  <c r="F14"/>
  <c r="G14"/>
  <c r="H14"/>
  <c r="I14"/>
  <c r="J14"/>
  <c r="K14"/>
  <c r="L14"/>
  <c r="M14"/>
  <c r="N14"/>
  <c r="O14"/>
  <c r="D14"/>
  <c r="D10"/>
  <c r="D37"/>
  <c r="E37"/>
  <c r="E38" s="1"/>
  <c r="F37"/>
  <c r="G37"/>
  <c r="G38" s="1"/>
  <c r="H37"/>
  <c r="I37"/>
  <c r="I38" s="1"/>
  <c r="J37"/>
  <c r="K37"/>
  <c r="K38" s="1"/>
  <c r="L37"/>
  <c r="M37"/>
  <c r="M38" s="1"/>
  <c r="N37"/>
  <c r="O37"/>
  <c r="O38" s="1"/>
  <c r="D41"/>
  <c r="E41"/>
  <c r="E42" s="1"/>
  <c r="F41"/>
  <c r="G41"/>
  <c r="G42" s="1"/>
  <c r="H41"/>
  <c r="I41"/>
  <c r="I42" s="1"/>
  <c r="J41"/>
  <c r="K41"/>
  <c r="K42" s="1"/>
  <c r="L41"/>
  <c r="M41"/>
  <c r="M42" s="1"/>
  <c r="N41"/>
  <c r="O41"/>
  <c r="O42" s="1"/>
  <c r="D45"/>
  <c r="E45"/>
  <c r="E46" s="1"/>
  <c r="F45"/>
  <c r="G45"/>
  <c r="G46" s="1"/>
  <c r="H45"/>
  <c r="I45"/>
  <c r="I46" s="1"/>
  <c r="J45"/>
  <c r="K45"/>
  <c r="K46" s="1"/>
  <c r="L45"/>
  <c r="M45"/>
  <c r="M46" s="1"/>
  <c r="N45"/>
  <c r="O45"/>
  <c r="O46" s="1"/>
  <c r="D49"/>
  <c r="E49"/>
  <c r="E50" s="1"/>
  <c r="F49"/>
  <c r="G49"/>
  <c r="G50" s="1"/>
  <c r="H49"/>
  <c r="I49"/>
  <c r="I50" s="1"/>
  <c r="J49"/>
  <c r="K49"/>
  <c r="K50" s="1"/>
  <c r="L49"/>
  <c r="M49"/>
  <c r="M50" s="1"/>
  <c r="N49"/>
  <c r="O49"/>
  <c r="O50" s="1"/>
  <c r="D25"/>
  <c r="E25"/>
  <c r="E26" s="1"/>
  <c r="F25"/>
  <c r="G25"/>
  <c r="G26" s="1"/>
  <c r="H25"/>
  <c r="I25"/>
  <c r="J25"/>
  <c r="K25"/>
  <c r="L25"/>
  <c r="M25"/>
  <c r="N25"/>
  <c r="O25"/>
  <c r="N50"/>
  <c r="L50"/>
  <c r="J50"/>
  <c r="H50"/>
  <c r="F50"/>
  <c r="D50"/>
  <c r="N46"/>
  <c r="L46"/>
  <c r="J46"/>
  <c r="H46"/>
  <c r="F46"/>
  <c r="D46"/>
  <c r="N42"/>
  <c r="L42"/>
  <c r="J42"/>
  <c r="H42"/>
  <c r="F42"/>
  <c r="D42"/>
  <c r="F38"/>
  <c r="H38"/>
  <c r="J38"/>
  <c r="L38"/>
  <c r="N38"/>
  <c r="D38"/>
  <c r="E30"/>
  <c r="F30"/>
  <c r="G30"/>
  <c r="H30"/>
  <c r="I30"/>
  <c r="J30"/>
  <c r="K30"/>
  <c r="L30"/>
  <c r="N30"/>
  <c r="D30"/>
  <c r="E22"/>
  <c r="F22"/>
  <c r="G22"/>
  <c r="H22"/>
  <c r="I22"/>
  <c r="J22"/>
  <c r="K22"/>
  <c r="L22"/>
  <c r="M22"/>
  <c r="N22"/>
  <c r="O22"/>
  <c r="D22"/>
  <c r="F26"/>
  <c r="H26"/>
  <c r="J26"/>
  <c r="K26"/>
  <c r="L26"/>
  <c r="M26"/>
  <c r="N26"/>
  <c r="O26"/>
  <c r="D26"/>
  <c r="F19"/>
  <c r="G19"/>
  <c r="H19"/>
  <c r="I19"/>
  <c r="J19"/>
  <c r="K19"/>
  <c r="L19"/>
  <c r="M19"/>
  <c r="N19"/>
  <c r="O19"/>
  <c r="E19"/>
  <c r="C10"/>
  <c r="C14"/>
  <c r="D19"/>
  <c r="F16"/>
  <c r="G16"/>
  <c r="H16"/>
  <c r="J16"/>
  <c r="K16"/>
  <c r="L16"/>
  <c r="M16"/>
  <c r="N16"/>
  <c r="O16"/>
  <c r="E16"/>
  <c r="D16"/>
  <c r="J15"/>
  <c r="J17"/>
  <c r="J18" s="1"/>
  <c r="O17"/>
  <c r="O18" s="1"/>
  <c r="N17"/>
  <c r="N18" s="1"/>
  <c r="M17"/>
  <c r="M18" s="1"/>
  <c r="L17"/>
  <c r="L18" s="1"/>
  <c r="K17"/>
  <c r="K18" s="1"/>
  <c r="O15"/>
  <c r="N15"/>
  <c r="M15"/>
  <c r="L15"/>
  <c r="K15"/>
  <c r="D11"/>
  <c r="D15"/>
  <c r="D17"/>
  <c r="D18" s="1"/>
  <c r="D12"/>
  <c r="I17"/>
  <c r="I18" s="1"/>
  <c r="H17"/>
  <c r="H18" s="1"/>
  <c r="G17"/>
  <c r="G18" s="1"/>
  <c r="F17"/>
  <c r="F18" s="1"/>
  <c r="E17"/>
  <c r="E18" s="1"/>
  <c r="I15"/>
  <c r="H15"/>
  <c r="G15"/>
  <c r="F15"/>
  <c r="E15"/>
  <c r="C9" i="17"/>
  <c r="D20" i="19"/>
  <c r="O7" i="18"/>
  <c r="C39" i="17"/>
  <c r="T51" i="1"/>
  <c r="L12" i="19" s="1"/>
  <c r="L51" i="1"/>
  <c r="D12" i="19" s="1"/>
  <c r="K53" i="16"/>
  <c r="N53"/>
  <c r="L53"/>
  <c r="I53"/>
  <c r="G53"/>
  <c r="E53"/>
  <c r="O53"/>
  <c r="J53"/>
  <c r="F53"/>
  <c r="N33" i="18"/>
  <c r="E28" i="1"/>
  <c r="J28"/>
  <c r="C25" i="16"/>
  <c r="P25" s="1"/>
  <c r="C49"/>
  <c r="C50" s="1"/>
  <c r="C41"/>
  <c r="C42" s="1"/>
  <c r="C37"/>
  <c r="P37" s="1"/>
  <c r="C21"/>
  <c r="C22" s="1"/>
  <c r="C45"/>
  <c r="P45" s="1"/>
  <c r="N13" i="18"/>
  <c r="O13" s="1"/>
  <c r="P49" i="16"/>
  <c r="C38"/>
  <c r="J10" i="1"/>
  <c r="C6" i="17" l="1"/>
  <c r="V61" i="1"/>
  <c r="U61"/>
  <c r="R61"/>
  <c r="O61"/>
  <c r="M61"/>
  <c r="K61"/>
  <c r="J49"/>
  <c r="J63"/>
  <c r="T61"/>
  <c r="S61"/>
  <c r="Q61"/>
  <c r="P61"/>
  <c r="N61"/>
  <c r="L61"/>
  <c r="N43" i="18"/>
  <c r="P21" i="16"/>
  <c r="Q21" s="1"/>
  <c r="P41"/>
  <c r="C26"/>
  <c r="H53"/>
  <c r="D115" i="1"/>
  <c r="E109"/>
  <c r="E44"/>
  <c r="V51"/>
  <c r="N12" i="19" s="1"/>
  <c r="R51" i="1"/>
  <c r="J12" i="19" s="1"/>
  <c r="N51" i="1"/>
  <c r="F12" i="19" s="1"/>
  <c r="J99" i="1"/>
  <c r="J96"/>
  <c r="J29"/>
  <c r="J27"/>
  <c r="J97"/>
  <c r="J64"/>
  <c r="J62"/>
  <c r="J47"/>
  <c r="J82"/>
  <c r="A13"/>
  <c r="S51"/>
  <c r="K12" i="19" s="1"/>
  <c r="D90" i="1"/>
  <c r="D117" s="1"/>
  <c r="P104"/>
  <c r="H16" i="19" s="1"/>
  <c r="N104" i="1"/>
  <c r="F16" i="19" s="1"/>
  <c r="J54" i="1"/>
  <c r="D53" i="16"/>
  <c r="M53"/>
  <c r="O30"/>
  <c r="M30"/>
  <c r="C31"/>
  <c r="F54" i="1" s="1"/>
  <c r="E54" s="1"/>
  <c r="F51"/>
  <c r="E51" s="1"/>
  <c r="E47"/>
  <c r="J41"/>
  <c r="J101"/>
  <c r="K51"/>
  <c r="C12" i="19" s="1"/>
  <c r="D32" i="17"/>
  <c r="N32"/>
  <c r="M32"/>
  <c r="K32"/>
  <c r="I32"/>
  <c r="G32"/>
  <c r="F32"/>
  <c r="E32"/>
  <c r="O32"/>
  <c r="L32"/>
  <c r="J32"/>
  <c r="H32"/>
  <c r="M43"/>
  <c r="V104" i="1"/>
  <c r="N16" i="19" s="1"/>
  <c r="I43" i="17"/>
  <c r="Q51" i="1"/>
  <c r="I12" i="19" s="1"/>
  <c r="O51" i="1"/>
  <c r="G12" i="19" s="1"/>
  <c r="O43" i="17"/>
  <c r="K43"/>
  <c r="G43"/>
  <c r="D43"/>
  <c r="V66" i="1"/>
  <c r="N14" i="19" s="1"/>
  <c r="T66" i="1"/>
  <c r="L14" i="19" s="1"/>
  <c r="R66" i="1"/>
  <c r="J14" i="19" s="1"/>
  <c r="P66" i="1"/>
  <c r="H14" i="19" s="1"/>
  <c r="N66" i="1"/>
  <c r="F14" i="19" s="1"/>
  <c r="L66" i="1"/>
  <c r="D14" i="19" s="1"/>
  <c r="K104" i="1"/>
  <c r="C16" i="19" s="1"/>
  <c r="U66" i="1"/>
  <c r="M14" i="19" s="1"/>
  <c r="S66" i="1"/>
  <c r="K14" i="19" s="1"/>
  <c r="Q66" i="1"/>
  <c r="I14" i="19" s="1"/>
  <c r="O66" i="1"/>
  <c r="G14" i="19" s="1"/>
  <c r="M66" i="1"/>
  <c r="E14" i="19" s="1"/>
  <c r="C32" i="17"/>
  <c r="C31"/>
  <c r="P29" i="16"/>
  <c r="C30"/>
  <c r="J56" i="1"/>
  <c r="K66"/>
  <c r="C14" i="19" s="1"/>
  <c r="B20"/>
  <c r="U51" i="1"/>
  <c r="M12" i="19" s="1"/>
  <c r="T104" i="1"/>
  <c r="L16" i="19" s="1"/>
  <c r="S104" i="1"/>
  <c r="K16" i="19" s="1"/>
  <c r="R104" i="1"/>
  <c r="J16" i="19" s="1"/>
  <c r="Q104" i="1"/>
  <c r="I16" i="19" s="1"/>
  <c r="O104" i="1"/>
  <c r="G16" i="19" s="1"/>
  <c r="M104" i="1"/>
  <c r="E16" i="19" s="1"/>
  <c r="N43" i="17"/>
  <c r="L43"/>
  <c r="J43"/>
  <c r="H43"/>
  <c r="F43"/>
  <c r="C33" i="16"/>
  <c r="F21" i="1" s="1"/>
  <c r="Q37" i="16"/>
  <c r="C46"/>
  <c r="C17"/>
  <c r="C18" s="1"/>
  <c r="C15"/>
  <c r="C16"/>
  <c r="M12"/>
  <c r="K12"/>
  <c r="E12"/>
  <c r="C9"/>
  <c r="C19" s="1"/>
  <c r="U104" i="1"/>
  <c r="M16" i="19" s="1"/>
  <c r="J51" i="1"/>
  <c r="J93"/>
  <c r="L104"/>
  <c r="C51" i="17"/>
  <c r="J21" i="1"/>
  <c r="J9"/>
  <c r="J61" l="1"/>
  <c r="J66" s="1"/>
  <c r="C53" i="16"/>
  <c r="C55" s="1"/>
  <c r="A14" i="1"/>
  <c r="A15" s="1"/>
  <c r="A16" s="1"/>
  <c r="A17" s="1"/>
  <c r="A18" s="1"/>
  <c r="A19" s="1"/>
  <c r="A20" s="1"/>
  <c r="A21" s="1"/>
  <c r="B12" i="19"/>
  <c r="B14"/>
  <c r="F66" i="1"/>
  <c r="E66" s="1"/>
  <c r="C43" i="17"/>
  <c r="E21" i="1"/>
  <c r="C34" i="16"/>
  <c r="F93" i="1"/>
  <c r="C11" i="16"/>
  <c r="C12"/>
  <c r="C53" i="17"/>
  <c r="D16" i="19"/>
  <c r="B16" s="1"/>
  <c r="J104" i="1"/>
  <c r="A22" l="1"/>
  <c r="A23" s="1"/>
  <c r="A24" s="1"/>
  <c r="A25" s="1"/>
  <c r="A26" s="1"/>
  <c r="F44" i="17"/>
  <c r="H44"/>
  <c r="J44"/>
  <c r="L44"/>
  <c r="N44"/>
  <c r="D44"/>
  <c r="E44"/>
  <c r="G44"/>
  <c r="I44"/>
  <c r="K44"/>
  <c r="M44"/>
  <c r="O44"/>
  <c r="M34"/>
  <c r="I34"/>
  <c r="F34"/>
  <c r="D34"/>
  <c r="L34"/>
  <c r="H34"/>
  <c r="O34"/>
  <c r="K34"/>
  <c r="G34"/>
  <c r="E34"/>
  <c r="N34"/>
  <c r="J34"/>
  <c r="F40"/>
  <c r="H40"/>
  <c r="J40"/>
  <c r="L40"/>
  <c r="N40"/>
  <c r="D40"/>
  <c r="E40"/>
  <c r="G40"/>
  <c r="I40"/>
  <c r="K40"/>
  <c r="M40"/>
  <c r="O40"/>
  <c r="E93" i="1"/>
  <c r="F104"/>
  <c r="F115" s="1"/>
  <c r="E41" i="17"/>
  <c r="G41"/>
  <c r="I41"/>
  <c r="K41"/>
  <c r="M41"/>
  <c r="O41"/>
  <c r="F41"/>
  <c r="H41"/>
  <c r="J41"/>
  <c r="L41"/>
  <c r="N41"/>
  <c r="D41"/>
  <c r="C41" s="1"/>
  <c r="A27" i="1" l="1"/>
  <c r="A28" s="1"/>
  <c r="A29" s="1"/>
  <c r="A30" s="1"/>
  <c r="A31" s="1"/>
  <c r="A32" s="1"/>
  <c r="A33" s="1"/>
  <c r="A34" s="1"/>
  <c r="A35" s="1"/>
  <c r="A36" s="1"/>
  <c r="A37" s="1"/>
  <c r="A40" s="1"/>
  <c r="A41" s="1"/>
  <c r="A44" s="1"/>
  <c r="A47" s="1"/>
  <c r="A48" s="1"/>
  <c r="A49" s="1"/>
  <c r="A50" s="1"/>
  <c r="A51" s="1"/>
  <c r="A54" s="1"/>
  <c r="A55" s="1"/>
  <c r="A56" s="1"/>
  <c r="A57" s="1"/>
  <c r="A58" s="1"/>
  <c r="A59" s="1"/>
  <c r="A60" s="1"/>
  <c r="E115"/>
  <c r="E104"/>
  <c r="L36" i="17"/>
  <c r="L48" s="1"/>
  <c r="L45"/>
  <c r="H36"/>
  <c r="H48" s="1"/>
  <c r="H45"/>
  <c r="D45"/>
  <c r="M36"/>
  <c r="M48" s="1"/>
  <c r="M45"/>
  <c r="I36"/>
  <c r="I48" s="1"/>
  <c r="I45"/>
  <c r="E36"/>
  <c r="E48" s="1"/>
  <c r="E45"/>
  <c r="N36"/>
  <c r="N48" s="1"/>
  <c r="N45"/>
  <c r="J36"/>
  <c r="J48" s="1"/>
  <c r="J45"/>
  <c r="F36"/>
  <c r="F48" s="1"/>
  <c r="F45"/>
  <c r="O36"/>
  <c r="O48" s="1"/>
  <c r="O45"/>
  <c r="K36"/>
  <c r="K48" s="1"/>
  <c r="K45"/>
  <c r="G36"/>
  <c r="G48" s="1"/>
  <c r="G45"/>
  <c r="A61" i="1" l="1"/>
  <c r="A62" s="1"/>
  <c r="A63" s="1"/>
  <c r="A64" s="1"/>
  <c r="A65" s="1"/>
  <c r="A66" s="1"/>
  <c r="A70" s="1"/>
  <c r="A71" s="1"/>
  <c r="A72" s="1"/>
  <c r="A73" s="1"/>
  <c r="A74" s="1"/>
  <c r="A75" s="1"/>
  <c r="S37"/>
  <c r="K37" i="17"/>
  <c r="R37" i="1"/>
  <c r="M37"/>
  <c r="F37" i="17"/>
  <c r="Q37" i="1"/>
  <c r="J37" i="17"/>
  <c r="U37" i="1"/>
  <c r="N37" i="17"/>
  <c r="E37"/>
  <c r="L37" i="1"/>
  <c r="P37"/>
  <c r="I37" i="17"/>
  <c r="T37" i="1"/>
  <c r="M37" i="17"/>
  <c r="O37" i="1"/>
  <c r="H37" i="17"/>
  <c r="L37"/>
  <c r="C45"/>
  <c r="C46" s="1"/>
  <c r="N37" i="1"/>
  <c r="G37" i="17"/>
  <c r="V37" i="1"/>
  <c r="O37" i="17"/>
  <c r="C34"/>
  <c r="D36"/>
  <c r="D48" s="1"/>
  <c r="A76" i="1" l="1"/>
  <c r="A77" s="1"/>
  <c r="A78" s="1"/>
  <c r="A79" s="1"/>
  <c r="A80" s="1"/>
  <c r="A81" s="1"/>
  <c r="A82" s="1"/>
  <c r="A85" s="1"/>
  <c r="A88" s="1"/>
  <c r="A90" s="1"/>
  <c r="A93" s="1"/>
  <c r="A94" s="1"/>
  <c r="A95" s="1"/>
  <c r="A96" s="1"/>
  <c r="A97" s="1"/>
  <c r="A98" s="1"/>
  <c r="A99" s="1"/>
  <c r="A100" s="1"/>
  <c r="A101" s="1"/>
  <c r="A102" s="1"/>
  <c r="A103" s="1"/>
  <c r="A104" s="1"/>
  <c r="A107" s="1"/>
  <c r="A108" s="1"/>
  <c r="A109" s="1"/>
  <c r="A112" s="1"/>
  <c r="A117" s="1"/>
  <c r="S123"/>
  <c r="K10" i="19"/>
  <c r="K18" s="1"/>
  <c r="G10"/>
  <c r="G18" s="1"/>
  <c r="O123" i="1"/>
  <c r="T123"/>
  <c r="L10" i="19"/>
  <c r="L18" s="1"/>
  <c r="P123" i="1"/>
  <c r="H10" i="19"/>
  <c r="H18" s="1"/>
  <c r="M10"/>
  <c r="M18" s="1"/>
  <c r="U123" i="1"/>
  <c r="Q123"/>
  <c r="I10" i="19"/>
  <c r="I18" s="1"/>
  <c r="M123" i="1"/>
  <c r="E10" i="19"/>
  <c r="E18" s="1"/>
  <c r="D37" i="17"/>
  <c r="C36"/>
  <c r="C37" s="1"/>
  <c r="V123" i="1"/>
  <c r="N10" i="19"/>
  <c r="N18" s="1"/>
  <c r="F10"/>
  <c r="F18" s="1"/>
  <c r="N123" i="1"/>
  <c r="D10" i="19"/>
  <c r="D18" s="1"/>
  <c r="L123" i="1"/>
  <c r="R123"/>
  <c r="J10" i="19"/>
  <c r="J18" s="1"/>
  <c r="C48" i="17" l="1"/>
  <c r="F16" i="1" s="1"/>
  <c r="J16" l="1"/>
  <c r="K37"/>
  <c r="C49" i="17"/>
  <c r="F37" i="1" l="1"/>
  <c r="E16"/>
  <c r="K123"/>
  <c r="J123" s="1"/>
  <c r="C10" i="19"/>
  <c r="J37" i="1"/>
  <c r="E37" l="1"/>
  <c r="F90"/>
  <c r="C18" i="19"/>
  <c r="B18" s="1"/>
  <c r="B10"/>
  <c r="E90" i="1" l="1"/>
  <c r="F117"/>
  <c r="E117" s="1"/>
</calcChain>
</file>

<file path=xl/sharedStrings.xml><?xml version="1.0" encoding="utf-8"?>
<sst xmlns="http://schemas.openxmlformats.org/spreadsheetml/2006/main" count="293" uniqueCount="242">
  <si>
    <t>Line</t>
  </si>
  <si>
    <t>No.</t>
  </si>
  <si>
    <t>Actuals</t>
  </si>
  <si>
    <t>Adjustment</t>
  </si>
  <si>
    <t>555 PURCHASED POWER</t>
  </si>
  <si>
    <t>Rocky Reach</t>
  </si>
  <si>
    <t>Wanapum</t>
  </si>
  <si>
    <t>WNP-3</t>
  </si>
  <si>
    <t>Deer Lake-IP&amp;L</t>
  </si>
  <si>
    <t>Spokane-Upriver</t>
  </si>
  <si>
    <t>Total Account 555</t>
  </si>
  <si>
    <t xml:space="preserve"> </t>
  </si>
  <si>
    <t>565 TRANSMISSION OF ELECTRICITY BY OTHERS</t>
  </si>
  <si>
    <t>Garrison-Burke</t>
  </si>
  <si>
    <t>Total Account 565</t>
  </si>
  <si>
    <t>Broker Commission Fees</t>
  </si>
  <si>
    <t>Total Account 557</t>
  </si>
  <si>
    <t>536 WATER FOR POWER</t>
  </si>
  <si>
    <t>TOTAL EXPENSE</t>
  </si>
  <si>
    <t>447 SALES FOR RESALE</t>
  </si>
  <si>
    <t>Total Account 447</t>
  </si>
  <si>
    <t>456 OTHER ELECTRIC REVENUE</t>
  </si>
  <si>
    <t>Total Account 456</t>
  </si>
  <si>
    <t>TOTAL REVENUE</t>
  </si>
  <si>
    <t>Kettle Falls</t>
  </si>
  <si>
    <t>Total Account 501</t>
  </si>
  <si>
    <t>Colstrip</t>
  </si>
  <si>
    <t>BPA Townsend-Garrison Wheeling</t>
  </si>
  <si>
    <t>Upstream Storage Revenue</t>
  </si>
  <si>
    <t>Black Creek Wheeling</t>
  </si>
  <si>
    <t>557 OTHER EXPENSES</t>
  </si>
  <si>
    <t>453 SALES OF WATER AND WATER POWER</t>
  </si>
  <si>
    <t>Black Creek Index Purchase</t>
  </si>
  <si>
    <t>PGE Firm Wheeling</t>
  </si>
  <si>
    <t>Nichols Pumping Sale</t>
  </si>
  <si>
    <t>Pend Oreille DES &amp; Spinning</t>
  </si>
  <si>
    <t>Avista Corp.</t>
  </si>
  <si>
    <t>Total</t>
  </si>
  <si>
    <t>Colstrip MWh</t>
  </si>
  <si>
    <t>Colstrip Fuel Cost</t>
  </si>
  <si>
    <t>Kettle Falls MWh</t>
  </si>
  <si>
    <t>Kettle Falls Fuel Cost</t>
  </si>
  <si>
    <t>Rathdrum MWh</t>
  </si>
  <si>
    <t>Rathdrum Fuel Cost</t>
  </si>
  <si>
    <t>Total Fuel Expense</t>
  </si>
  <si>
    <t>Nichols Pumping</t>
  </si>
  <si>
    <t>Sales</t>
  </si>
  <si>
    <t>Northeast MWh</t>
  </si>
  <si>
    <t>Northeast Fuel Cost</t>
  </si>
  <si>
    <t>Total Account 547</t>
  </si>
  <si>
    <t>Rathdrum Municipal Payment</t>
  </si>
  <si>
    <t>Kettle Falls - Wood Fuel</t>
  </si>
  <si>
    <t>Colstrip - Coal</t>
  </si>
  <si>
    <t>501 THERMAL FUEL EXPENSE</t>
  </si>
  <si>
    <t>547 OTHER FUEL EXPENSE</t>
  </si>
  <si>
    <t>549 MISC OTHER GENERATION EXPENSE</t>
  </si>
  <si>
    <t xml:space="preserve">Non-Monetary </t>
  </si>
  <si>
    <t>$</t>
  </si>
  <si>
    <t>Secondary Sales - MWh</t>
  </si>
  <si>
    <t>Secondary Purchase - MWh</t>
  </si>
  <si>
    <t>Boulder Park Fuel Cost</t>
  </si>
  <si>
    <t>Boulder Park MWh</t>
  </si>
  <si>
    <t>Kettle Falls CT Fuel Cost</t>
  </si>
  <si>
    <t>Kettle Falls CT MWh</t>
  </si>
  <si>
    <t>Coyote Springs Gas</t>
  </si>
  <si>
    <t>Boulder Park Gas</t>
  </si>
  <si>
    <t>Kettle Falls CT Gas</t>
  </si>
  <si>
    <t>Northeast CT Gas</t>
  </si>
  <si>
    <t>Rathdrum  Gas</t>
  </si>
  <si>
    <t>Scenario 1</t>
  </si>
  <si>
    <t>ANNUAL</t>
  </si>
  <si>
    <t>GENERATION (GWh)</t>
  </si>
  <si>
    <t>Boulder Park</t>
  </si>
  <si>
    <t>Coyote Springs</t>
  </si>
  <si>
    <t>Kettle Falls CT</t>
  </si>
  <si>
    <t>Northeast</t>
  </si>
  <si>
    <t>Rathdrum</t>
  </si>
  <si>
    <t>FUEL COST ($000)</t>
  </si>
  <si>
    <t>MARKET (GWh)</t>
  </si>
  <si>
    <t>Market Purch</t>
  </si>
  <si>
    <t>Market Sale</t>
  </si>
  <si>
    <t>MARKET ($000)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</si>
  <si>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</si>
  <si>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</si>
  <si>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</si>
  <si>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</si>
  <si>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</si>
  <si>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</si>
  <si>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</si>
  <si>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</si>
  <si>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</si>
  <si>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</si>
  <si>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</si>
  <si>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</si>
  <si>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Coyote Springs Fuel Cost</t>
  </si>
  <si>
    <t>Net Fuel and Purchase Expense</t>
  </si>
  <si>
    <t>Coyote Springs  MWh</t>
  </si>
  <si>
    <t>(GWh)</t>
  </si>
  <si>
    <t>FUEL USE (MMBtu)</t>
  </si>
  <si>
    <t>NET POWER SUPPLY COST ($000)</t>
  </si>
  <si>
    <t>MWh</t>
  </si>
  <si>
    <t>Kootenai for Worley</t>
  </si>
  <si>
    <t>Avista on BPA - Borderline</t>
  </si>
  <si>
    <t>Gas Not Consumed Sales Revenue</t>
  </si>
  <si>
    <t>Rathdrum Fuel Cost $/MWh</t>
  </si>
  <si>
    <t>Northeast Fuel Cost $/MWh</t>
  </si>
  <si>
    <t>Coyote Springs Fuel Cost  $/MWh</t>
  </si>
  <si>
    <t>Boulder Park Fuel Cost $/MWh</t>
  </si>
  <si>
    <t>Kettle Falls Fuel Cost $/MWh</t>
  </si>
  <si>
    <t>Colstrip Fuel Cost $/MWh</t>
  </si>
  <si>
    <t>Kettle Falls CT Fuel Cost $/MWh</t>
  </si>
  <si>
    <t>Headwater Benefits Payments</t>
  </si>
  <si>
    <t>Revenue</t>
  </si>
  <si>
    <t>Average Market Sales Price -$/ MWh</t>
  </si>
  <si>
    <t>Market Sales - Dollars</t>
  </si>
  <si>
    <t>Market Sales - MWh</t>
  </si>
  <si>
    <t>Market Purchases - Dollars</t>
  </si>
  <si>
    <t>Net Market Purchases (Sales) MWh</t>
  </si>
  <si>
    <t>Average Market Purchase Price - $/MWh</t>
  </si>
  <si>
    <t>Net Market Purchases (Sales) aMW</t>
  </si>
  <si>
    <t>Market Purchases - MWh</t>
  </si>
  <si>
    <t>Average Sale and Purchase Price - $/MWh</t>
  </si>
  <si>
    <t>Peaker (PGE) Capacity Sale</t>
  </si>
  <si>
    <t>Wheeling for System Sales &amp; Purchases</t>
  </si>
  <si>
    <t>normal $0</t>
  </si>
  <si>
    <t>Comment</t>
  </si>
  <si>
    <t>Market Purchases and Sales, Plant Generation and Fuel Cost Summary</t>
  </si>
  <si>
    <t>Contract C</t>
  </si>
  <si>
    <t>Contract D</t>
  </si>
  <si>
    <t>Sovereign/Kaiser DES</t>
  </si>
  <si>
    <t>Northwestern Load Following</t>
  </si>
  <si>
    <t>Douglas Settlement</t>
  </si>
  <si>
    <t>Grant Displacement</t>
  </si>
  <si>
    <t>modeled energy higher than actual</t>
  </si>
  <si>
    <t>index</t>
  </si>
  <si>
    <t>model</t>
  </si>
  <si>
    <t>only gas burned modeled</t>
  </si>
  <si>
    <t>modeled MWh x new contract rate</t>
  </si>
  <si>
    <t>Sagle-Northern Lights</t>
  </si>
  <si>
    <t>Jan 06 - Dec 06</t>
  </si>
  <si>
    <t>Authorized</t>
  </si>
  <si>
    <t>****LOAD NEW FLAT PRICES*****</t>
  </si>
  <si>
    <t>Contract A</t>
  </si>
  <si>
    <t>Contract B</t>
  </si>
  <si>
    <t>Small Power</t>
  </si>
  <si>
    <t>Modeled Electric Price</t>
  </si>
  <si>
    <t>Priest Rapids Meaningful Priority, MWh</t>
  </si>
  <si>
    <t>Priest Rapids Meaningful Priority Expense</t>
  </si>
  <si>
    <t>Reasonable Portion Revenue</t>
  </si>
  <si>
    <t>Net Meaningful Priority Cost</t>
  </si>
  <si>
    <t>Net Meaningful Priority Cost per MWh</t>
  </si>
  <si>
    <t>includes Mean Pri &amp; Reas Port</t>
  </si>
  <si>
    <t xml:space="preserve">  Meaningful Priority</t>
  </si>
  <si>
    <t xml:space="preserve">  Surplus Conversion</t>
  </si>
  <si>
    <t>Surplus Conversion Cost</t>
  </si>
  <si>
    <t>Surplus Conversion MWh</t>
  </si>
  <si>
    <t xml:space="preserve">  Avista Total Slice</t>
  </si>
  <si>
    <t>Power Supply Expense</t>
  </si>
  <si>
    <t>Renewable Energy Credit Sales</t>
  </si>
  <si>
    <t>TOTAL NET EXPENSE</t>
  </si>
  <si>
    <t>Ancillary Services</t>
  </si>
  <si>
    <t>Account 447 - Sale for Resale</t>
  </si>
  <si>
    <t>Account 501 - Thermal Fuel</t>
  </si>
  <si>
    <t>Account 555 - Purchased Power</t>
  </si>
  <si>
    <t>Stimson</t>
  </si>
  <si>
    <t xml:space="preserve">  Grant's Share of Reasonable Portion Revenue</t>
  </si>
  <si>
    <t>Priest Rapids Project Cost</t>
  </si>
  <si>
    <t>Priest Rapids Project</t>
  </si>
  <si>
    <t>Market Price</t>
  </si>
  <si>
    <t>Surplus Conversion Cost per MWh</t>
  </si>
  <si>
    <t>Total Priest Rapids Product Cost</t>
  </si>
  <si>
    <t>Total Priest Rapids Product Cost per MWh</t>
  </si>
  <si>
    <t>Sand Dunes-Warden</t>
  </si>
  <si>
    <t>Modeled Short-Term Market Purchases</t>
  </si>
  <si>
    <t>Modeled Short-Term Market Sales</t>
  </si>
  <si>
    <t>Pro forma</t>
  </si>
  <si>
    <t>Natural Gas Fuel Purchases</t>
  </si>
  <si>
    <t>Total Retail Sales, MWh</t>
  </si>
  <si>
    <t>Avista Corp</t>
  </si>
  <si>
    <t>Actual ST Market Purchases - Physical</t>
  </si>
  <si>
    <t>check MWh</t>
  </si>
  <si>
    <t>use 5 yr avg</t>
  </si>
  <si>
    <t>test power</t>
  </si>
  <si>
    <t>new rate</t>
  </si>
  <si>
    <t>check energy</t>
  </si>
  <si>
    <t>modeled MWh x Actual</t>
  </si>
  <si>
    <t>Actual ST Purchases - Financial  M-to-M</t>
  </si>
  <si>
    <t xml:space="preserve">  Surplus</t>
  </si>
  <si>
    <t>Priest Rapids, MWh</t>
  </si>
  <si>
    <t>Wanpum, MWh</t>
  </si>
  <si>
    <t>Stateline Wind Purchase</t>
  </si>
  <si>
    <t>Surplus MWh</t>
  </si>
  <si>
    <t>Surplus Cost</t>
  </si>
  <si>
    <t>Lancaster Gas</t>
  </si>
  <si>
    <t>Lancaster</t>
  </si>
  <si>
    <t>Lancaster  MWh</t>
  </si>
  <si>
    <t>Lancaster Fuel Cost  $/MWh</t>
  </si>
  <si>
    <t>Lancaster Fuel Cost</t>
  </si>
  <si>
    <t>PTP Transmission for Lancaster</t>
  </si>
  <si>
    <t>PTP Transmission  for Colstrip &amp; Coyote</t>
  </si>
  <si>
    <t>Lancaster Variable O&amp;M Payments</t>
  </si>
  <si>
    <t>Lancaster Capacity Payment</t>
  </si>
  <si>
    <t>Kettle Falls - Start-up Gas</t>
  </si>
  <si>
    <t>Power Supply Pro forma - Washington Jurisdiction</t>
  </si>
  <si>
    <t>ERM Authorized Expense and Retail Sales</t>
  </si>
  <si>
    <t>Transmission Expense</t>
  </si>
  <si>
    <t>Transmission Revenue</t>
  </si>
  <si>
    <t>Clearwater Paper Co-Gen Purchase</t>
  </si>
  <si>
    <t>NaturEner</t>
  </si>
  <si>
    <t>Wells - Avista Share</t>
  </si>
  <si>
    <t>Wells - Colville Tribe's Share</t>
  </si>
  <si>
    <t>Lancaster Gas Transportation Optimization</t>
  </si>
  <si>
    <t>Lancaster Gas Transportation</t>
  </si>
  <si>
    <t>Coyote Springs 2 Gas Transportation</t>
  </si>
  <si>
    <t>Actual ST Market Sales - Financial M-to-M</t>
  </si>
  <si>
    <t>Actual ST Market Sales - Physical</t>
  </si>
  <si>
    <t>Broker Fees</t>
  </si>
  <si>
    <t>Retail Revenue Credit Rate</t>
  </si>
  <si>
    <t>/MWh</t>
  </si>
  <si>
    <t>Actual Financial Gas Transactions M-to-M</t>
  </si>
  <si>
    <t>Actual Physical Gas Transactions M-to-M</t>
  </si>
  <si>
    <t>Account 547 - Natural Gas Fuel</t>
  </si>
  <si>
    <t>ERM Authorized Power Supply Expense - System Numbers (1)</t>
  </si>
  <si>
    <t>Rocky Reach/Rock Island Purchase</t>
  </si>
  <si>
    <t>Total Priest Rapids Product MWh</t>
  </si>
  <si>
    <t>Jan 12 - Dec 12</t>
  </si>
  <si>
    <t>SMUD Sale - Energy and REC</t>
  </si>
  <si>
    <t>check with Rick</t>
  </si>
  <si>
    <t>REC Purchases (SMUD)</t>
  </si>
  <si>
    <t>EIA REC Purchase</t>
  </si>
  <si>
    <t>Jan 10 - Dec 10</t>
  </si>
  <si>
    <t>Lancaster BPA Reserves</t>
  </si>
  <si>
    <t>Gas Transportation for BP, NE and KFCT</t>
  </si>
  <si>
    <t>Total Priest RapidsCost per MWh</t>
  </si>
  <si>
    <t>ERM Authorized Washington Retail Sales with Energy Efficiency Load Adjustment</t>
  </si>
  <si>
    <t>With Energy Efficiency Load Adjustment</t>
  </si>
  <si>
    <t>Pro forma January 2012 - December 2012</t>
  </si>
  <si>
    <t>(1)  Multiply system numbers by 65.16% to determine Washington share.</t>
  </si>
  <si>
    <t>Colstrip - Oil</t>
  </si>
  <si>
    <t>Washington Pro forma January 2012 - December 2012</t>
  </si>
  <si>
    <t>2010 Loads with Energy Efficiency Load Adjustment</t>
  </si>
  <si>
    <t>System Numbers - Jan 2010 - Dec 2010 Actual and Jan 2012 - Dec 2012 Pro Forma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</si>
</sst>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164" formatCode="#,##0\ ;\(#,##0\)"/>
    <numFmt numFmtId="165" formatCode="&quot;$&quot;#,##0"/>
    <numFmt numFmtId="166" formatCode="&quot;$&quot;#,##0.00"/>
    <numFmt numFmtId="167" formatCode="#,##0.0_);[Red]\(#,##0.0\)"/>
    <numFmt numFmtId="168" formatCode="#,##0.0"/>
  </numFmts>
  <fonts count="15">
    <font>
      <sz val="10"/>
      <name val="Geneva"/>
    </font>
    <font>
      <b/>
      <sz val="10"/>
      <name val="Geneva"/>
    </font>
    <font>
      <sz val="10"/>
      <name val="Geneva"/>
    </font>
    <font>
      <u/>
      <sz val="10"/>
      <name val="Geneva"/>
    </font>
    <font>
      <sz val="10"/>
      <name val="Geneva"/>
    </font>
    <font>
      <sz val="9"/>
      <name val="Geneva"/>
    </font>
    <font>
      <sz val="8"/>
      <name val="Geneva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Geneva"/>
    </font>
    <font>
      <b/>
      <u/>
      <sz val="10"/>
      <name val="Geneva"/>
    </font>
    <font>
      <b/>
      <sz val="12"/>
      <name val="Geneva"/>
    </font>
    <font>
      <b/>
      <sz val="10"/>
      <color rgb="FFFF0000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14" fontId="0" fillId="0" borderId="0" xfId="0" applyNumberFormat="1" applyAlignment="1">
      <alignment horizontal="left"/>
    </xf>
    <xf numFmtId="3" fontId="0" fillId="0" borderId="0" xfId="0" applyNumberFormat="1" applyBorder="1"/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165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/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0" xfId="0" applyNumberFormat="1"/>
    <xf numFmtId="165" fontId="1" fillId="0" borderId="3" xfId="0" applyNumberFormat="1" applyFont="1" applyBorder="1" applyAlignment="1">
      <alignment horizontal="center"/>
    </xf>
    <xf numFmtId="5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5" fontId="0" fillId="0" borderId="0" xfId="0" applyNumberFormat="1" applyBorder="1"/>
    <xf numFmtId="0" fontId="6" fillId="0" borderId="0" xfId="0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1" fillId="0" borderId="5" xfId="0" applyFont="1" applyBorder="1"/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/>
    <xf numFmtId="17" fontId="0" fillId="0" borderId="1" xfId="0" applyNumberFormat="1" applyBorder="1"/>
    <xf numFmtId="17" fontId="0" fillId="0" borderId="0" xfId="0" applyNumberFormat="1" applyBorder="1"/>
    <xf numFmtId="166" fontId="2" fillId="0" borderId="0" xfId="0" applyNumberFormat="1" applyFont="1"/>
    <xf numFmtId="0" fontId="0" fillId="0" borderId="8" xfId="0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5" fontId="1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right"/>
    </xf>
    <xf numFmtId="1" fontId="0" fillId="0" borderId="0" xfId="0" applyNumberFormat="1"/>
    <xf numFmtId="167" fontId="8" fillId="0" borderId="9" xfId="0" applyNumberFormat="1" applyFont="1" applyBorder="1"/>
    <xf numFmtId="167" fontId="0" fillId="0" borderId="9" xfId="0" applyNumberFormat="1" applyBorder="1"/>
    <xf numFmtId="167" fontId="7" fillId="0" borderId="9" xfId="0" applyNumberFormat="1" applyFont="1" applyBorder="1"/>
    <xf numFmtId="167" fontId="0" fillId="0" borderId="0" xfId="0" applyNumberFormat="1"/>
    <xf numFmtId="167" fontId="9" fillId="0" borderId="0" xfId="0" applyNumberFormat="1" applyFont="1"/>
    <xf numFmtId="167" fontId="7" fillId="0" borderId="0" xfId="0" applyNumberFormat="1" applyFont="1"/>
    <xf numFmtId="38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38" fontId="0" fillId="0" borderId="0" xfId="0" applyNumberFormat="1"/>
    <xf numFmtId="38" fontId="7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right"/>
    </xf>
    <xf numFmtId="167" fontId="0" fillId="0" borderId="0" xfId="0" applyNumberFormat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10" xfId="0" applyNumberFormat="1" applyBorder="1" applyAlignment="1">
      <alignment horizontal="center"/>
    </xf>
    <xf numFmtId="167" fontId="9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166" fontId="0" fillId="0" borderId="1" xfId="0" applyNumberFormat="1" applyBorder="1"/>
    <xf numFmtId="1" fontId="0" fillId="0" borderId="1" xfId="0" applyNumberFormat="1" applyBorder="1" applyAlignment="1">
      <alignment horizontal="right"/>
    </xf>
    <xf numFmtId="3" fontId="2" fillId="0" borderId="0" xfId="0" applyNumberFormat="1" applyFont="1" applyAlignment="1">
      <alignment horizontal="right"/>
    </xf>
    <xf numFmtId="166" fontId="1" fillId="0" borderId="4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1" xfId="0" applyNumberFormat="1" applyBorder="1"/>
    <xf numFmtId="168" fontId="0" fillId="0" borderId="0" xfId="0" applyNumberFormat="1"/>
    <xf numFmtId="0" fontId="2" fillId="0" borderId="1" xfId="0" applyFont="1" applyBorder="1" applyAlignment="1">
      <alignment horizontal="center"/>
    </xf>
    <xf numFmtId="0" fontId="11" fillId="0" borderId="0" xfId="0" applyFont="1"/>
    <xf numFmtId="3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8" fontId="0" fillId="0" borderId="0" xfId="0" applyNumberFormat="1" applyBorder="1" applyAlignment="1">
      <alignment horizontal="left"/>
    </xf>
    <xf numFmtId="3" fontId="0" fillId="0" borderId="0" xfId="0" applyNumberFormat="1" applyFill="1" applyAlignment="1">
      <alignment horizontal="right"/>
    </xf>
    <xf numFmtId="166" fontId="0" fillId="2" borderId="0" xfId="1" applyNumberFormat="1" applyFont="1" applyFill="1"/>
    <xf numFmtId="165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" fontId="0" fillId="0" borderId="1" xfId="0" applyNumberFormat="1" applyBorder="1"/>
    <xf numFmtId="0" fontId="2" fillId="0" borderId="1" xfId="0" applyFont="1" applyBorder="1"/>
    <xf numFmtId="3" fontId="0" fillId="0" borderId="2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2" fillId="0" borderId="0" xfId="0" applyFont="1"/>
    <xf numFmtId="0" fontId="3" fillId="4" borderId="0" xfId="0" applyFont="1" applyFill="1" applyAlignment="1">
      <alignment horizontal="center"/>
    </xf>
    <xf numFmtId="3" fontId="0" fillId="0" borderId="0" xfId="0" applyNumberForma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center"/>
    </xf>
    <xf numFmtId="165" fontId="0" fillId="2" borderId="0" xfId="0" applyNumberFormat="1" applyFill="1"/>
    <xf numFmtId="166" fontId="0" fillId="2" borderId="0" xfId="0" applyNumberFormat="1" applyFill="1"/>
    <xf numFmtId="17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3" fontId="2" fillId="0" borderId="0" xfId="0" applyNumberFormat="1" applyFont="1" applyBorder="1" applyAlignment="1">
      <alignment horizontal="left"/>
    </xf>
    <xf numFmtId="9" fontId="0" fillId="0" borderId="0" xfId="2" applyFont="1"/>
    <xf numFmtId="168" fontId="0" fillId="0" borderId="4" xfId="0" applyNumberFormat="1" applyBorder="1" applyAlignment="1">
      <alignment horizontal="center"/>
    </xf>
    <xf numFmtId="0" fontId="13" fillId="0" borderId="0" xfId="0" applyFont="1"/>
    <xf numFmtId="0" fontId="12" fillId="2" borderId="0" xfId="0" applyFont="1" applyFill="1"/>
    <xf numFmtId="0" fontId="0" fillId="0" borderId="0" xfId="0" applyFill="1"/>
    <xf numFmtId="0" fontId="12" fillId="0" borderId="0" xfId="0" applyFont="1" applyFill="1"/>
    <xf numFmtId="17" fontId="3" fillId="4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10" fontId="0" fillId="0" borderId="0" xfId="2" applyNumberFormat="1" applyFont="1" applyAlignment="1">
      <alignment horizontal="center"/>
    </xf>
    <xf numFmtId="165" fontId="2" fillId="0" borderId="0" xfId="0" applyNumberFormat="1" applyFont="1" applyFill="1"/>
    <xf numFmtId="165" fontId="0" fillId="0" borderId="1" xfId="0" applyNumberFormat="1" applyBorder="1"/>
    <xf numFmtId="0" fontId="0" fillId="0" borderId="0" xfId="0" quotePrefix="1"/>
    <xf numFmtId="3" fontId="0" fillId="4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/>
    <xf numFmtId="3" fontId="0" fillId="0" borderId="0" xfId="0" applyNumberFormat="1" applyFon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right"/>
    </xf>
    <xf numFmtId="17" fontId="0" fillId="0" borderId="1" xfId="0" applyNumberFormat="1" applyFill="1" applyBorder="1" applyAlignment="1">
      <alignment horizontal="center"/>
    </xf>
    <xf numFmtId="165" fontId="0" fillId="0" borderId="0" xfId="2" applyNumberFormat="1" applyFont="1" applyAlignment="1">
      <alignment horizontal="right"/>
    </xf>
    <xf numFmtId="165" fontId="0" fillId="0" borderId="0" xfId="0" applyNumberFormat="1" applyBorder="1" applyProtection="1">
      <protection locked="0"/>
    </xf>
    <xf numFmtId="3" fontId="0" fillId="0" borderId="0" xfId="0" applyNumberFormat="1" applyFill="1"/>
    <xf numFmtId="0" fontId="12" fillId="5" borderId="0" xfId="0" applyFont="1" applyFill="1"/>
    <xf numFmtId="0" fontId="0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ised%20WA%20Exh%20WGJ-2%20Historic%20Loa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WGJ-5"/>
      <sheetName val="WGJ-2"/>
      <sheetName val="WGJ-4"/>
      <sheetName val="Aurora"/>
    </sheetNames>
    <sheetDataSet>
      <sheetData sheetId="0">
        <row r="48">
          <cell r="D48">
            <v>745842.27236190147</v>
          </cell>
          <cell r="E48">
            <v>565254.05445990141</v>
          </cell>
          <cell r="F48">
            <v>478163.06299569464</v>
          </cell>
          <cell r="G48">
            <v>483087.28693763405</v>
          </cell>
          <cell r="H48">
            <v>478402.49352373893</v>
          </cell>
          <cell r="I48">
            <v>557267.53760938975</v>
          </cell>
          <cell r="J48">
            <v>600686.05624352978</v>
          </cell>
          <cell r="K48">
            <v>460063.82144631533</v>
          </cell>
          <cell r="L48">
            <v>410428.46671899705</v>
          </cell>
          <cell r="M48">
            <v>485580.59016665292</v>
          </cell>
          <cell r="N48">
            <v>508641.68676119391</v>
          </cell>
          <cell r="O48">
            <v>620838.55540952075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O53"/>
  <sheetViews>
    <sheetView workbookViewId="0">
      <selection activeCell="A18" sqref="A18:O54"/>
    </sheetView>
  </sheetViews>
  <sheetFormatPr defaultRowHeight="12.75"/>
  <cols>
    <col min="1" max="1" width="6.85546875" customWidth="1"/>
    <col min="2" max="2" width="36.85546875" customWidth="1"/>
    <col min="3" max="3" width="13.7109375" customWidth="1"/>
    <col min="4" max="10" width="10.7109375" customWidth="1"/>
    <col min="11" max="11" width="11.85546875" customWidth="1"/>
    <col min="12" max="15" width="10.7109375" customWidth="1"/>
  </cols>
  <sheetData>
    <row r="3" spans="1:15">
      <c r="D3" s="2" t="s">
        <v>141</v>
      </c>
    </row>
    <row r="6" spans="1:15">
      <c r="C6" s="38">
        <f>SUM(D6:O6)</f>
        <v>8784</v>
      </c>
      <c r="D6" s="48">
        <f>'WGJ-4'!D6</f>
        <v>744</v>
      </c>
      <c r="E6" s="48">
        <v>696</v>
      </c>
      <c r="F6" s="48">
        <v>743</v>
      </c>
      <c r="G6" s="48">
        <v>720</v>
      </c>
      <c r="H6" s="48">
        <f>'WGJ-4'!H6</f>
        <v>744</v>
      </c>
      <c r="I6" s="48">
        <f>'WGJ-4'!I6</f>
        <v>720</v>
      </c>
      <c r="J6" s="48">
        <f>'WGJ-4'!J6</f>
        <v>744</v>
      </c>
      <c r="K6" s="48">
        <f>'WGJ-4'!K6</f>
        <v>744</v>
      </c>
      <c r="L6" s="48">
        <f>'WGJ-4'!L6</f>
        <v>720</v>
      </c>
      <c r="M6" s="48">
        <v>744</v>
      </c>
      <c r="N6" s="48">
        <v>721</v>
      </c>
      <c r="O6" s="48">
        <f>'WGJ-4'!O6</f>
        <v>744</v>
      </c>
    </row>
    <row r="7" spans="1:15">
      <c r="C7" s="89" t="s">
        <v>37</v>
      </c>
      <c r="D7" s="49">
        <v>39451</v>
      </c>
      <c r="E7" s="49">
        <v>39482</v>
      </c>
      <c r="F7" s="49">
        <v>39511</v>
      </c>
      <c r="G7" s="49">
        <v>39542</v>
      </c>
      <c r="H7" s="49">
        <v>39572</v>
      </c>
      <c r="I7" s="49">
        <v>39603</v>
      </c>
      <c r="J7" s="49">
        <v>39633</v>
      </c>
      <c r="K7" s="49">
        <v>39664</v>
      </c>
      <c r="L7" s="49">
        <v>39695</v>
      </c>
      <c r="M7" s="49">
        <v>39725</v>
      </c>
      <c r="N7" s="49">
        <v>39756</v>
      </c>
      <c r="O7" s="49">
        <v>39786</v>
      </c>
    </row>
    <row r="8" spans="1:15">
      <c r="C8" s="12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5">
      <c r="A9" s="2" t="s">
        <v>145</v>
      </c>
      <c r="C9" s="132">
        <f>AVERAGE(D9:O9)</f>
        <v>37.10970578222048</v>
      </c>
      <c r="D9" s="100">
        <v>40.314082990373883</v>
      </c>
      <c r="E9" s="100">
        <v>40.378883198329383</v>
      </c>
      <c r="F9" s="100">
        <v>34.653625570024765</v>
      </c>
      <c r="G9" s="100">
        <v>28.586999797821044</v>
      </c>
      <c r="H9" s="100">
        <v>23.803344007900783</v>
      </c>
      <c r="I9" s="100">
        <v>18.927317237854005</v>
      </c>
      <c r="J9" s="100">
        <v>38.507052203587122</v>
      </c>
      <c r="K9" s="100">
        <v>42.659397234235492</v>
      </c>
      <c r="L9" s="100">
        <v>40.782527324131557</v>
      </c>
      <c r="M9" s="100">
        <v>43.716474696568078</v>
      </c>
      <c r="N9" s="100">
        <v>44.723271070207865</v>
      </c>
      <c r="O9" s="100">
        <v>48.263494055611744</v>
      </c>
    </row>
    <row r="10" spans="1:15">
      <c r="C10" s="12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5">
      <c r="A11" s="2" t="s">
        <v>46</v>
      </c>
      <c r="C11" s="12"/>
    </row>
    <row r="12" spans="1:15">
      <c r="B12" t="s">
        <v>45</v>
      </c>
      <c r="C12" s="12"/>
    </row>
    <row r="13" spans="1:15">
      <c r="B13" t="s">
        <v>100</v>
      </c>
      <c r="C13" s="130">
        <f>SUM(D13:O13)</f>
        <v>67890</v>
      </c>
      <c r="D13" s="3">
        <v>5766</v>
      </c>
      <c r="E13" s="3">
        <v>5208</v>
      </c>
      <c r="F13" s="3">
        <v>5766</v>
      </c>
      <c r="G13" s="3">
        <v>5580</v>
      </c>
      <c r="H13" s="3">
        <v>5766</v>
      </c>
      <c r="I13" s="3">
        <v>5580</v>
      </c>
      <c r="J13" s="3">
        <v>5766</v>
      </c>
      <c r="K13" s="3">
        <v>5766</v>
      </c>
      <c r="L13" s="3">
        <v>5580</v>
      </c>
      <c r="M13" s="3">
        <v>5766</v>
      </c>
      <c r="N13" s="3">
        <v>5580</v>
      </c>
      <c r="O13" s="3">
        <v>5766</v>
      </c>
    </row>
    <row r="14" spans="1:15">
      <c r="B14" t="s">
        <v>112</v>
      </c>
      <c r="C14" s="104">
        <f>SUM(D14:O14)</f>
        <v>2381247.1041887491</v>
      </c>
      <c r="D14" s="26">
        <f>(D9-2.05)*D13</f>
        <v>220630.70252249582</v>
      </c>
      <c r="E14" s="26">
        <f t="shared" ref="E14:O14" si="0">(E9-2.05)*E13</f>
        <v>199616.82369689943</v>
      </c>
      <c r="F14" s="26">
        <f t="shared" si="0"/>
        <v>187992.5050367628</v>
      </c>
      <c r="G14" s="26">
        <f t="shared" si="0"/>
        <v>148076.45887184143</v>
      </c>
      <c r="H14" s="26">
        <f t="shared" si="0"/>
        <v>125429.78154955592</v>
      </c>
      <c r="I14" s="26">
        <f t="shared" si="0"/>
        <v>94175.430187225342</v>
      </c>
      <c r="J14" s="26">
        <f t="shared" si="0"/>
        <v>210211.36300588335</v>
      </c>
      <c r="K14" s="26">
        <f t="shared" si="0"/>
        <v>234153.78445260186</v>
      </c>
      <c r="L14" s="26">
        <f t="shared" si="0"/>
        <v>216127.5024686541</v>
      </c>
      <c r="M14" s="26">
        <f t="shared" si="0"/>
        <v>240248.89310041154</v>
      </c>
      <c r="N14" s="26">
        <f t="shared" si="0"/>
        <v>238116.8525717599</v>
      </c>
      <c r="O14" s="26">
        <f t="shared" si="0"/>
        <v>266467.00672465732</v>
      </c>
    </row>
    <row r="15" spans="1:15">
      <c r="C15" s="12"/>
    </row>
    <row r="17" spans="1:15">
      <c r="C17" s="111"/>
      <c r="K17" s="30"/>
      <c r="L17" s="30"/>
      <c r="M17" s="26"/>
    </row>
    <row r="18" spans="1:15">
      <c r="A18" s="2" t="s">
        <v>167</v>
      </c>
      <c r="C18" s="111"/>
      <c r="K18" s="30"/>
      <c r="L18" s="30"/>
      <c r="M18" s="26"/>
    </row>
    <row r="19" spans="1:15">
      <c r="C19" s="131" t="s">
        <v>37</v>
      </c>
      <c r="D19" s="115">
        <v>39447</v>
      </c>
      <c r="E19" s="115">
        <v>39478</v>
      </c>
      <c r="F19" s="115">
        <v>39507</v>
      </c>
      <c r="G19" s="115">
        <v>39538</v>
      </c>
      <c r="H19" s="115">
        <v>39568</v>
      </c>
      <c r="I19" s="115">
        <v>39599</v>
      </c>
      <c r="J19" s="115">
        <v>39629</v>
      </c>
      <c r="K19" s="115">
        <v>39660</v>
      </c>
      <c r="L19" s="115">
        <v>39691</v>
      </c>
      <c r="M19" s="115">
        <v>39721</v>
      </c>
      <c r="N19" s="115">
        <v>39752</v>
      </c>
      <c r="O19" s="115">
        <v>39782</v>
      </c>
    </row>
    <row r="20" spans="1:15">
      <c r="A20" s="2"/>
      <c r="C20" s="111"/>
      <c r="K20" s="30"/>
      <c r="L20" s="30"/>
      <c r="M20" s="26"/>
    </row>
    <row r="21" spans="1:15">
      <c r="B21" t="s">
        <v>168</v>
      </c>
      <c r="C21" s="111"/>
      <c r="D21" s="100">
        <f>D9</f>
        <v>40.314082990373883</v>
      </c>
      <c r="E21" s="100">
        <f t="shared" ref="E21:O21" si="1">E9</f>
        <v>40.378883198329383</v>
      </c>
      <c r="F21" s="100">
        <f t="shared" si="1"/>
        <v>34.653625570024765</v>
      </c>
      <c r="G21" s="100">
        <f t="shared" si="1"/>
        <v>28.586999797821044</v>
      </c>
      <c r="H21" s="100">
        <f t="shared" si="1"/>
        <v>23.803344007900783</v>
      </c>
      <c r="I21" s="100">
        <f t="shared" si="1"/>
        <v>18.927317237854005</v>
      </c>
      <c r="J21" s="100">
        <f t="shared" si="1"/>
        <v>38.507052203587122</v>
      </c>
      <c r="K21" s="100">
        <f t="shared" si="1"/>
        <v>42.659397234235492</v>
      </c>
      <c r="L21" s="100">
        <f t="shared" si="1"/>
        <v>40.782527324131557</v>
      </c>
      <c r="M21" s="100">
        <f t="shared" si="1"/>
        <v>43.716474696568078</v>
      </c>
      <c r="N21" s="100">
        <f t="shared" si="1"/>
        <v>44.723271070207865</v>
      </c>
      <c r="O21" s="100">
        <f t="shared" si="1"/>
        <v>48.263494055611744</v>
      </c>
    </row>
    <row r="22" spans="1:15">
      <c r="C22" s="11"/>
      <c r="K22" s="30"/>
      <c r="L22" s="30"/>
      <c r="M22" s="26"/>
    </row>
    <row r="23" spans="1:15">
      <c r="B23" t="s">
        <v>188</v>
      </c>
      <c r="C23" s="130">
        <f>SUM(D23:O23)</f>
        <v>153727.93927246094</v>
      </c>
      <c r="D23" s="137">
        <v>19412.425527343752</v>
      </c>
      <c r="E23" s="137">
        <v>14530.291640625001</v>
      </c>
      <c r="F23" s="137">
        <v>12157.248339843749</v>
      </c>
      <c r="G23" s="137">
        <v>10781.294912109375</v>
      </c>
      <c r="H23" s="137">
        <v>8094.4797119140621</v>
      </c>
      <c r="I23" s="137">
        <v>11396.349316406251</v>
      </c>
      <c r="J23" s="137">
        <v>12982.15330078125</v>
      </c>
      <c r="K23" s="137">
        <v>12535.000117187499</v>
      </c>
      <c r="L23" s="137">
        <v>10794.397753906249</v>
      </c>
      <c r="M23" s="137">
        <v>12519.2824609375</v>
      </c>
      <c r="N23" s="137">
        <v>12985.300898437501</v>
      </c>
      <c r="O23" s="137">
        <v>15539.715292968751</v>
      </c>
    </row>
    <row r="24" spans="1:15">
      <c r="B24" t="s">
        <v>189</v>
      </c>
      <c r="C24" s="130">
        <f>SUM(D24:O24)</f>
        <v>165572.33705078127</v>
      </c>
      <c r="D24" s="137">
        <v>17401.73</v>
      </c>
      <c r="E24" s="137">
        <v>13363.78580078125</v>
      </c>
      <c r="F24" s="137">
        <v>11926.688554687498</v>
      </c>
      <c r="G24" s="137">
        <v>14095.38671875</v>
      </c>
      <c r="H24" s="137">
        <v>16983.654736328124</v>
      </c>
      <c r="I24" s="137">
        <v>18360.9994921875</v>
      </c>
      <c r="J24" s="137">
        <v>16857.941621093749</v>
      </c>
      <c r="K24" s="137">
        <v>9986.5360644531247</v>
      </c>
      <c r="L24" s="137">
        <v>9430.4989746093743</v>
      </c>
      <c r="M24" s="137">
        <v>11163.555468749999</v>
      </c>
      <c r="N24" s="137">
        <v>11735.289970703127</v>
      </c>
      <c r="O24" s="137">
        <v>14266.269648437499</v>
      </c>
    </row>
    <row r="25" spans="1:15">
      <c r="B25" t="s">
        <v>152</v>
      </c>
      <c r="C25" s="103"/>
      <c r="D25" s="103">
        <v>3.3000000000000002E-2</v>
      </c>
      <c r="E25" s="103">
        <v>3.3000000000000002E-2</v>
      </c>
      <c r="F25" s="103">
        <v>3.3000000000000002E-2</v>
      </c>
      <c r="G25" s="103">
        <v>3.3000000000000002E-2</v>
      </c>
      <c r="H25" s="103">
        <v>3.3000000000000002E-2</v>
      </c>
      <c r="I25" s="103">
        <v>3.3000000000000002E-2</v>
      </c>
      <c r="J25" s="103">
        <v>3.3000000000000002E-2</v>
      </c>
      <c r="K25" s="103">
        <v>3.3000000000000002E-2</v>
      </c>
      <c r="L25" s="103">
        <v>3.3000000000000002E-2</v>
      </c>
      <c r="M25" s="103">
        <v>3.3000000000000002E-2</v>
      </c>
      <c r="N25" s="103">
        <v>3.3000000000000002E-2</v>
      </c>
      <c r="O25" s="103">
        <v>3.3000000000000002E-2</v>
      </c>
    </row>
    <row r="26" spans="1:15">
      <c r="B26" t="s">
        <v>187</v>
      </c>
      <c r="D26" s="126">
        <v>0</v>
      </c>
      <c r="E26" s="126">
        <v>0</v>
      </c>
      <c r="F26" s="126">
        <v>0</v>
      </c>
      <c r="G26" s="126">
        <v>0</v>
      </c>
      <c r="H26" s="126">
        <v>0</v>
      </c>
      <c r="I26" s="126">
        <v>0</v>
      </c>
      <c r="J26" s="126">
        <v>0</v>
      </c>
      <c r="K26" s="126">
        <v>0</v>
      </c>
      <c r="L26" s="126">
        <v>0</v>
      </c>
      <c r="M26" s="126">
        <v>0</v>
      </c>
      <c r="N26" s="126">
        <v>0</v>
      </c>
      <c r="O26" s="126">
        <v>0</v>
      </c>
    </row>
    <row r="27" spans="1:15">
      <c r="B27" t="s">
        <v>153</v>
      </c>
      <c r="C27" s="103"/>
      <c r="D27" s="103">
        <v>4.7000000000000002E-3</v>
      </c>
      <c r="E27" s="103">
        <v>4.7000000000000002E-3</v>
      </c>
      <c r="F27" s="103">
        <v>4.7000000000000002E-3</v>
      </c>
      <c r="G27" s="103">
        <v>4.7000000000000002E-3</v>
      </c>
      <c r="H27" s="103">
        <v>4.7000000000000002E-3</v>
      </c>
      <c r="I27" s="103">
        <v>4.7000000000000002E-3</v>
      </c>
      <c r="J27" s="103">
        <v>4.7000000000000002E-3</v>
      </c>
      <c r="K27" s="103">
        <v>4.7000000000000002E-3</v>
      </c>
      <c r="L27" s="103">
        <v>4.7000000000000002E-3</v>
      </c>
      <c r="M27" s="103">
        <v>4.7000000000000002E-3</v>
      </c>
      <c r="N27" s="103">
        <v>4.7000000000000002E-3</v>
      </c>
      <c r="O27" s="103">
        <v>4.7000000000000002E-3</v>
      </c>
    </row>
    <row r="28" spans="1:15">
      <c r="B28" t="s">
        <v>156</v>
      </c>
      <c r="C28" s="103"/>
      <c r="D28" s="103">
        <f t="shared" ref="D28:O28" si="2">SUM(D25:D27)</f>
        <v>3.7700000000000004E-2</v>
      </c>
      <c r="E28" s="103">
        <f t="shared" si="2"/>
        <v>3.7700000000000004E-2</v>
      </c>
      <c r="F28" s="103">
        <f t="shared" si="2"/>
        <v>3.7700000000000004E-2</v>
      </c>
      <c r="G28" s="103">
        <f t="shared" si="2"/>
        <v>3.7700000000000004E-2</v>
      </c>
      <c r="H28" s="103">
        <f t="shared" si="2"/>
        <v>3.7700000000000004E-2</v>
      </c>
      <c r="I28" s="103">
        <f t="shared" si="2"/>
        <v>3.7700000000000004E-2</v>
      </c>
      <c r="J28" s="103">
        <f t="shared" si="2"/>
        <v>3.7700000000000004E-2</v>
      </c>
      <c r="K28" s="103">
        <f t="shared" si="2"/>
        <v>3.7700000000000004E-2</v>
      </c>
      <c r="L28" s="103">
        <f t="shared" si="2"/>
        <v>3.7700000000000004E-2</v>
      </c>
      <c r="M28" s="103">
        <f t="shared" si="2"/>
        <v>3.7700000000000004E-2</v>
      </c>
      <c r="N28" s="103">
        <f t="shared" si="2"/>
        <v>3.7700000000000004E-2</v>
      </c>
      <c r="O28" s="103">
        <f t="shared" si="2"/>
        <v>3.7700000000000004E-2</v>
      </c>
    </row>
    <row r="29" spans="1:15">
      <c r="B29" t="s">
        <v>165</v>
      </c>
      <c r="C29" s="103"/>
      <c r="D29" s="112">
        <v>0.05</v>
      </c>
      <c r="E29" s="112">
        <f>D29</f>
        <v>0.05</v>
      </c>
      <c r="F29" s="112">
        <f t="shared" ref="F29:O29" si="3">E29</f>
        <v>0.05</v>
      </c>
      <c r="G29" s="112">
        <f t="shared" si="3"/>
        <v>0.05</v>
      </c>
      <c r="H29" s="112">
        <f t="shared" si="3"/>
        <v>0.05</v>
      </c>
      <c r="I29" s="112">
        <f t="shared" si="3"/>
        <v>0.05</v>
      </c>
      <c r="J29" s="112">
        <f t="shared" si="3"/>
        <v>0.05</v>
      </c>
      <c r="K29" s="112">
        <f t="shared" si="3"/>
        <v>0.05</v>
      </c>
      <c r="L29" s="112">
        <f t="shared" si="3"/>
        <v>0.05</v>
      </c>
      <c r="M29" s="112">
        <f t="shared" si="3"/>
        <v>0.05</v>
      </c>
      <c r="N29" s="112">
        <f t="shared" si="3"/>
        <v>0.05</v>
      </c>
      <c r="O29" s="112">
        <f t="shared" si="3"/>
        <v>0.05</v>
      </c>
    </row>
    <row r="30" spans="1:15">
      <c r="C30" s="102"/>
    </row>
    <row r="31" spans="1:15">
      <c r="B31" t="s">
        <v>146</v>
      </c>
      <c r="C31" s="102">
        <f>SUM(D31:O31)</f>
        <v>279493.6105747213</v>
      </c>
      <c r="D31" s="3">
        <f>(D23+D24)*(D25/D28)</f>
        <v>32224.592371414958</v>
      </c>
      <c r="E31" s="3">
        <f t="shared" ref="E31:O31" si="4">(E23+E24)*(E25/E28)</f>
        <v>24416.56646064738</v>
      </c>
      <c r="F31" s="3">
        <f t="shared" si="4"/>
        <v>21081.430172931858</v>
      </c>
      <c r="G31" s="3">
        <f t="shared" si="4"/>
        <v>21775.344663616961</v>
      </c>
      <c r="H31" s="3">
        <f t="shared" si="4"/>
        <v>21951.682673527641</v>
      </c>
      <c r="I31" s="3">
        <f t="shared" si="4"/>
        <v>26047.546702482592</v>
      </c>
      <c r="J31" s="3">
        <f t="shared" si="4"/>
        <v>26119.976987317637</v>
      </c>
      <c r="K31" s="3">
        <f t="shared" si="4"/>
        <v>19713.811511780914</v>
      </c>
      <c r="L31" s="3">
        <f t="shared" si="4"/>
        <v>17703.490505066726</v>
      </c>
      <c r="M31" s="3">
        <f t="shared" si="4"/>
        <v>20730.33558832062</v>
      </c>
      <c r="N31" s="3">
        <f t="shared" si="4"/>
        <v>21638.713492881718</v>
      </c>
      <c r="O31" s="3">
        <f t="shared" si="4"/>
        <v>26090.11944473226</v>
      </c>
    </row>
    <row r="32" spans="1:15">
      <c r="B32" t="s">
        <v>147</v>
      </c>
      <c r="C32" s="101">
        <f>SUM(D32:O32)</f>
        <v>11753047.30843655</v>
      </c>
      <c r="D32" s="26">
        <f>D31*(D21+5)</f>
        <v>1460227.8530492666</v>
      </c>
      <c r="E32" s="26">
        <f t="shared" ref="E32:O32" si="5">E31*(E21+5)</f>
        <v>1107996.5175219642</v>
      </c>
      <c r="F32" s="26">
        <f t="shared" si="5"/>
        <v>835955.13855806226</v>
      </c>
      <c r="G32" s="26">
        <f t="shared" si="5"/>
        <v>731368.49681438645</v>
      </c>
      <c r="H32" s="26">
        <f t="shared" si="5"/>
        <v>632281.86759789183</v>
      </c>
      <c r="I32" s="26">
        <f t="shared" si="5"/>
        <v>623247.91321811895</v>
      </c>
      <c r="J32" s="26">
        <f t="shared" si="5"/>
        <v>1136403.2023437228</v>
      </c>
      <c r="K32" s="26">
        <f t="shared" si="5"/>
        <v>939548.37384081108</v>
      </c>
      <c r="L32" s="26">
        <f t="shared" si="5"/>
        <v>810510.53778072097</v>
      </c>
      <c r="M32" s="26">
        <f t="shared" si="5"/>
        <v>1009908.8691397862</v>
      </c>
      <c r="N32" s="26">
        <f t="shared" si="5"/>
        <v>1075947.6166171222</v>
      </c>
      <c r="O32" s="26">
        <f t="shared" si="5"/>
        <v>1389650.921954697</v>
      </c>
    </row>
    <row r="33" spans="2:15">
      <c r="D33" s="26"/>
    </row>
    <row r="34" spans="2:15">
      <c r="B34" t="s">
        <v>148</v>
      </c>
      <c r="C34" s="101">
        <f>SUM(D34:O34)</f>
        <v>6088273.7238020804</v>
      </c>
      <c r="D34" s="26">
        <f t="shared" ref="D34:O34" si="6">((D31*10.66/11.03)*(D21+5-$C53))*(1-D29)</f>
        <v>798492.22524115071</v>
      </c>
      <c r="E34" s="26">
        <f t="shared" si="6"/>
        <v>606470.04890272045</v>
      </c>
      <c r="F34" s="26">
        <f t="shared" si="6"/>
        <v>412814.90824257431</v>
      </c>
      <c r="G34" s="26">
        <f t="shared" si="6"/>
        <v>305115.16925007885</v>
      </c>
      <c r="H34" s="26">
        <f t="shared" si="6"/>
        <v>211173.57816213512</v>
      </c>
      <c r="I34" s="26">
        <f t="shared" si="6"/>
        <v>133964.84308479165</v>
      </c>
      <c r="J34" s="26">
        <f t="shared" si="6"/>
        <v>603890.65765015222</v>
      </c>
      <c r="K34" s="26">
        <f t="shared" si="6"/>
        <v>530937.88091177063</v>
      </c>
      <c r="L34" s="26">
        <f t="shared" si="6"/>
        <v>446288.43315031857</v>
      </c>
      <c r="M34" s="26">
        <f t="shared" si="6"/>
        <v>578434.74979242624</v>
      </c>
      <c r="N34" s="26">
        <f t="shared" si="6"/>
        <v>623783.27992976236</v>
      </c>
      <c r="O34" s="26">
        <f t="shared" si="6"/>
        <v>836907.94948419952</v>
      </c>
    </row>
    <row r="36" spans="2:15">
      <c r="B36" t="s">
        <v>149</v>
      </c>
      <c r="C36" s="133">
        <f>SUM(D36:O36)</f>
        <v>5664773.5846344698</v>
      </c>
      <c r="D36" s="26">
        <f>D32-D34</f>
        <v>661735.62780811591</v>
      </c>
      <c r="E36" s="26">
        <f t="shared" ref="E36:O36" si="7">E32-E34</f>
        <v>501526.46861924371</v>
      </c>
      <c r="F36" s="26">
        <f t="shared" si="7"/>
        <v>423140.23031548795</v>
      </c>
      <c r="G36" s="26">
        <f t="shared" si="7"/>
        <v>426253.3275643076</v>
      </c>
      <c r="H36" s="26">
        <f t="shared" si="7"/>
        <v>421108.28943575674</v>
      </c>
      <c r="I36" s="26">
        <f t="shared" si="7"/>
        <v>489283.07013332727</v>
      </c>
      <c r="J36" s="26">
        <f t="shared" si="7"/>
        <v>532512.54469357058</v>
      </c>
      <c r="K36" s="26">
        <f t="shared" si="7"/>
        <v>408610.49292904045</v>
      </c>
      <c r="L36" s="26">
        <f t="shared" si="7"/>
        <v>364222.10463040241</v>
      </c>
      <c r="M36" s="26">
        <f t="shared" si="7"/>
        <v>431474.11934735999</v>
      </c>
      <c r="N36" s="26">
        <f t="shared" si="7"/>
        <v>452164.33668735984</v>
      </c>
      <c r="O36" s="26">
        <f t="shared" si="7"/>
        <v>552742.97247049748</v>
      </c>
    </row>
    <row r="37" spans="2:15">
      <c r="B37" t="s">
        <v>150</v>
      </c>
      <c r="C37" s="116">
        <f t="shared" ref="C37:O37" si="8">C36/C31</f>
        <v>20.267989572233958</v>
      </c>
      <c r="D37" s="30">
        <f t="shared" si="8"/>
        <v>20.53511244397037</v>
      </c>
      <c r="E37" s="30">
        <f t="shared" si="8"/>
        <v>20.540417483660651</v>
      </c>
      <c r="F37" s="30">
        <f t="shared" si="8"/>
        <v>20.07170418915846</v>
      </c>
      <c r="G37" s="30">
        <f t="shared" si="8"/>
        <v>19.575043892485763</v>
      </c>
      <c r="H37" s="30">
        <f t="shared" si="8"/>
        <v>19.183417312404348</v>
      </c>
      <c r="I37" s="30">
        <f t="shared" si="8"/>
        <v>18.784228538755002</v>
      </c>
      <c r="J37" s="30">
        <f t="shared" si="8"/>
        <v>20.387175109385744</v>
      </c>
      <c r="K37" s="30">
        <f t="shared" si="8"/>
        <v>20.727117771459671</v>
      </c>
      <c r="L37" s="30">
        <f t="shared" si="8"/>
        <v>20.573462873107555</v>
      </c>
      <c r="M37" s="30">
        <f t="shared" si="8"/>
        <v>20.813658201966138</v>
      </c>
      <c r="N37" s="30">
        <f t="shared" si="8"/>
        <v>20.896082238720155</v>
      </c>
      <c r="O37" s="30">
        <f t="shared" si="8"/>
        <v>21.185911917398268</v>
      </c>
    </row>
    <row r="39" spans="2:15">
      <c r="B39" t="s">
        <v>191</v>
      </c>
      <c r="C39" s="102">
        <f>SUM(D39:O39)</f>
        <v>0</v>
      </c>
      <c r="D39" s="3">
        <f>(D23+D24)*(D26/D28)</f>
        <v>0</v>
      </c>
      <c r="E39" s="3">
        <f t="shared" ref="E39:O39" si="9">(E23+E24)*(E26/E28)</f>
        <v>0</v>
      </c>
      <c r="F39" s="3">
        <f t="shared" si="9"/>
        <v>0</v>
      </c>
      <c r="G39" s="3">
        <f t="shared" si="9"/>
        <v>0</v>
      </c>
      <c r="H39" s="3">
        <f t="shared" si="9"/>
        <v>0</v>
      </c>
      <c r="I39" s="3">
        <f t="shared" si="9"/>
        <v>0</v>
      </c>
      <c r="J39" s="3">
        <f t="shared" si="9"/>
        <v>0</v>
      </c>
      <c r="K39" s="3">
        <f t="shared" si="9"/>
        <v>0</v>
      </c>
      <c r="L39" s="3">
        <f t="shared" si="9"/>
        <v>0</v>
      </c>
      <c r="M39" s="3">
        <f t="shared" si="9"/>
        <v>0</v>
      </c>
      <c r="N39" s="3">
        <f t="shared" si="9"/>
        <v>0</v>
      </c>
      <c r="O39" s="3">
        <f t="shared" si="9"/>
        <v>0</v>
      </c>
    </row>
    <row r="40" spans="2:15">
      <c r="B40" t="s">
        <v>166</v>
      </c>
      <c r="D40" s="114">
        <f>$C53</f>
        <v>18.325631807710629</v>
      </c>
      <c r="E40" s="114">
        <f t="shared" ref="E40:O40" si="10">$C53</f>
        <v>18.325631807710629</v>
      </c>
      <c r="F40" s="114">
        <f t="shared" si="10"/>
        <v>18.325631807710629</v>
      </c>
      <c r="G40" s="114">
        <f t="shared" si="10"/>
        <v>18.325631807710629</v>
      </c>
      <c r="H40" s="114">
        <f t="shared" si="10"/>
        <v>18.325631807710629</v>
      </c>
      <c r="I40" s="114">
        <f t="shared" si="10"/>
        <v>18.325631807710629</v>
      </c>
      <c r="J40" s="114">
        <f t="shared" si="10"/>
        <v>18.325631807710629</v>
      </c>
      <c r="K40" s="114">
        <f t="shared" si="10"/>
        <v>18.325631807710629</v>
      </c>
      <c r="L40" s="114">
        <f t="shared" si="10"/>
        <v>18.325631807710629</v>
      </c>
      <c r="M40" s="114">
        <f t="shared" si="10"/>
        <v>18.325631807710629</v>
      </c>
      <c r="N40" s="114">
        <f t="shared" si="10"/>
        <v>18.325631807710629</v>
      </c>
      <c r="O40" s="114">
        <f t="shared" si="10"/>
        <v>18.325631807710629</v>
      </c>
    </row>
    <row r="41" spans="2:15">
      <c r="B41" t="s">
        <v>192</v>
      </c>
      <c r="C41" s="134">
        <f>SUM(D41:O41)</f>
        <v>0</v>
      </c>
      <c r="D41" s="26">
        <f>D39*D40</f>
        <v>0</v>
      </c>
      <c r="E41" s="26">
        <f t="shared" ref="E41:O41" si="11">E39*E40</f>
        <v>0</v>
      </c>
      <c r="F41" s="26">
        <f t="shared" si="11"/>
        <v>0</v>
      </c>
      <c r="G41" s="26">
        <f t="shared" si="11"/>
        <v>0</v>
      </c>
      <c r="H41" s="26">
        <f t="shared" si="11"/>
        <v>0</v>
      </c>
      <c r="I41" s="26">
        <f t="shared" si="11"/>
        <v>0</v>
      </c>
      <c r="J41" s="26">
        <f t="shared" si="11"/>
        <v>0</v>
      </c>
      <c r="K41" s="26">
        <f t="shared" si="11"/>
        <v>0</v>
      </c>
      <c r="L41" s="26">
        <f t="shared" si="11"/>
        <v>0</v>
      </c>
      <c r="M41" s="26">
        <f t="shared" si="11"/>
        <v>0</v>
      </c>
      <c r="N41" s="26">
        <f t="shared" si="11"/>
        <v>0</v>
      </c>
      <c r="O41" s="26">
        <f t="shared" si="11"/>
        <v>0</v>
      </c>
    </row>
    <row r="42" spans="2:15">
      <c r="C42" s="116"/>
      <c r="D42" s="26"/>
    </row>
    <row r="43" spans="2:15">
      <c r="B43" t="s">
        <v>155</v>
      </c>
      <c r="C43" s="102">
        <f>SUM(D43:O43)</f>
        <v>39806.665748520907</v>
      </c>
      <c r="D43" s="3">
        <f>(D23+D24)*(D27/D28)</f>
        <v>4589.5631559287967</v>
      </c>
      <c r="E43" s="3">
        <f t="shared" ref="E43:O43" si="12">(E23+E24)*(E27/E28)</f>
        <v>3477.5109807588692</v>
      </c>
      <c r="F43" s="3">
        <f t="shared" si="12"/>
        <v>3002.5067215993859</v>
      </c>
      <c r="G43" s="3">
        <f t="shared" si="12"/>
        <v>3101.3369672424155</v>
      </c>
      <c r="H43" s="3">
        <f t="shared" si="12"/>
        <v>3126.4517747145428</v>
      </c>
      <c r="I43" s="3">
        <f t="shared" si="12"/>
        <v>3709.8021061111572</v>
      </c>
      <c r="J43" s="3">
        <f t="shared" si="12"/>
        <v>3720.1179345573605</v>
      </c>
      <c r="K43" s="3">
        <f t="shared" si="12"/>
        <v>2807.724669859706</v>
      </c>
      <c r="L43" s="3">
        <f t="shared" si="12"/>
        <v>2521.4062234488974</v>
      </c>
      <c r="M43" s="3">
        <f t="shared" si="12"/>
        <v>2952.5023413668764</v>
      </c>
      <c r="N43" s="3">
        <f t="shared" si="12"/>
        <v>3081.8773762589112</v>
      </c>
      <c r="O43" s="3">
        <f t="shared" si="12"/>
        <v>3715.8654966739882</v>
      </c>
    </row>
    <row r="44" spans="2:15">
      <c r="B44" t="s">
        <v>166</v>
      </c>
      <c r="D44" s="114">
        <f>$C53</f>
        <v>18.325631807710629</v>
      </c>
      <c r="E44" s="114">
        <f t="shared" ref="E44:O44" si="13">$C53</f>
        <v>18.325631807710629</v>
      </c>
      <c r="F44" s="114">
        <f t="shared" si="13"/>
        <v>18.325631807710629</v>
      </c>
      <c r="G44" s="114">
        <f t="shared" si="13"/>
        <v>18.325631807710629</v>
      </c>
      <c r="H44" s="114">
        <f t="shared" si="13"/>
        <v>18.325631807710629</v>
      </c>
      <c r="I44" s="114">
        <f t="shared" si="13"/>
        <v>18.325631807710629</v>
      </c>
      <c r="J44" s="114">
        <f t="shared" si="13"/>
        <v>18.325631807710629</v>
      </c>
      <c r="K44" s="114">
        <f t="shared" si="13"/>
        <v>18.325631807710629</v>
      </c>
      <c r="L44" s="114">
        <f t="shared" si="13"/>
        <v>18.325631807710629</v>
      </c>
      <c r="M44" s="114">
        <f t="shared" si="13"/>
        <v>18.325631807710629</v>
      </c>
      <c r="N44" s="114">
        <f t="shared" si="13"/>
        <v>18.325631807710629</v>
      </c>
      <c r="O44" s="114">
        <f t="shared" si="13"/>
        <v>18.325631807710629</v>
      </c>
    </row>
    <row r="45" spans="2:15">
      <c r="B45" t="s">
        <v>154</v>
      </c>
      <c r="C45" s="134">
        <f>SUM(D45:O45)</f>
        <v>729482.29999999993</v>
      </c>
      <c r="D45" s="26">
        <f>D43*D44</f>
        <v>84106.644553785532</v>
      </c>
      <c r="E45" s="26">
        <f t="shared" ref="E45:O45" si="14">E43*E44</f>
        <v>63727.585840657717</v>
      </c>
      <c r="F45" s="26">
        <f t="shared" si="14"/>
        <v>55022.832680206666</v>
      </c>
      <c r="G45" s="26">
        <f t="shared" si="14"/>
        <v>56833.959373326426</v>
      </c>
      <c r="H45" s="26">
        <f t="shared" si="14"/>
        <v>57294.204087982172</v>
      </c>
      <c r="I45" s="26">
        <f t="shared" si="14"/>
        <v>67984.467476062506</v>
      </c>
      <c r="J45" s="26">
        <f t="shared" si="14"/>
        <v>68173.511549959134</v>
      </c>
      <c r="K45" s="26">
        <f t="shared" si="14"/>
        <v>51453.328517274851</v>
      </c>
      <c r="L45" s="26">
        <f t="shared" si="14"/>
        <v>46206.362088594644</v>
      </c>
      <c r="M45" s="26">
        <f t="shared" si="14"/>
        <v>54106.470819292932</v>
      </c>
      <c r="N45" s="26">
        <f t="shared" si="14"/>
        <v>56477.350073834081</v>
      </c>
      <c r="O45" s="26">
        <f t="shared" si="14"/>
        <v>68095.582939023298</v>
      </c>
    </row>
    <row r="46" spans="2:15">
      <c r="B46" t="s">
        <v>169</v>
      </c>
      <c r="C46" s="116">
        <f>C45/C43</f>
        <v>18.325631807710629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2:15"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2:15">
      <c r="B48" t="s">
        <v>170</v>
      </c>
      <c r="C48" s="134">
        <f>SUM(D48:O48)</f>
        <v>6394255.8846344696</v>
      </c>
      <c r="D48" s="26">
        <f>D36+D41+D45</f>
        <v>745842.27236190147</v>
      </c>
      <c r="E48" s="26">
        <f t="shared" ref="E48:O48" si="15">E36+E41+E45</f>
        <v>565254.05445990141</v>
      </c>
      <c r="F48" s="26">
        <f t="shared" si="15"/>
        <v>478163.06299569464</v>
      </c>
      <c r="G48" s="26">
        <f t="shared" si="15"/>
        <v>483087.28693763405</v>
      </c>
      <c r="H48" s="26">
        <f t="shared" si="15"/>
        <v>478402.49352373893</v>
      </c>
      <c r="I48" s="26">
        <f t="shared" si="15"/>
        <v>557267.53760938975</v>
      </c>
      <c r="J48" s="26">
        <f t="shared" si="15"/>
        <v>600686.05624352978</v>
      </c>
      <c r="K48" s="26">
        <f t="shared" si="15"/>
        <v>460063.82144631533</v>
      </c>
      <c r="L48" s="26">
        <f t="shared" si="15"/>
        <v>410428.46671899705</v>
      </c>
      <c r="M48" s="26">
        <f t="shared" si="15"/>
        <v>485580.59016665292</v>
      </c>
      <c r="N48" s="26">
        <f t="shared" si="15"/>
        <v>508641.68676119391</v>
      </c>
      <c r="O48" s="26">
        <f t="shared" si="15"/>
        <v>620838.55540952075</v>
      </c>
    </row>
    <row r="49" spans="2:15">
      <c r="B49" t="s">
        <v>171</v>
      </c>
      <c r="C49" s="116">
        <f>C48/(C23+C24)</f>
        <v>20.025838869494972</v>
      </c>
    </row>
    <row r="51" spans="2:15">
      <c r="B51" t="s">
        <v>224</v>
      </c>
      <c r="C51" s="111">
        <f>SUM(D51:O51)</f>
        <v>8469503.3507491294</v>
      </c>
      <c r="D51" s="58">
        <f>(D23+D24)/0.0377</f>
        <v>976502.7991337867</v>
      </c>
      <c r="E51" s="58">
        <f t="shared" ref="E51:O51" si="16">(E23+E24)/0.0377</f>
        <v>739895.95335295098</v>
      </c>
      <c r="F51" s="58">
        <f t="shared" si="16"/>
        <v>638831.2173615715</v>
      </c>
      <c r="G51" s="58">
        <f t="shared" si="16"/>
        <v>659858.92920051399</v>
      </c>
      <c r="H51" s="58">
        <f t="shared" si="16"/>
        <v>665202.50525841338</v>
      </c>
      <c r="I51" s="58">
        <f t="shared" si="16"/>
        <v>789319.59704492707</v>
      </c>
      <c r="J51" s="58">
        <f t="shared" si="16"/>
        <v>791514.4541611406</v>
      </c>
      <c r="K51" s="58">
        <f t="shared" si="16"/>
        <v>597388.22762972477</v>
      </c>
      <c r="L51" s="58">
        <f t="shared" si="16"/>
        <v>536469.40924444632</v>
      </c>
      <c r="M51" s="58">
        <f t="shared" si="16"/>
        <v>628191.98752486741</v>
      </c>
      <c r="N51" s="58">
        <f t="shared" si="16"/>
        <v>655718.59069338546</v>
      </c>
      <c r="O51" s="58">
        <f t="shared" si="16"/>
        <v>790609.68014340184</v>
      </c>
    </row>
    <row r="52" spans="2:15">
      <c r="B52" t="s">
        <v>170</v>
      </c>
      <c r="C52" s="113">
        <v>155209000</v>
      </c>
    </row>
    <row r="53" spans="2:15">
      <c r="B53" t="s">
        <v>233</v>
      </c>
      <c r="C53" s="30">
        <f>C52/C51</f>
        <v>18.325631807710629</v>
      </c>
    </row>
  </sheetData>
  <phoneticPr fontId="6" type="noConversion"/>
  <pageMargins left="0.75" right="0.75" top="1" bottom="1" header="0.5" footer="0.5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tabSelected="1" workbookViewId="0">
      <selection activeCell="A26" sqref="A26"/>
    </sheetView>
  </sheetViews>
  <sheetFormatPr defaultRowHeight="12.75"/>
  <cols>
    <col min="1" max="1" width="31.42578125" customWidth="1"/>
    <col min="2" max="2" width="13.140625" customWidth="1"/>
    <col min="3" max="14" width="11.7109375" customWidth="1"/>
  </cols>
  <sheetData>
    <row r="1" spans="1:14" ht="15.75">
      <c r="A1" s="120" t="s">
        <v>178</v>
      </c>
    </row>
    <row r="2" spans="1:14" ht="15.75">
      <c r="A2" s="120" t="s">
        <v>236</v>
      </c>
    </row>
    <row r="3" spans="1:14" ht="15.75">
      <c r="A3" s="120" t="s">
        <v>204</v>
      </c>
    </row>
    <row r="4" spans="1:14" s="145" customFormat="1" ht="15.75">
      <c r="A4" s="120" t="s">
        <v>235</v>
      </c>
    </row>
    <row r="5" spans="1:14" ht="15.75">
      <c r="A5" s="120"/>
    </row>
    <row r="6" spans="1:14">
      <c r="A6" s="121" t="s">
        <v>222</v>
      </c>
      <c r="B6" s="56"/>
      <c r="C6" s="136"/>
    </row>
    <row r="7" spans="1:14">
      <c r="A7" s="123"/>
    </row>
    <row r="8" spans="1:14">
      <c r="B8" s="110" t="s">
        <v>37</v>
      </c>
      <c r="C8" s="124">
        <v>39447</v>
      </c>
      <c r="D8" s="124">
        <v>39478</v>
      </c>
      <c r="E8" s="124">
        <v>39507</v>
      </c>
      <c r="F8" s="124">
        <v>39538</v>
      </c>
      <c r="G8" s="124">
        <v>39568</v>
      </c>
      <c r="H8" s="124">
        <v>39599</v>
      </c>
      <c r="I8" s="124">
        <v>39629</v>
      </c>
      <c r="J8" s="124">
        <v>39660</v>
      </c>
      <c r="K8" s="124">
        <v>39691</v>
      </c>
      <c r="L8" s="124">
        <v>39721</v>
      </c>
      <c r="M8" s="124">
        <v>39752</v>
      </c>
      <c r="N8" s="124">
        <v>39782</v>
      </c>
    </row>
    <row r="9" spans="1:14"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>
      <c r="A10" t="s">
        <v>163</v>
      </c>
      <c r="B10" s="26">
        <f>SUM(C10:N10)</f>
        <v>106902630.39246084</v>
      </c>
      <c r="C10" s="26">
        <f>'WGJ-2'!K37</f>
        <v>12153177.291661337</v>
      </c>
      <c r="D10" s="26">
        <f>'WGJ-2'!L37</f>
        <v>11618215.907009771</v>
      </c>
      <c r="E10" s="26">
        <f>'WGJ-2'!M37</f>
        <v>10976081.526972722</v>
      </c>
      <c r="F10" s="26">
        <f>'WGJ-2'!N37</f>
        <v>8845408.9584984947</v>
      </c>
      <c r="G10" s="26">
        <f>'WGJ-2'!O37</f>
        <v>6438631.9968096167</v>
      </c>
      <c r="H10" s="26">
        <f>'WGJ-2'!P37</f>
        <v>6661000.2464576932</v>
      </c>
      <c r="I10" s="26">
        <f>'WGJ-2'!Q37</f>
        <v>7160413.3309468981</v>
      </c>
      <c r="J10" s="26">
        <f>'WGJ-2'!R37</f>
        <v>9176736.0102384649</v>
      </c>
      <c r="K10" s="26">
        <f>'WGJ-2'!S37</f>
        <v>6607029.4811358545</v>
      </c>
      <c r="L10" s="26">
        <f>'WGJ-2'!T37</f>
        <v>6604687.9394306261</v>
      </c>
      <c r="M10" s="26">
        <f>'WGJ-2'!U37</f>
        <v>9895964.7526124995</v>
      </c>
      <c r="N10" s="26">
        <f>'WGJ-2'!V37</f>
        <v>10765282.950686855</v>
      </c>
    </row>
    <row r="11" spans="1:14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>
      <c r="A12" t="s">
        <v>162</v>
      </c>
      <c r="B12" s="26">
        <f>SUM(C12:N12)</f>
        <v>32040452.086833552</v>
      </c>
      <c r="C12" s="26">
        <f>'WGJ-2'!K51</f>
        <v>3072867.9577055434</v>
      </c>
      <c r="D12" s="26">
        <f>'WGJ-2'!L51</f>
        <v>2782387.1323358449</v>
      </c>
      <c r="E12" s="26">
        <f>'WGJ-2'!M51</f>
        <v>2974645.0082688103</v>
      </c>
      <c r="F12" s="26">
        <f>'WGJ-2'!N51</f>
        <v>2292105.869151297</v>
      </c>
      <c r="G12" s="26">
        <f>'WGJ-2'!O51</f>
        <v>1591006.7983808969</v>
      </c>
      <c r="H12" s="26">
        <f>'WGJ-2'!P51</f>
        <v>1196693.6483837308</v>
      </c>
      <c r="I12" s="26">
        <f>'WGJ-2'!Q51</f>
        <v>2809999.617513021</v>
      </c>
      <c r="J12" s="26">
        <f>'WGJ-2'!R51</f>
        <v>3098191.9166201637</v>
      </c>
      <c r="K12" s="26">
        <f>'WGJ-2'!S51</f>
        <v>3020517.2235398064</v>
      </c>
      <c r="L12" s="26">
        <f>'WGJ-2'!T51</f>
        <v>3121464.3479120163</v>
      </c>
      <c r="M12" s="26">
        <f>'WGJ-2'!U51</f>
        <v>3032499.5277041481</v>
      </c>
      <c r="N12" s="26">
        <f>'WGJ-2'!V51</f>
        <v>3048073.0393182668</v>
      </c>
    </row>
    <row r="13" spans="1:14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>
      <c r="A14" t="s">
        <v>221</v>
      </c>
      <c r="B14" s="26">
        <f>SUM(C14:N14)</f>
        <v>96973190.973727599</v>
      </c>
      <c r="C14" s="26">
        <f>'WGJ-2'!K66</f>
        <v>10473077.364998326</v>
      </c>
      <c r="D14" s="26">
        <f>'WGJ-2'!L66</f>
        <v>9273437.5562007204</v>
      </c>
      <c r="E14" s="26">
        <f>'WGJ-2'!M66</f>
        <v>6195905.7522671903</v>
      </c>
      <c r="F14" s="26">
        <f>'WGJ-2'!N66</f>
        <v>2715097.9983362062</v>
      </c>
      <c r="G14" s="26">
        <f>'WGJ-2'!O66</f>
        <v>1690035.1648957501</v>
      </c>
      <c r="H14" s="26">
        <f>'WGJ-2'!P66</f>
        <v>1989912.0099193796</v>
      </c>
      <c r="I14" s="26">
        <f>'WGJ-2'!Q66</f>
        <v>7534185.9555446813</v>
      </c>
      <c r="J14" s="26">
        <f>'WGJ-2'!R66</f>
        <v>10543719.48355918</v>
      </c>
      <c r="K14" s="26">
        <f>'WGJ-2'!S66</f>
        <v>10477105.022159979</v>
      </c>
      <c r="L14" s="26">
        <f>'WGJ-2'!T66</f>
        <v>12040215.213496407</v>
      </c>
      <c r="M14" s="26">
        <f>'WGJ-2'!U66</f>
        <v>11992860.497516099</v>
      </c>
      <c r="N14" s="26">
        <f>'WGJ-2'!V66</f>
        <v>12047638.954833681</v>
      </c>
    </row>
    <row r="15" spans="1:14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>
      <c r="A16" s="17" t="s">
        <v>161</v>
      </c>
      <c r="B16" s="128">
        <f>SUM(C16:N16)</f>
        <v>46399845.905266389</v>
      </c>
      <c r="C16" s="128">
        <f>'WGJ-2'!K104</f>
        <v>4691665.7883243607</v>
      </c>
      <c r="D16" s="128">
        <f>'WGJ-2'!L104</f>
        <v>4462246.9950270364</v>
      </c>
      <c r="E16" s="128">
        <f>'WGJ-2'!M104</f>
        <v>3128400.9107086086</v>
      </c>
      <c r="F16" s="128">
        <f>'WGJ-2'!N104</f>
        <v>3286716.3878076607</v>
      </c>
      <c r="G16" s="128">
        <f>'WGJ-2'!O104</f>
        <v>3964210.3805152122</v>
      </c>
      <c r="H16" s="128">
        <f>'WGJ-2'!P104</f>
        <v>2906937.9794648373</v>
      </c>
      <c r="I16" s="128">
        <f>'WGJ-2'!Q104</f>
        <v>4765909.0814024918</v>
      </c>
      <c r="J16" s="128">
        <f>'WGJ-2'!R104</f>
        <v>1478017.3343297048</v>
      </c>
      <c r="K16" s="128">
        <f>'WGJ-2'!S104</f>
        <v>3923043.054374699</v>
      </c>
      <c r="L16" s="128">
        <f>'WGJ-2'!T104</f>
        <v>4322539.9171693027</v>
      </c>
      <c r="M16" s="128">
        <f>'WGJ-2'!U104</f>
        <v>5359954.7835779963</v>
      </c>
      <c r="N16" s="128">
        <f>'WGJ-2'!V104</f>
        <v>4110203.2925644815</v>
      </c>
    </row>
    <row r="17" spans="1:14" ht="12.75" customHeight="1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>
      <c r="A18" s="2" t="s">
        <v>157</v>
      </c>
      <c r="B18" s="26">
        <f>SUM(C18:N18)</f>
        <v>189516427.54775557</v>
      </c>
      <c r="C18" s="26">
        <f>SUM(C10:C14)-C16</f>
        <v>21007456.826040845</v>
      </c>
      <c r="D18" s="26">
        <f t="shared" ref="D18:N18" si="0">SUM(D10:D14)-D16</f>
        <v>19211793.6005193</v>
      </c>
      <c r="E18" s="26">
        <f t="shared" si="0"/>
        <v>17018231.376800112</v>
      </c>
      <c r="F18" s="26">
        <f t="shared" si="0"/>
        <v>10565896.438178338</v>
      </c>
      <c r="G18" s="26">
        <f t="shared" si="0"/>
        <v>5755463.5795710515</v>
      </c>
      <c r="H18" s="26">
        <f t="shared" si="0"/>
        <v>6940667.9252959667</v>
      </c>
      <c r="I18" s="26">
        <f t="shared" si="0"/>
        <v>12738689.822602108</v>
      </c>
      <c r="J18" s="26">
        <f t="shared" si="0"/>
        <v>21340630.076088104</v>
      </c>
      <c r="K18" s="26">
        <f t="shared" si="0"/>
        <v>16181608.67246094</v>
      </c>
      <c r="L18" s="26">
        <f t="shared" si="0"/>
        <v>17443827.583669744</v>
      </c>
      <c r="M18" s="26">
        <f t="shared" si="0"/>
        <v>19561369.994254749</v>
      </c>
      <c r="N18" s="26">
        <f t="shared" si="0"/>
        <v>21750791.652274322</v>
      </c>
    </row>
    <row r="19" spans="1:14" ht="12.75" customHeight="1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2.75" customHeight="1">
      <c r="A20" s="2" t="s">
        <v>205</v>
      </c>
      <c r="B20" s="26">
        <f>SUM(C20:N20)</f>
        <v>17641176.030000001</v>
      </c>
      <c r="C20" s="26">
        <f>'WGJ-2'!K82</f>
        <v>1526636.08</v>
      </c>
      <c r="D20" s="26">
        <f>'WGJ-2'!L82</f>
        <v>1474958.14</v>
      </c>
      <c r="E20" s="26">
        <f>'WGJ-2'!M82</f>
        <v>1529716.97</v>
      </c>
      <c r="F20" s="26">
        <f>'WGJ-2'!N82</f>
        <v>1425005.17</v>
      </c>
      <c r="G20" s="26">
        <f>'WGJ-2'!O82</f>
        <v>1430460.27</v>
      </c>
      <c r="H20" s="26">
        <f>'WGJ-2'!P82</f>
        <v>1438761.75</v>
      </c>
      <c r="I20" s="26">
        <f>'WGJ-2'!Q82</f>
        <v>1477823.9</v>
      </c>
      <c r="J20" s="26">
        <f>'WGJ-2'!R82</f>
        <v>1441409.22</v>
      </c>
      <c r="K20" s="26">
        <f>'WGJ-2'!S82</f>
        <v>1454076.88</v>
      </c>
      <c r="L20" s="26">
        <f>'WGJ-2'!T82</f>
        <v>1433340.47</v>
      </c>
      <c r="M20" s="26">
        <f>'WGJ-2'!U82</f>
        <v>1473057.73</v>
      </c>
      <c r="N20" s="26">
        <f>'WGJ-2'!V82</f>
        <v>1535929.4500000002</v>
      </c>
    </row>
    <row r="21" spans="1:14" ht="12.75" customHeight="1">
      <c r="A21" s="2"/>
    </row>
    <row r="22" spans="1:14" ht="12.75" customHeight="1">
      <c r="A22" s="2" t="s">
        <v>206</v>
      </c>
      <c r="B22" s="127">
        <f>SUM(C22:N22)</f>
        <v>11524731.736666668</v>
      </c>
      <c r="C22" s="127">
        <v>1057233.6599999999</v>
      </c>
      <c r="D22" s="127">
        <v>787213.23666666681</v>
      </c>
      <c r="E22" s="127">
        <v>884599.30666666676</v>
      </c>
      <c r="F22" s="127">
        <v>751867.81333333335</v>
      </c>
      <c r="G22" s="127">
        <v>966759.70333333337</v>
      </c>
      <c r="H22" s="127">
        <v>1152639.1266666667</v>
      </c>
      <c r="I22" s="127">
        <v>1116297.0133333332</v>
      </c>
      <c r="J22" s="127">
        <v>1029594.9266666666</v>
      </c>
      <c r="K22" s="127">
        <v>1014537.6900000001</v>
      </c>
      <c r="L22" s="127">
        <v>1003003.4033333334</v>
      </c>
      <c r="M22" s="127">
        <v>951634.77999999991</v>
      </c>
      <c r="N22" s="127">
        <v>809351.07666666678</v>
      </c>
    </row>
    <row r="23" spans="1:14" ht="12.75" customHeight="1">
      <c r="A23" s="2"/>
      <c r="B23" s="127"/>
    </row>
    <row r="24" spans="1:14" ht="12.75" customHeight="1">
      <c r="A24" s="2" t="s">
        <v>216</v>
      </c>
      <c r="B24" s="127">
        <f>SUM(C24:N24)</f>
        <v>366000</v>
      </c>
      <c r="C24" s="26">
        <f>'WGJ-2'!K40</f>
        <v>30500</v>
      </c>
      <c r="D24" s="26">
        <f>'WGJ-2'!L40</f>
        <v>30500</v>
      </c>
      <c r="E24" s="26">
        <f>'WGJ-2'!M40</f>
        <v>30500</v>
      </c>
      <c r="F24" s="26">
        <f>'WGJ-2'!N40</f>
        <v>30500</v>
      </c>
      <c r="G24" s="26">
        <f>'WGJ-2'!O40</f>
        <v>30500</v>
      </c>
      <c r="H24" s="26">
        <f>'WGJ-2'!P40</f>
        <v>30500</v>
      </c>
      <c r="I24" s="26">
        <f>'WGJ-2'!Q40</f>
        <v>30500</v>
      </c>
      <c r="J24" s="26">
        <f>'WGJ-2'!R40</f>
        <v>30500</v>
      </c>
      <c r="K24" s="26">
        <f>'WGJ-2'!S40</f>
        <v>30500</v>
      </c>
      <c r="L24" s="26">
        <f>'WGJ-2'!T40</f>
        <v>30500</v>
      </c>
      <c r="M24" s="26">
        <f>'WGJ-2'!U40</f>
        <v>30500</v>
      </c>
      <c r="N24" s="26">
        <f>'WGJ-2'!V40</f>
        <v>30500</v>
      </c>
    </row>
    <row r="25" spans="1:14" ht="12.75" customHeight="1">
      <c r="A25" s="2"/>
    </row>
    <row r="26" spans="1:14" ht="12.75" customHeight="1">
      <c r="A26" s="2"/>
    </row>
    <row r="28" spans="1:14">
      <c r="A28" s="144" t="s">
        <v>234</v>
      </c>
      <c r="B28" s="136"/>
      <c r="C28" s="136"/>
      <c r="D28" s="136"/>
      <c r="E28" s="136"/>
    </row>
    <row r="30" spans="1:14">
      <c r="B30" s="110" t="s">
        <v>37</v>
      </c>
      <c r="C30" s="124">
        <v>39447</v>
      </c>
      <c r="D30" s="124">
        <v>39478</v>
      </c>
      <c r="E30" s="124">
        <v>39507</v>
      </c>
      <c r="F30" s="124">
        <v>39538</v>
      </c>
      <c r="G30" s="124">
        <v>39568</v>
      </c>
      <c r="H30" s="124">
        <v>39599</v>
      </c>
      <c r="I30" s="124">
        <v>39629</v>
      </c>
      <c r="J30" s="124">
        <v>39660</v>
      </c>
      <c r="K30" s="124">
        <v>39691</v>
      </c>
      <c r="L30" s="124">
        <v>39721</v>
      </c>
      <c r="M30" s="124">
        <v>39752</v>
      </c>
      <c r="N30" s="124">
        <v>39782</v>
      </c>
    </row>
    <row r="32" spans="1:14">
      <c r="A32" s="2" t="s">
        <v>177</v>
      </c>
      <c r="B32" s="3">
        <f>SUM(C32:N32)</f>
        <v>5389284</v>
      </c>
      <c r="C32" s="143">
        <v>495833</v>
      </c>
      <c r="D32" s="143">
        <v>470815</v>
      </c>
      <c r="E32" s="143">
        <v>453663</v>
      </c>
      <c r="F32" s="143">
        <v>415761</v>
      </c>
      <c r="G32" s="143">
        <v>385724</v>
      </c>
      <c r="H32" s="143">
        <v>401018</v>
      </c>
      <c r="I32" s="143">
        <v>437945</v>
      </c>
      <c r="J32" s="143">
        <v>473509</v>
      </c>
      <c r="K32" s="143">
        <v>406573</v>
      </c>
      <c r="L32" s="143">
        <v>443332</v>
      </c>
      <c r="M32" s="143">
        <v>469690</v>
      </c>
      <c r="N32" s="143">
        <v>535421</v>
      </c>
    </row>
    <row r="34" spans="1:3">
      <c r="A34" s="2" t="s">
        <v>217</v>
      </c>
      <c r="B34" s="30">
        <v>53.01</v>
      </c>
      <c r="C34" s="129" t="s">
        <v>218</v>
      </c>
    </row>
    <row r="39" spans="1:3">
      <c r="A39" t="s">
        <v>237</v>
      </c>
    </row>
  </sheetData>
  <phoneticPr fontId="6" type="noConversion"/>
  <pageMargins left="0.75" right="0.75" top="1" bottom="1" header="0.5" footer="0.5"/>
  <pageSetup scale="65" orientation="landscape" r:id="rId1"/>
  <headerFooter alignWithMargins="0">
    <oddHeader>&amp;RExhibit No.___ (WGJ-5)</oddHeader>
    <oddFooter>&amp;R&amp;"Geneva,Bold"&amp;12&amp;P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V696"/>
  <sheetViews>
    <sheetView topLeftCell="A2" workbookViewId="0">
      <pane xSplit="10440" ySplit="2100" topLeftCell="J87"/>
      <selection activeCell="C3" sqref="C3"/>
      <selection pane="topRight" activeCell="L6" sqref="L6"/>
      <selection pane="bottomLeft" activeCell="B101" sqref="B101"/>
      <selection pane="bottomRight" activeCell="K92" sqref="K92:V92"/>
    </sheetView>
  </sheetViews>
  <sheetFormatPr defaultColWidth="11.42578125" defaultRowHeight="12.75"/>
  <cols>
    <col min="1" max="1" width="6.140625" style="4" customWidth="1"/>
    <col min="2" max="2" width="38.42578125" customWidth="1"/>
    <col min="3" max="3" width="9" customWidth="1"/>
    <col min="4" max="4" width="15.28515625" customWidth="1"/>
    <col min="5" max="5" width="13" customWidth="1"/>
    <col min="6" max="6" width="14.28515625" style="3" customWidth="1"/>
    <col min="7" max="7" width="13.140625" style="3" customWidth="1"/>
    <col min="8" max="8" width="14.7109375" style="3" hidden="1" customWidth="1"/>
    <col min="9" max="9" width="31.5703125" style="20" customWidth="1"/>
    <col min="10" max="10" width="15.85546875" customWidth="1"/>
    <col min="11" max="11" width="12" customWidth="1"/>
  </cols>
  <sheetData>
    <row r="1" spans="1:22">
      <c r="A1" s="8"/>
      <c r="B1" s="8"/>
      <c r="C1" s="14" t="s">
        <v>36</v>
      </c>
      <c r="F1"/>
      <c r="G1"/>
      <c r="H1"/>
      <c r="I1"/>
    </row>
    <row r="2" spans="1:22">
      <c r="A2" s="8"/>
      <c r="B2" s="8"/>
      <c r="C2" s="14" t="s">
        <v>203</v>
      </c>
      <c r="F2"/>
      <c r="G2"/>
      <c r="H2"/>
      <c r="I2"/>
    </row>
    <row r="3" spans="1:22">
      <c r="A3" s="10"/>
      <c r="B3" s="8"/>
      <c r="C3" s="14" t="s">
        <v>241</v>
      </c>
      <c r="F3"/>
      <c r="G3"/>
      <c r="H3"/>
      <c r="I3" s="74"/>
    </row>
    <row r="4" spans="1:22">
      <c r="A4" s="10"/>
      <c r="B4" s="8"/>
      <c r="C4" s="135" t="s">
        <v>240</v>
      </c>
      <c r="F4"/>
      <c r="G4"/>
      <c r="H4"/>
      <c r="I4" s="74"/>
    </row>
    <row r="5" spans="1:22" ht="12.75" customHeight="1">
      <c r="A5" s="5"/>
      <c r="C5" s="135"/>
      <c r="D5" s="11"/>
      <c r="E5" s="11"/>
      <c r="F5" s="11"/>
      <c r="G5" s="11"/>
      <c r="H5" s="11" t="s">
        <v>140</v>
      </c>
      <c r="I5" s="85"/>
      <c r="K5">
        <v>744</v>
      </c>
      <c r="L5">
        <v>696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5" t="s">
        <v>0</v>
      </c>
      <c r="D6" s="11" t="s">
        <v>230</v>
      </c>
      <c r="E6" s="11"/>
      <c r="F6" s="11" t="s">
        <v>225</v>
      </c>
      <c r="G6" s="55"/>
      <c r="H6" s="55" t="s">
        <v>139</v>
      </c>
      <c r="I6" s="86"/>
    </row>
    <row r="7" spans="1:22">
      <c r="A7" s="47" t="s">
        <v>1</v>
      </c>
      <c r="D7" s="15" t="s">
        <v>2</v>
      </c>
      <c r="E7" s="1" t="s">
        <v>3</v>
      </c>
      <c r="F7" s="15" t="s">
        <v>175</v>
      </c>
      <c r="G7" s="15"/>
      <c r="H7" s="15" t="s">
        <v>175</v>
      </c>
      <c r="I7" s="89" t="s">
        <v>125</v>
      </c>
      <c r="J7" s="82" t="s">
        <v>37</v>
      </c>
      <c r="K7" s="49">
        <v>39447</v>
      </c>
      <c r="L7" s="49">
        <v>39478</v>
      </c>
      <c r="M7" s="49">
        <v>39507</v>
      </c>
      <c r="N7" s="49">
        <v>39538</v>
      </c>
      <c r="O7" s="49">
        <v>39568</v>
      </c>
      <c r="P7" s="49">
        <v>39599</v>
      </c>
      <c r="Q7" s="49">
        <v>39629</v>
      </c>
      <c r="R7" s="49">
        <v>39660</v>
      </c>
      <c r="S7" s="49">
        <v>39691</v>
      </c>
      <c r="T7" s="49">
        <v>39721</v>
      </c>
      <c r="U7" s="49">
        <v>39752</v>
      </c>
      <c r="V7" s="49">
        <v>39782</v>
      </c>
    </row>
    <row r="8" spans="1:22">
      <c r="A8" s="5"/>
      <c r="B8" s="7" t="s">
        <v>4</v>
      </c>
      <c r="D8" s="9"/>
      <c r="E8" s="12"/>
      <c r="F8" s="9"/>
      <c r="G8" s="9"/>
      <c r="H8" s="9"/>
      <c r="I8" s="19"/>
    </row>
    <row r="9" spans="1:22">
      <c r="A9" s="5">
        <f t="shared" ref="A9:A18" si="0">A8+1</f>
        <v>1</v>
      </c>
      <c r="B9" t="s">
        <v>173</v>
      </c>
      <c r="D9" s="18">
        <v>0</v>
      </c>
      <c r="E9" s="18">
        <f t="shared" ref="E9:E17" si="1">F9-D9</f>
        <v>16924.44143995217</v>
      </c>
      <c r="F9" s="18">
        <f>'WGJ-4'!C13/1000</f>
        <v>16924.44143995217</v>
      </c>
      <c r="G9" s="18"/>
      <c r="H9" s="18">
        <v>20917.018981429192</v>
      </c>
      <c r="I9" s="97" t="s">
        <v>135</v>
      </c>
      <c r="J9" s="3">
        <f t="shared" ref="J9:J15" si="2">SUM(K9:V9)/1000</f>
        <v>16924.44143995217</v>
      </c>
      <c r="K9" s="58">
        <f>'WGJ-4'!D13</f>
        <v>1370693.6064311438</v>
      </c>
      <c r="L9" s="58">
        <f>'WGJ-4'!E13</f>
        <v>1487264.6991763795</v>
      </c>
      <c r="M9" s="58">
        <f>'WGJ-4'!F13</f>
        <v>2029728.8867950439</v>
      </c>
      <c r="N9" s="58">
        <f>'WGJ-4'!G13</f>
        <v>1726402.1691731042</v>
      </c>
      <c r="O9" s="58">
        <f>'WGJ-4'!H13</f>
        <v>721815.81736973347</v>
      </c>
      <c r="P9" s="58">
        <f>'WGJ-4'!I13</f>
        <v>871789.2261505127</v>
      </c>
      <c r="Q9" s="58">
        <f>'WGJ-4'!J13</f>
        <v>1212275.8449963159</v>
      </c>
      <c r="R9" s="58">
        <f>'WGJ-4'!K13</f>
        <v>3441978.9559500557</v>
      </c>
      <c r="S9" s="58">
        <f>'WGJ-4'!L13</f>
        <v>1070821.1090087891</v>
      </c>
      <c r="T9" s="58">
        <f>'WGJ-4'!M13</f>
        <v>697547.18811171397</v>
      </c>
      <c r="U9" s="58">
        <f>'WGJ-4'!N13</f>
        <v>875217.01262337819</v>
      </c>
      <c r="V9" s="58">
        <f>'WGJ-4'!O13</f>
        <v>1418906.9241659981</v>
      </c>
    </row>
    <row r="10" spans="1:22">
      <c r="A10" s="5">
        <f t="shared" si="0"/>
        <v>2</v>
      </c>
      <c r="B10" t="s">
        <v>179</v>
      </c>
      <c r="D10" s="19">
        <v>159193</v>
      </c>
      <c r="E10" s="19">
        <f t="shared" si="1"/>
        <v>-147924</v>
      </c>
      <c r="F10" s="138">
        <v>11269</v>
      </c>
      <c r="G10" s="18"/>
      <c r="H10" s="18"/>
      <c r="I10" s="97"/>
      <c r="J10" s="3">
        <f t="shared" si="2"/>
        <v>11269.3</v>
      </c>
      <c r="K10" s="58">
        <v>2122100</v>
      </c>
      <c r="L10" s="58">
        <v>2078900</v>
      </c>
      <c r="M10" s="58">
        <v>2238300</v>
      </c>
      <c r="N10" s="58">
        <v>525000</v>
      </c>
      <c r="O10" s="58">
        <v>546000</v>
      </c>
      <c r="P10" s="58">
        <v>546000</v>
      </c>
      <c r="Q10" s="58">
        <v>525000</v>
      </c>
      <c r="R10" s="58">
        <v>567000</v>
      </c>
      <c r="S10" s="58">
        <v>504000</v>
      </c>
      <c r="T10" s="58">
        <v>567000</v>
      </c>
      <c r="U10" s="58">
        <v>525000</v>
      </c>
      <c r="V10" s="58">
        <v>525000</v>
      </c>
    </row>
    <row r="11" spans="1:22">
      <c r="A11" s="5">
        <f t="shared" si="0"/>
        <v>3</v>
      </c>
      <c r="B11" t="s">
        <v>186</v>
      </c>
      <c r="D11" s="19">
        <v>0</v>
      </c>
      <c r="E11" s="19">
        <f t="shared" si="1"/>
        <v>12326</v>
      </c>
      <c r="F11" s="138">
        <v>12326</v>
      </c>
      <c r="G11" s="18"/>
      <c r="H11" s="18"/>
      <c r="I11" s="97"/>
      <c r="J11" s="3">
        <f t="shared" si="2"/>
        <v>12326.09370861326</v>
      </c>
      <c r="K11" s="58">
        <v>980004.95507442101</v>
      </c>
      <c r="L11" s="58">
        <v>964572.08608773968</v>
      </c>
      <c r="M11" s="58">
        <v>1038947.0758330006</v>
      </c>
      <c r="N11" s="58">
        <v>972288.52058108046</v>
      </c>
      <c r="O11" s="58">
        <v>1009636.7745056553</v>
      </c>
      <c r="P11" s="58">
        <v>1001920.3400123145</v>
      </c>
      <c r="Q11" s="58">
        <v>1057444.2879493521</v>
      </c>
      <c r="R11" s="58">
        <v>1117155.8069472823</v>
      </c>
      <c r="S11" s="58">
        <v>1017554.647789896</v>
      </c>
      <c r="T11" s="58">
        <v>1095053.563593497</v>
      </c>
      <c r="U11" s="58">
        <v>1030004.1901585945</v>
      </c>
      <c r="V11" s="58">
        <v>1041511.460080424</v>
      </c>
    </row>
    <row r="12" spans="1:22">
      <c r="A12" s="5">
        <f t="shared" si="0"/>
        <v>4</v>
      </c>
      <c r="B12" t="s">
        <v>5</v>
      </c>
      <c r="D12" s="91">
        <v>2172</v>
      </c>
      <c r="E12" s="19">
        <f t="shared" si="1"/>
        <v>-2172</v>
      </c>
      <c r="F12" s="93">
        <v>0</v>
      </c>
      <c r="G12" s="22"/>
      <c r="H12" s="22">
        <v>1916</v>
      </c>
      <c r="I12" s="19"/>
      <c r="J12" s="3">
        <f t="shared" si="2"/>
        <v>0</v>
      </c>
      <c r="K12" s="57">
        <f>$F12/12*1000</f>
        <v>0</v>
      </c>
      <c r="L12" s="57">
        <f t="shared" ref="L12:V12" si="3">$F12/12*1000</f>
        <v>0</v>
      </c>
      <c r="M12" s="57">
        <f t="shared" si="3"/>
        <v>0</v>
      </c>
      <c r="N12" s="57">
        <f t="shared" si="3"/>
        <v>0</v>
      </c>
      <c r="O12" s="57">
        <f t="shared" si="3"/>
        <v>0</v>
      </c>
      <c r="P12" s="57">
        <f t="shared" si="3"/>
        <v>0</v>
      </c>
      <c r="Q12" s="57">
        <f t="shared" si="3"/>
        <v>0</v>
      </c>
      <c r="R12" s="57">
        <f t="shared" si="3"/>
        <v>0</v>
      </c>
      <c r="S12" s="57">
        <f t="shared" si="3"/>
        <v>0</v>
      </c>
      <c r="T12" s="57">
        <f t="shared" si="3"/>
        <v>0</v>
      </c>
      <c r="U12" s="57">
        <f t="shared" si="3"/>
        <v>0</v>
      </c>
      <c r="V12" s="57">
        <f t="shared" si="3"/>
        <v>0</v>
      </c>
    </row>
    <row r="13" spans="1:22">
      <c r="A13" s="5">
        <f t="shared" si="0"/>
        <v>5</v>
      </c>
      <c r="B13" t="s">
        <v>223</v>
      </c>
      <c r="D13" s="91">
        <v>0</v>
      </c>
      <c r="E13" s="19">
        <f t="shared" si="1"/>
        <v>11384</v>
      </c>
      <c r="F13" s="93">
        <v>11384</v>
      </c>
      <c r="G13" s="22"/>
      <c r="H13" s="22"/>
      <c r="I13" s="19"/>
      <c r="J13" s="3">
        <f t="shared" si="2"/>
        <v>11383.976000000001</v>
      </c>
      <c r="K13" s="57">
        <v>890965.33333333337</v>
      </c>
      <c r="L13" s="57">
        <v>890965.33333333337</v>
      </c>
      <c r="M13" s="57">
        <v>890965.33333333337</v>
      </c>
      <c r="N13" s="57">
        <v>890965.33333333337</v>
      </c>
      <c r="O13" s="57">
        <v>890965.33333333337</v>
      </c>
      <c r="P13" s="57">
        <v>890965.33333333337</v>
      </c>
      <c r="Q13" s="57">
        <v>1006364</v>
      </c>
      <c r="R13" s="57">
        <v>1006364</v>
      </c>
      <c r="S13" s="57">
        <v>1006364</v>
      </c>
      <c r="T13" s="57">
        <v>1006364</v>
      </c>
      <c r="U13" s="57">
        <v>1006364</v>
      </c>
      <c r="V13" s="57">
        <v>1006364</v>
      </c>
    </row>
    <row r="14" spans="1:22">
      <c r="A14" s="5">
        <f t="shared" si="0"/>
        <v>6</v>
      </c>
      <c r="B14" t="s">
        <v>209</v>
      </c>
      <c r="D14" s="91">
        <v>1400</v>
      </c>
      <c r="E14" s="19">
        <f t="shared" si="1"/>
        <v>499</v>
      </c>
      <c r="F14" s="138">
        <v>1899</v>
      </c>
      <c r="G14" s="22"/>
      <c r="H14" s="22">
        <v>1177</v>
      </c>
      <c r="I14" s="19"/>
      <c r="J14" s="3">
        <f t="shared" si="2"/>
        <v>1898.82</v>
      </c>
      <c r="K14" s="57">
        <v>158235</v>
      </c>
      <c r="L14" s="57">
        <v>158235</v>
      </c>
      <c r="M14" s="57">
        <v>158235</v>
      </c>
      <c r="N14" s="57">
        <v>158235</v>
      </c>
      <c r="O14" s="57">
        <v>158235</v>
      </c>
      <c r="P14" s="57">
        <v>158235</v>
      </c>
      <c r="Q14" s="57">
        <v>158235</v>
      </c>
      <c r="R14" s="57">
        <v>158235</v>
      </c>
      <c r="S14" s="57">
        <v>158235</v>
      </c>
      <c r="T14" s="57">
        <v>158235</v>
      </c>
      <c r="U14" s="57">
        <v>158235</v>
      </c>
      <c r="V14" s="57">
        <v>158235</v>
      </c>
    </row>
    <row r="15" spans="1:22">
      <c r="A15" s="5">
        <f t="shared" si="0"/>
        <v>7</v>
      </c>
      <c r="B15" t="s">
        <v>210</v>
      </c>
      <c r="D15" s="91">
        <v>9496</v>
      </c>
      <c r="E15" s="19">
        <f t="shared" si="1"/>
        <v>-9496</v>
      </c>
      <c r="F15" s="93">
        <v>0</v>
      </c>
      <c r="G15" s="22"/>
      <c r="H15" s="22"/>
      <c r="I15" s="19"/>
      <c r="J15" s="3">
        <f t="shared" si="2"/>
        <v>0</v>
      </c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</row>
    <row r="16" spans="1:22">
      <c r="A16" s="5">
        <f t="shared" si="0"/>
        <v>8</v>
      </c>
      <c r="B16" t="s">
        <v>167</v>
      </c>
      <c r="D16" s="91">
        <v>5609</v>
      </c>
      <c r="E16" s="19">
        <f t="shared" si="1"/>
        <v>785.25588463447002</v>
      </c>
      <c r="F16" s="91">
        <f>Index!C48/1000</f>
        <v>6394.25588463447</v>
      </c>
      <c r="G16" s="96" t="s">
        <v>134</v>
      </c>
      <c r="H16" s="19">
        <v>0</v>
      </c>
      <c r="I16" s="96" t="s">
        <v>151</v>
      </c>
      <c r="J16" s="3">
        <f t="shared" ref="J16:J37" si="4">SUM(K16:V16)/1000</f>
        <v>6394.25588463447</v>
      </c>
      <c r="K16" s="57">
        <f>[1]Index!D48</f>
        <v>745842.27236190147</v>
      </c>
      <c r="L16" s="57">
        <f>[1]Index!E48</f>
        <v>565254.05445990141</v>
      </c>
      <c r="M16" s="57">
        <f>[1]Index!F48</f>
        <v>478163.06299569464</v>
      </c>
      <c r="N16" s="57">
        <f>[1]Index!G48</f>
        <v>483087.28693763405</v>
      </c>
      <c r="O16" s="57">
        <f>[1]Index!H48</f>
        <v>478402.49352373893</v>
      </c>
      <c r="P16" s="57">
        <f>[1]Index!I48</f>
        <v>557267.53760938975</v>
      </c>
      <c r="Q16" s="57">
        <f>[1]Index!J48</f>
        <v>600686.05624352978</v>
      </c>
      <c r="R16" s="57">
        <f>[1]Index!K48</f>
        <v>460063.82144631533</v>
      </c>
      <c r="S16" s="57">
        <f>[1]Index!L48</f>
        <v>410428.46671899705</v>
      </c>
      <c r="T16" s="57">
        <f>[1]Index!M48</f>
        <v>485580.59016665292</v>
      </c>
      <c r="U16" s="57">
        <f>[1]Index!N48</f>
        <v>508641.68676119391</v>
      </c>
      <c r="V16" s="57">
        <f>[1]Index!O48</f>
        <v>620838.55540952075</v>
      </c>
    </row>
    <row r="17" spans="1:22">
      <c r="A17" s="5">
        <f t="shared" si="0"/>
        <v>9</v>
      </c>
      <c r="B17" t="s">
        <v>6</v>
      </c>
      <c r="D17" s="91">
        <v>-1228</v>
      </c>
      <c r="E17" s="19">
        <f t="shared" si="1"/>
        <v>1228</v>
      </c>
      <c r="F17" s="91">
        <v>0</v>
      </c>
      <c r="G17" s="96"/>
      <c r="H17" s="19"/>
      <c r="I17" s="96"/>
      <c r="J17" s="3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</row>
    <row r="18" spans="1:22">
      <c r="A18" s="5">
        <f t="shared" si="0"/>
        <v>10</v>
      </c>
      <c r="B18" t="s">
        <v>132</v>
      </c>
      <c r="D18" s="91">
        <v>5653</v>
      </c>
      <c r="E18" s="91">
        <f t="shared" ref="E18:E27" si="5">F18-D18</f>
        <v>-5653</v>
      </c>
      <c r="F18" s="93">
        <v>0</v>
      </c>
      <c r="G18" s="93"/>
      <c r="H18" s="93">
        <v>13906</v>
      </c>
      <c r="I18" s="19"/>
      <c r="J18" s="3">
        <f t="shared" si="4"/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</row>
    <row r="19" spans="1:22">
      <c r="A19" s="5">
        <f t="shared" ref="A19:A37" si="6">A18+1</f>
        <v>11</v>
      </c>
      <c r="B19" t="s">
        <v>131</v>
      </c>
      <c r="D19" s="91">
        <v>334</v>
      </c>
      <c r="E19" s="91">
        <f t="shared" si="5"/>
        <v>246</v>
      </c>
      <c r="F19" s="93">
        <v>580</v>
      </c>
      <c r="G19" s="93"/>
      <c r="H19" s="93">
        <v>5512</v>
      </c>
      <c r="I19" s="19"/>
      <c r="J19" s="3">
        <f t="shared" si="4"/>
        <v>579.51495624930874</v>
      </c>
      <c r="K19" s="57">
        <v>31346.768508450743</v>
      </c>
      <c r="L19" s="57">
        <v>22562.089430477652</v>
      </c>
      <c r="M19" s="57">
        <v>31304.635755079169</v>
      </c>
      <c r="N19" s="57">
        <v>75838.956068832442</v>
      </c>
      <c r="O19" s="57">
        <v>109713.6897795776</v>
      </c>
      <c r="P19" s="57">
        <v>106174.53849636542</v>
      </c>
      <c r="Q19" s="57">
        <v>78366.921271126848</v>
      </c>
      <c r="R19" s="57">
        <v>39878.65106619439</v>
      </c>
      <c r="S19" s="57">
        <v>22119.695520076129</v>
      </c>
      <c r="T19" s="57">
        <v>23130.881600993893</v>
      </c>
      <c r="U19" s="57">
        <v>23404.744497909123</v>
      </c>
      <c r="V19" s="57">
        <v>15673.384254225371</v>
      </c>
    </row>
    <row r="20" spans="1:22">
      <c r="A20" s="5">
        <f t="shared" si="6"/>
        <v>12</v>
      </c>
      <c r="B20" t="s">
        <v>201</v>
      </c>
      <c r="D20" s="91">
        <v>21475</v>
      </c>
      <c r="E20" s="91">
        <f t="shared" si="5"/>
        <v>578</v>
      </c>
      <c r="F20" s="93">
        <v>22053</v>
      </c>
      <c r="G20" s="93"/>
      <c r="H20" s="93"/>
      <c r="I20" s="19"/>
      <c r="J20" s="3">
        <f t="shared" si="4"/>
        <v>22052.642</v>
      </c>
      <c r="K20" s="57">
        <v>1837720.1666666667</v>
      </c>
      <c r="L20" s="57">
        <v>1837720.1666666667</v>
      </c>
      <c r="M20" s="57">
        <v>1837720.1666666667</v>
      </c>
      <c r="N20" s="57">
        <v>1837720.1666666667</v>
      </c>
      <c r="O20" s="57">
        <v>1837720.1666666667</v>
      </c>
      <c r="P20" s="57">
        <v>1837720.1666666667</v>
      </c>
      <c r="Q20" s="57">
        <v>1837720.1666666667</v>
      </c>
      <c r="R20" s="57">
        <v>1837720.1666666667</v>
      </c>
      <c r="S20" s="57">
        <v>1837720.1666666667</v>
      </c>
      <c r="T20" s="57">
        <v>1837720.1666666667</v>
      </c>
      <c r="U20" s="57">
        <v>1837720.1666666667</v>
      </c>
      <c r="V20" s="57">
        <v>1837720.1666666667</v>
      </c>
    </row>
    <row r="21" spans="1:22">
      <c r="A21" s="5">
        <f t="shared" si="6"/>
        <v>13</v>
      </c>
      <c r="B21" t="s">
        <v>200</v>
      </c>
      <c r="D21" s="91">
        <v>2689</v>
      </c>
      <c r="E21" s="91">
        <f t="shared" si="5"/>
        <v>-222.88880662050042</v>
      </c>
      <c r="F21" s="93">
        <f>'WGJ-4'!C33*2.08/1000</f>
        <v>2466.1111933794996</v>
      </c>
      <c r="G21" s="93"/>
      <c r="H21" s="93"/>
      <c r="I21" s="19"/>
      <c r="J21" s="3">
        <f t="shared" si="4"/>
        <v>2466.1111933794991</v>
      </c>
      <c r="K21" s="57">
        <f>'WGJ-4'!D33*2.08</f>
        <v>292962.4897628348</v>
      </c>
      <c r="L21" s="57">
        <f>'WGJ-4'!E33*2.08</f>
        <v>241608.77847321428</v>
      </c>
      <c r="M21" s="57">
        <f>'WGJ-4'!F33*2.08</f>
        <v>147680.82249665179</v>
      </c>
      <c r="N21" s="57">
        <f>'WGJ-4'!G33*2.08</f>
        <v>46851.689980468742</v>
      </c>
      <c r="O21" s="57">
        <f>'WGJ-4'!H33*2.08</f>
        <v>10316.125765101842</v>
      </c>
      <c r="P21" s="57">
        <f>'WGJ-4'!I33*2.08</f>
        <v>24344.367777901785</v>
      </c>
      <c r="Q21" s="57">
        <f>'WGJ-4'!J33*2.08</f>
        <v>184231.98474832589</v>
      </c>
      <c r="R21" s="57">
        <f>'WGJ-4'!K33*2.08</f>
        <v>268266.74805357144</v>
      </c>
      <c r="S21" s="57">
        <f>'WGJ-4'!L33*2.08</f>
        <v>276921.95676785713</v>
      </c>
      <c r="T21" s="57">
        <f>'WGJ-4'!M33*2.08</f>
        <v>336153.41175000003</v>
      </c>
      <c r="U21" s="57">
        <f>'WGJ-4'!N33*2.08</f>
        <v>325691.42217857152</v>
      </c>
      <c r="V21" s="57">
        <f>'WGJ-4'!O33*2.08</f>
        <v>311081.395625</v>
      </c>
    </row>
    <row r="22" spans="1:22">
      <c r="A22" s="5">
        <f t="shared" si="6"/>
        <v>14</v>
      </c>
      <c r="B22" t="s">
        <v>231</v>
      </c>
      <c r="D22" s="91">
        <v>824</v>
      </c>
      <c r="E22" s="91">
        <f t="shared" si="5"/>
        <v>-824</v>
      </c>
      <c r="F22" s="93">
        <v>0</v>
      </c>
      <c r="G22" s="93"/>
      <c r="H22" s="93"/>
      <c r="I22" s="19"/>
      <c r="J22" s="3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</row>
    <row r="23" spans="1:22">
      <c r="A23" s="5">
        <f t="shared" si="6"/>
        <v>15</v>
      </c>
      <c r="B23" t="s">
        <v>7</v>
      </c>
      <c r="D23" s="91">
        <v>13920</v>
      </c>
      <c r="E23" s="19">
        <f t="shared" si="5"/>
        <v>1284</v>
      </c>
      <c r="F23" s="138">
        <v>15204</v>
      </c>
      <c r="G23" s="19" t="s">
        <v>184</v>
      </c>
      <c r="H23" s="19">
        <v>-2690</v>
      </c>
      <c r="I23" s="98" t="s">
        <v>185</v>
      </c>
      <c r="J23" s="3">
        <f t="shared" si="4"/>
        <v>15204.318941786349</v>
      </c>
      <c r="K23" s="58">
        <v>3116983.215384</v>
      </c>
      <c r="L23" s="58">
        <v>2794998.8245679997</v>
      </c>
      <c r="M23" s="58">
        <v>1524739.158144</v>
      </c>
      <c r="N23" s="58">
        <v>1478982.1832999999</v>
      </c>
      <c r="O23" s="58"/>
      <c r="P23" s="58"/>
      <c r="Q23" s="58"/>
      <c r="R23" s="58"/>
      <c r="S23" s="58"/>
      <c r="T23" s="58"/>
      <c r="U23" s="58">
        <v>3096201.3511940571</v>
      </c>
      <c r="V23" s="58">
        <v>3192414.2091962923</v>
      </c>
    </row>
    <row r="24" spans="1:22">
      <c r="A24" s="5">
        <f t="shared" si="6"/>
        <v>16</v>
      </c>
      <c r="B24" t="s">
        <v>8</v>
      </c>
      <c r="D24" s="91">
        <v>6</v>
      </c>
      <c r="E24" s="19">
        <f t="shared" si="5"/>
        <v>0</v>
      </c>
      <c r="F24" s="19">
        <v>6</v>
      </c>
      <c r="G24" s="19"/>
      <c r="H24" s="19">
        <v>6679.5</v>
      </c>
      <c r="I24" s="19"/>
      <c r="J24" s="3">
        <f t="shared" si="4"/>
        <v>6</v>
      </c>
      <c r="K24" s="57">
        <f t="shared" ref="K24:V24" si="7">$F24/12*1000</f>
        <v>500</v>
      </c>
      <c r="L24" s="57">
        <f t="shared" si="7"/>
        <v>500</v>
      </c>
      <c r="M24" s="57">
        <f t="shared" si="7"/>
        <v>500</v>
      </c>
      <c r="N24" s="57">
        <f t="shared" si="7"/>
        <v>500</v>
      </c>
      <c r="O24" s="57">
        <f t="shared" si="7"/>
        <v>500</v>
      </c>
      <c r="P24" s="57">
        <f t="shared" si="7"/>
        <v>500</v>
      </c>
      <c r="Q24" s="57">
        <f t="shared" si="7"/>
        <v>500</v>
      </c>
      <c r="R24" s="57">
        <f t="shared" si="7"/>
        <v>500</v>
      </c>
      <c r="S24" s="57">
        <f t="shared" si="7"/>
        <v>500</v>
      </c>
      <c r="T24" s="57">
        <f t="shared" si="7"/>
        <v>500</v>
      </c>
      <c r="U24" s="57">
        <f t="shared" si="7"/>
        <v>500</v>
      </c>
      <c r="V24" s="57">
        <f t="shared" si="7"/>
        <v>500</v>
      </c>
    </row>
    <row r="25" spans="1:22">
      <c r="A25" s="5">
        <f t="shared" si="6"/>
        <v>17</v>
      </c>
      <c r="B25" t="s">
        <v>144</v>
      </c>
      <c r="D25" s="91">
        <v>1079</v>
      </c>
      <c r="E25" s="19">
        <f t="shared" si="5"/>
        <v>13</v>
      </c>
      <c r="F25" s="93">
        <v>1092</v>
      </c>
      <c r="G25" s="19" t="s">
        <v>184</v>
      </c>
      <c r="H25" s="93">
        <v>6132</v>
      </c>
      <c r="I25" s="19"/>
      <c r="J25" s="3">
        <f t="shared" si="4"/>
        <v>1092.0028742184322</v>
      </c>
      <c r="K25" s="57">
        <v>78698.459662216905</v>
      </c>
      <c r="L25" s="57">
        <v>88161.34460311888</v>
      </c>
      <c r="M25" s="57">
        <v>138150.99062883851</v>
      </c>
      <c r="N25" s="57">
        <v>152344.43696245196</v>
      </c>
      <c r="O25" s="57">
        <v>152898.4572888565</v>
      </c>
      <c r="P25" s="57">
        <v>147194.17026374815</v>
      </c>
      <c r="Q25" s="57">
        <v>95171.386958885181</v>
      </c>
      <c r="R25" s="57">
        <v>45883.209384747141</v>
      </c>
      <c r="S25" s="57">
        <v>36860.256263573167</v>
      </c>
      <c r="T25" s="57">
        <v>44094.546493835449</v>
      </c>
      <c r="U25" s="57">
        <v>55185.859313964844</v>
      </c>
      <c r="V25" s="57">
        <v>57359.756394195552</v>
      </c>
    </row>
    <row r="26" spans="1:22">
      <c r="A26" s="5">
        <f t="shared" si="6"/>
        <v>18</v>
      </c>
      <c r="B26" t="s">
        <v>164</v>
      </c>
      <c r="D26" s="91">
        <v>1964</v>
      </c>
      <c r="E26" s="19">
        <f t="shared" si="5"/>
        <v>402</v>
      </c>
      <c r="F26" s="138">
        <v>2366</v>
      </c>
      <c r="G26" s="19" t="s">
        <v>184</v>
      </c>
      <c r="H26" s="91">
        <v>6132</v>
      </c>
      <c r="I26" s="98" t="s">
        <v>137</v>
      </c>
      <c r="J26" s="3">
        <f t="shared" si="4"/>
        <v>2366.153393627344</v>
      </c>
      <c r="K26" s="57">
        <v>203835.02447636722</v>
      </c>
      <c r="L26" s="57">
        <v>193573.53021093755</v>
      </c>
      <c r="M26" s="57">
        <v>167746.39432441405</v>
      </c>
      <c r="N26" s="57">
        <v>144513.21549492187</v>
      </c>
      <c r="O26" s="57">
        <v>169748.13857695312</v>
      </c>
      <c r="P26" s="57">
        <v>166209.56614746095</v>
      </c>
      <c r="Q26" s="57">
        <v>198687.68211269533</v>
      </c>
      <c r="R26" s="57">
        <v>233689.65072363283</v>
      </c>
      <c r="S26" s="57">
        <v>206724.18240000005</v>
      </c>
      <c r="T26" s="57">
        <v>235748.59104726565</v>
      </c>
      <c r="U26" s="57">
        <v>218679.31921816414</v>
      </c>
      <c r="V26" s="57">
        <v>226998.09889453129</v>
      </c>
    </row>
    <row r="27" spans="1:22">
      <c r="A27" s="5">
        <f t="shared" si="6"/>
        <v>19</v>
      </c>
      <c r="B27" t="s">
        <v>9</v>
      </c>
      <c r="D27" s="91">
        <v>2055</v>
      </c>
      <c r="E27" s="19">
        <f t="shared" si="5"/>
        <v>884</v>
      </c>
      <c r="F27" s="91">
        <v>2939</v>
      </c>
      <c r="G27" s="19" t="s">
        <v>184</v>
      </c>
      <c r="H27" s="19">
        <v>6953.25</v>
      </c>
      <c r="I27" s="19"/>
      <c r="J27" s="3">
        <f t="shared" si="4"/>
        <v>2939</v>
      </c>
      <c r="K27" s="57">
        <f>$F27*0.11*1000</f>
        <v>323290</v>
      </c>
      <c r="L27" s="57">
        <f>$F27*0.1*1000</f>
        <v>293900.00000000006</v>
      </c>
      <c r="M27" s="57">
        <f>$F27*0.1*1000</f>
        <v>293900.00000000006</v>
      </c>
      <c r="N27" s="57">
        <f>$F27*0.12*1000</f>
        <v>352680</v>
      </c>
      <c r="O27" s="57">
        <f>$F27*0.12*1000</f>
        <v>352680</v>
      </c>
      <c r="P27" s="57">
        <f>$F27*0.12*1000</f>
        <v>352680</v>
      </c>
      <c r="Q27" s="57">
        <f>$F27*0.07*1000</f>
        <v>205730.00000000003</v>
      </c>
      <c r="R27" s="57">
        <f>$F27*0*1000</f>
        <v>0</v>
      </c>
      <c r="S27" s="57">
        <f>$F27*0.02*1000</f>
        <v>58780</v>
      </c>
      <c r="T27" s="57">
        <f>$F27*0.04*1000</f>
        <v>117560</v>
      </c>
      <c r="U27" s="57">
        <f>$F27*0.08*1000</f>
        <v>235120</v>
      </c>
      <c r="V27" s="57">
        <f>$F27*0.12*1000</f>
        <v>352680</v>
      </c>
    </row>
    <row r="28" spans="1:22">
      <c r="A28" s="5">
        <f t="shared" si="6"/>
        <v>20</v>
      </c>
      <c r="B28" t="s">
        <v>32</v>
      </c>
      <c r="D28" s="91">
        <v>234</v>
      </c>
      <c r="E28" s="19">
        <f t="shared" ref="E28:E37" si="8">F28-D28</f>
        <v>-234</v>
      </c>
      <c r="F28" s="91">
        <v>0</v>
      </c>
      <c r="G28" s="19" t="s">
        <v>184</v>
      </c>
      <c r="H28" s="91">
        <v>4</v>
      </c>
      <c r="I28" s="96" t="s">
        <v>134</v>
      </c>
      <c r="J28" s="3">
        <f t="shared" si="4"/>
        <v>0</v>
      </c>
      <c r="K28" s="57"/>
      <c r="L28" s="57"/>
      <c r="M28" s="57"/>
      <c r="N28" s="57"/>
      <c r="O28" s="57"/>
      <c r="P28" s="57"/>
      <c r="Q28" s="57"/>
      <c r="R28" s="57"/>
      <c r="S28" s="57"/>
      <c r="T28" s="57">
        <f>F28*1000</f>
        <v>0</v>
      </c>
      <c r="U28" s="57"/>
      <c r="V28" s="57"/>
    </row>
    <row r="29" spans="1:22">
      <c r="A29" s="5">
        <f t="shared" si="6"/>
        <v>21</v>
      </c>
      <c r="B29" t="s">
        <v>56</v>
      </c>
      <c r="D29" s="91">
        <v>90</v>
      </c>
      <c r="E29" s="19">
        <f t="shared" si="8"/>
        <v>-90</v>
      </c>
      <c r="F29" s="19">
        <v>0</v>
      </c>
      <c r="G29" s="19"/>
      <c r="H29" s="19">
        <v>921</v>
      </c>
      <c r="I29" s="96" t="s">
        <v>124</v>
      </c>
      <c r="J29" s="3">
        <f t="shared" si="4"/>
        <v>0</v>
      </c>
      <c r="K29" s="57">
        <f t="shared" ref="K29:V29" si="9">$F29/12</f>
        <v>0</v>
      </c>
      <c r="L29" s="57">
        <f t="shared" si="9"/>
        <v>0</v>
      </c>
      <c r="M29" s="57">
        <f t="shared" si="9"/>
        <v>0</v>
      </c>
      <c r="N29" s="57">
        <f t="shared" si="9"/>
        <v>0</v>
      </c>
      <c r="O29" s="57">
        <f t="shared" si="9"/>
        <v>0</v>
      </c>
      <c r="P29" s="57">
        <f t="shared" si="9"/>
        <v>0</v>
      </c>
      <c r="Q29" s="57">
        <f t="shared" si="9"/>
        <v>0</v>
      </c>
      <c r="R29" s="57">
        <f t="shared" si="9"/>
        <v>0</v>
      </c>
      <c r="S29" s="57">
        <f t="shared" si="9"/>
        <v>0</v>
      </c>
      <c r="T29" s="57">
        <f t="shared" si="9"/>
        <v>0</v>
      </c>
      <c r="U29" s="57">
        <f t="shared" si="9"/>
        <v>0</v>
      </c>
      <c r="V29" s="57">
        <f t="shared" si="9"/>
        <v>0</v>
      </c>
    </row>
    <row r="30" spans="1:22">
      <c r="A30" s="5">
        <f t="shared" si="6"/>
        <v>22</v>
      </c>
      <c r="B30" t="s">
        <v>142</v>
      </c>
      <c r="D30" s="91">
        <v>6789</v>
      </c>
      <c r="E30" s="19">
        <f t="shared" si="8"/>
        <v>-6789</v>
      </c>
      <c r="F30" s="19">
        <v>0</v>
      </c>
      <c r="G30" s="23">
        <f t="shared" ref="G30:G33" si="10">F30/25/8760*1000</f>
        <v>0</v>
      </c>
      <c r="H30" s="19">
        <v>1589</v>
      </c>
      <c r="I30" s="19"/>
      <c r="J30" s="3">
        <f t="shared" si="4"/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</row>
    <row r="31" spans="1:22">
      <c r="A31" s="5">
        <f t="shared" si="6"/>
        <v>23</v>
      </c>
      <c r="B31" t="s">
        <v>143</v>
      </c>
      <c r="D31" s="91">
        <v>6745</v>
      </c>
      <c r="E31" s="19">
        <f t="shared" si="8"/>
        <v>-6745</v>
      </c>
      <c r="F31" s="19">
        <v>0</v>
      </c>
      <c r="G31" s="23">
        <f t="shared" si="10"/>
        <v>0</v>
      </c>
      <c r="H31" s="19"/>
      <c r="I31" s="19"/>
      <c r="J31" s="3">
        <f t="shared" si="4"/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</row>
    <row r="32" spans="1:22">
      <c r="A32" s="5">
        <f t="shared" si="6"/>
        <v>24</v>
      </c>
      <c r="B32" t="s">
        <v>127</v>
      </c>
      <c r="D32" s="91">
        <v>6658</v>
      </c>
      <c r="E32" s="19">
        <f t="shared" si="8"/>
        <v>-6658</v>
      </c>
      <c r="F32" s="19">
        <v>0</v>
      </c>
      <c r="G32" s="23">
        <f t="shared" si="10"/>
        <v>0</v>
      </c>
      <c r="H32" s="19">
        <v>2003</v>
      </c>
      <c r="I32" s="19"/>
      <c r="J32" s="3">
        <f t="shared" si="4"/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</row>
    <row r="33" spans="1:22">
      <c r="A33" s="5">
        <f t="shared" si="6"/>
        <v>25</v>
      </c>
      <c r="B33" t="s">
        <v>128</v>
      </c>
      <c r="D33" s="91">
        <v>7556</v>
      </c>
      <c r="E33" s="19">
        <f t="shared" si="8"/>
        <v>-7556</v>
      </c>
      <c r="F33" s="19">
        <v>0</v>
      </c>
      <c r="G33" s="23">
        <f t="shared" si="10"/>
        <v>0</v>
      </c>
      <c r="H33" s="19">
        <v>0</v>
      </c>
      <c r="I33" s="19"/>
      <c r="J33" s="3">
        <f t="shared" si="4"/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</row>
    <row r="34" spans="1:22">
      <c r="A34" s="5">
        <f t="shared" si="6"/>
        <v>26</v>
      </c>
      <c r="B34" t="s">
        <v>207</v>
      </c>
      <c r="D34" s="91">
        <v>18720</v>
      </c>
      <c r="E34" s="19">
        <f t="shared" si="8"/>
        <v>-18720</v>
      </c>
      <c r="F34" s="19">
        <v>0</v>
      </c>
      <c r="G34" s="19"/>
      <c r="H34" s="19">
        <v>441.68747583767572</v>
      </c>
      <c r="I34" s="19"/>
      <c r="J34" s="3">
        <f t="shared" si="4"/>
        <v>0</v>
      </c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</row>
    <row r="35" spans="1:22">
      <c r="A35" s="5">
        <f t="shared" si="6"/>
        <v>27</v>
      </c>
      <c r="B35" t="s">
        <v>160</v>
      </c>
      <c r="D35" s="91">
        <v>631</v>
      </c>
      <c r="E35" s="19">
        <f t="shared" si="8"/>
        <v>-631</v>
      </c>
      <c r="F35" s="19">
        <v>0</v>
      </c>
      <c r="G35" s="19"/>
      <c r="H35" s="19"/>
      <c r="I35" s="19"/>
      <c r="J35" s="3">
        <f t="shared" si="4"/>
        <v>0</v>
      </c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2">
      <c r="A36" s="5">
        <f t="shared" si="6"/>
        <v>28</v>
      </c>
      <c r="B36" s="17" t="s">
        <v>190</v>
      </c>
      <c r="C36" s="17"/>
      <c r="D36" s="92">
        <v>3016</v>
      </c>
      <c r="E36" s="40">
        <f t="shared" si="8"/>
        <v>-3016</v>
      </c>
      <c r="F36" s="139">
        <v>0</v>
      </c>
      <c r="G36" s="91" t="s">
        <v>180</v>
      </c>
      <c r="H36" s="91">
        <v>0</v>
      </c>
      <c r="I36" s="19" t="s">
        <v>133</v>
      </c>
      <c r="J36" s="87">
        <f t="shared" si="4"/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0</v>
      </c>
      <c r="U36" s="79">
        <v>0</v>
      </c>
      <c r="V36" s="79">
        <v>0</v>
      </c>
    </row>
    <row r="37" spans="1:22">
      <c r="A37" s="5">
        <f t="shared" si="6"/>
        <v>29</v>
      </c>
      <c r="B37" t="s">
        <v>10</v>
      </c>
      <c r="D37" s="91">
        <f>SUM(D9:D36)</f>
        <v>277080</v>
      </c>
      <c r="E37" s="19">
        <f t="shared" si="8"/>
        <v>-170177.19148203387</v>
      </c>
      <c r="F37" s="19">
        <f>SUM(F9:F36)</f>
        <v>106902.80851796614</v>
      </c>
      <c r="G37" s="19"/>
      <c r="H37" s="19">
        <v>0</v>
      </c>
      <c r="I37" s="19"/>
      <c r="J37" s="3">
        <f t="shared" si="4"/>
        <v>106902.63039246084</v>
      </c>
      <c r="K37" s="26">
        <f>SUM(K9:K36)</f>
        <v>12153177.291661337</v>
      </c>
      <c r="L37" s="26">
        <f t="shared" ref="L37:V37" si="11">SUM(L9:L36)</f>
        <v>11618215.907009771</v>
      </c>
      <c r="M37" s="26">
        <f t="shared" si="11"/>
        <v>10976081.526972722</v>
      </c>
      <c r="N37" s="26">
        <f t="shared" si="11"/>
        <v>8845408.9584984947</v>
      </c>
      <c r="O37" s="26">
        <f t="shared" si="11"/>
        <v>6438631.9968096167</v>
      </c>
      <c r="P37" s="26">
        <f t="shared" si="11"/>
        <v>6661000.2464576932</v>
      </c>
      <c r="Q37" s="26">
        <f t="shared" si="11"/>
        <v>7160413.3309468981</v>
      </c>
      <c r="R37" s="26">
        <f t="shared" si="11"/>
        <v>9176736.0102384649</v>
      </c>
      <c r="S37" s="26">
        <f t="shared" si="11"/>
        <v>6607029.4811358545</v>
      </c>
      <c r="T37" s="26">
        <f t="shared" si="11"/>
        <v>6604687.9394306261</v>
      </c>
      <c r="U37" s="26">
        <f t="shared" si="11"/>
        <v>9895964.7526124995</v>
      </c>
      <c r="V37" s="26">
        <f t="shared" si="11"/>
        <v>10765282.950686855</v>
      </c>
    </row>
    <row r="38" spans="1:22">
      <c r="A38" s="5"/>
      <c r="E38" s="19"/>
      <c r="F38" s="19"/>
      <c r="G38" s="19"/>
      <c r="H38" s="40">
        <v>3186</v>
      </c>
      <c r="I38" s="19"/>
      <c r="J38" s="3"/>
    </row>
    <row r="39" spans="1:22">
      <c r="A39" s="5"/>
      <c r="B39" s="7" t="s">
        <v>30</v>
      </c>
      <c r="D39" s="19"/>
      <c r="E39" s="19"/>
      <c r="F39" s="19"/>
      <c r="G39" s="19"/>
      <c r="H39" s="19">
        <v>0</v>
      </c>
      <c r="I39" s="19"/>
      <c r="J39" s="3"/>
    </row>
    <row r="40" spans="1:22">
      <c r="A40" s="5">
        <f>A37+1</f>
        <v>30</v>
      </c>
      <c r="B40" t="s">
        <v>15</v>
      </c>
      <c r="D40" s="91">
        <v>366</v>
      </c>
      <c r="E40" s="91">
        <f>F40-D40</f>
        <v>0</v>
      </c>
      <c r="F40" s="91">
        <v>366</v>
      </c>
      <c r="G40" s="96" t="s">
        <v>227</v>
      </c>
      <c r="H40" s="92">
        <v>150</v>
      </c>
      <c r="I40" s="96"/>
      <c r="J40" s="3">
        <f>SUM(K40:V40)/1000</f>
        <v>366</v>
      </c>
      <c r="K40" s="57">
        <f>366000/12</f>
        <v>30500</v>
      </c>
      <c r="L40" s="57">
        <f t="shared" ref="L40:V40" si="12">366000/12</f>
        <v>30500</v>
      </c>
      <c r="M40" s="57">
        <f t="shared" si="12"/>
        <v>30500</v>
      </c>
      <c r="N40" s="57">
        <f t="shared" si="12"/>
        <v>30500</v>
      </c>
      <c r="O40" s="57">
        <f t="shared" si="12"/>
        <v>30500</v>
      </c>
      <c r="P40" s="57">
        <f t="shared" si="12"/>
        <v>30500</v>
      </c>
      <c r="Q40" s="57">
        <f t="shared" si="12"/>
        <v>30500</v>
      </c>
      <c r="R40" s="57">
        <f t="shared" si="12"/>
        <v>30500</v>
      </c>
      <c r="S40" s="57">
        <f t="shared" si="12"/>
        <v>30500</v>
      </c>
      <c r="T40" s="57">
        <f t="shared" si="12"/>
        <v>30500</v>
      </c>
      <c r="U40" s="57">
        <f t="shared" si="12"/>
        <v>30500</v>
      </c>
      <c r="V40" s="57">
        <f t="shared" si="12"/>
        <v>30500</v>
      </c>
    </row>
    <row r="41" spans="1:22">
      <c r="A41" s="5">
        <f>A40+1</f>
        <v>31</v>
      </c>
      <c r="B41" t="s">
        <v>228</v>
      </c>
      <c r="D41" s="91">
        <v>349</v>
      </c>
      <c r="E41" s="91">
        <f>F41-D41</f>
        <v>1</v>
      </c>
      <c r="F41" s="91">
        <v>350</v>
      </c>
      <c r="G41" s="91"/>
      <c r="H41" s="91"/>
      <c r="I41" s="19"/>
      <c r="J41" s="3">
        <f>SUM(K41:V41)/1000</f>
        <v>351.36</v>
      </c>
      <c r="K41" s="57">
        <f>40*K5</f>
        <v>29760</v>
      </c>
      <c r="L41" s="57">
        <f t="shared" ref="L41:V41" si="13">40*L5</f>
        <v>27840</v>
      </c>
      <c r="M41" s="57">
        <f t="shared" si="13"/>
        <v>29760</v>
      </c>
      <c r="N41" s="57">
        <f t="shared" si="13"/>
        <v>28760</v>
      </c>
      <c r="O41" s="57">
        <f t="shared" si="13"/>
        <v>29760</v>
      </c>
      <c r="P41" s="57">
        <f t="shared" si="13"/>
        <v>28800</v>
      </c>
      <c r="Q41" s="57">
        <f t="shared" si="13"/>
        <v>29760</v>
      </c>
      <c r="R41" s="57">
        <f t="shared" si="13"/>
        <v>29760</v>
      </c>
      <c r="S41" s="57">
        <f t="shared" si="13"/>
        <v>28800</v>
      </c>
      <c r="T41" s="57">
        <f t="shared" si="13"/>
        <v>29800</v>
      </c>
      <c r="U41" s="57">
        <f t="shared" si="13"/>
        <v>28800</v>
      </c>
      <c r="V41" s="57">
        <f t="shared" si="13"/>
        <v>29760</v>
      </c>
    </row>
    <row r="42" spans="1:22">
      <c r="A42" s="5">
        <f t="shared" ref="A42:A43" si="14">A41+1</f>
        <v>32</v>
      </c>
      <c r="B42" t="s">
        <v>229</v>
      </c>
      <c r="D42" s="91">
        <v>0</v>
      </c>
      <c r="E42" s="91">
        <f>F42-D42</f>
        <v>725</v>
      </c>
      <c r="F42" s="91">
        <v>725</v>
      </c>
      <c r="G42" s="91"/>
      <c r="H42" s="91"/>
      <c r="I42" s="19"/>
      <c r="J42" s="3">
        <f>SUM(K42:V42)/1000</f>
        <v>724.99999999999989</v>
      </c>
      <c r="K42" s="57">
        <f>725000/12</f>
        <v>60416.666666666664</v>
      </c>
      <c r="L42" s="57">
        <f t="shared" ref="L42:V42" si="15">725000/12</f>
        <v>60416.666666666664</v>
      </c>
      <c r="M42" s="57">
        <f t="shared" si="15"/>
        <v>60416.666666666664</v>
      </c>
      <c r="N42" s="57">
        <f t="shared" si="15"/>
        <v>60416.666666666664</v>
      </c>
      <c r="O42" s="57">
        <f t="shared" si="15"/>
        <v>60416.666666666664</v>
      </c>
      <c r="P42" s="57">
        <f t="shared" si="15"/>
        <v>60416.666666666664</v>
      </c>
      <c r="Q42" s="57">
        <f t="shared" si="15"/>
        <v>60416.666666666664</v>
      </c>
      <c r="R42" s="57">
        <f t="shared" si="15"/>
        <v>60416.666666666664</v>
      </c>
      <c r="S42" s="57">
        <f t="shared" si="15"/>
        <v>60416.666666666664</v>
      </c>
      <c r="T42" s="57">
        <f t="shared" si="15"/>
        <v>60416.666666666664</v>
      </c>
      <c r="U42" s="57">
        <f t="shared" si="15"/>
        <v>60416.666666666664</v>
      </c>
      <c r="V42" s="57">
        <f t="shared" si="15"/>
        <v>60416.666666666664</v>
      </c>
    </row>
    <row r="43" spans="1:22">
      <c r="A43" s="5">
        <f t="shared" si="14"/>
        <v>33</v>
      </c>
      <c r="B43" s="17" t="s">
        <v>176</v>
      </c>
      <c r="C43" s="17"/>
      <c r="D43" s="19">
        <v>119116</v>
      </c>
      <c r="E43" s="40">
        <f>F43-D43</f>
        <v>-119116</v>
      </c>
      <c r="F43" s="19">
        <v>0</v>
      </c>
      <c r="G43" s="19"/>
      <c r="H43" s="19">
        <v>152</v>
      </c>
      <c r="I43" s="96" t="s">
        <v>136</v>
      </c>
      <c r="J43" s="3">
        <f>SUM(K43:V43)/1000</f>
        <v>0</v>
      </c>
    </row>
    <row r="44" spans="1:22">
      <c r="A44" s="5">
        <f>A43+1</f>
        <v>34</v>
      </c>
      <c r="B44" t="s">
        <v>16</v>
      </c>
      <c r="D44" s="107">
        <f>SUM(D40:D43)</f>
        <v>119831</v>
      </c>
      <c r="E44" s="19">
        <f>F44-D44</f>
        <v>-118390</v>
      </c>
      <c r="F44" s="21">
        <f>SUM(F40:F43)</f>
        <v>1441</v>
      </c>
      <c r="G44" s="19"/>
      <c r="H44" s="19"/>
      <c r="I44" s="19"/>
      <c r="J44" s="3"/>
    </row>
    <row r="45" spans="1:22">
      <c r="A45" s="5"/>
      <c r="D45" s="19"/>
      <c r="E45" s="19"/>
      <c r="F45" s="19"/>
      <c r="G45" s="19"/>
      <c r="H45" s="19"/>
      <c r="I45" s="19"/>
      <c r="J45" s="3"/>
    </row>
    <row r="46" spans="1:22">
      <c r="A46" s="5"/>
      <c r="B46" s="7" t="s">
        <v>53</v>
      </c>
      <c r="D46" s="19"/>
      <c r="E46" s="19"/>
      <c r="F46" s="19"/>
      <c r="G46" s="19"/>
      <c r="H46" s="19">
        <v>78</v>
      </c>
      <c r="I46" s="19"/>
      <c r="J46" s="3"/>
    </row>
    <row r="47" spans="1:22">
      <c r="A47" s="5">
        <f>A44+1</f>
        <v>35</v>
      </c>
      <c r="B47" t="s">
        <v>51</v>
      </c>
      <c r="C47" s="13"/>
      <c r="D47" s="19">
        <v>10551</v>
      </c>
      <c r="E47" s="19">
        <f>F47-D47</f>
        <v>1533.7352391140812</v>
      </c>
      <c r="F47" s="91">
        <f>'WGJ-4'!C27/1000</f>
        <v>12084.735239114081</v>
      </c>
      <c r="G47" s="91"/>
      <c r="H47" s="92">
        <v>0</v>
      </c>
      <c r="I47" s="96" t="s">
        <v>135</v>
      </c>
      <c r="J47" s="3">
        <f>SUM(K47:V47)/1000</f>
        <v>12084.735239114081</v>
      </c>
      <c r="K47" s="26">
        <f>'WGJ-4'!D27</f>
        <v>1247114.9832589286</v>
      </c>
      <c r="L47" s="26">
        <f>'WGJ-4'!E27</f>
        <v>1098614.892578125</v>
      </c>
      <c r="M47" s="26">
        <f>'WGJ-4'!F27</f>
        <v>1168114.7729056221</v>
      </c>
      <c r="N47" s="26">
        <f>'WGJ-4'!G27</f>
        <v>818319.2913634436</v>
      </c>
      <c r="O47" s="26">
        <f>'WGJ-4'!H27</f>
        <v>463689.95691026957</v>
      </c>
      <c r="P47" s="26">
        <f>'WGJ-4'!I27</f>
        <v>205825.25689261299</v>
      </c>
      <c r="Q47" s="26">
        <f>'WGJ-4'!J27</f>
        <v>1003851.354108538</v>
      </c>
      <c r="R47" s="26">
        <f>'WGJ-4'!K27</f>
        <v>1224740.248325893</v>
      </c>
      <c r="S47" s="26">
        <f>'WGJ-4'!L27</f>
        <v>1196860.0202287945</v>
      </c>
      <c r="T47" s="26">
        <f>'WGJ-4'!M27</f>
        <v>1245209.6766880578</v>
      </c>
      <c r="U47" s="26">
        <f>'WGJ-4'!N27</f>
        <v>1209770.1381138393</v>
      </c>
      <c r="V47" s="26">
        <f>'WGJ-4'!O27</f>
        <v>1202624.6477399555</v>
      </c>
    </row>
    <row r="48" spans="1:22">
      <c r="A48" s="5">
        <f>A47+1</f>
        <v>36</v>
      </c>
      <c r="B48" t="s">
        <v>202</v>
      </c>
      <c r="C48" s="13"/>
      <c r="D48" s="22">
        <v>30</v>
      </c>
      <c r="E48" s="19">
        <f>F48-D48</f>
        <v>0</v>
      </c>
      <c r="F48" s="19">
        <v>30</v>
      </c>
      <c r="G48" s="19"/>
      <c r="H48" s="19">
        <v>78</v>
      </c>
      <c r="I48" s="19"/>
      <c r="J48" s="3">
        <f>SUM(K48:V48)/1000</f>
        <v>30</v>
      </c>
      <c r="K48">
        <f>30000/12</f>
        <v>2500</v>
      </c>
      <c r="L48">
        <f t="shared" ref="L48:V48" si="16">30000/12</f>
        <v>2500</v>
      </c>
      <c r="M48">
        <f t="shared" si="16"/>
        <v>2500</v>
      </c>
      <c r="N48">
        <f t="shared" si="16"/>
        <v>2500</v>
      </c>
      <c r="O48">
        <f t="shared" si="16"/>
        <v>2500</v>
      </c>
      <c r="P48">
        <f t="shared" si="16"/>
        <v>2500</v>
      </c>
      <c r="Q48">
        <f t="shared" si="16"/>
        <v>2500</v>
      </c>
      <c r="R48">
        <f t="shared" si="16"/>
        <v>2500</v>
      </c>
      <c r="S48">
        <f t="shared" si="16"/>
        <v>2500</v>
      </c>
      <c r="T48">
        <f t="shared" si="16"/>
        <v>2500</v>
      </c>
      <c r="U48">
        <f t="shared" si="16"/>
        <v>2500</v>
      </c>
      <c r="V48">
        <f t="shared" si="16"/>
        <v>2500</v>
      </c>
    </row>
    <row r="49" spans="1:22">
      <c r="A49" s="5">
        <f>A48+1</f>
        <v>37</v>
      </c>
      <c r="B49" s="12" t="s">
        <v>52</v>
      </c>
      <c r="C49" s="11"/>
      <c r="D49" s="19">
        <v>15984</v>
      </c>
      <c r="E49" s="19">
        <f>F49-D49</f>
        <v>3802.7168477194646</v>
      </c>
      <c r="F49" s="91">
        <f>'WGJ-4'!C23/1000</f>
        <v>19786.716847719465</v>
      </c>
      <c r="G49" s="91"/>
      <c r="H49" s="91"/>
      <c r="I49" s="96" t="s">
        <v>135</v>
      </c>
      <c r="J49" s="3">
        <f>SUM(K49:V49)/1000</f>
        <v>19786.716847719465</v>
      </c>
      <c r="K49" s="83">
        <f>'WGJ-4'!D23</f>
        <v>1811669.6411132813</v>
      </c>
      <c r="L49" s="83">
        <f>'WGJ-4'!E23</f>
        <v>1669688.9064243862</v>
      </c>
      <c r="M49" s="83">
        <f>'WGJ-4'!F23</f>
        <v>1792446.9020298549</v>
      </c>
      <c r="N49" s="83">
        <f>'WGJ-4'!G23</f>
        <v>1459703.2444545201</v>
      </c>
      <c r="O49" s="83">
        <f>'WGJ-4'!H23</f>
        <v>1113233.5081372941</v>
      </c>
      <c r="P49" s="83">
        <f>'WGJ-4'!I23</f>
        <v>976785.05815778463</v>
      </c>
      <c r="Q49" s="83">
        <f>'WGJ-4'!J23</f>
        <v>1792064.9300711495</v>
      </c>
      <c r="R49" s="83">
        <f>'WGJ-4'!K23</f>
        <v>1859368.3349609375</v>
      </c>
      <c r="S49" s="83">
        <f>'WGJ-4'!L23</f>
        <v>1809573.8699776786</v>
      </c>
      <c r="T49" s="83">
        <f>'WGJ-4'!M23</f>
        <v>1862171.337890625</v>
      </c>
      <c r="U49" s="83">
        <f>'WGJ-4'!N23</f>
        <v>1808646.0562569755</v>
      </c>
      <c r="V49" s="83">
        <f>'WGJ-4'!O23</f>
        <v>1831365.0582449776</v>
      </c>
    </row>
    <row r="50" spans="1:22">
      <c r="A50" s="5">
        <f>A49+1</f>
        <v>38</v>
      </c>
      <c r="B50" s="17" t="s">
        <v>238</v>
      </c>
      <c r="C50" s="41"/>
      <c r="D50" s="42">
        <v>139</v>
      </c>
      <c r="E50" s="40">
        <f>F50-D50</f>
        <v>0</v>
      </c>
      <c r="F50" s="92">
        <v>139</v>
      </c>
      <c r="G50" s="19" t="s">
        <v>181</v>
      </c>
      <c r="H50" s="19"/>
      <c r="I50" s="19"/>
      <c r="J50" s="3">
        <f>SUM(K50:V50)/1000</f>
        <v>138.99999999999997</v>
      </c>
      <c r="K50" s="108">
        <f>$F50/12*1000</f>
        <v>11583.333333333334</v>
      </c>
      <c r="L50" s="108">
        <f t="shared" ref="L50:V50" si="17">$F50/12*1000</f>
        <v>11583.333333333334</v>
      </c>
      <c r="M50" s="108">
        <f t="shared" si="17"/>
        <v>11583.333333333334</v>
      </c>
      <c r="N50" s="108">
        <f t="shared" si="17"/>
        <v>11583.333333333334</v>
      </c>
      <c r="O50" s="108">
        <f t="shared" si="17"/>
        <v>11583.333333333334</v>
      </c>
      <c r="P50" s="108">
        <f t="shared" si="17"/>
        <v>11583.333333333334</v>
      </c>
      <c r="Q50" s="108">
        <f t="shared" si="17"/>
        <v>11583.333333333334</v>
      </c>
      <c r="R50" s="108">
        <f t="shared" si="17"/>
        <v>11583.333333333334</v>
      </c>
      <c r="S50" s="108">
        <f t="shared" si="17"/>
        <v>11583.333333333334</v>
      </c>
      <c r="T50" s="108">
        <f t="shared" si="17"/>
        <v>11583.333333333334</v>
      </c>
      <c r="U50" s="108">
        <f t="shared" si="17"/>
        <v>11583.333333333334</v>
      </c>
      <c r="V50" s="108">
        <f t="shared" si="17"/>
        <v>11583.333333333334</v>
      </c>
    </row>
    <row r="51" spans="1:22">
      <c r="A51" s="11">
        <f>A50+1</f>
        <v>39</v>
      </c>
      <c r="B51" t="s">
        <v>25</v>
      </c>
      <c r="D51" s="91">
        <f>SUM(D47:D50)</f>
        <v>26704</v>
      </c>
      <c r="E51" s="19">
        <f>F51-D51</f>
        <v>5336.4520868335458</v>
      </c>
      <c r="F51" s="19">
        <f>SUM(F47:F50)</f>
        <v>32040.452086833546</v>
      </c>
      <c r="G51" s="19"/>
      <c r="H51" s="19">
        <v>8095.4688974966612</v>
      </c>
      <c r="I51" s="19"/>
      <c r="J51" s="3">
        <f>SUM(K51:V51)/1000</f>
        <v>32040.452086833553</v>
      </c>
      <c r="K51" s="26">
        <f>SUM(K47:K50)</f>
        <v>3072867.9577055434</v>
      </c>
      <c r="L51" s="26">
        <f t="shared" ref="L51:V51" si="18">SUM(L47:L50)</f>
        <v>2782387.1323358449</v>
      </c>
      <c r="M51" s="26">
        <f t="shared" si="18"/>
        <v>2974645.0082688103</v>
      </c>
      <c r="N51" s="26">
        <f t="shared" si="18"/>
        <v>2292105.869151297</v>
      </c>
      <c r="O51" s="26">
        <f t="shared" si="18"/>
        <v>1591006.7983808969</v>
      </c>
      <c r="P51" s="26">
        <f t="shared" si="18"/>
        <v>1196693.6483837308</v>
      </c>
      <c r="Q51" s="26">
        <f t="shared" si="18"/>
        <v>2809999.617513021</v>
      </c>
      <c r="R51" s="26">
        <f t="shared" si="18"/>
        <v>3098191.9166201637</v>
      </c>
      <c r="S51" s="26">
        <f t="shared" si="18"/>
        <v>3020517.2235398064</v>
      </c>
      <c r="T51" s="26">
        <f t="shared" si="18"/>
        <v>3121464.3479120163</v>
      </c>
      <c r="U51" s="26">
        <f t="shared" si="18"/>
        <v>3032499.5277041481</v>
      </c>
      <c r="V51" s="26">
        <f t="shared" si="18"/>
        <v>3048073.0393182668</v>
      </c>
    </row>
    <row r="52" spans="1:22">
      <c r="A52" s="5"/>
      <c r="D52" s="19"/>
      <c r="E52" s="19"/>
      <c r="F52" s="19"/>
      <c r="G52" s="19"/>
      <c r="H52" s="19">
        <v>0</v>
      </c>
      <c r="I52" s="19"/>
      <c r="J52" s="3"/>
    </row>
    <row r="53" spans="1:22">
      <c r="A53" s="5"/>
      <c r="B53" s="7" t="s">
        <v>54</v>
      </c>
      <c r="D53" s="19"/>
      <c r="E53" s="19"/>
      <c r="F53" s="19"/>
      <c r="G53" s="19"/>
      <c r="H53" s="19">
        <v>10682.990036010742</v>
      </c>
      <c r="I53" s="19"/>
      <c r="J53" s="3"/>
    </row>
    <row r="54" spans="1:22">
      <c r="A54" s="5">
        <f>A51+1</f>
        <v>40</v>
      </c>
      <c r="B54" s="16" t="s">
        <v>64</v>
      </c>
      <c r="D54" s="91">
        <v>53491</v>
      </c>
      <c r="E54" s="19">
        <f t="shared" ref="E54:E65" si="19">F54-D54</f>
        <v>-15894.13673379425</v>
      </c>
      <c r="F54" s="91">
        <f>'WGJ-4'!C31/1000</f>
        <v>37596.86326620575</v>
      </c>
      <c r="G54" s="91"/>
      <c r="H54" s="92">
        <v>188</v>
      </c>
      <c r="I54" s="96" t="s">
        <v>135</v>
      </c>
      <c r="J54" s="3">
        <f t="shared" ref="J54:J65" si="20">SUM(K54:V54)/1000</f>
        <v>37596.86326620575</v>
      </c>
      <c r="K54" s="26">
        <f>'WGJ-4'!D31</f>
        <v>3969562.4546748479</v>
      </c>
      <c r="L54" s="26">
        <f>'WGJ-4'!E31</f>
        <v>3601760.0620852127</v>
      </c>
      <c r="M54" s="26">
        <f>'WGJ-4'!F31</f>
        <v>2123833.0291671068</v>
      </c>
      <c r="N54" s="26">
        <f>'WGJ-4'!G31</f>
        <v>632402.34287728462</v>
      </c>
      <c r="O54" s="26">
        <f>'WGJ-4'!H31</f>
        <v>212574.97371900594</v>
      </c>
      <c r="P54" s="26">
        <f>'WGJ-4'!I31</f>
        <v>312065.50876114512</v>
      </c>
      <c r="Q54" s="26">
        <f>'WGJ-4'!J31</f>
        <v>2865655.1859838711</v>
      </c>
      <c r="R54" s="26">
        <f>'WGJ-4'!K31</f>
        <v>4447352.6505756183</v>
      </c>
      <c r="S54" s="26">
        <f>'WGJ-4'!L31</f>
        <v>4289868.9032701077</v>
      </c>
      <c r="T54" s="26">
        <f>'WGJ-4'!M31</f>
        <v>5086883.6862971066</v>
      </c>
      <c r="U54" s="26">
        <f>'WGJ-4'!N31</f>
        <v>5019819.0799978664</v>
      </c>
      <c r="V54" s="26">
        <f>'WGJ-4'!O31</f>
        <v>5035085.3887965744</v>
      </c>
    </row>
    <row r="55" spans="1:22">
      <c r="A55" s="5">
        <f>A54+1</f>
        <v>41</v>
      </c>
      <c r="B55" s="16" t="s">
        <v>213</v>
      </c>
      <c r="D55" s="91">
        <v>7891</v>
      </c>
      <c r="E55" s="19">
        <f t="shared" si="19"/>
        <v>-58</v>
      </c>
      <c r="F55" s="91">
        <v>7833</v>
      </c>
      <c r="G55" s="19"/>
      <c r="H55" s="19">
        <v>18966.458933507405</v>
      </c>
      <c r="I55" s="19"/>
      <c r="J55" s="3">
        <f t="shared" si="20"/>
        <v>7833</v>
      </c>
      <c r="K55" s="84">
        <f>$F55/12*1000</f>
        <v>652750</v>
      </c>
      <c r="L55" s="84">
        <f t="shared" ref="L55:V55" si="21">$F55/12*1000</f>
        <v>652750</v>
      </c>
      <c r="M55" s="84">
        <f t="shared" si="21"/>
        <v>652750</v>
      </c>
      <c r="N55" s="84">
        <f t="shared" si="21"/>
        <v>652750</v>
      </c>
      <c r="O55" s="84">
        <f t="shared" si="21"/>
        <v>652750</v>
      </c>
      <c r="P55" s="84">
        <f t="shared" si="21"/>
        <v>652750</v>
      </c>
      <c r="Q55" s="84">
        <f t="shared" si="21"/>
        <v>652750</v>
      </c>
      <c r="R55" s="84">
        <f t="shared" si="21"/>
        <v>652750</v>
      </c>
      <c r="S55" s="84">
        <f t="shared" si="21"/>
        <v>652750</v>
      </c>
      <c r="T55" s="84">
        <f t="shared" si="21"/>
        <v>652750</v>
      </c>
      <c r="U55" s="84">
        <f t="shared" si="21"/>
        <v>652750</v>
      </c>
      <c r="V55" s="84">
        <f t="shared" si="21"/>
        <v>652750</v>
      </c>
    </row>
    <row r="56" spans="1:22">
      <c r="A56" s="5">
        <f t="shared" ref="A56:A66" si="22">A55+1</f>
        <v>42</v>
      </c>
      <c r="B56" s="16" t="s">
        <v>193</v>
      </c>
      <c r="D56" s="91">
        <v>46902</v>
      </c>
      <c r="E56" s="19">
        <f t="shared" si="19"/>
        <v>-6544.2024085208905</v>
      </c>
      <c r="F56" s="91">
        <f>'WGJ-4'!C35/1000</f>
        <v>40357.79759147911</v>
      </c>
      <c r="G56" s="19"/>
      <c r="H56" s="19"/>
      <c r="I56" s="19"/>
      <c r="J56" s="3">
        <f t="shared" si="20"/>
        <v>40357.79759147911</v>
      </c>
      <c r="K56" s="84">
        <f>'WGJ-4'!D35</f>
        <v>4775532.1461071502</v>
      </c>
      <c r="L56" s="84">
        <f>'WGJ-4'!E35</f>
        <v>3942720.0158440401</v>
      </c>
      <c r="M56" s="84">
        <f>'WGJ-4'!F35</f>
        <v>2401949.925733387</v>
      </c>
      <c r="N56" s="84">
        <f>'WGJ-4'!G35</f>
        <v>769452.61815474287</v>
      </c>
      <c r="O56" s="84">
        <f>'WGJ-4'!H35</f>
        <v>186075.22930351796</v>
      </c>
      <c r="P56" s="84">
        <f>'WGJ-4'!I35</f>
        <v>409950.26074746653</v>
      </c>
      <c r="Q56" s="84">
        <f>'WGJ-4'!J35</f>
        <v>2967561.1348528443</v>
      </c>
      <c r="R56" s="84">
        <f>'WGJ-4'!K35</f>
        <v>4349139.8512281133</v>
      </c>
      <c r="S56" s="84">
        <f>'WGJ-4'!L35</f>
        <v>4456228.3673954057</v>
      </c>
      <c r="T56" s="84">
        <f>'WGJ-4'!M35</f>
        <v>5337155.0897865109</v>
      </c>
      <c r="U56" s="84">
        <f>'WGJ-4'!N35</f>
        <v>5366560.53781542</v>
      </c>
      <c r="V56" s="84">
        <f>'WGJ-4'!O35</f>
        <v>5395472.4145105118</v>
      </c>
    </row>
    <row r="57" spans="1:22">
      <c r="A57" s="5">
        <f t="shared" si="22"/>
        <v>43</v>
      </c>
      <c r="B57" s="16" t="s">
        <v>212</v>
      </c>
      <c r="D57" s="91">
        <v>5837</v>
      </c>
      <c r="E57" s="19">
        <f t="shared" si="19"/>
        <v>956</v>
      </c>
      <c r="F57" s="91">
        <v>6793</v>
      </c>
      <c r="G57" s="19"/>
      <c r="H57" s="19"/>
      <c r="I57" s="19"/>
      <c r="J57" s="3">
        <f t="shared" si="20"/>
        <v>6793.02</v>
      </c>
      <c r="K57" s="84">
        <v>566085</v>
      </c>
      <c r="L57" s="84">
        <v>566085</v>
      </c>
      <c r="M57" s="84">
        <v>566085</v>
      </c>
      <c r="N57" s="84">
        <v>566085</v>
      </c>
      <c r="O57" s="84">
        <v>566085</v>
      </c>
      <c r="P57" s="84">
        <v>566085</v>
      </c>
      <c r="Q57" s="84">
        <v>566085</v>
      </c>
      <c r="R57" s="84">
        <v>566085</v>
      </c>
      <c r="S57" s="84">
        <v>566085</v>
      </c>
      <c r="T57" s="84">
        <v>566085</v>
      </c>
      <c r="U57" s="84">
        <v>566085</v>
      </c>
      <c r="V57" s="84">
        <v>566085</v>
      </c>
    </row>
    <row r="58" spans="1:22">
      <c r="A58" s="5">
        <f t="shared" si="22"/>
        <v>44</v>
      </c>
      <c r="B58" s="16" t="s">
        <v>211</v>
      </c>
      <c r="D58" s="91">
        <v>0</v>
      </c>
      <c r="E58" s="19">
        <f t="shared" si="19"/>
        <v>-409</v>
      </c>
      <c r="F58" s="138">
        <v>-409</v>
      </c>
      <c r="G58" s="19"/>
      <c r="H58" s="19"/>
      <c r="I58" s="19"/>
      <c r="J58" s="3">
        <f t="shared" si="20"/>
        <v>-409.33187071790195</v>
      </c>
      <c r="K58" s="84">
        <v>-10378.452325779042</v>
      </c>
      <c r="L58" s="84">
        <v>-14584.065547413775</v>
      </c>
      <c r="M58" s="84">
        <v>-57253.196301044634</v>
      </c>
      <c r="N58" s="84">
        <v>-70375.563193642156</v>
      </c>
      <c r="O58" s="84">
        <v>-96201.265514266139</v>
      </c>
      <c r="P58" s="84">
        <v>-114335.16530362844</v>
      </c>
      <c r="Q58" s="84">
        <v>-46204.162532127782</v>
      </c>
      <c r="R58" s="84">
        <v>0</v>
      </c>
      <c r="S58" s="84">
        <v>0</v>
      </c>
      <c r="T58" s="84">
        <v>0</v>
      </c>
      <c r="U58" s="84">
        <v>0</v>
      </c>
      <c r="V58" s="84">
        <v>0</v>
      </c>
    </row>
    <row r="59" spans="1:22">
      <c r="A59" s="5">
        <f t="shared" si="22"/>
        <v>45</v>
      </c>
      <c r="B59" t="s">
        <v>220</v>
      </c>
      <c r="D59" s="91">
        <v>0</v>
      </c>
      <c r="E59" s="19">
        <f t="shared" si="19"/>
        <v>4800</v>
      </c>
      <c r="F59" s="138">
        <v>4800</v>
      </c>
      <c r="G59" s="19"/>
      <c r="H59" s="19"/>
      <c r="I59" s="19"/>
      <c r="J59" s="3">
        <f t="shared" si="20"/>
        <v>4799.8133475049844</v>
      </c>
      <c r="K59" s="84">
        <v>489602.77170953585</v>
      </c>
      <c r="L59" s="84">
        <v>458015.49611537223</v>
      </c>
      <c r="M59" s="84">
        <v>489602.77170953585</v>
      </c>
      <c r="N59" s="84">
        <v>130557.56049026328</v>
      </c>
      <c r="O59" s="84">
        <v>134909.47917327206</v>
      </c>
      <c r="P59" s="84">
        <v>130557.56049026328</v>
      </c>
      <c r="Q59" s="84">
        <v>545522.53067442181</v>
      </c>
      <c r="R59" s="84">
        <v>545522.53067442181</v>
      </c>
      <c r="S59" s="84">
        <v>527925.02968492429</v>
      </c>
      <c r="T59" s="84">
        <v>454081.80565513257</v>
      </c>
      <c r="U59" s="84">
        <v>439434.00547270896</v>
      </c>
      <c r="V59" s="84">
        <v>454081.80565513257</v>
      </c>
    </row>
    <row r="60" spans="1:22">
      <c r="A60" s="5">
        <f t="shared" si="22"/>
        <v>46</v>
      </c>
      <c r="B60" t="s">
        <v>219</v>
      </c>
      <c r="D60" s="91">
        <v>0</v>
      </c>
      <c r="E60" s="19">
        <f t="shared" si="19"/>
        <v>-113</v>
      </c>
      <c r="F60" s="138">
        <v>-113</v>
      </c>
      <c r="G60" s="19"/>
      <c r="H60" s="19"/>
      <c r="I60" s="19"/>
      <c r="J60" s="3">
        <f t="shared" si="20"/>
        <v>-113.27513863242478</v>
      </c>
      <c r="K60" s="84">
        <v>6464.4014296751557</v>
      </c>
      <c r="L60" s="84">
        <v>6047.3432729219276</v>
      </c>
      <c r="M60" s="84">
        <v>6464.4014296751557</v>
      </c>
      <c r="N60" s="84">
        <v>32473.47530641453</v>
      </c>
      <c r="O60" s="84">
        <v>33555.924483295013</v>
      </c>
      <c r="P60" s="84">
        <v>32473.47530641453</v>
      </c>
      <c r="Q60" s="84">
        <v>-18288.566933180104</v>
      </c>
      <c r="R60" s="84">
        <v>-18288.566933180104</v>
      </c>
      <c r="S60" s="84">
        <v>-17698.613161142035</v>
      </c>
      <c r="T60" s="84">
        <v>-59465.552150357435</v>
      </c>
      <c r="U60" s="84">
        <v>-57547.308532603973</v>
      </c>
      <c r="V60" s="84">
        <v>-59465.552150357435</v>
      </c>
    </row>
    <row r="61" spans="1:22">
      <c r="A61" s="5">
        <f t="shared" si="22"/>
        <v>47</v>
      </c>
      <c r="B61" t="s">
        <v>232</v>
      </c>
      <c r="D61" s="91">
        <v>32</v>
      </c>
      <c r="E61" s="19">
        <f t="shared" si="19"/>
        <v>0</v>
      </c>
      <c r="F61" s="138">
        <v>32</v>
      </c>
      <c r="G61" s="19"/>
      <c r="H61" s="19"/>
      <c r="I61" s="19"/>
      <c r="J61" s="3">
        <f t="shared" si="20"/>
        <v>31.999999999999989</v>
      </c>
      <c r="K61" s="141">
        <f>SUM(K63:K65)/SUM($K63:$V65)*32000</f>
        <v>6284.9292729355557</v>
      </c>
      <c r="L61" s="141">
        <f t="shared" ref="L61:V61" si="23">SUM(L63:L65)/SUM($K63:$V65)*32000</f>
        <v>16979.276572847466</v>
      </c>
      <c r="M61" s="141">
        <f t="shared" si="23"/>
        <v>3492.4721479769173</v>
      </c>
      <c r="N61" s="141">
        <f t="shared" si="23"/>
        <v>490.69035363078888</v>
      </c>
      <c r="O61" s="141">
        <f t="shared" si="23"/>
        <v>80.026116874462986</v>
      </c>
      <c r="P61" s="141">
        <f t="shared" si="23"/>
        <v>102.29778907124185</v>
      </c>
      <c r="Q61" s="141">
        <f t="shared" si="23"/>
        <v>309.33587781424274</v>
      </c>
      <c r="R61" s="141">
        <f t="shared" si="23"/>
        <v>324.22669960811214</v>
      </c>
      <c r="S61" s="141">
        <f t="shared" si="23"/>
        <v>544.9429595529225</v>
      </c>
      <c r="T61" s="141">
        <f t="shared" si="23"/>
        <v>763.008324120206</v>
      </c>
      <c r="U61" s="141">
        <f t="shared" si="23"/>
        <v>1612.4799413191884</v>
      </c>
      <c r="V61" s="141">
        <f t="shared" si="23"/>
        <v>1016.3139442488908</v>
      </c>
    </row>
    <row r="62" spans="1:22">
      <c r="A62" s="5">
        <f t="shared" si="22"/>
        <v>48</v>
      </c>
      <c r="B62" s="12" t="s">
        <v>68</v>
      </c>
      <c r="C62" s="12"/>
      <c r="D62" s="19">
        <v>545</v>
      </c>
      <c r="E62" s="19">
        <f t="shared" si="19"/>
        <v>-543.98840255039761</v>
      </c>
      <c r="F62" s="91">
        <f>'WGJ-4'!C47/1000</f>
        <v>1.0115974496023996</v>
      </c>
      <c r="G62" s="91"/>
      <c r="H62" s="91"/>
      <c r="I62" s="96" t="s">
        <v>135</v>
      </c>
      <c r="J62" s="3">
        <f t="shared" si="20"/>
        <v>1.0115974496023996</v>
      </c>
      <c r="K62" s="26">
        <f>'WGJ-4'!D47</f>
        <v>1011.5974496023996</v>
      </c>
      <c r="L62" s="26">
        <f>'WGJ-4'!E47</f>
        <v>0</v>
      </c>
      <c r="M62" s="26">
        <f>'WGJ-4'!F47</f>
        <v>0</v>
      </c>
      <c r="N62" s="26">
        <f>'WGJ-4'!G47</f>
        <v>0</v>
      </c>
      <c r="O62" s="26">
        <f>'WGJ-4'!H47</f>
        <v>0</v>
      </c>
      <c r="P62" s="26">
        <f>'WGJ-4'!I47</f>
        <v>0</v>
      </c>
      <c r="Q62" s="26">
        <f>'WGJ-4'!J47</f>
        <v>0</v>
      </c>
      <c r="R62" s="26">
        <f>'WGJ-4'!K47</f>
        <v>0</v>
      </c>
      <c r="S62" s="26">
        <f>'WGJ-4'!L47</f>
        <v>0</v>
      </c>
      <c r="T62" s="26">
        <f>'WGJ-4'!M47</f>
        <v>0</v>
      </c>
      <c r="U62" s="26">
        <f>'WGJ-4'!N47</f>
        <v>0</v>
      </c>
      <c r="V62" s="26">
        <f>'WGJ-4'!O47</f>
        <v>0</v>
      </c>
    </row>
    <row r="63" spans="1:22">
      <c r="A63" s="5">
        <f t="shared" si="22"/>
        <v>49</v>
      </c>
      <c r="B63" t="s">
        <v>67</v>
      </c>
      <c r="D63" s="19">
        <v>62</v>
      </c>
      <c r="E63" s="19">
        <f t="shared" si="19"/>
        <v>-61.977508357592988</v>
      </c>
      <c r="F63" s="91">
        <f>'WGJ-4'!C51/1000</f>
        <v>2.2491642407008579E-2</v>
      </c>
      <c r="G63" s="91" t="s">
        <v>182</v>
      </c>
      <c r="H63" s="91"/>
      <c r="I63" s="96" t="s">
        <v>135</v>
      </c>
      <c r="J63" s="3">
        <f t="shared" si="20"/>
        <v>2.2491642407008579E-2</v>
      </c>
      <c r="K63" s="26">
        <f>'WGJ-4'!D51</f>
        <v>0</v>
      </c>
      <c r="L63" s="26">
        <f>'WGJ-4'!E51</f>
        <v>0</v>
      </c>
      <c r="M63" s="26">
        <f>'WGJ-4'!F51</f>
        <v>0</v>
      </c>
      <c r="N63" s="26">
        <f>'WGJ-4'!G51</f>
        <v>0</v>
      </c>
      <c r="O63" s="26">
        <f>'WGJ-4'!H51</f>
        <v>0</v>
      </c>
      <c r="P63" s="26">
        <f>'WGJ-4'!I51</f>
        <v>0</v>
      </c>
      <c r="Q63" s="26">
        <f>'WGJ-4'!J51</f>
        <v>0</v>
      </c>
      <c r="R63" s="26">
        <f>'WGJ-4'!K51</f>
        <v>0</v>
      </c>
      <c r="S63" s="26">
        <f>'WGJ-4'!L51</f>
        <v>0</v>
      </c>
      <c r="T63" s="26">
        <f>'WGJ-4'!M51</f>
        <v>0</v>
      </c>
      <c r="U63" s="26">
        <f>'WGJ-4'!N51</f>
        <v>22.49164240700858</v>
      </c>
      <c r="V63" s="26">
        <f>'WGJ-4'!O51</f>
        <v>0</v>
      </c>
    </row>
    <row r="64" spans="1:22">
      <c r="A64" s="5">
        <f t="shared" si="22"/>
        <v>50</v>
      </c>
      <c r="B64" t="s">
        <v>65</v>
      </c>
      <c r="D64" s="19">
        <v>505</v>
      </c>
      <c r="E64" s="19">
        <f t="shared" si="19"/>
        <v>-472.03876122659335</v>
      </c>
      <c r="F64" s="91">
        <f>'WGJ-4'!C39/1000</f>
        <v>32.96123877340662</v>
      </c>
      <c r="G64" s="91"/>
      <c r="H64" s="91">
        <v>59394.366704579188</v>
      </c>
      <c r="I64" s="96" t="s">
        <v>135</v>
      </c>
      <c r="J64" s="3">
        <f t="shared" si="20"/>
        <v>32.96123877340662</v>
      </c>
      <c r="K64" s="26">
        <f>'WGJ-4'!D39</f>
        <v>6226.8674588629174</v>
      </c>
      <c r="L64" s="26">
        <f>'WGJ-4'!E39</f>
        <v>21167.235743999481</v>
      </c>
      <c r="M64" s="26">
        <f>'WGJ-4'!F39</f>
        <v>2714.3385937171324</v>
      </c>
      <c r="N64" s="26">
        <f>'WGJ-4'!G39</f>
        <v>284.23019626310889</v>
      </c>
      <c r="O64" s="26">
        <f>'WGJ-4'!H39</f>
        <v>0</v>
      </c>
      <c r="P64" s="26">
        <f>'WGJ-4'!I39</f>
        <v>0</v>
      </c>
      <c r="Q64" s="26">
        <f>'WGJ-4'!J39</f>
        <v>113.2729088355388</v>
      </c>
      <c r="R64" s="26">
        <f>'WGJ-4'!K39</f>
        <v>31.890599216733658</v>
      </c>
      <c r="S64" s="26">
        <f>'WGJ-4'!L39</f>
        <v>51.529130978243693</v>
      </c>
      <c r="T64" s="26">
        <f>'WGJ-4'!M39</f>
        <v>190.8774861799819</v>
      </c>
      <c r="U64" s="26">
        <f>'WGJ-4'!N39</f>
        <v>1226.8184800233159</v>
      </c>
      <c r="V64" s="26">
        <f>'WGJ-4'!O39</f>
        <v>954.17817533016205</v>
      </c>
    </row>
    <row r="65" spans="1:22">
      <c r="A65" s="5">
        <f t="shared" si="22"/>
        <v>51</v>
      </c>
      <c r="B65" s="106" t="s">
        <v>66</v>
      </c>
      <c r="C65" s="17"/>
      <c r="D65" s="40">
        <v>185</v>
      </c>
      <c r="E65" s="40">
        <f t="shared" si="19"/>
        <v>-135.69154997733091</v>
      </c>
      <c r="F65" s="92">
        <f>'WGJ-4'!C43/1000</f>
        <v>49.308450022669085</v>
      </c>
      <c r="G65" s="91"/>
      <c r="H65" s="91">
        <v>6240</v>
      </c>
      <c r="I65" s="96" t="s">
        <v>135</v>
      </c>
      <c r="J65" s="87">
        <f t="shared" si="20"/>
        <v>49.308450022669085</v>
      </c>
      <c r="K65" s="128">
        <f>'WGJ-4'!D43</f>
        <v>9935.6492214969221</v>
      </c>
      <c r="L65" s="128">
        <f>'WGJ-4'!E43</f>
        <v>22497.1921137401</v>
      </c>
      <c r="M65" s="128">
        <f>'WGJ-4'!F43</f>
        <v>6267.0097868357389</v>
      </c>
      <c r="N65" s="128">
        <f>'WGJ-4'!G43</f>
        <v>977.64415124963432</v>
      </c>
      <c r="O65" s="128">
        <f>'WGJ-4'!H43</f>
        <v>205.797614050763</v>
      </c>
      <c r="P65" s="128">
        <f>'WGJ-4'!I43</f>
        <v>263.07212864714006</v>
      </c>
      <c r="Q65" s="128">
        <f>'WGJ-4'!J43</f>
        <v>682.22471220152715</v>
      </c>
      <c r="R65" s="128">
        <f>'WGJ-4'!K43</f>
        <v>801.90071538090706</v>
      </c>
      <c r="S65" s="128">
        <f>'WGJ-4'!L43</f>
        <v>1349.8628801533155</v>
      </c>
      <c r="T65" s="128">
        <f>'WGJ-4'!M43</f>
        <v>1771.2980977126531</v>
      </c>
      <c r="U65" s="128">
        <f>'WGJ-4'!N43</f>
        <v>2897.3926989594474</v>
      </c>
      <c r="V65" s="128">
        <f>'WGJ-4'!O43</f>
        <v>1659.4059022409576</v>
      </c>
    </row>
    <row r="66" spans="1:22">
      <c r="A66" s="5">
        <f t="shared" si="22"/>
        <v>52</v>
      </c>
      <c r="B66" t="s">
        <v>49</v>
      </c>
      <c r="D66" s="91">
        <f>SUM(D54:D65)</f>
        <v>115450</v>
      </c>
      <c r="E66" s="19">
        <f>F66-D66</f>
        <v>-18476.035364427065</v>
      </c>
      <c r="F66" s="19">
        <f>SUM(F54:F65)</f>
        <v>96973.964635572935</v>
      </c>
      <c r="G66" s="19"/>
      <c r="H66" s="19">
        <v>0.11360950271288535</v>
      </c>
      <c r="I66" s="19"/>
      <c r="J66" s="3">
        <f t="shared" ref="J66:V66" si="24">SUM(J54:J65)</f>
        <v>96973.1909737276</v>
      </c>
      <c r="K66" s="26">
        <f t="shared" si="24"/>
        <v>10473077.364998326</v>
      </c>
      <c r="L66" s="26">
        <f t="shared" si="24"/>
        <v>9273437.5562007204</v>
      </c>
      <c r="M66" s="26">
        <f t="shared" si="24"/>
        <v>6195905.7522671903</v>
      </c>
      <c r="N66" s="26">
        <f t="shared" si="24"/>
        <v>2715097.9983362062</v>
      </c>
      <c r="O66" s="26">
        <f t="shared" si="24"/>
        <v>1690035.1648957501</v>
      </c>
      <c r="P66" s="26">
        <f t="shared" si="24"/>
        <v>1989912.0099193796</v>
      </c>
      <c r="Q66" s="26">
        <f t="shared" si="24"/>
        <v>7534185.9555446813</v>
      </c>
      <c r="R66" s="26">
        <f t="shared" si="24"/>
        <v>10543719.48355918</v>
      </c>
      <c r="S66" s="26">
        <f t="shared" si="24"/>
        <v>10477105.022159979</v>
      </c>
      <c r="T66" s="26">
        <f t="shared" si="24"/>
        <v>12040215.213496407</v>
      </c>
      <c r="U66" s="26">
        <f t="shared" si="24"/>
        <v>11992860.497516099</v>
      </c>
      <c r="V66" s="26">
        <f t="shared" si="24"/>
        <v>12047638.954833681</v>
      </c>
    </row>
    <row r="67" spans="1:22">
      <c r="A67" s="5"/>
      <c r="D67" s="19"/>
      <c r="E67" s="19"/>
      <c r="F67" s="19"/>
      <c r="G67" s="19"/>
      <c r="H67" s="19">
        <v>3237.8010523088278</v>
      </c>
      <c r="I67" s="19"/>
      <c r="J67" s="3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</row>
    <row r="68" spans="1:22">
      <c r="A68" s="5"/>
      <c r="D68" s="19"/>
      <c r="E68" s="19"/>
      <c r="F68" s="19"/>
      <c r="G68" s="19"/>
      <c r="H68" s="19">
        <v>592.63582339628294</v>
      </c>
      <c r="I68" s="19"/>
      <c r="J68" s="3"/>
    </row>
    <row r="69" spans="1:22">
      <c r="A69" s="5"/>
      <c r="B69" s="7" t="s">
        <v>12</v>
      </c>
      <c r="D69" s="19"/>
      <c r="E69" s="19" t="s">
        <v>11</v>
      </c>
      <c r="F69" s="19"/>
      <c r="G69" s="19"/>
      <c r="H69" s="40">
        <v>480</v>
      </c>
      <c r="I69" s="19"/>
      <c r="J69" s="3"/>
    </row>
    <row r="70" spans="1:22">
      <c r="A70" s="5">
        <f>A66+1</f>
        <v>53</v>
      </c>
      <c r="B70" t="s">
        <v>7</v>
      </c>
      <c r="C70" s="12"/>
      <c r="D70" s="19">
        <v>789</v>
      </c>
      <c r="E70" s="19">
        <f t="shared" ref="E70:E81" si="25">F70-D70</f>
        <v>0</v>
      </c>
      <c r="F70" s="91">
        <v>789</v>
      </c>
      <c r="G70" s="19"/>
      <c r="H70" s="19">
        <v>70026.232758276092</v>
      </c>
      <c r="I70" s="19"/>
      <c r="J70" s="3">
        <f t="shared" ref="J70:J82" si="26">SUM(K70:V70)/1000</f>
        <v>788.74560000000019</v>
      </c>
      <c r="K70" s="58">
        <v>65728.800000000003</v>
      </c>
      <c r="L70" s="58">
        <v>65728.800000000003</v>
      </c>
      <c r="M70" s="58">
        <v>65728.800000000003</v>
      </c>
      <c r="N70" s="58">
        <v>65728.800000000003</v>
      </c>
      <c r="O70" s="58">
        <v>65728.800000000003</v>
      </c>
      <c r="P70" s="58">
        <v>65728.800000000003</v>
      </c>
      <c r="Q70" s="58">
        <v>65728.800000000003</v>
      </c>
      <c r="R70" s="58">
        <v>65728.800000000003</v>
      </c>
      <c r="S70" s="58">
        <v>65728.800000000003</v>
      </c>
      <c r="T70" s="58">
        <v>65728.800000000003</v>
      </c>
      <c r="U70" s="58">
        <v>65728.800000000003</v>
      </c>
      <c r="V70" s="58">
        <v>65728.800000000003</v>
      </c>
    </row>
    <row r="71" spans="1:22">
      <c r="A71" s="5">
        <f>A70+1</f>
        <v>54</v>
      </c>
      <c r="B71" t="s">
        <v>172</v>
      </c>
      <c r="D71" s="19">
        <v>9</v>
      </c>
      <c r="E71" s="19">
        <f t="shared" si="25"/>
        <v>0</v>
      </c>
      <c r="F71" s="93">
        <v>9</v>
      </c>
      <c r="G71" s="117"/>
      <c r="H71" s="22"/>
      <c r="I71" s="19"/>
      <c r="J71" s="3">
        <f t="shared" si="26"/>
        <v>9.2850000000000001</v>
      </c>
      <c r="K71" s="58"/>
      <c r="L71" s="58"/>
      <c r="M71" s="58"/>
      <c r="N71" s="58"/>
      <c r="O71" s="58"/>
      <c r="P71" s="58">
        <v>9285</v>
      </c>
      <c r="Q71" s="58"/>
      <c r="R71" s="58"/>
      <c r="S71" s="58"/>
      <c r="T71" s="58"/>
      <c r="U71" s="58"/>
      <c r="V71" s="58"/>
    </row>
    <row r="72" spans="1:22">
      <c r="A72" s="5">
        <f>A71+1</f>
        <v>55</v>
      </c>
      <c r="B72" t="s">
        <v>29</v>
      </c>
      <c r="D72" s="19">
        <v>65</v>
      </c>
      <c r="E72" s="19">
        <f>F72-D72</f>
        <v>-65</v>
      </c>
      <c r="F72" s="93">
        <v>0</v>
      </c>
      <c r="G72" s="22" t="s">
        <v>184</v>
      </c>
      <c r="H72" s="22"/>
      <c r="I72" s="22"/>
      <c r="J72" s="3">
        <f t="shared" si="26"/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  <c r="T72" s="58">
        <v>0</v>
      </c>
      <c r="U72" s="58">
        <v>0</v>
      </c>
      <c r="V72" s="58">
        <v>0</v>
      </c>
    </row>
    <row r="73" spans="1:22">
      <c r="A73" s="5">
        <f>A72+1</f>
        <v>56</v>
      </c>
      <c r="B73" t="s">
        <v>123</v>
      </c>
      <c r="D73" s="19">
        <v>321</v>
      </c>
      <c r="E73" s="19">
        <f t="shared" si="25"/>
        <v>0</v>
      </c>
      <c r="F73" s="91">
        <v>321</v>
      </c>
      <c r="G73" s="19"/>
      <c r="H73" s="19"/>
      <c r="I73" s="19"/>
      <c r="J73" s="3">
        <f t="shared" si="26"/>
        <v>321</v>
      </c>
      <c r="K73" s="58">
        <f>321000/12</f>
        <v>26750</v>
      </c>
      <c r="L73" s="58">
        <f t="shared" ref="L73:V73" si="27">321000/12</f>
        <v>26750</v>
      </c>
      <c r="M73" s="58">
        <f t="shared" si="27"/>
        <v>26750</v>
      </c>
      <c r="N73" s="58">
        <f t="shared" si="27"/>
        <v>26750</v>
      </c>
      <c r="O73" s="58">
        <f t="shared" si="27"/>
        <v>26750</v>
      </c>
      <c r="P73" s="58">
        <f t="shared" si="27"/>
        <v>26750</v>
      </c>
      <c r="Q73" s="58">
        <f t="shared" si="27"/>
        <v>26750</v>
      </c>
      <c r="R73" s="58">
        <f t="shared" si="27"/>
        <v>26750</v>
      </c>
      <c r="S73" s="58">
        <f t="shared" si="27"/>
        <v>26750</v>
      </c>
      <c r="T73" s="58">
        <f t="shared" si="27"/>
        <v>26750</v>
      </c>
      <c r="U73" s="58">
        <f t="shared" si="27"/>
        <v>26750</v>
      </c>
      <c r="V73" s="58">
        <f t="shared" si="27"/>
        <v>26750</v>
      </c>
    </row>
    <row r="74" spans="1:22">
      <c r="A74" s="5">
        <f t="shared" ref="A74:A82" si="28">A73+1</f>
        <v>57</v>
      </c>
      <c r="B74" t="s">
        <v>199</v>
      </c>
      <c r="D74" s="19">
        <v>8428</v>
      </c>
      <c r="E74" s="19">
        <f t="shared" si="25"/>
        <v>2</v>
      </c>
      <c r="F74" s="91">
        <v>8430</v>
      </c>
      <c r="G74" s="91"/>
      <c r="H74" s="91">
        <v>772</v>
      </c>
      <c r="I74" s="94"/>
      <c r="J74" s="3">
        <f t="shared" si="26"/>
        <v>8429.616</v>
      </c>
      <c r="K74" s="58">
        <v>702468</v>
      </c>
      <c r="L74" s="58">
        <v>702468</v>
      </c>
      <c r="M74" s="58">
        <v>702468</v>
      </c>
      <c r="N74" s="58">
        <v>702468</v>
      </c>
      <c r="O74" s="58">
        <v>702468</v>
      </c>
      <c r="P74" s="58">
        <v>702468</v>
      </c>
      <c r="Q74" s="58">
        <v>702468</v>
      </c>
      <c r="R74" s="58">
        <v>702468</v>
      </c>
      <c r="S74" s="58">
        <v>702468</v>
      </c>
      <c r="T74" s="58">
        <v>702468</v>
      </c>
      <c r="U74" s="58">
        <v>702468</v>
      </c>
      <c r="V74" s="58">
        <v>702468</v>
      </c>
    </row>
    <row r="75" spans="1:22">
      <c r="A75" s="5">
        <f t="shared" si="28"/>
        <v>58</v>
      </c>
      <c r="B75" t="s">
        <v>198</v>
      </c>
      <c r="D75" s="19">
        <v>4541</v>
      </c>
      <c r="E75" s="19">
        <f t="shared" si="25"/>
        <v>-38</v>
      </c>
      <c r="F75" s="91">
        <v>4503</v>
      </c>
      <c r="G75" s="91"/>
      <c r="H75" s="91"/>
      <c r="I75" s="94"/>
      <c r="J75" s="3">
        <f t="shared" si="26"/>
        <v>4503</v>
      </c>
      <c r="K75" s="58">
        <v>375250</v>
      </c>
      <c r="L75" s="58">
        <v>375250</v>
      </c>
      <c r="M75" s="58">
        <v>375250</v>
      </c>
      <c r="N75" s="58">
        <v>375250</v>
      </c>
      <c r="O75" s="58">
        <v>375250</v>
      </c>
      <c r="P75" s="58">
        <v>375250</v>
      </c>
      <c r="Q75" s="58">
        <v>375250</v>
      </c>
      <c r="R75" s="58">
        <v>375250</v>
      </c>
      <c r="S75" s="58">
        <v>375250</v>
      </c>
      <c r="T75" s="58">
        <v>375250</v>
      </c>
      <c r="U75" s="58">
        <v>375250</v>
      </c>
      <c r="V75" s="58">
        <v>375250</v>
      </c>
    </row>
    <row r="76" spans="1:22">
      <c r="A76" s="5">
        <f t="shared" si="28"/>
        <v>59</v>
      </c>
      <c r="B76" t="s">
        <v>27</v>
      </c>
      <c r="D76" s="19">
        <v>1173</v>
      </c>
      <c r="E76" s="19">
        <f t="shared" si="25"/>
        <v>0</v>
      </c>
      <c r="F76" s="91">
        <v>1173</v>
      </c>
      <c r="G76" s="19" t="s">
        <v>183</v>
      </c>
      <c r="H76" s="19">
        <v>49</v>
      </c>
      <c r="I76" s="19"/>
      <c r="J76" s="3">
        <f t="shared" si="26"/>
        <v>1172.808</v>
      </c>
      <c r="K76" s="58">
        <v>97734</v>
      </c>
      <c r="L76" s="58">
        <v>97734</v>
      </c>
      <c r="M76" s="58">
        <v>97734</v>
      </c>
      <c r="N76" s="58">
        <v>97734</v>
      </c>
      <c r="O76" s="58">
        <v>97734</v>
      </c>
      <c r="P76" s="58">
        <v>97734</v>
      </c>
      <c r="Q76" s="58">
        <v>97734</v>
      </c>
      <c r="R76" s="58">
        <v>97734</v>
      </c>
      <c r="S76" s="58">
        <v>97734</v>
      </c>
      <c r="T76" s="58">
        <v>97734</v>
      </c>
      <c r="U76" s="58">
        <v>97734</v>
      </c>
      <c r="V76" s="58">
        <v>97734</v>
      </c>
    </row>
    <row r="77" spans="1:22">
      <c r="A77" s="5">
        <f t="shared" si="28"/>
        <v>60</v>
      </c>
      <c r="B77" t="s">
        <v>102</v>
      </c>
      <c r="D77" s="19">
        <v>1253</v>
      </c>
      <c r="E77" s="19">
        <f t="shared" si="25"/>
        <v>0</v>
      </c>
      <c r="F77" s="91">
        <v>1253</v>
      </c>
      <c r="G77" s="96"/>
      <c r="H77" s="19">
        <v>348</v>
      </c>
      <c r="I77" s="19"/>
      <c r="J77" s="3">
        <f t="shared" si="26"/>
        <v>1252.921</v>
      </c>
      <c r="K77" s="58">
        <v>146939</v>
      </c>
      <c r="L77" s="58">
        <v>94978</v>
      </c>
      <c r="M77" s="58">
        <v>150357</v>
      </c>
      <c r="N77" s="58">
        <v>49402</v>
      </c>
      <c r="O77" s="58">
        <v>66471</v>
      </c>
      <c r="P77" s="58">
        <v>79087</v>
      </c>
      <c r="Q77" s="58">
        <v>124144</v>
      </c>
      <c r="R77" s="58">
        <v>80867</v>
      </c>
      <c r="S77" s="58">
        <v>83626</v>
      </c>
      <c r="T77" s="58">
        <v>77462</v>
      </c>
      <c r="U77" s="58">
        <v>111434</v>
      </c>
      <c r="V77" s="58">
        <v>188154</v>
      </c>
    </row>
    <row r="78" spans="1:22">
      <c r="A78" s="5">
        <f t="shared" si="28"/>
        <v>61</v>
      </c>
      <c r="B78" t="s">
        <v>101</v>
      </c>
      <c r="D78" s="19">
        <v>45</v>
      </c>
      <c r="E78" s="19">
        <f t="shared" si="25"/>
        <v>0</v>
      </c>
      <c r="F78" s="91">
        <v>45</v>
      </c>
      <c r="G78" s="19"/>
      <c r="H78" s="19">
        <v>8315</v>
      </c>
      <c r="I78" s="19"/>
      <c r="J78" s="3">
        <f t="shared" si="26"/>
        <v>45.222000000000001</v>
      </c>
      <c r="K78" s="58">
        <v>3768.5</v>
      </c>
      <c r="L78" s="58">
        <v>3768.5</v>
      </c>
      <c r="M78" s="58">
        <v>3768.5</v>
      </c>
      <c r="N78" s="58">
        <v>3768.5</v>
      </c>
      <c r="O78" s="58">
        <v>3768.5</v>
      </c>
      <c r="P78" s="58">
        <v>3768.5</v>
      </c>
      <c r="Q78" s="58">
        <v>3768.5</v>
      </c>
      <c r="R78" s="58">
        <v>3768.5</v>
      </c>
      <c r="S78" s="58">
        <v>3768.5</v>
      </c>
      <c r="T78" s="58">
        <v>3768.5</v>
      </c>
      <c r="U78" s="58">
        <v>3768.5</v>
      </c>
      <c r="V78" s="58">
        <v>3768.5</v>
      </c>
    </row>
    <row r="79" spans="1:22">
      <c r="A79" s="5">
        <f t="shared" si="28"/>
        <v>62</v>
      </c>
      <c r="B79" t="s">
        <v>138</v>
      </c>
      <c r="D79" s="19">
        <v>139</v>
      </c>
      <c r="E79" s="19">
        <f t="shared" si="25"/>
        <v>0</v>
      </c>
      <c r="F79" s="91">
        <v>139</v>
      </c>
      <c r="G79" s="19"/>
      <c r="H79" s="19">
        <v>1245</v>
      </c>
      <c r="I79" s="19"/>
      <c r="J79" s="3">
        <f t="shared" si="26"/>
        <v>138.66970999999998</v>
      </c>
      <c r="K79" s="58">
        <v>13009.539999999999</v>
      </c>
      <c r="L79" s="58">
        <v>11190.38</v>
      </c>
      <c r="M79" s="58">
        <v>11126.4</v>
      </c>
      <c r="N79" s="58">
        <v>11126.4</v>
      </c>
      <c r="O79" s="58">
        <v>11126.4</v>
      </c>
      <c r="P79" s="58">
        <v>11126.4</v>
      </c>
      <c r="Q79" s="58">
        <v>11126.4</v>
      </c>
      <c r="R79" s="58">
        <v>11126.4</v>
      </c>
      <c r="S79" s="58">
        <v>11126.4</v>
      </c>
      <c r="T79" s="58">
        <v>11126.4</v>
      </c>
      <c r="U79" s="58">
        <v>12589.52</v>
      </c>
      <c r="V79" s="58">
        <v>12869.07</v>
      </c>
    </row>
    <row r="80" spans="1:22">
      <c r="A80" s="5">
        <f t="shared" si="28"/>
        <v>63</v>
      </c>
      <c r="B80" t="s">
        <v>13</v>
      </c>
      <c r="C80" s="12"/>
      <c r="D80" s="19">
        <v>337</v>
      </c>
      <c r="E80" s="19">
        <f t="shared" si="25"/>
        <v>0</v>
      </c>
      <c r="F80" s="91">
        <v>337</v>
      </c>
      <c r="G80" s="19"/>
      <c r="H80" s="19">
        <v>1689</v>
      </c>
      <c r="I80" s="19"/>
      <c r="J80" s="3">
        <f t="shared" si="26"/>
        <v>337.32072000000005</v>
      </c>
      <c r="K80" s="58">
        <v>41439.24</v>
      </c>
      <c r="L80" s="58">
        <v>43541.46</v>
      </c>
      <c r="M80" s="58">
        <v>42985.270000000004</v>
      </c>
      <c r="N80" s="58">
        <v>39228.47</v>
      </c>
      <c r="O80" s="58">
        <v>27614.57</v>
      </c>
      <c r="P80" s="58">
        <v>14015.05</v>
      </c>
      <c r="Q80" s="58">
        <v>17305.2</v>
      </c>
      <c r="R80" s="58">
        <v>24167.52</v>
      </c>
      <c r="S80" s="58">
        <v>34076.18</v>
      </c>
      <c r="T80" s="58">
        <v>19503.77</v>
      </c>
      <c r="U80" s="58">
        <v>23785.91</v>
      </c>
      <c r="V80" s="58">
        <v>9658.08</v>
      </c>
    </row>
    <row r="81" spans="1:22">
      <c r="A81" s="5">
        <f t="shared" si="28"/>
        <v>64</v>
      </c>
      <c r="B81" s="17" t="s">
        <v>33</v>
      </c>
      <c r="C81" s="17"/>
      <c r="D81" s="40">
        <v>644</v>
      </c>
      <c r="E81" s="40">
        <f t="shared" si="25"/>
        <v>-1</v>
      </c>
      <c r="F81" s="92">
        <v>643</v>
      </c>
      <c r="G81" s="19"/>
      <c r="H81" s="19">
        <v>32.112000000000002</v>
      </c>
      <c r="I81" s="19"/>
      <c r="J81" s="87">
        <f t="shared" si="26"/>
        <v>642.58799999999997</v>
      </c>
      <c r="K81" s="105">
        <v>53549</v>
      </c>
      <c r="L81" s="105">
        <v>53549</v>
      </c>
      <c r="M81" s="105">
        <v>53549</v>
      </c>
      <c r="N81" s="105">
        <v>53549</v>
      </c>
      <c r="O81" s="105">
        <v>53549</v>
      </c>
      <c r="P81" s="105">
        <v>53549</v>
      </c>
      <c r="Q81" s="105">
        <v>53549</v>
      </c>
      <c r="R81" s="105">
        <v>53549</v>
      </c>
      <c r="S81" s="105">
        <v>53549</v>
      </c>
      <c r="T81" s="105">
        <v>53549</v>
      </c>
      <c r="U81" s="105">
        <v>53549</v>
      </c>
      <c r="V81" s="105">
        <v>53549</v>
      </c>
    </row>
    <row r="82" spans="1:22">
      <c r="A82" s="5">
        <f t="shared" si="28"/>
        <v>65</v>
      </c>
      <c r="B82" t="s">
        <v>14</v>
      </c>
      <c r="D82" s="91">
        <f>SUM(D70:D81)</f>
        <v>17744</v>
      </c>
      <c r="E82" s="19">
        <f>F82-D82</f>
        <v>-102</v>
      </c>
      <c r="F82" s="19">
        <f>SUM(F70:F81)</f>
        <v>17642</v>
      </c>
      <c r="G82" s="19"/>
      <c r="H82" s="19">
        <v>214</v>
      </c>
      <c r="I82" s="19"/>
      <c r="J82" s="3">
        <f t="shared" si="26"/>
        <v>17641.176030000002</v>
      </c>
      <c r="K82" s="26">
        <f t="shared" ref="K82:V82" si="29">SUM(K70:K81)</f>
        <v>1526636.08</v>
      </c>
      <c r="L82" s="26">
        <f t="shared" si="29"/>
        <v>1474958.14</v>
      </c>
      <c r="M82" s="26">
        <f t="shared" si="29"/>
        <v>1529716.97</v>
      </c>
      <c r="N82" s="26">
        <f t="shared" si="29"/>
        <v>1425005.17</v>
      </c>
      <c r="O82" s="26">
        <f t="shared" si="29"/>
        <v>1430460.27</v>
      </c>
      <c r="P82" s="26">
        <f t="shared" si="29"/>
        <v>1438761.75</v>
      </c>
      <c r="Q82" s="26">
        <f t="shared" si="29"/>
        <v>1477823.9</v>
      </c>
      <c r="R82" s="26">
        <f t="shared" si="29"/>
        <v>1441409.22</v>
      </c>
      <c r="S82" s="26">
        <f t="shared" si="29"/>
        <v>1454076.88</v>
      </c>
      <c r="T82" s="26">
        <f t="shared" si="29"/>
        <v>1433340.47</v>
      </c>
      <c r="U82" s="26">
        <f t="shared" si="29"/>
        <v>1473057.73</v>
      </c>
      <c r="V82" s="26">
        <f t="shared" si="29"/>
        <v>1535929.4500000002</v>
      </c>
    </row>
    <row r="83" spans="1:22" ht="12.95" customHeight="1">
      <c r="A83" s="5"/>
      <c r="D83" s="19"/>
      <c r="E83" s="19"/>
      <c r="F83" s="19"/>
      <c r="G83" s="19"/>
      <c r="H83" s="40">
        <v>643</v>
      </c>
      <c r="I83" s="19"/>
      <c r="J83" s="3"/>
    </row>
    <row r="84" spans="1:22" ht="12" customHeight="1">
      <c r="A84" s="5"/>
      <c r="B84" s="7" t="s">
        <v>17</v>
      </c>
      <c r="D84" s="19"/>
      <c r="E84" s="19"/>
      <c r="F84" s="19"/>
      <c r="G84" s="19"/>
      <c r="H84" s="19">
        <v>13307.111999999999</v>
      </c>
      <c r="I84" s="19"/>
      <c r="J84" s="3"/>
    </row>
    <row r="85" spans="1:22" ht="12" customHeight="1">
      <c r="A85" s="5">
        <f>A82+1</f>
        <v>66</v>
      </c>
      <c r="B85" t="s">
        <v>111</v>
      </c>
      <c r="D85" s="91">
        <v>853</v>
      </c>
      <c r="E85" s="91">
        <f>F85-D85</f>
        <v>0</v>
      </c>
      <c r="F85" s="91">
        <v>853</v>
      </c>
      <c r="G85" s="91"/>
      <c r="H85" s="91"/>
      <c r="I85" s="19"/>
      <c r="J85" s="3"/>
    </row>
    <row r="86" spans="1:22" ht="12" customHeight="1">
      <c r="A86" s="5"/>
      <c r="D86" s="19"/>
      <c r="E86" s="19"/>
      <c r="F86" s="19"/>
      <c r="G86" s="19"/>
      <c r="H86" s="19"/>
      <c r="I86" s="19"/>
      <c r="J86" s="3"/>
    </row>
    <row r="87" spans="1:22" ht="12" customHeight="1">
      <c r="A87" s="5"/>
      <c r="B87" s="7" t="s">
        <v>55</v>
      </c>
      <c r="D87" s="19"/>
      <c r="E87" s="19"/>
      <c r="F87" s="19"/>
      <c r="G87" s="19"/>
      <c r="H87" s="19">
        <v>6729</v>
      </c>
      <c r="I87" s="19"/>
      <c r="J87" s="3"/>
    </row>
    <row r="88" spans="1:22" ht="12" customHeight="1">
      <c r="A88" s="5">
        <f>A85+1</f>
        <v>67</v>
      </c>
      <c r="B88" t="s">
        <v>50</v>
      </c>
      <c r="D88" s="91">
        <v>160</v>
      </c>
      <c r="E88" s="91">
        <f>F88-D88</f>
        <v>0</v>
      </c>
      <c r="F88" s="91">
        <v>160</v>
      </c>
      <c r="G88" s="91"/>
      <c r="H88" s="91"/>
      <c r="I88" s="19"/>
      <c r="J88" s="3"/>
    </row>
    <row r="89" spans="1:22" ht="12" customHeight="1">
      <c r="A89" s="5"/>
      <c r="D89" s="19"/>
      <c r="E89" s="19"/>
      <c r="F89" s="19"/>
      <c r="G89" s="19"/>
      <c r="H89" s="19"/>
      <c r="I89" s="19"/>
      <c r="J89" s="3"/>
    </row>
    <row r="90" spans="1:22" ht="12" customHeight="1">
      <c r="A90" s="5">
        <f>A88+1</f>
        <v>68</v>
      </c>
      <c r="B90" s="43" t="s">
        <v>18</v>
      </c>
      <c r="C90" s="36"/>
      <c r="D90" s="44">
        <f>D37+D44+D51+D66+D82+D85+D88</f>
        <v>557822</v>
      </c>
      <c r="E90" s="44">
        <f>F90-D90</f>
        <v>-301808.77475962735</v>
      </c>
      <c r="F90" s="45">
        <f>F37+F44+F51+F66+F82+F85+F88</f>
        <v>256013.22524037265</v>
      </c>
      <c r="G90" s="19"/>
      <c r="H90" s="19">
        <v>133</v>
      </c>
      <c r="I90" s="19"/>
      <c r="J90" s="3"/>
    </row>
    <row r="91" spans="1:22" ht="12" customHeight="1">
      <c r="A91" s="5"/>
      <c r="B91" s="2"/>
      <c r="D91" s="19"/>
      <c r="E91" s="19"/>
      <c r="F91" s="19"/>
      <c r="G91" s="19"/>
      <c r="H91" s="40"/>
      <c r="I91" s="19"/>
      <c r="J91" s="3"/>
    </row>
    <row r="92" spans="1:22" ht="12" customHeight="1">
      <c r="A92" s="5"/>
      <c r="B92" s="7" t="s">
        <v>19</v>
      </c>
      <c r="D92" s="19"/>
      <c r="E92" s="19"/>
      <c r="F92" s="19"/>
      <c r="G92" s="19"/>
      <c r="H92" s="44">
        <v>188457.26014905036</v>
      </c>
      <c r="I92" s="19"/>
      <c r="J92" s="3"/>
      <c r="K92" s="49">
        <v>39447</v>
      </c>
      <c r="L92" s="49">
        <v>39478</v>
      </c>
      <c r="M92" s="49">
        <v>39507</v>
      </c>
      <c r="N92" s="49">
        <v>39538</v>
      </c>
      <c r="O92" s="49">
        <v>39568</v>
      </c>
      <c r="P92" s="49">
        <v>39599</v>
      </c>
      <c r="Q92" s="49">
        <v>39629</v>
      </c>
      <c r="R92" s="49">
        <v>39660</v>
      </c>
      <c r="S92" s="49">
        <v>39691</v>
      </c>
      <c r="T92" s="49">
        <v>39721</v>
      </c>
      <c r="U92" s="49">
        <v>39752</v>
      </c>
      <c r="V92" s="49">
        <v>39782</v>
      </c>
    </row>
    <row r="93" spans="1:22" ht="12.95" customHeight="1">
      <c r="A93" s="5">
        <f>A90+1</f>
        <v>69</v>
      </c>
      <c r="B93" t="s">
        <v>174</v>
      </c>
      <c r="D93" s="19">
        <v>0</v>
      </c>
      <c r="E93" s="19">
        <f t="shared" ref="E93:E103" si="30">F93-D93</f>
        <v>34650.133289922982</v>
      </c>
      <c r="F93" s="19">
        <f>-'WGJ-4'!C9/1000</f>
        <v>34650.133289922982</v>
      </c>
      <c r="G93" s="19"/>
      <c r="H93" s="19"/>
      <c r="I93" s="18"/>
      <c r="J93" s="3">
        <f>SUM(K93:V93)/1000</f>
        <v>34650.133289922982</v>
      </c>
      <c r="K93" s="26">
        <f>-'WGJ-4'!D9</f>
        <v>3728498.3803885323</v>
      </c>
      <c r="L93" s="26">
        <f>-'WGJ-4'!E9</f>
        <v>3655612.6079968042</v>
      </c>
      <c r="M93" s="26">
        <f>-'WGJ-4'!F9</f>
        <v>2342100.9606497628</v>
      </c>
      <c r="N93" s="26">
        <f>-'WGJ-4'!G9</f>
        <v>1628056.0531616211</v>
      </c>
      <c r="O93" s="26">
        <f>-'WGJ-4'!H9</f>
        <v>2677073.8429478239</v>
      </c>
      <c r="P93" s="26">
        <f>-'WGJ-4'!I9</f>
        <v>1751477.0693097797</v>
      </c>
      <c r="Q93" s="26">
        <f>-'WGJ-4'!J9</f>
        <v>3857251.1648450578</v>
      </c>
      <c r="R93" s="26">
        <f>-'WGJ-4'!K9</f>
        <v>1206954.9534388951</v>
      </c>
      <c r="S93" s="26">
        <f>-'WGJ-4'!L9</f>
        <v>2847799.2335728235</v>
      </c>
      <c r="T93" s="26">
        <f>-'WGJ-4'!M9</f>
        <v>3446994.6376255578</v>
      </c>
      <c r="U93" s="26">
        <f>-'WGJ-4'!N9</f>
        <v>4520058.4437779021</v>
      </c>
      <c r="V93" s="26">
        <f>-'WGJ-4'!O9</f>
        <v>2988255.9422084265</v>
      </c>
    </row>
    <row r="94" spans="1:22" ht="12.95" customHeight="1">
      <c r="A94" s="5">
        <f t="shared" ref="A94:A102" si="31">A93+1</f>
        <v>70</v>
      </c>
      <c r="B94" t="s">
        <v>215</v>
      </c>
      <c r="D94" s="91">
        <v>219096</v>
      </c>
      <c r="E94" s="19">
        <f t="shared" si="30"/>
        <v>-218234</v>
      </c>
      <c r="F94" s="138">
        <v>862</v>
      </c>
      <c r="G94" s="19"/>
      <c r="H94" s="19"/>
      <c r="I94" s="18"/>
      <c r="J94" s="3">
        <f>SUM(K94:V94)/1000</f>
        <v>862.4</v>
      </c>
      <c r="K94" s="26">
        <v>0</v>
      </c>
      <c r="L94" s="26">
        <v>0</v>
      </c>
      <c r="M94" s="26">
        <v>0</v>
      </c>
      <c r="N94" s="26">
        <v>280000</v>
      </c>
      <c r="O94" s="26">
        <v>291200</v>
      </c>
      <c r="P94" s="26">
        <v>291200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</row>
    <row r="95" spans="1:22" ht="12.95" customHeight="1">
      <c r="A95" s="5">
        <f t="shared" si="31"/>
        <v>71</v>
      </c>
      <c r="B95" t="s">
        <v>214</v>
      </c>
      <c r="D95" s="91">
        <v>0</v>
      </c>
      <c r="E95" s="19">
        <f t="shared" si="30"/>
        <v>423</v>
      </c>
      <c r="F95" s="138">
        <v>423</v>
      </c>
      <c r="G95" s="19"/>
      <c r="H95" s="19"/>
      <c r="I95" s="18"/>
      <c r="J95" s="3">
        <f>SUM(K95:V95)/1000</f>
        <v>422.96048504284465</v>
      </c>
      <c r="K95" s="26">
        <v>0</v>
      </c>
      <c r="L95" s="26">
        <v>0</v>
      </c>
      <c r="M95" s="26">
        <v>0</v>
      </c>
      <c r="N95" s="26">
        <v>94443.847340865075</v>
      </c>
      <c r="O95" s="26">
        <v>98221.601234499685</v>
      </c>
      <c r="P95" s="26">
        <v>98221.601234499685</v>
      </c>
      <c r="Q95" s="26">
        <v>43445.208958217168</v>
      </c>
      <c r="R95" s="26">
        <v>46920.825674874533</v>
      </c>
      <c r="S95" s="26">
        <v>41707.400599888475</v>
      </c>
      <c r="T95" s="26">
        <v>0</v>
      </c>
      <c r="U95" s="26">
        <v>0</v>
      </c>
      <c r="V95" s="26">
        <v>0</v>
      </c>
    </row>
    <row r="96" spans="1:22">
      <c r="A96" s="5">
        <f t="shared" si="31"/>
        <v>72</v>
      </c>
      <c r="B96" s="6" t="s">
        <v>122</v>
      </c>
      <c r="D96" s="91">
        <v>1749</v>
      </c>
      <c r="E96" s="19">
        <f t="shared" si="30"/>
        <v>0</v>
      </c>
      <c r="F96" s="19">
        <v>1749</v>
      </c>
      <c r="G96" s="19"/>
      <c r="H96" s="19"/>
      <c r="I96" s="19"/>
      <c r="J96" s="3">
        <f t="shared" ref="J96:J104" si="32">SUM(K96:V96)/1000</f>
        <v>1748.6949999999999</v>
      </c>
      <c r="K96" s="142">
        <v>145955</v>
      </c>
      <c r="L96" s="142">
        <v>146345</v>
      </c>
      <c r="M96" s="142">
        <v>144955</v>
      </c>
      <c r="N96" s="142">
        <v>146085</v>
      </c>
      <c r="O96" s="142">
        <v>145955</v>
      </c>
      <c r="P96" s="142">
        <v>145150</v>
      </c>
      <c r="Q96" s="142">
        <v>146085</v>
      </c>
      <c r="R96" s="142">
        <v>146020</v>
      </c>
      <c r="S96" s="142">
        <v>145150</v>
      </c>
      <c r="T96" s="142">
        <v>145955</v>
      </c>
      <c r="U96" s="142">
        <v>146085</v>
      </c>
      <c r="V96" s="142">
        <v>144955</v>
      </c>
    </row>
    <row r="97" spans="1:22">
      <c r="A97" s="5">
        <f t="shared" si="31"/>
        <v>73</v>
      </c>
      <c r="B97" t="s">
        <v>34</v>
      </c>
      <c r="D97" s="99">
        <v>1693</v>
      </c>
      <c r="E97" s="19">
        <f t="shared" si="30"/>
        <v>688.24710418874929</v>
      </c>
      <c r="F97" s="91">
        <f>Index!C14/1000</f>
        <v>2381.2471041887493</v>
      </c>
      <c r="G97" s="125" t="s">
        <v>134</v>
      </c>
      <c r="H97" s="99">
        <v>1800</v>
      </c>
      <c r="I97" s="95" t="s">
        <v>134</v>
      </c>
      <c r="J97" s="3">
        <f t="shared" si="32"/>
        <v>2381.2471041887493</v>
      </c>
      <c r="K97" s="26">
        <f>Index!D14</f>
        <v>220630.70252249582</v>
      </c>
      <c r="L97" s="26">
        <f>Index!E14</f>
        <v>199616.82369689943</v>
      </c>
      <c r="M97" s="26">
        <f>Index!F14</f>
        <v>187992.5050367628</v>
      </c>
      <c r="N97" s="26">
        <f>Index!G14</f>
        <v>148076.45887184143</v>
      </c>
      <c r="O97" s="26">
        <f>Index!H14</f>
        <v>125429.78154955592</v>
      </c>
      <c r="P97" s="26">
        <f>Index!I14</f>
        <v>94175.430187225342</v>
      </c>
      <c r="Q97" s="26">
        <f>Index!J14</f>
        <v>210211.36300588335</v>
      </c>
      <c r="R97" s="26">
        <f>Index!K14</f>
        <v>234153.78445260186</v>
      </c>
      <c r="S97" s="26">
        <f>Index!L14</f>
        <v>216127.5024686541</v>
      </c>
      <c r="T97" s="26">
        <f>Index!M14</f>
        <v>240248.89310041154</v>
      </c>
      <c r="U97" s="26">
        <f>Index!N14</f>
        <v>238116.8525717599</v>
      </c>
      <c r="V97" s="26">
        <f>Index!O14</f>
        <v>266467.00672465732</v>
      </c>
    </row>
    <row r="98" spans="1:22">
      <c r="A98" s="5">
        <f t="shared" si="31"/>
        <v>74</v>
      </c>
      <c r="B98" t="s">
        <v>129</v>
      </c>
      <c r="D98" s="99">
        <v>80</v>
      </c>
      <c r="E98" s="19">
        <f t="shared" si="30"/>
        <v>0</v>
      </c>
      <c r="F98" s="91">
        <v>80</v>
      </c>
      <c r="G98" s="20"/>
      <c r="H98" s="20">
        <v>-63</v>
      </c>
      <c r="J98" s="3">
        <f t="shared" si="32"/>
        <v>80</v>
      </c>
      <c r="K98" s="26">
        <f t="shared" ref="K98:K101" si="33">$F98/12*1000</f>
        <v>6666.666666666667</v>
      </c>
      <c r="L98" s="26">
        <f t="shared" ref="L98:V101" si="34">$F98/12*1000</f>
        <v>6666.666666666667</v>
      </c>
      <c r="M98" s="26">
        <f t="shared" si="34"/>
        <v>6666.666666666667</v>
      </c>
      <c r="N98" s="26">
        <f t="shared" si="34"/>
        <v>6666.666666666667</v>
      </c>
      <c r="O98" s="26">
        <f t="shared" si="34"/>
        <v>6666.666666666667</v>
      </c>
      <c r="P98" s="26">
        <f t="shared" si="34"/>
        <v>6666.666666666667</v>
      </c>
      <c r="Q98" s="26">
        <f t="shared" si="34"/>
        <v>6666.666666666667</v>
      </c>
      <c r="R98" s="26">
        <f t="shared" si="34"/>
        <v>6666.666666666667</v>
      </c>
      <c r="S98" s="26">
        <f t="shared" si="34"/>
        <v>6666.666666666667</v>
      </c>
      <c r="T98" s="26">
        <f t="shared" si="34"/>
        <v>6666.666666666667</v>
      </c>
      <c r="U98" s="26">
        <f t="shared" si="34"/>
        <v>6666.666666666667</v>
      </c>
      <c r="V98" s="26">
        <f t="shared" si="34"/>
        <v>6666.666666666667</v>
      </c>
    </row>
    <row r="99" spans="1:22">
      <c r="A99" s="5">
        <f t="shared" si="31"/>
        <v>75</v>
      </c>
      <c r="B99" t="s">
        <v>35</v>
      </c>
      <c r="D99" s="99">
        <v>419</v>
      </c>
      <c r="E99" s="19">
        <f t="shared" si="30"/>
        <v>0</v>
      </c>
      <c r="F99" s="91">
        <v>419</v>
      </c>
      <c r="G99" s="80"/>
      <c r="H99" s="80">
        <v>272</v>
      </c>
      <c r="J99" s="3">
        <f t="shared" si="32"/>
        <v>419.00000000000006</v>
      </c>
      <c r="K99" s="26">
        <f t="shared" si="33"/>
        <v>34916.666666666664</v>
      </c>
      <c r="L99" s="26">
        <f t="shared" si="34"/>
        <v>34916.666666666664</v>
      </c>
      <c r="M99" s="26">
        <f t="shared" si="34"/>
        <v>34916.666666666664</v>
      </c>
      <c r="N99" s="26">
        <f t="shared" si="34"/>
        <v>34916.666666666664</v>
      </c>
      <c r="O99" s="26">
        <f t="shared" si="34"/>
        <v>34916.666666666664</v>
      </c>
      <c r="P99" s="26">
        <f t="shared" si="34"/>
        <v>34916.666666666664</v>
      </c>
      <c r="Q99" s="26">
        <f t="shared" si="34"/>
        <v>34916.666666666664</v>
      </c>
      <c r="R99" s="26">
        <f t="shared" si="34"/>
        <v>34916.666666666664</v>
      </c>
      <c r="S99" s="26">
        <f t="shared" si="34"/>
        <v>34916.666666666664</v>
      </c>
      <c r="T99" s="26">
        <f t="shared" si="34"/>
        <v>34916.666666666664</v>
      </c>
      <c r="U99" s="26">
        <f t="shared" si="34"/>
        <v>34916.666666666664</v>
      </c>
      <c r="V99" s="26">
        <f t="shared" si="34"/>
        <v>34916.666666666664</v>
      </c>
    </row>
    <row r="100" spans="1:22">
      <c r="A100" s="5">
        <f t="shared" si="31"/>
        <v>76</v>
      </c>
      <c r="B100" t="s">
        <v>130</v>
      </c>
      <c r="D100" s="99">
        <v>3257</v>
      </c>
      <c r="E100" s="19">
        <f t="shared" si="30"/>
        <v>-3257</v>
      </c>
      <c r="F100" s="91">
        <v>0</v>
      </c>
      <c r="G100" s="95"/>
      <c r="H100" s="20">
        <v>69</v>
      </c>
      <c r="J100" s="3">
        <f t="shared" si="32"/>
        <v>0</v>
      </c>
      <c r="K100" s="26">
        <f t="shared" si="33"/>
        <v>0</v>
      </c>
      <c r="L100" s="26">
        <f t="shared" si="34"/>
        <v>0</v>
      </c>
      <c r="M100" s="26">
        <f t="shared" si="34"/>
        <v>0</v>
      </c>
      <c r="N100" s="26">
        <f t="shared" si="34"/>
        <v>0</v>
      </c>
      <c r="O100" s="26">
        <f t="shared" si="34"/>
        <v>0</v>
      </c>
      <c r="P100" s="26">
        <f t="shared" si="34"/>
        <v>0</v>
      </c>
      <c r="Q100" s="26">
        <f t="shared" si="34"/>
        <v>0</v>
      </c>
      <c r="R100" s="26">
        <f t="shared" si="34"/>
        <v>0</v>
      </c>
      <c r="S100" s="26">
        <f t="shared" si="34"/>
        <v>0</v>
      </c>
      <c r="T100" s="26">
        <f t="shared" si="34"/>
        <v>0</v>
      </c>
      <c r="U100" s="26">
        <f t="shared" si="34"/>
        <v>0</v>
      </c>
      <c r="V100" s="26">
        <f t="shared" si="34"/>
        <v>0</v>
      </c>
    </row>
    <row r="101" spans="1:22">
      <c r="A101" s="5">
        <f t="shared" si="31"/>
        <v>77</v>
      </c>
      <c r="B101" t="s">
        <v>208</v>
      </c>
      <c r="D101" s="99">
        <v>551</v>
      </c>
      <c r="E101" s="19">
        <f t="shared" si="30"/>
        <v>-551</v>
      </c>
      <c r="F101" s="91">
        <v>0</v>
      </c>
      <c r="G101" s="95"/>
      <c r="H101" s="20"/>
      <c r="J101" s="3">
        <f t="shared" si="32"/>
        <v>0</v>
      </c>
      <c r="K101" s="26">
        <f t="shared" si="33"/>
        <v>0</v>
      </c>
      <c r="L101" s="26">
        <f t="shared" si="34"/>
        <v>0</v>
      </c>
      <c r="M101" s="26">
        <f t="shared" si="34"/>
        <v>0</v>
      </c>
      <c r="N101" s="26">
        <f t="shared" si="34"/>
        <v>0</v>
      </c>
      <c r="O101" s="26">
        <f t="shared" si="34"/>
        <v>0</v>
      </c>
      <c r="P101" s="26">
        <f t="shared" si="34"/>
        <v>0</v>
      </c>
      <c r="Q101" s="26">
        <f t="shared" si="34"/>
        <v>0</v>
      </c>
      <c r="R101" s="26">
        <f t="shared" si="34"/>
        <v>0</v>
      </c>
      <c r="S101" s="26">
        <f t="shared" si="34"/>
        <v>0</v>
      </c>
      <c r="T101" s="26">
        <f t="shared" si="34"/>
        <v>0</v>
      </c>
      <c r="U101" s="26">
        <f t="shared" si="34"/>
        <v>0</v>
      </c>
      <c r="V101" s="26">
        <f t="shared" si="34"/>
        <v>0</v>
      </c>
    </row>
    <row r="102" spans="1:22">
      <c r="A102" s="5">
        <f t="shared" si="31"/>
        <v>78</v>
      </c>
      <c r="B102" t="s">
        <v>226</v>
      </c>
      <c r="D102" s="99">
        <v>27761</v>
      </c>
      <c r="E102" s="19">
        <f t="shared" si="30"/>
        <v>-21926</v>
      </c>
      <c r="F102" s="91">
        <v>5835</v>
      </c>
      <c r="G102" s="20"/>
      <c r="H102" s="20"/>
      <c r="J102" s="3">
        <f t="shared" si="32"/>
        <v>5835.4100261118137</v>
      </c>
      <c r="K102" s="26">
        <v>554998.37207999965</v>
      </c>
      <c r="L102" s="26">
        <v>419089.2300000001</v>
      </c>
      <c r="M102" s="26">
        <v>411769.11168874998</v>
      </c>
      <c r="N102" s="26">
        <v>948471.69510000001</v>
      </c>
      <c r="O102" s="26">
        <v>584746.82144999981</v>
      </c>
      <c r="P102" s="26">
        <v>485130.54539999989</v>
      </c>
      <c r="Q102" s="26">
        <v>467333.01125999994</v>
      </c>
      <c r="R102" s="26">
        <v>-197615.56256999995</v>
      </c>
      <c r="S102" s="26">
        <v>630675.58440000017</v>
      </c>
      <c r="T102" s="26">
        <v>447758.05311000044</v>
      </c>
      <c r="U102" s="26">
        <v>414111.15389499988</v>
      </c>
      <c r="V102" s="26">
        <v>668942.01029806421</v>
      </c>
    </row>
    <row r="103" spans="1:22">
      <c r="A103" s="5">
        <f>A102+1</f>
        <v>79</v>
      </c>
      <c r="B103" s="17" t="s">
        <v>160</v>
      </c>
      <c r="C103" s="17"/>
      <c r="D103" s="92">
        <v>631</v>
      </c>
      <c r="E103" s="40">
        <f t="shared" si="30"/>
        <v>-631</v>
      </c>
      <c r="F103" s="40">
        <v>0</v>
      </c>
      <c r="G103" s="20"/>
      <c r="H103" s="20"/>
      <c r="J103" s="3">
        <f t="shared" si="32"/>
        <v>0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</row>
    <row r="104" spans="1:22">
      <c r="A104" s="5">
        <f>A103+1</f>
        <v>80</v>
      </c>
      <c r="B104" t="s">
        <v>20</v>
      </c>
      <c r="D104" s="19">
        <f>SUM(D93:D103)</f>
        <v>255237</v>
      </c>
      <c r="E104" s="19">
        <f>F104-D104</f>
        <v>-208837.61960588826</v>
      </c>
      <c r="F104" s="19">
        <f>SUM(F93:F103)</f>
        <v>46399.380394111729</v>
      </c>
      <c r="G104" s="19"/>
      <c r="H104" s="40">
        <v>0</v>
      </c>
      <c r="I104" s="19"/>
      <c r="J104" s="3">
        <f t="shared" si="32"/>
        <v>46399.845905266389</v>
      </c>
      <c r="K104" s="26">
        <f t="shared" ref="K104:V104" si="35">SUM(K93:K103)</f>
        <v>4691665.7883243607</v>
      </c>
      <c r="L104" s="26">
        <f t="shared" si="35"/>
        <v>4462246.9950270364</v>
      </c>
      <c r="M104" s="26">
        <f t="shared" si="35"/>
        <v>3128400.9107086086</v>
      </c>
      <c r="N104" s="26">
        <f t="shared" si="35"/>
        <v>3286716.3878076607</v>
      </c>
      <c r="O104" s="26">
        <f t="shared" si="35"/>
        <v>3964210.3805152122</v>
      </c>
      <c r="P104" s="26">
        <f t="shared" si="35"/>
        <v>2906937.9794648373</v>
      </c>
      <c r="Q104" s="26">
        <f t="shared" si="35"/>
        <v>4765909.0814024918</v>
      </c>
      <c r="R104" s="26">
        <f t="shared" si="35"/>
        <v>1478017.3343297048</v>
      </c>
      <c r="S104" s="26">
        <f t="shared" si="35"/>
        <v>3923043.054374699</v>
      </c>
      <c r="T104" s="26">
        <f t="shared" si="35"/>
        <v>4322539.9171693027</v>
      </c>
      <c r="U104" s="26">
        <f t="shared" si="35"/>
        <v>5359954.7835779963</v>
      </c>
      <c r="V104" s="26">
        <f t="shared" si="35"/>
        <v>4110203.2925644815</v>
      </c>
    </row>
    <row r="105" spans="1:22">
      <c r="A105" s="5"/>
      <c r="D105" s="19"/>
      <c r="E105" s="19"/>
      <c r="F105" s="19"/>
      <c r="G105" s="19"/>
      <c r="H105" s="19">
        <v>62060.890920372694</v>
      </c>
      <c r="I105" s="19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>
      <c r="A106" s="5"/>
      <c r="B106" s="7" t="s">
        <v>21</v>
      </c>
      <c r="D106" s="19"/>
      <c r="E106" s="19" t="s">
        <v>11</v>
      </c>
      <c r="F106" s="19"/>
      <c r="G106" s="19"/>
      <c r="H106" s="19"/>
      <c r="I106" s="19"/>
      <c r="J106" s="3"/>
    </row>
    <row r="107" spans="1:22">
      <c r="A107" s="5">
        <f>A104+1</f>
        <v>81</v>
      </c>
      <c r="B107" t="s">
        <v>158</v>
      </c>
      <c r="D107" s="91">
        <v>700</v>
      </c>
      <c r="E107" s="91">
        <f>F107-D107</f>
        <v>0</v>
      </c>
      <c r="F107" s="91">
        <v>700</v>
      </c>
      <c r="G107" s="91"/>
      <c r="H107" s="91"/>
      <c r="I107" s="19"/>
      <c r="J107" s="3"/>
    </row>
    <row r="108" spans="1:22">
      <c r="A108" s="5">
        <f>A107+1</f>
        <v>82</v>
      </c>
      <c r="B108" s="17" t="s">
        <v>103</v>
      </c>
      <c r="C108" s="17"/>
      <c r="D108" s="19">
        <v>111280</v>
      </c>
      <c r="E108" s="40">
        <f>F108-D108</f>
        <v>-111280</v>
      </c>
      <c r="F108" s="19">
        <v>0</v>
      </c>
      <c r="G108" s="19"/>
      <c r="H108" s="19">
        <v>48</v>
      </c>
      <c r="I108" s="19"/>
      <c r="J108" s="3"/>
    </row>
    <row r="109" spans="1:22">
      <c r="A109" s="5">
        <f>A108+1</f>
        <v>83</v>
      </c>
      <c r="B109" t="s">
        <v>22</v>
      </c>
      <c r="D109" s="107">
        <f>SUM(D107:D108)</f>
        <v>111980</v>
      </c>
      <c r="E109" s="19">
        <f>F109-D109</f>
        <v>-111280</v>
      </c>
      <c r="F109" s="21">
        <f>SUM(F107:F108)</f>
        <v>700</v>
      </c>
      <c r="G109" s="19"/>
      <c r="H109" s="19">
        <v>0</v>
      </c>
      <c r="I109" s="19"/>
      <c r="J109" s="3"/>
    </row>
    <row r="110" spans="1:22" ht="7.5" customHeight="1">
      <c r="A110" s="5" t="s">
        <v>11</v>
      </c>
      <c r="D110" s="19"/>
      <c r="E110" s="19"/>
      <c r="F110" s="19"/>
      <c r="G110" s="19"/>
      <c r="H110" s="40">
        <v>0</v>
      </c>
      <c r="I110" s="19"/>
      <c r="J110" s="3"/>
    </row>
    <row r="111" spans="1:22">
      <c r="A111" s="5"/>
      <c r="B111" s="46" t="s">
        <v>31</v>
      </c>
      <c r="D111" s="19"/>
      <c r="E111" s="19"/>
      <c r="F111" s="19" t="s">
        <v>11</v>
      </c>
      <c r="G111" s="19"/>
      <c r="H111" s="19">
        <v>48</v>
      </c>
      <c r="I111" s="19"/>
      <c r="J111" s="3"/>
    </row>
    <row r="112" spans="1:22">
      <c r="A112" s="5">
        <f>A109+1</f>
        <v>84</v>
      </c>
      <c r="B112" t="s">
        <v>28</v>
      </c>
      <c r="D112" s="91">
        <v>282</v>
      </c>
      <c r="E112" s="91">
        <f>F112-D112</f>
        <v>0</v>
      </c>
      <c r="F112" s="91">
        <v>282</v>
      </c>
      <c r="G112" s="91"/>
      <c r="H112" s="91"/>
      <c r="I112" s="19"/>
      <c r="J112" s="3"/>
    </row>
    <row r="113" spans="1:22" ht="6.75" customHeight="1">
      <c r="A113" s="5"/>
      <c r="D113" s="91"/>
      <c r="E113" s="19"/>
      <c r="F113" s="91"/>
      <c r="G113" s="19"/>
      <c r="H113" s="19" t="s">
        <v>11</v>
      </c>
      <c r="I113" s="19"/>
      <c r="J113" s="3"/>
    </row>
    <row r="114" spans="1:22" ht="6" customHeight="1">
      <c r="A114" s="5"/>
      <c r="D114" s="19"/>
      <c r="E114" s="19"/>
      <c r="F114" s="19"/>
      <c r="G114" s="19"/>
      <c r="H114" s="19"/>
      <c r="I114" s="19"/>
      <c r="J114" s="3"/>
    </row>
    <row r="115" spans="1:22">
      <c r="A115" s="5">
        <f>A112+1</f>
        <v>85</v>
      </c>
      <c r="B115" s="43" t="s">
        <v>23</v>
      </c>
      <c r="C115" s="36"/>
      <c r="D115" s="44">
        <f>D104+D109+D112</f>
        <v>367499</v>
      </c>
      <c r="E115" s="44">
        <f>F115-D115</f>
        <v>-320117.61960588826</v>
      </c>
      <c r="F115" s="45">
        <f>F104+F109+F112</f>
        <v>47381.380394111729</v>
      </c>
      <c r="G115" s="19"/>
      <c r="H115" s="19">
        <v>24</v>
      </c>
      <c r="I115" s="19"/>
      <c r="J115" s="3"/>
    </row>
    <row r="116" spans="1:22" ht="7.5" customHeight="1">
      <c r="A116" s="5"/>
      <c r="D116" s="19"/>
      <c r="E116" s="19"/>
      <c r="F116" s="19"/>
      <c r="G116" s="19"/>
      <c r="H116" s="19"/>
      <c r="I116" s="19"/>
      <c r="J116" s="3"/>
    </row>
    <row r="117" spans="1:22">
      <c r="A117" s="5">
        <f>A115+1</f>
        <v>86</v>
      </c>
      <c r="B117" s="43" t="s">
        <v>159</v>
      </c>
      <c r="C117" s="36"/>
      <c r="D117" s="44">
        <f>D90-D115</f>
        <v>190323</v>
      </c>
      <c r="E117" s="44">
        <f>F117-D117</f>
        <v>18308.844846260909</v>
      </c>
      <c r="F117" s="45">
        <f>F90-F115</f>
        <v>208631.84484626091</v>
      </c>
      <c r="G117" s="19"/>
      <c r="H117" s="44">
        <v>62497.890920372694</v>
      </c>
      <c r="I117" s="19"/>
      <c r="J117" s="3"/>
    </row>
    <row r="118" spans="1:22" ht="6" customHeight="1">
      <c r="A118" s="5"/>
      <c r="D118" s="19"/>
      <c r="E118" s="19"/>
      <c r="F118" s="19"/>
      <c r="G118" s="19"/>
      <c r="H118" s="19"/>
      <c r="I118" s="19"/>
      <c r="J118" s="3"/>
    </row>
    <row r="119" spans="1:22" ht="12.75" customHeight="1">
      <c r="A119" s="5"/>
      <c r="B119" s="2"/>
      <c r="D119" s="19"/>
      <c r="E119" s="3"/>
      <c r="F119" s="19"/>
      <c r="G119" s="19"/>
      <c r="H119" s="19"/>
      <c r="I119" s="19"/>
      <c r="J119" s="3"/>
    </row>
    <row r="120" spans="1:22" ht="9" customHeight="1">
      <c r="A120" s="5"/>
      <c r="B120" s="109"/>
      <c r="D120" s="19"/>
      <c r="E120" s="19"/>
      <c r="F120" s="19"/>
      <c r="G120" s="19"/>
      <c r="H120" s="19"/>
      <c r="I120" s="19"/>
      <c r="J120" s="3"/>
    </row>
    <row r="121" spans="1:22" ht="12.75" customHeight="1">
      <c r="A121" s="5"/>
      <c r="B121" s="2"/>
      <c r="D121" s="3"/>
      <c r="E121" s="3"/>
      <c r="J121" s="3"/>
    </row>
    <row r="122" spans="1:22">
      <c r="J122" s="3"/>
    </row>
    <row r="123" spans="1:22">
      <c r="J123" s="3">
        <f>SUM(K123:V123)</f>
        <v>189516427.54775557</v>
      </c>
      <c r="K123" s="26">
        <f t="shared" ref="K123:V123" si="36">K37+K51+K66-K104</f>
        <v>21007456.826040845</v>
      </c>
      <c r="L123" s="26">
        <f t="shared" si="36"/>
        <v>19211793.6005193</v>
      </c>
      <c r="M123" s="26">
        <f t="shared" si="36"/>
        <v>17018231.376800112</v>
      </c>
      <c r="N123" s="26">
        <f t="shared" si="36"/>
        <v>10565896.438178338</v>
      </c>
      <c r="O123" s="26">
        <f t="shared" si="36"/>
        <v>5755463.5795710515</v>
      </c>
      <c r="P123" s="26">
        <f t="shared" si="36"/>
        <v>6940667.9252959667</v>
      </c>
      <c r="Q123" s="26">
        <f t="shared" si="36"/>
        <v>12738689.822602108</v>
      </c>
      <c r="R123" s="26">
        <f t="shared" si="36"/>
        <v>21340630.076088104</v>
      </c>
      <c r="S123" s="26">
        <f t="shared" si="36"/>
        <v>16181608.67246094</v>
      </c>
      <c r="T123" s="26">
        <f t="shared" si="36"/>
        <v>17443827.583669744</v>
      </c>
      <c r="U123" s="26">
        <f t="shared" si="36"/>
        <v>19561369.994254749</v>
      </c>
      <c r="V123" s="26">
        <f t="shared" si="36"/>
        <v>21750791.652274322</v>
      </c>
    </row>
    <row r="124" spans="1:22">
      <c r="J124" s="3"/>
    </row>
    <row r="125" spans="1:22">
      <c r="J125" s="3"/>
    </row>
    <row r="126" spans="1:22">
      <c r="J126" s="3"/>
    </row>
    <row r="127" spans="1:22">
      <c r="J127" s="3"/>
    </row>
    <row r="128" spans="1:22">
      <c r="J128" s="3"/>
    </row>
    <row r="129" spans="10:10">
      <c r="J129" s="3"/>
    </row>
    <row r="130" spans="10:10">
      <c r="J130" s="3"/>
    </row>
    <row r="131" spans="10:10">
      <c r="J131" s="3"/>
    </row>
    <row r="132" spans="10:10">
      <c r="J132" s="3"/>
    </row>
    <row r="133" spans="10:10">
      <c r="J133" s="3"/>
    </row>
    <row r="134" spans="10:10">
      <c r="J134" s="3"/>
    </row>
    <row r="135" spans="10:10">
      <c r="J135" s="3"/>
    </row>
    <row r="136" spans="10:10">
      <c r="J136" s="3"/>
    </row>
    <row r="137" spans="10:10">
      <c r="J137" s="3"/>
    </row>
    <row r="138" spans="10:10">
      <c r="J138" s="3"/>
    </row>
    <row r="139" spans="10:10">
      <c r="J139" s="3"/>
    </row>
    <row r="140" spans="10:10">
      <c r="J140" s="3"/>
    </row>
    <row r="141" spans="10:10">
      <c r="J141" s="3"/>
    </row>
    <row r="142" spans="10:10">
      <c r="J142" s="3"/>
    </row>
    <row r="143" spans="10:10">
      <c r="J143" s="3"/>
    </row>
    <row r="144" spans="10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  <row r="683" spans="10:10">
      <c r="J683" s="3"/>
    </row>
    <row r="684" spans="10:10">
      <c r="J684" s="3"/>
    </row>
    <row r="685" spans="10:10">
      <c r="J685" s="3"/>
    </row>
    <row r="686" spans="10:10">
      <c r="J686" s="3"/>
    </row>
    <row r="687" spans="10:10">
      <c r="J687" s="3"/>
    </row>
    <row r="688" spans="10:10">
      <c r="J688" s="3"/>
    </row>
    <row r="689" spans="10:10">
      <c r="J689" s="3"/>
    </row>
    <row r="690" spans="10:10">
      <c r="J690" s="3"/>
    </row>
    <row r="691" spans="10:10">
      <c r="J691" s="3"/>
    </row>
    <row r="692" spans="10:10">
      <c r="J692" s="3"/>
    </row>
    <row r="693" spans="10:10">
      <c r="J693" s="3"/>
    </row>
    <row r="694" spans="10:10">
      <c r="J694" s="3"/>
    </row>
    <row r="695" spans="10:10">
      <c r="J695" s="3"/>
    </row>
    <row r="696" spans="10:10">
      <c r="J696" s="3"/>
    </row>
  </sheetData>
  <phoneticPr fontId="6" type="noConversion"/>
  <pageMargins left="0.75" right="0.75" top="1" bottom="1" header="0.5" footer="0.5"/>
  <pageSetup scale="80" orientation="portrait" verticalDpi="4294967292" r:id="rId1"/>
  <headerFooter alignWithMargins="0">
    <oddHeader>&amp;RExhibit No.____(WGJ-2)</oddHeader>
    <oddFooter>&amp;R&amp;"Times New Roman,Regular"&amp;12Page 1 of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6"/>
  <sheetViews>
    <sheetView topLeftCell="A5" workbookViewId="0">
      <pane xSplit="6930" ySplit="1590" topLeftCell="I1" activePane="bottomLeft"/>
      <selection activeCell="A7" sqref="A7"/>
      <selection pane="topRight" activeCell="D7" sqref="D7:O7"/>
      <selection pane="bottomLeft" activeCell="A21" sqref="A21"/>
      <selection pane="bottomRight" activeCell="D43" sqref="D43:O43"/>
    </sheetView>
  </sheetViews>
  <sheetFormatPr defaultColWidth="11.42578125" defaultRowHeight="12.75"/>
  <cols>
    <col min="1" max="1" width="46.28515625" customWidth="1"/>
    <col min="2" max="2" width="2" hidden="1" customWidth="1"/>
    <col min="3" max="15" width="13.7109375" customWidth="1"/>
  </cols>
  <sheetData>
    <row r="1" spans="1:16" ht="18">
      <c r="A1" s="90" t="s">
        <v>36</v>
      </c>
    </row>
    <row r="2" spans="1:16" ht="18">
      <c r="A2" s="90" t="s">
        <v>126</v>
      </c>
    </row>
    <row r="3" spans="1:16" ht="18">
      <c r="A3" s="90" t="s">
        <v>239</v>
      </c>
      <c r="I3" s="14"/>
    </row>
    <row r="4" spans="1:16" ht="18">
      <c r="A4" s="90" t="s">
        <v>235</v>
      </c>
      <c r="B4" s="56"/>
      <c r="I4" s="14"/>
    </row>
    <row r="6" spans="1:16">
      <c r="C6" s="38"/>
      <c r="D6" s="38">
        <v>744</v>
      </c>
      <c r="E6" s="38">
        <v>696</v>
      </c>
      <c r="F6" s="38">
        <v>743</v>
      </c>
      <c r="G6" s="38">
        <v>720</v>
      </c>
      <c r="H6" s="38">
        <v>744</v>
      </c>
      <c r="I6" s="38">
        <v>720</v>
      </c>
      <c r="J6" s="38">
        <v>744</v>
      </c>
      <c r="K6" s="38">
        <v>744</v>
      </c>
      <c r="L6" s="38">
        <v>720</v>
      </c>
      <c r="M6" s="38">
        <v>744</v>
      </c>
      <c r="N6" s="38">
        <v>721</v>
      </c>
      <c r="O6" s="38">
        <v>744</v>
      </c>
    </row>
    <row r="7" spans="1:16">
      <c r="C7" s="24" t="s">
        <v>37</v>
      </c>
      <c r="D7" s="140">
        <v>39447</v>
      </c>
      <c r="E7" s="140">
        <v>39478</v>
      </c>
      <c r="F7" s="140">
        <v>39507</v>
      </c>
      <c r="G7" s="140">
        <v>39538</v>
      </c>
      <c r="H7" s="140">
        <v>39568</v>
      </c>
      <c r="I7" s="140">
        <v>39599</v>
      </c>
      <c r="J7" s="140">
        <v>39629</v>
      </c>
      <c r="K7" s="140">
        <v>39660</v>
      </c>
      <c r="L7" s="140">
        <v>39691</v>
      </c>
      <c r="M7" s="140">
        <v>39721</v>
      </c>
      <c r="N7" s="140">
        <v>39752</v>
      </c>
      <c r="O7" s="140">
        <v>39782</v>
      </c>
    </row>
    <row r="8" spans="1:16">
      <c r="C8" s="52"/>
    </row>
    <row r="9" spans="1:16">
      <c r="A9" t="s">
        <v>114</v>
      </c>
      <c r="B9" s="5" t="s">
        <v>57</v>
      </c>
      <c r="C9" s="39">
        <f>SUM(D9:O9)</f>
        <v>-34650133.289922982</v>
      </c>
      <c r="D9" s="26">
        <f>Aurora!B40*1000</f>
        <v>-3728498.3803885323</v>
      </c>
      <c r="E9" s="26">
        <f>Aurora!C40*1000</f>
        <v>-3655612.6079968042</v>
      </c>
      <c r="F9" s="26">
        <f>Aurora!D40*1000</f>
        <v>-2342100.9606497628</v>
      </c>
      <c r="G9" s="26">
        <f>Aurora!E40*1000</f>
        <v>-1628056.0531616211</v>
      </c>
      <c r="H9" s="26">
        <f>Aurora!F40*1000</f>
        <v>-2677073.8429478239</v>
      </c>
      <c r="I9" s="26">
        <f>Aurora!G40*1000</f>
        <v>-1751477.0693097797</v>
      </c>
      <c r="J9" s="26">
        <f>Aurora!H40*1000</f>
        <v>-3857251.1648450578</v>
      </c>
      <c r="K9" s="26">
        <f>Aurora!I40*1000</f>
        <v>-1206954.9534388951</v>
      </c>
      <c r="L9" s="26">
        <f>Aurora!J40*1000</f>
        <v>-2847799.2335728235</v>
      </c>
      <c r="M9" s="26">
        <f>Aurora!K40*1000</f>
        <v>-3446994.6376255578</v>
      </c>
      <c r="N9" s="26">
        <f>Aurora!L40*1000</f>
        <v>-4520058.4437779021</v>
      </c>
      <c r="O9" s="26">
        <f>Aurora!M40*1000</f>
        <v>-2988255.9422084265</v>
      </c>
      <c r="P9" s="26"/>
    </row>
    <row r="10" spans="1:16">
      <c r="A10" t="s">
        <v>115</v>
      </c>
      <c r="C10" s="27">
        <f>SUM(D10:O10)</f>
        <v>-1036447.6235443116</v>
      </c>
      <c r="D10" s="3">
        <f>Aurora!B36*1000</f>
        <v>-93237.524557059151</v>
      </c>
      <c r="E10" s="3">
        <f>Aurora!C36*1000</f>
        <v>-87889.734799194339</v>
      </c>
      <c r="F10" s="3">
        <f>Aurora!D36*1000</f>
        <v>-67890.957212611596</v>
      </c>
      <c r="G10" s="3">
        <f>Aurora!E36*1000</f>
        <v>-61140.349609375</v>
      </c>
      <c r="H10" s="3">
        <f>Aurora!F36*1000</f>
        <v>-136999.48973214286</v>
      </c>
      <c r="I10" s="3">
        <f>Aurora!G36*1000</f>
        <v>-135882.93889508929</v>
      </c>
      <c r="J10" s="3">
        <f>Aurora!H36*1000</f>
        <v>-98662.031647600437</v>
      </c>
      <c r="K10" s="3">
        <f>Aurora!I36*1000</f>
        <v>-30625.665297154017</v>
      </c>
      <c r="L10" s="3">
        <f>Aurora!J36*1000</f>
        <v>-70574.069419642852</v>
      </c>
      <c r="M10" s="3">
        <f>Aurora!K36*1000</f>
        <v>-81448.875279017855</v>
      </c>
      <c r="N10" s="3">
        <f>Aurora!L36*1000</f>
        <v>-106851.70407366072</v>
      </c>
      <c r="O10" s="3">
        <f>Aurora!M36*1000</f>
        <v>-65244.283021763396</v>
      </c>
    </row>
    <row r="11" spans="1:16" hidden="1">
      <c r="A11" t="s">
        <v>58</v>
      </c>
      <c r="C11" s="29">
        <f>C9/C10</f>
        <v>33.431629831356908</v>
      </c>
      <c r="D11" s="30">
        <f>D9/D10</f>
        <v>39.989246798447333</v>
      </c>
      <c r="E11" s="30">
        <f t="shared" ref="E11:O11" si="0">E9/E10</f>
        <v>41.593169172133102</v>
      </c>
      <c r="F11" s="30">
        <f t="shared" si="0"/>
        <v>34.497981127517349</v>
      </c>
      <c r="G11" s="30">
        <f t="shared" si="0"/>
        <v>26.628177031424464</v>
      </c>
      <c r="H11" s="30">
        <f t="shared" si="0"/>
        <v>19.540757766192819</v>
      </c>
      <c r="I11" s="30">
        <f t="shared" si="0"/>
        <v>12.889602503093027</v>
      </c>
      <c r="J11" s="30">
        <f t="shared" si="0"/>
        <v>39.09559838198274</v>
      </c>
      <c r="K11" s="30">
        <f t="shared" si="0"/>
        <v>39.409917849231341</v>
      </c>
      <c r="L11" s="30">
        <f t="shared" si="0"/>
        <v>40.351920429009532</v>
      </c>
      <c r="M11" s="30">
        <f t="shared" si="0"/>
        <v>42.320960551232346</v>
      </c>
      <c r="N11" s="30">
        <f t="shared" si="0"/>
        <v>42.302165257578807</v>
      </c>
      <c r="O11" s="30">
        <f t="shared" si="0"/>
        <v>45.801038862081455</v>
      </c>
    </row>
    <row r="12" spans="1:16">
      <c r="A12" t="s">
        <v>113</v>
      </c>
      <c r="C12" s="53">
        <f>C9/C10</f>
        <v>33.431629831356908</v>
      </c>
      <c r="D12" s="51">
        <f>D9/D10</f>
        <v>39.989246798447333</v>
      </c>
      <c r="E12" s="51">
        <f t="shared" ref="E12:O12" si="1">E9/E10</f>
        <v>41.593169172133102</v>
      </c>
      <c r="F12" s="51">
        <f t="shared" si="1"/>
        <v>34.497981127517349</v>
      </c>
      <c r="G12" s="51">
        <f t="shared" si="1"/>
        <v>26.628177031424464</v>
      </c>
      <c r="H12" s="51">
        <f t="shared" si="1"/>
        <v>19.540757766192819</v>
      </c>
      <c r="I12" s="51">
        <f t="shared" si="1"/>
        <v>12.889602503093027</v>
      </c>
      <c r="J12" s="51">
        <f t="shared" si="1"/>
        <v>39.09559838198274</v>
      </c>
      <c r="K12" s="51">
        <f t="shared" si="1"/>
        <v>39.409917849231341</v>
      </c>
      <c r="L12" s="51">
        <f t="shared" si="1"/>
        <v>40.351920429009532</v>
      </c>
      <c r="M12" s="51">
        <f t="shared" si="1"/>
        <v>42.320960551232346</v>
      </c>
      <c r="N12" s="51">
        <f t="shared" si="1"/>
        <v>42.302165257578807</v>
      </c>
      <c r="O12" s="51">
        <f t="shared" si="1"/>
        <v>45.801038862081455</v>
      </c>
    </row>
    <row r="13" spans="1:16">
      <c r="A13" t="s">
        <v>116</v>
      </c>
      <c r="B13" s="5" t="s">
        <v>57</v>
      </c>
      <c r="C13" s="39">
        <f>SUM(D13:O13)</f>
        <v>16924441.439952169</v>
      </c>
      <c r="D13" s="26">
        <f>Aurora!B39*1000</f>
        <v>1370693.6064311438</v>
      </c>
      <c r="E13" s="26">
        <f>Aurora!C39*1000</f>
        <v>1487264.6991763795</v>
      </c>
      <c r="F13" s="26">
        <f>Aurora!D39*1000</f>
        <v>2029728.8867950439</v>
      </c>
      <c r="G13" s="26">
        <f>Aurora!E39*1000</f>
        <v>1726402.1691731042</v>
      </c>
      <c r="H13" s="26">
        <f>Aurora!F39*1000</f>
        <v>721815.81736973347</v>
      </c>
      <c r="I13" s="26">
        <f>Aurora!G39*1000</f>
        <v>871789.2261505127</v>
      </c>
      <c r="J13" s="26">
        <f>Aurora!H39*1000</f>
        <v>1212275.8449963159</v>
      </c>
      <c r="K13" s="26">
        <f>Aurora!I39*1000</f>
        <v>3441978.9559500557</v>
      </c>
      <c r="L13" s="26">
        <f>Aurora!J39*1000</f>
        <v>1070821.1090087891</v>
      </c>
      <c r="M13" s="26">
        <f>Aurora!K39*1000</f>
        <v>697547.18811171397</v>
      </c>
      <c r="N13" s="26">
        <f>Aurora!L39*1000</f>
        <v>875217.01262337819</v>
      </c>
      <c r="O13" s="26">
        <f>Aurora!M39*1000</f>
        <v>1418906.9241659981</v>
      </c>
    </row>
    <row r="14" spans="1:16" s="3" customFormat="1">
      <c r="A14" s="3" t="s">
        <v>120</v>
      </c>
      <c r="C14" s="28">
        <f>SUM(D14:O14)</f>
        <v>423836.63819503784</v>
      </c>
      <c r="D14" s="3">
        <f>Aurora!B35*1000</f>
        <v>35423.06363002232</v>
      </c>
      <c r="E14" s="3">
        <f>Aurora!C35*1000</f>
        <v>41167.927574539186</v>
      </c>
      <c r="F14" s="3">
        <f>Aurora!D35*1000</f>
        <v>55012.462477329798</v>
      </c>
      <c r="G14" s="3">
        <f>Aurora!E35*1000</f>
        <v>49428.556757463724</v>
      </c>
      <c r="H14" s="3">
        <f>Aurora!F35*1000</f>
        <v>23441.335304478234</v>
      </c>
      <c r="I14" s="3">
        <f>Aurora!G35*1000</f>
        <v>31130.34603794643</v>
      </c>
      <c r="J14" s="3">
        <f>Aurora!H35*1000</f>
        <v>31169.653636823379</v>
      </c>
      <c r="K14" s="3">
        <f>Aurora!I35*1000</f>
        <v>72996.351897321438</v>
      </c>
      <c r="L14" s="3">
        <f>Aurora!J35*1000</f>
        <v>25590.737039620537</v>
      </c>
      <c r="M14" s="3">
        <f>Aurora!K35*1000</f>
        <v>14830.259062358311</v>
      </c>
      <c r="N14" s="3">
        <f>Aurora!L35*1000</f>
        <v>17095.036226981028</v>
      </c>
      <c r="O14" s="3">
        <f>Aurora!M35*1000</f>
        <v>26550.908550153457</v>
      </c>
    </row>
    <row r="15" spans="1:16" hidden="1">
      <c r="A15" s="3" t="s">
        <v>59</v>
      </c>
      <c r="C15" s="29">
        <f>C13/C14</f>
        <v>39.931520578369657</v>
      </c>
      <c r="D15" s="30">
        <f>D13/D14</f>
        <v>38.694948035760284</v>
      </c>
      <c r="E15" s="30">
        <f t="shared" ref="E15:O15" si="2">E13/E14</f>
        <v>36.126780889893439</v>
      </c>
      <c r="F15" s="30">
        <f t="shared" si="2"/>
        <v>36.895801340132323</v>
      </c>
      <c r="G15" s="30">
        <f t="shared" si="2"/>
        <v>34.927221881962332</v>
      </c>
      <c r="H15" s="30">
        <f t="shared" si="2"/>
        <v>30.792436010752244</v>
      </c>
      <c r="I15" s="30">
        <f t="shared" si="2"/>
        <v>28.0044823494041</v>
      </c>
      <c r="J15" s="30">
        <f t="shared" si="2"/>
        <v>38.892823742004971</v>
      </c>
      <c r="K15" s="30">
        <f t="shared" si="2"/>
        <v>47.152753068970249</v>
      </c>
      <c r="L15" s="30">
        <f t="shared" si="2"/>
        <v>41.844090201501572</v>
      </c>
      <c r="M15" s="30">
        <f t="shared" si="2"/>
        <v>47.035401416702555</v>
      </c>
      <c r="N15" s="30">
        <f t="shared" si="2"/>
        <v>51.197142901752187</v>
      </c>
      <c r="O15" s="30">
        <f t="shared" si="2"/>
        <v>53.440993233272884</v>
      </c>
    </row>
    <row r="16" spans="1:16">
      <c r="A16" s="3" t="s">
        <v>118</v>
      </c>
      <c r="C16" s="53">
        <f>C13/C14</f>
        <v>39.931520578369657</v>
      </c>
      <c r="D16" s="51">
        <f>D13/D14</f>
        <v>38.694948035760284</v>
      </c>
      <c r="E16" s="51">
        <f t="shared" ref="E16:O16" si="3">E13/E14</f>
        <v>36.126780889893439</v>
      </c>
      <c r="F16" s="51">
        <f t="shared" si="3"/>
        <v>36.895801340132323</v>
      </c>
      <c r="G16" s="51">
        <f t="shared" si="3"/>
        <v>34.927221881962332</v>
      </c>
      <c r="H16" s="51">
        <f t="shared" si="3"/>
        <v>30.792436010752244</v>
      </c>
      <c r="I16" s="51"/>
      <c r="J16" s="51">
        <f t="shared" si="3"/>
        <v>38.892823742004971</v>
      </c>
      <c r="K16" s="51">
        <f t="shared" si="3"/>
        <v>47.152753068970249</v>
      </c>
      <c r="L16" s="51">
        <f t="shared" si="3"/>
        <v>41.844090201501572</v>
      </c>
      <c r="M16" s="51">
        <f t="shared" si="3"/>
        <v>47.035401416702555</v>
      </c>
      <c r="N16" s="51">
        <f t="shared" si="3"/>
        <v>51.197142901752187</v>
      </c>
      <c r="O16" s="51">
        <f t="shared" si="3"/>
        <v>53.440993233272884</v>
      </c>
    </row>
    <row r="17" spans="1:17">
      <c r="A17" t="s">
        <v>117</v>
      </c>
      <c r="C17" s="28">
        <f>C14+C10</f>
        <v>-612610.98534927377</v>
      </c>
      <c r="D17" s="19">
        <f>D14+D10</f>
        <v>-57814.460927036831</v>
      </c>
      <c r="E17" s="19">
        <f>E14+E10</f>
        <v>-46721.807224655153</v>
      </c>
      <c r="F17" s="19">
        <f t="shared" ref="F17:O17" si="4">F14+F10</f>
        <v>-12878.494735281798</v>
      </c>
      <c r="G17" s="19">
        <f t="shared" si="4"/>
        <v>-11711.792851911276</v>
      </c>
      <c r="H17" s="19">
        <f t="shared" si="4"/>
        <v>-113558.15442766462</v>
      </c>
      <c r="I17" s="19">
        <f t="shared" si="4"/>
        <v>-104752.59285714285</v>
      </c>
      <c r="J17" s="19">
        <f t="shared" si="4"/>
        <v>-67492.378010777058</v>
      </c>
      <c r="K17" s="19">
        <f t="shared" si="4"/>
        <v>42370.686600167421</v>
      </c>
      <c r="L17" s="19">
        <f t="shared" si="4"/>
        <v>-44983.332380022315</v>
      </c>
      <c r="M17" s="19">
        <f t="shared" si="4"/>
        <v>-66618.616216659546</v>
      </c>
      <c r="N17" s="19">
        <f t="shared" si="4"/>
        <v>-89756.667846679688</v>
      </c>
      <c r="O17" s="19">
        <f t="shared" si="4"/>
        <v>-38693.374471609939</v>
      </c>
    </row>
    <row r="18" spans="1:17">
      <c r="A18" t="s">
        <v>119</v>
      </c>
      <c r="C18" s="119">
        <f>C17/8760</f>
        <v>-69.932760884620293</v>
      </c>
      <c r="D18" s="3">
        <f>D17/D6</f>
        <v>-77.707608772898965</v>
      </c>
      <c r="E18" s="3">
        <f t="shared" ref="E18:O18" si="5">E17/E6</f>
        <v>-67.129033368757405</v>
      </c>
      <c r="F18" s="3">
        <f t="shared" si="5"/>
        <v>-17.333101931738625</v>
      </c>
      <c r="G18" s="3">
        <f t="shared" si="5"/>
        <v>-16.266378960987883</v>
      </c>
      <c r="H18" s="3">
        <f t="shared" si="5"/>
        <v>-152.63192799417288</v>
      </c>
      <c r="I18" s="3">
        <f t="shared" si="5"/>
        <v>-145.4897123015873</v>
      </c>
      <c r="J18" s="3">
        <f t="shared" si="5"/>
        <v>-90.715561842442284</v>
      </c>
      <c r="K18" s="3">
        <f t="shared" si="5"/>
        <v>56.949847580870191</v>
      </c>
      <c r="L18" s="3">
        <f t="shared" si="5"/>
        <v>-62.476850527808772</v>
      </c>
      <c r="M18" s="3">
        <f t="shared" si="5"/>
        <v>-89.54115082884347</v>
      </c>
      <c r="N18" s="3">
        <f t="shared" si="5"/>
        <v>-124.48913709664312</v>
      </c>
      <c r="O18" s="3">
        <f t="shared" si="5"/>
        <v>-52.007223752163895</v>
      </c>
    </row>
    <row r="19" spans="1:17">
      <c r="A19" t="s">
        <v>121</v>
      </c>
      <c r="C19" s="81">
        <f>(-C9+C13)/(-C10+C14)</f>
        <v>35.318174742528896</v>
      </c>
      <c r="D19" s="30">
        <f>(-D9+D13)/(-D10+D14)</f>
        <v>39.632898144419293</v>
      </c>
      <c r="E19" s="30">
        <f>(-E9+E13)/(-E10+E14)</f>
        <v>39.849453434853842</v>
      </c>
      <c r="F19" s="30">
        <f t="shared" ref="F19:O19" si="6">(-F9+F13)/(-F10+F14)</f>
        <v>35.571262853987157</v>
      </c>
      <c r="G19" s="30">
        <f t="shared" si="6"/>
        <v>30.338169495911536</v>
      </c>
      <c r="H19" s="30">
        <f t="shared" si="6"/>
        <v>21.184693232172986</v>
      </c>
      <c r="I19" s="30">
        <f t="shared" si="6"/>
        <v>15.706931915698176</v>
      </c>
      <c r="J19" s="30">
        <f t="shared" si="6"/>
        <v>39.046916773324632</v>
      </c>
      <c r="K19" s="30">
        <f t="shared" si="6"/>
        <v>44.864344810658693</v>
      </c>
      <c r="L19" s="30">
        <f t="shared" si="6"/>
        <v>40.749006698636563</v>
      </c>
      <c r="M19" s="30">
        <f t="shared" si="6"/>
        <v>43.04714468081945</v>
      </c>
      <c r="N19" s="30">
        <f t="shared" si="6"/>
        <v>43.528982233132155</v>
      </c>
      <c r="O19" s="30">
        <f t="shared" si="6"/>
        <v>48.010824868987136</v>
      </c>
    </row>
    <row r="20" spans="1:17">
      <c r="C20" s="29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7" s="3" customFormat="1">
      <c r="A21" s="3" t="s">
        <v>38</v>
      </c>
      <c r="C21" s="28">
        <f>SUM(D21:O21)</f>
        <v>1576670.0274693081</v>
      </c>
      <c r="D21" s="3">
        <f>Aurora!B6*1000</f>
        <v>145608.61573660714</v>
      </c>
      <c r="E21" s="3">
        <f>Aurora!C6*1000</f>
        <v>133558.62628348215</v>
      </c>
      <c r="F21" s="3">
        <f>Aurora!D6*1000</f>
        <v>143508.59637276788</v>
      </c>
      <c r="G21" s="3">
        <f>Aurora!E6*1000</f>
        <v>114597.21644810268</v>
      </c>
      <c r="H21" s="3">
        <f>Aurora!F6*1000</f>
        <v>84727.468136160722</v>
      </c>
      <c r="I21" s="3">
        <f>Aurora!G6*1000</f>
        <v>73190.218387276778</v>
      </c>
      <c r="J21" s="3">
        <f>Aurora!H6*1000</f>
        <v>143478.75184151783</v>
      </c>
      <c r="K21" s="3">
        <f>Aurora!I6*1000</f>
        <v>149629.97142857141</v>
      </c>
      <c r="L21" s="3">
        <f>Aurora!J6*1000</f>
        <v>145738.63772321428</v>
      </c>
      <c r="M21" s="3">
        <f>Aurora!K6*1000</f>
        <v>149887.13850446427</v>
      </c>
      <c r="N21" s="3">
        <f>Aurora!L6*1000</f>
        <v>145653.77622767858</v>
      </c>
      <c r="O21" s="3">
        <f>Aurora!M6*1000</f>
        <v>147091.01037946428</v>
      </c>
      <c r="P21" s="3">
        <f>C21/8760</f>
        <v>179.98516295311737</v>
      </c>
      <c r="Q21" s="118">
        <f>P21/230</f>
        <v>0.78254418675268422</v>
      </c>
    </row>
    <row r="22" spans="1:17">
      <c r="A22" s="3" t="s">
        <v>109</v>
      </c>
      <c r="C22" s="75">
        <f>C23/C21</f>
        <v>12.54968795181504</v>
      </c>
      <c r="D22" s="78">
        <f>D23/D21</f>
        <v>12.442049750616601</v>
      </c>
      <c r="E22" s="78">
        <f t="shared" ref="E22:O22" si="7">E23/E21</f>
        <v>12.501542976942739</v>
      </c>
      <c r="F22" s="78">
        <f t="shared" si="7"/>
        <v>12.490170953758899</v>
      </c>
      <c r="G22" s="78">
        <f t="shared" si="7"/>
        <v>12.737684995303281</v>
      </c>
      <c r="H22" s="78">
        <f t="shared" si="7"/>
        <v>13.13899178892351</v>
      </c>
      <c r="I22" s="78">
        <f t="shared" si="7"/>
        <v>13.345841557532321</v>
      </c>
      <c r="J22" s="78">
        <f t="shared" si="7"/>
        <v>12.490106772399363</v>
      </c>
      <c r="K22" s="78">
        <f t="shared" si="7"/>
        <v>12.426443159808667</v>
      </c>
      <c r="L22" s="78">
        <f t="shared" si="7"/>
        <v>12.416569128458629</v>
      </c>
      <c r="M22" s="78">
        <f t="shared" si="7"/>
        <v>12.423823394528021</v>
      </c>
      <c r="N22" s="78">
        <f t="shared" si="7"/>
        <v>12.417433334716925</v>
      </c>
      <c r="O22" s="78">
        <f t="shared" si="7"/>
        <v>12.450557335356089</v>
      </c>
    </row>
    <row r="23" spans="1:17">
      <c r="A23" t="s">
        <v>39</v>
      </c>
      <c r="C23" s="31">
        <f>SUM(D23:O23)</f>
        <v>19786716.847719464</v>
      </c>
      <c r="D23" s="32">
        <f>Aurora!B26*1000</f>
        <v>1811669.6411132813</v>
      </c>
      <c r="E23" s="32">
        <f>Aurora!C26*1000</f>
        <v>1669688.9064243862</v>
      </c>
      <c r="F23" s="32">
        <f>Aurora!D26*1000</f>
        <v>1792446.9020298549</v>
      </c>
      <c r="G23" s="32">
        <f>Aurora!E26*1000</f>
        <v>1459703.2444545201</v>
      </c>
      <c r="H23" s="32">
        <f>Aurora!F26*1000</f>
        <v>1113233.5081372941</v>
      </c>
      <c r="I23" s="32">
        <f>Aurora!G26*1000</f>
        <v>976785.05815778463</v>
      </c>
      <c r="J23" s="32">
        <f>Aurora!H26*1000</f>
        <v>1792064.9300711495</v>
      </c>
      <c r="K23" s="32">
        <f>Aurora!I26*1000</f>
        <v>1859368.3349609375</v>
      </c>
      <c r="L23" s="32">
        <f>Aurora!J26*1000</f>
        <v>1809573.8699776786</v>
      </c>
      <c r="M23" s="32">
        <f>Aurora!K26*1000</f>
        <v>1862171.337890625</v>
      </c>
      <c r="N23" s="32">
        <f>Aurora!L26*1000</f>
        <v>1808646.0562569755</v>
      </c>
      <c r="O23" s="32">
        <f>Aurora!M26*1000</f>
        <v>1831365.0582449776</v>
      </c>
    </row>
    <row r="24" spans="1:17">
      <c r="C24" s="29"/>
    </row>
    <row r="25" spans="1:17" s="3" customFormat="1">
      <c r="A25" s="3" t="s">
        <v>40</v>
      </c>
      <c r="C25" s="28">
        <f>SUM(D25:O25)</f>
        <v>317550.656250545</v>
      </c>
      <c r="D25" s="3">
        <f>Aurora!B8*1000</f>
        <v>32950.503306361607</v>
      </c>
      <c r="E25" s="3">
        <f>Aurora!C8*1000</f>
        <v>28922.652692522322</v>
      </c>
      <c r="F25" s="3">
        <f>Aurora!D8*1000</f>
        <v>30758.719503348217</v>
      </c>
      <c r="G25" s="3">
        <f>Aurora!E8*1000</f>
        <v>21337.649789101739</v>
      </c>
      <c r="H25" s="3">
        <f>Aurora!F8*1000</f>
        <v>11918.868134852817</v>
      </c>
      <c r="I25" s="3">
        <f>Aurora!G8*1000</f>
        <v>5005.2133196149553</v>
      </c>
      <c r="J25" s="3">
        <f>Aurora!H8*1000</f>
        <v>26247.121937779015</v>
      </c>
      <c r="K25" s="3">
        <f>Aurora!I8*1000</f>
        <v>32303.853683035712</v>
      </c>
      <c r="L25" s="3">
        <f>Aurora!J8*1000</f>
        <v>31590.470061383927</v>
      </c>
      <c r="M25" s="3">
        <f>Aurora!K8*1000</f>
        <v>32883.096623883925</v>
      </c>
      <c r="N25" s="3">
        <f>Aurora!L8*1000</f>
        <v>31956.388476562497</v>
      </c>
      <c r="O25" s="3">
        <f>Aurora!M8*1000</f>
        <v>31676.118722098217</v>
      </c>
      <c r="P25" s="3">
        <f>C25/8760</f>
        <v>36.250074914445776</v>
      </c>
    </row>
    <row r="26" spans="1:17">
      <c r="A26" s="3" t="s">
        <v>108</v>
      </c>
      <c r="C26" s="75">
        <f t="shared" ref="C26:O26" si="8">C27/C25</f>
        <v>38.056086489644407</v>
      </c>
      <c r="D26" s="78">
        <f>D27/D25</f>
        <v>37.848131534250456</v>
      </c>
      <c r="E26" s="78">
        <f t="shared" si="8"/>
        <v>37.98458268187003</v>
      </c>
      <c r="F26" s="78">
        <f t="shared" si="8"/>
        <v>37.976703574362645</v>
      </c>
      <c r="G26" s="78">
        <f t="shared" si="8"/>
        <v>38.350957085320722</v>
      </c>
      <c r="H26" s="78">
        <f t="shared" si="8"/>
        <v>38.903858291238286</v>
      </c>
      <c r="I26" s="78"/>
      <c r="J26" s="78">
        <f t="shared" si="8"/>
        <v>38.24614967264796</v>
      </c>
      <c r="K26" s="78">
        <f t="shared" si="8"/>
        <v>37.91313136639986</v>
      </c>
      <c r="L26" s="78">
        <f t="shared" si="8"/>
        <v>37.886742992527729</v>
      </c>
      <c r="M26" s="78">
        <f t="shared" si="8"/>
        <v>37.867774161622805</v>
      </c>
      <c r="N26" s="78">
        <f t="shared" si="8"/>
        <v>37.856910489153393</v>
      </c>
      <c r="O26" s="78">
        <f t="shared" si="8"/>
        <v>37.966288050971606</v>
      </c>
    </row>
    <row r="27" spans="1:17">
      <c r="A27" t="s">
        <v>41</v>
      </c>
      <c r="C27" s="31">
        <f>SUM(D27:O27)</f>
        <v>12084735.239114081</v>
      </c>
      <c r="D27" s="33">
        <f>Aurora!B28*1000</f>
        <v>1247114.9832589286</v>
      </c>
      <c r="E27" s="33">
        <f>Aurora!C28*1000</f>
        <v>1098614.892578125</v>
      </c>
      <c r="F27" s="33">
        <f>Aurora!D28*1000</f>
        <v>1168114.7729056221</v>
      </c>
      <c r="G27" s="33">
        <f>Aurora!E28*1000</f>
        <v>818319.2913634436</v>
      </c>
      <c r="H27" s="33">
        <f>Aurora!F28*1000</f>
        <v>463689.95691026957</v>
      </c>
      <c r="I27" s="33">
        <f>Aurora!G28*1000</f>
        <v>205825.25689261299</v>
      </c>
      <c r="J27" s="33">
        <f>Aurora!H28*1000</f>
        <v>1003851.354108538</v>
      </c>
      <c r="K27" s="33">
        <f>Aurora!I28*1000</f>
        <v>1224740.248325893</v>
      </c>
      <c r="L27" s="33">
        <f>Aurora!J28*1000</f>
        <v>1196860.0202287945</v>
      </c>
      <c r="M27" s="33">
        <f>Aurora!K28*1000</f>
        <v>1245209.6766880578</v>
      </c>
      <c r="N27" s="33">
        <f>Aurora!L28*1000</f>
        <v>1209770.1381138393</v>
      </c>
      <c r="O27" s="33">
        <f>Aurora!M28*1000</f>
        <v>1202624.6477399555</v>
      </c>
    </row>
    <row r="28" spans="1:17">
      <c r="C28" s="81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7">
      <c r="A29" t="s">
        <v>96</v>
      </c>
      <c r="C29" s="28">
        <f>SUM(D29:O29)</f>
        <v>1188114.8073051453</v>
      </c>
      <c r="D29" s="3">
        <f>Aurora!B7*1000</f>
        <v>124027.62265624999</v>
      </c>
      <c r="E29" s="3">
        <f>Aurora!C7*1000</f>
        <v>113099.78680594308</v>
      </c>
      <c r="F29" s="3">
        <f>Aurora!D7*1000</f>
        <v>66886.710163225449</v>
      </c>
      <c r="G29" s="3">
        <f>Aurora!E7*1000</f>
        <v>20163.570246233259</v>
      </c>
      <c r="H29" s="3">
        <f>Aurora!F7*1000</f>
        <v>6565.4627041407994</v>
      </c>
      <c r="I29" s="3">
        <f>Aurora!G7*1000</f>
        <v>9601.9563964843746</v>
      </c>
      <c r="J29" s="3">
        <f>Aurora!H7*1000</f>
        <v>94617.88270786831</v>
      </c>
      <c r="K29" s="3">
        <f>Aurora!I7*1000</f>
        <v>145673.66015625</v>
      </c>
      <c r="L29" s="3">
        <f>Aurora!J7*1000</f>
        <v>138409.51819196428</v>
      </c>
      <c r="M29" s="3">
        <f>Aurora!K7*1000</f>
        <v>164559.43883928569</v>
      </c>
      <c r="N29" s="3">
        <f>Aurora!L7*1000</f>
        <v>155780.2890625</v>
      </c>
      <c r="O29" s="3">
        <f>Aurora!M7*1000</f>
        <v>148728.90937499999</v>
      </c>
      <c r="P29" s="3">
        <f>C29/8760</f>
        <v>135.62954421291613</v>
      </c>
    </row>
    <row r="30" spans="1:17">
      <c r="A30" t="s">
        <v>106</v>
      </c>
      <c r="C30" s="75">
        <f>C31/C29</f>
        <v>31.644133239515877</v>
      </c>
      <c r="D30" s="78">
        <f>D31/D29</f>
        <v>32.005470794814222</v>
      </c>
      <c r="E30" s="78">
        <f t="shared" ref="E30:O30" si="9">E31/E29</f>
        <v>31.845860755379871</v>
      </c>
      <c r="F30" s="78">
        <f t="shared" si="9"/>
        <v>31.752690840740403</v>
      </c>
      <c r="G30" s="78">
        <f t="shared" si="9"/>
        <v>31.36360947761338</v>
      </c>
      <c r="H30" s="78">
        <f t="shared" si="9"/>
        <v>32.377759694672569</v>
      </c>
      <c r="I30" s="78">
        <f t="shared" si="9"/>
        <v>32.500200571146486</v>
      </c>
      <c r="J30" s="78">
        <f t="shared" si="9"/>
        <v>30.286612889357823</v>
      </c>
      <c r="K30" s="78">
        <f t="shared" si="9"/>
        <v>30.529559330117571</v>
      </c>
      <c r="L30" s="78">
        <f t="shared" si="9"/>
        <v>30.994031041422751</v>
      </c>
      <c r="M30" s="78">
        <f t="shared" si="9"/>
        <v>30.912135591718499</v>
      </c>
      <c r="N30" s="78">
        <f t="shared" si="9"/>
        <v>32.223711422077827</v>
      </c>
      <c r="O30" s="78">
        <f t="shared" si="9"/>
        <v>33.854113567801953</v>
      </c>
    </row>
    <row r="31" spans="1:17">
      <c r="A31" t="s">
        <v>94</v>
      </c>
      <c r="C31" s="31">
        <f>SUM(D31:O31)</f>
        <v>37596863.26620575</v>
      </c>
      <c r="D31" s="26">
        <f>Aurora!B27*1000</f>
        <v>3969562.4546748479</v>
      </c>
      <c r="E31" s="26">
        <f>Aurora!C27*1000</f>
        <v>3601760.0620852127</v>
      </c>
      <c r="F31" s="26">
        <f>Aurora!D27*1000</f>
        <v>2123833.0291671068</v>
      </c>
      <c r="G31" s="26">
        <f>Aurora!E27*1000</f>
        <v>632402.34287728462</v>
      </c>
      <c r="H31" s="26">
        <f>Aurora!F27*1000</f>
        <v>212574.97371900594</v>
      </c>
      <c r="I31" s="26">
        <f>Aurora!G27*1000</f>
        <v>312065.50876114512</v>
      </c>
      <c r="J31" s="26">
        <f>Aurora!H27*1000</f>
        <v>2865655.1859838711</v>
      </c>
      <c r="K31" s="26">
        <f>Aurora!I27*1000</f>
        <v>4447352.6505756183</v>
      </c>
      <c r="L31" s="26">
        <f>Aurora!J27*1000</f>
        <v>4289868.9032701077</v>
      </c>
      <c r="M31" s="26">
        <f>Aurora!K27*1000</f>
        <v>5086883.6862971066</v>
      </c>
      <c r="N31" s="26">
        <f>Aurora!L27*1000</f>
        <v>5019819.0799978664</v>
      </c>
      <c r="O31" s="26">
        <f>Aurora!M27*1000</f>
        <v>5035085.3887965744</v>
      </c>
    </row>
    <row r="32" spans="1:17"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7">
      <c r="A33" t="s">
        <v>195</v>
      </c>
      <c r="C33" s="28">
        <f>SUM(D33:O33)</f>
        <v>1185630.3814324515</v>
      </c>
      <c r="D33" s="3">
        <f>Aurora!B10*1000</f>
        <v>140847.35084751673</v>
      </c>
      <c r="E33" s="3">
        <f>Aurora!C10*1000</f>
        <v>116158.0665736607</v>
      </c>
      <c r="F33" s="3">
        <f>Aurora!D10*1000</f>
        <v>71000.395431082594</v>
      </c>
      <c r="G33" s="3">
        <f>Aurora!E10*1000</f>
        <v>22524.850952148434</v>
      </c>
      <c r="H33" s="3">
        <f>Aurora!F10*1000</f>
        <v>4959.6758486066547</v>
      </c>
      <c r="I33" s="3">
        <f>Aurora!G10*1000</f>
        <v>11704.022970145088</v>
      </c>
      <c r="J33" s="3">
        <f>Aurora!H10*1000</f>
        <v>88573.069590541287</v>
      </c>
      <c r="K33" s="3">
        <f>Aurora!I10*1000</f>
        <v>128974.39810267858</v>
      </c>
      <c r="L33" s="3">
        <f>Aurora!J10*1000</f>
        <v>133135.55613839286</v>
      </c>
      <c r="M33" s="3">
        <f>Aurora!K10*1000</f>
        <v>161612.21718750001</v>
      </c>
      <c r="N33" s="3">
        <f>Aurora!L10*1000</f>
        <v>156582.4145089286</v>
      </c>
      <c r="O33" s="3">
        <f>Aurora!M10*1000</f>
        <v>149558.36328125</v>
      </c>
    </row>
    <row r="34" spans="1:17">
      <c r="A34" t="s">
        <v>196</v>
      </c>
      <c r="C34" s="75">
        <f>C35/C33</f>
        <v>34.039105461113216</v>
      </c>
      <c r="D34" s="78">
        <f>D35/D33</f>
        <v>33.905729269109266</v>
      </c>
      <c r="E34" s="78">
        <f t="shared" ref="E34:O34" si="10">E35/E33</f>
        <v>33.942713856586067</v>
      </c>
      <c r="F34" s="78">
        <f t="shared" si="10"/>
        <v>33.830092229061869</v>
      </c>
      <c r="G34" s="78">
        <f t="shared" si="10"/>
        <v>34.160164690517163</v>
      </c>
      <c r="H34" s="78">
        <f t="shared" si="10"/>
        <v>37.517619091133334</v>
      </c>
      <c r="I34" s="78">
        <f t="shared" si="10"/>
        <v>35.026440207198654</v>
      </c>
      <c r="J34" s="78">
        <f t="shared" si="10"/>
        <v>33.504101738501227</v>
      </c>
      <c r="K34" s="78">
        <f t="shared" si="10"/>
        <v>33.720954818999765</v>
      </c>
      <c r="L34" s="78">
        <f t="shared" si="10"/>
        <v>33.471361795816648</v>
      </c>
      <c r="M34" s="78">
        <f t="shared" si="10"/>
        <v>33.024453117887901</v>
      </c>
      <c r="N34" s="78">
        <f t="shared" si="10"/>
        <v>34.273073094740212</v>
      </c>
      <c r="O34" s="78">
        <f t="shared" si="10"/>
        <v>36.076032768318861</v>
      </c>
    </row>
    <row r="35" spans="1:17">
      <c r="A35" t="s">
        <v>197</v>
      </c>
      <c r="C35" s="31">
        <f>SUM(D35:O35)</f>
        <v>40357797.591479108</v>
      </c>
      <c r="D35" s="26">
        <f>Aurora!B30*1000</f>
        <v>4775532.1461071502</v>
      </c>
      <c r="E35" s="26">
        <f>Aurora!C30*1000</f>
        <v>3942720.0158440401</v>
      </c>
      <c r="F35" s="26">
        <f>Aurora!D30*1000</f>
        <v>2401949.925733387</v>
      </c>
      <c r="G35" s="26">
        <f>Aurora!E30*1000</f>
        <v>769452.61815474287</v>
      </c>
      <c r="H35" s="26">
        <f>Aurora!F30*1000</f>
        <v>186075.22930351796</v>
      </c>
      <c r="I35" s="26">
        <f>Aurora!G30*1000</f>
        <v>409950.26074746653</v>
      </c>
      <c r="J35" s="26">
        <f>Aurora!H30*1000</f>
        <v>2967561.1348528443</v>
      </c>
      <c r="K35" s="26">
        <f>Aurora!I30*1000</f>
        <v>4349139.8512281133</v>
      </c>
      <c r="L35" s="26">
        <f>Aurora!J30*1000</f>
        <v>4456228.3673954057</v>
      </c>
      <c r="M35" s="26">
        <f>Aurora!K30*1000</f>
        <v>5337155.0897865109</v>
      </c>
      <c r="N35" s="26">
        <f>Aurora!L30*1000</f>
        <v>5366560.53781542</v>
      </c>
      <c r="O35" s="26">
        <f>Aurora!M30*1000</f>
        <v>5395472.4145105118</v>
      </c>
    </row>
    <row r="36" spans="1:17"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7">
      <c r="A37" t="s">
        <v>61</v>
      </c>
      <c r="C37" s="28">
        <f>SUM(D37:O37)</f>
        <v>672.05445870842243</v>
      </c>
      <c r="D37" s="3">
        <f>Aurora!B5*1000</f>
        <v>126.08680524144853</v>
      </c>
      <c r="E37" s="3">
        <f>Aurora!C5*1000</f>
        <v>431.0687496457781</v>
      </c>
      <c r="F37" s="3">
        <f>Aurora!D5*1000</f>
        <v>56.85342461722238</v>
      </c>
      <c r="G37" s="3">
        <f>Aurora!E5*1000</f>
        <v>6.2445002828325542</v>
      </c>
      <c r="H37" s="3">
        <f>Aurora!F5*1000</f>
        <v>0</v>
      </c>
      <c r="I37" s="3">
        <f>Aurora!G5*1000</f>
        <v>0</v>
      </c>
      <c r="J37" s="3">
        <f>Aurora!H5*1000</f>
        <v>2.4500066646507808</v>
      </c>
      <c r="K37" s="3">
        <f>Aurora!I5*1000</f>
        <v>0.68528570447649273</v>
      </c>
      <c r="L37" s="3">
        <f>Aurora!J5*1000</f>
        <v>1.1046272618430002</v>
      </c>
      <c r="M37" s="3">
        <f>Aurora!K5*1000</f>
        <v>4.0356221394879475</v>
      </c>
      <c r="N37" s="3">
        <f>Aurora!L5*1000</f>
        <v>24.960127173151289</v>
      </c>
      <c r="O37" s="3">
        <f>Aurora!M5*1000</f>
        <v>18.565309977531431</v>
      </c>
      <c r="P37" s="3">
        <f>C37/8760</f>
        <v>7.6718545514660091E-2</v>
      </c>
      <c r="Q37" s="88">
        <f>SUM(P37:P49)</f>
        <v>0.19781623603150358</v>
      </c>
    </row>
    <row r="38" spans="1:17">
      <c r="A38" t="s">
        <v>107</v>
      </c>
      <c r="C38" s="75">
        <f>C39/C37</f>
        <v>49.045487826615528</v>
      </c>
      <c r="D38" s="78">
        <f>IF(D37&gt;0,D39/D37,"")</f>
        <v>49.385559789058391</v>
      </c>
      <c r="E38" s="78">
        <f t="shared" ref="E38:O38" si="11">IF(E37&gt;0,E39/E37,"")</f>
        <v>49.104083191818525</v>
      </c>
      <c r="F38" s="78">
        <f t="shared" si="11"/>
        <v>47.742745700755705</v>
      </c>
      <c r="G38" s="78">
        <f t="shared" si="11"/>
        <v>45.516884200408725</v>
      </c>
      <c r="H38" s="78" t="str">
        <f t="shared" si="11"/>
        <v/>
      </c>
      <c r="I38" s="78" t="str">
        <f t="shared" si="11"/>
        <v/>
      </c>
      <c r="J38" s="78">
        <f t="shared" si="11"/>
        <v>46.233714573051785</v>
      </c>
      <c r="K38" s="78">
        <f t="shared" si="11"/>
        <v>46.536209654476451</v>
      </c>
      <c r="L38" s="78">
        <f t="shared" si="11"/>
        <v>46.648433148635696</v>
      </c>
      <c r="M38" s="78">
        <f t="shared" si="11"/>
        <v>47.298156165879554</v>
      </c>
      <c r="N38" s="78">
        <f t="shared" si="11"/>
        <v>49.151130982335715</v>
      </c>
      <c r="O38" s="78">
        <f t="shared" si="11"/>
        <v>51.395757813090718</v>
      </c>
    </row>
    <row r="39" spans="1:17">
      <c r="A39" t="s">
        <v>60</v>
      </c>
      <c r="C39" s="31">
        <f>SUM(D39:O39)</f>
        <v>32961.238773406621</v>
      </c>
      <c r="D39" s="26">
        <f>Aurora!B25*1000</f>
        <v>6226.8674588629174</v>
      </c>
      <c r="E39" s="26">
        <f>Aurora!C25*1000</f>
        <v>21167.235743999481</v>
      </c>
      <c r="F39" s="26">
        <f>Aurora!D25*1000</f>
        <v>2714.3385937171324</v>
      </c>
      <c r="G39" s="26">
        <f>Aurora!E25*1000</f>
        <v>284.23019626310889</v>
      </c>
      <c r="H39" s="26">
        <f>Aurora!F25*1000</f>
        <v>0</v>
      </c>
      <c r="I39" s="26">
        <f>Aurora!G25*1000</f>
        <v>0</v>
      </c>
      <c r="J39" s="26">
        <f>Aurora!H25*1000</f>
        <v>113.2729088355388</v>
      </c>
      <c r="K39" s="26">
        <f>Aurora!I25*1000</f>
        <v>31.890599216733658</v>
      </c>
      <c r="L39" s="26">
        <f>Aurora!J25*1000</f>
        <v>51.529130978243693</v>
      </c>
      <c r="M39" s="26">
        <f>Aurora!K25*1000</f>
        <v>190.8774861799819</v>
      </c>
      <c r="N39" s="26">
        <f>Aurora!L25*1000</f>
        <v>1226.8184800233159</v>
      </c>
      <c r="O39" s="26">
        <f>Aurora!M25*1000</f>
        <v>954.17817533016205</v>
      </c>
    </row>
    <row r="40" spans="1:17"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7">
      <c r="A41" t="s">
        <v>63</v>
      </c>
      <c r="C41" s="28">
        <f>SUM(D41:O41)</f>
        <v>1043.7520379792368</v>
      </c>
      <c r="D41" s="3">
        <f>Aurora!B9*1000</f>
        <v>207.5082812207086</v>
      </c>
      <c r="E41" s="3">
        <f>Aurora!C9*1000</f>
        <v>472.55228715624133</v>
      </c>
      <c r="F41" s="3">
        <f>Aurora!D9*1000</f>
        <v>135.39173313379288</v>
      </c>
      <c r="G41" s="3">
        <f>Aurora!E9*1000</f>
        <v>22.153759504216058</v>
      </c>
      <c r="H41" s="3">
        <f>Aurora!F9*1000</f>
        <v>4.6585660274539675</v>
      </c>
      <c r="I41" s="3">
        <f>Aurora!G9*1000</f>
        <v>5.9184509694576253</v>
      </c>
      <c r="J41" s="3">
        <f>Aurora!H9*1000</f>
        <v>15.219761031014579</v>
      </c>
      <c r="K41" s="3">
        <f>Aurora!I9*1000</f>
        <v>17.773328350271495</v>
      </c>
      <c r="L41" s="3">
        <f>Aurora!J9*1000</f>
        <v>29.846386422429763</v>
      </c>
      <c r="M41" s="3">
        <f>Aurora!K9*1000</f>
        <v>38.626609938485281</v>
      </c>
      <c r="N41" s="3">
        <f>Aurora!L9*1000</f>
        <v>60.80131855756045</v>
      </c>
      <c r="O41" s="3">
        <f>Aurora!M9*1000</f>
        <v>33.301555667604717</v>
      </c>
      <c r="P41" s="3">
        <f>C41/8760</f>
        <v>0.11914977602502703</v>
      </c>
    </row>
    <row r="42" spans="1:17">
      <c r="A42" t="s">
        <v>110</v>
      </c>
      <c r="C42" s="75">
        <f>C43/C41</f>
        <v>47.241536522537523</v>
      </c>
      <c r="D42" s="78">
        <f t="shared" ref="D42:O42" si="12">IF(D41&gt;0,D43/D41,"")</f>
        <v>47.880735954480933</v>
      </c>
      <c r="E42" s="78">
        <f t="shared" si="12"/>
        <v>47.607836688560539</v>
      </c>
      <c r="F42" s="78">
        <f t="shared" si="12"/>
        <v>46.287979640845109</v>
      </c>
      <c r="G42" s="78">
        <f t="shared" si="12"/>
        <v>44.129943320165587</v>
      </c>
      <c r="H42" s="78">
        <f t="shared" si="12"/>
        <v>44.176171988966523</v>
      </c>
      <c r="I42" s="78">
        <f t="shared" si="12"/>
        <v>44.449490247487567</v>
      </c>
      <c r="J42" s="78">
        <f t="shared" si="12"/>
        <v>44.824929301537708</v>
      </c>
      <c r="K42" s="78">
        <f t="shared" si="12"/>
        <v>45.118207438544154</v>
      </c>
      <c r="L42" s="78">
        <f t="shared" si="12"/>
        <v>45.227012109542493</v>
      </c>
      <c r="M42" s="78">
        <f t="shared" si="12"/>
        <v>45.856939051434487</v>
      </c>
      <c r="N42" s="78">
        <f t="shared" si="12"/>
        <v>47.6534517292827</v>
      </c>
      <c r="O42" s="78">
        <f t="shared" si="12"/>
        <v>49.829681195800838</v>
      </c>
    </row>
    <row r="43" spans="1:17">
      <c r="A43" t="s">
        <v>62</v>
      </c>
      <c r="C43" s="31">
        <f>SUM(D43:O43)</f>
        <v>49308.450022669087</v>
      </c>
      <c r="D43" s="26">
        <f>Aurora!B29*1000</f>
        <v>9935.6492214969221</v>
      </c>
      <c r="E43" s="26">
        <f>Aurora!C29*1000</f>
        <v>22497.1921137401</v>
      </c>
      <c r="F43" s="26">
        <f>Aurora!D29*1000</f>
        <v>6267.0097868357389</v>
      </c>
      <c r="G43" s="26">
        <f>Aurora!E29*1000</f>
        <v>977.64415124963432</v>
      </c>
      <c r="H43" s="26">
        <f>Aurora!F29*1000</f>
        <v>205.797614050763</v>
      </c>
      <c r="I43" s="26">
        <f>Aurora!G29*1000</f>
        <v>263.07212864714006</v>
      </c>
      <c r="J43" s="26">
        <f>Aurora!H29*1000</f>
        <v>682.22471220152715</v>
      </c>
      <c r="K43" s="26">
        <f>Aurora!I29*1000</f>
        <v>801.90071538090706</v>
      </c>
      <c r="L43" s="26">
        <f>Aurora!J29*1000</f>
        <v>1349.8628801533155</v>
      </c>
      <c r="M43" s="26">
        <f>Aurora!K29*1000</f>
        <v>1771.2980977126531</v>
      </c>
      <c r="N43" s="26">
        <f>Aurora!L29*1000</f>
        <v>2897.3926989594474</v>
      </c>
      <c r="O43" s="26">
        <f>Aurora!M29*1000</f>
        <v>1659.4059022409576</v>
      </c>
    </row>
    <row r="44" spans="1:17"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7">
      <c r="A45" t="s">
        <v>42</v>
      </c>
      <c r="C45" s="28">
        <f>SUM(D45:O45)</f>
        <v>16.741714913504467</v>
      </c>
      <c r="D45" s="3">
        <f>Aurora!B12*1000</f>
        <v>16.741714913504467</v>
      </c>
      <c r="E45" s="3">
        <f>Aurora!C12*1000</f>
        <v>0</v>
      </c>
      <c r="F45" s="3">
        <f>Aurora!D12*1000</f>
        <v>0</v>
      </c>
      <c r="G45" s="3">
        <f>Aurora!E12*1000</f>
        <v>0</v>
      </c>
      <c r="H45" s="3">
        <f>Aurora!F12*1000</f>
        <v>0</v>
      </c>
      <c r="I45" s="3">
        <f>Aurora!G12*1000</f>
        <v>0</v>
      </c>
      <c r="J45" s="3">
        <f>Aurora!H12*1000</f>
        <v>0</v>
      </c>
      <c r="K45" s="3">
        <f>Aurora!I12*1000</f>
        <v>0</v>
      </c>
      <c r="L45" s="3">
        <f>Aurora!J12*1000</f>
        <v>0</v>
      </c>
      <c r="M45" s="3">
        <f>Aurora!K12*1000</f>
        <v>0</v>
      </c>
      <c r="N45" s="3">
        <f>Aurora!L12*1000</f>
        <v>0</v>
      </c>
      <c r="O45" s="3">
        <f>Aurora!M12*1000</f>
        <v>0</v>
      </c>
      <c r="P45" s="3">
        <f>C45/8760</f>
        <v>1.9111546704913775E-3</v>
      </c>
    </row>
    <row r="46" spans="1:17">
      <c r="A46" t="s">
        <v>104</v>
      </c>
      <c r="C46" s="75">
        <f>C47/C45</f>
        <v>60.423765117778281</v>
      </c>
      <c r="D46" s="78">
        <f t="shared" ref="D46:O46" si="13">IF(D45&gt;0,D47/D45,"")</f>
        <v>60.423765117778281</v>
      </c>
      <c r="E46" s="78" t="str">
        <f t="shared" si="13"/>
        <v/>
      </c>
      <c r="F46" s="78" t="str">
        <f t="shared" si="13"/>
        <v/>
      </c>
      <c r="G46" s="78" t="str">
        <f t="shared" si="13"/>
        <v/>
      </c>
      <c r="H46" s="78" t="str">
        <f t="shared" si="13"/>
        <v/>
      </c>
      <c r="I46" s="78" t="str">
        <f t="shared" si="13"/>
        <v/>
      </c>
      <c r="J46" s="78" t="str">
        <f t="shared" si="13"/>
        <v/>
      </c>
      <c r="K46" s="78" t="str">
        <f t="shared" si="13"/>
        <v/>
      </c>
      <c r="L46" s="78" t="str">
        <f t="shared" si="13"/>
        <v/>
      </c>
      <c r="M46" s="78" t="str">
        <f t="shared" si="13"/>
        <v/>
      </c>
      <c r="N46" s="78" t="str">
        <f t="shared" si="13"/>
        <v/>
      </c>
      <c r="O46" s="78" t="str">
        <f t="shared" si="13"/>
        <v/>
      </c>
    </row>
    <row r="47" spans="1:17">
      <c r="A47" t="s">
        <v>43</v>
      </c>
      <c r="C47" s="31">
        <f>SUM(D47:O47)</f>
        <v>1011.5974496023996</v>
      </c>
      <c r="D47" s="26">
        <f>Aurora!B32*1000</f>
        <v>1011.5974496023996</v>
      </c>
      <c r="E47" s="26">
        <f>Aurora!C32*1000</f>
        <v>0</v>
      </c>
      <c r="F47" s="26">
        <f>Aurora!D32*1000</f>
        <v>0</v>
      </c>
      <c r="G47" s="26">
        <f>Aurora!E32*1000</f>
        <v>0</v>
      </c>
      <c r="H47" s="26">
        <f>Aurora!F32*1000</f>
        <v>0</v>
      </c>
      <c r="I47" s="26">
        <f>Aurora!G32*1000</f>
        <v>0</v>
      </c>
      <c r="J47" s="26">
        <f>Aurora!H32*1000</f>
        <v>0</v>
      </c>
      <c r="K47" s="26">
        <f>Aurora!I32*1000</f>
        <v>0</v>
      </c>
      <c r="L47" s="26">
        <f>Aurora!J32*1000</f>
        <v>0</v>
      </c>
      <c r="M47" s="26">
        <f>Aurora!K32*1000</f>
        <v>0</v>
      </c>
      <c r="N47" s="26">
        <f>Aurora!L32*1000</f>
        <v>0</v>
      </c>
      <c r="O47" s="26">
        <f>Aurora!M32*1000</f>
        <v>0</v>
      </c>
    </row>
    <row r="48" spans="1:17">
      <c r="C48" s="39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6">
      <c r="A49" t="s">
        <v>47</v>
      </c>
      <c r="C49" s="28">
        <f>SUM(D49:O49)</f>
        <v>0.3220160348074777</v>
      </c>
      <c r="D49" s="3">
        <f>Aurora!B11*1000</f>
        <v>0</v>
      </c>
      <c r="E49" s="3">
        <f>Aurora!C11*1000</f>
        <v>0</v>
      </c>
      <c r="F49" s="3">
        <f>Aurora!D11*1000</f>
        <v>0</v>
      </c>
      <c r="G49" s="3">
        <f>Aurora!E11*1000</f>
        <v>0</v>
      </c>
      <c r="H49" s="3">
        <f>Aurora!F11*1000</f>
        <v>0</v>
      </c>
      <c r="I49" s="3">
        <f>Aurora!G11*1000</f>
        <v>0</v>
      </c>
      <c r="J49" s="3">
        <f>Aurora!H11*1000</f>
        <v>0</v>
      </c>
      <c r="K49" s="3">
        <f>Aurora!I11*1000</f>
        <v>0</v>
      </c>
      <c r="L49" s="3">
        <f>Aurora!J11*1000</f>
        <v>0</v>
      </c>
      <c r="M49" s="3">
        <f>Aurora!K11*1000</f>
        <v>0</v>
      </c>
      <c r="N49" s="3">
        <f>Aurora!L11*1000</f>
        <v>0.3220160348074777</v>
      </c>
      <c r="O49" s="3">
        <f>Aurora!M11*1000</f>
        <v>0</v>
      </c>
      <c r="P49" s="3">
        <f>C49/8760</f>
        <v>3.6759821325054536E-5</v>
      </c>
    </row>
    <row r="50" spans="1:16">
      <c r="A50" t="s">
        <v>105</v>
      </c>
      <c r="C50" s="75">
        <f>C51/C49</f>
        <v>69.846342963807871</v>
      </c>
      <c r="D50" s="78" t="str">
        <f t="shared" ref="D50:O50" si="14">IF(D49&gt;0,D51/D49,"")</f>
        <v/>
      </c>
      <c r="E50" s="78" t="str">
        <f t="shared" si="14"/>
        <v/>
      </c>
      <c r="F50" s="78" t="str">
        <f t="shared" si="14"/>
        <v/>
      </c>
      <c r="G50" s="78" t="str">
        <f t="shared" si="14"/>
        <v/>
      </c>
      <c r="H50" s="78" t="str">
        <f t="shared" si="14"/>
        <v/>
      </c>
      <c r="I50" s="78" t="str">
        <f t="shared" si="14"/>
        <v/>
      </c>
      <c r="J50" s="78" t="str">
        <f t="shared" si="14"/>
        <v/>
      </c>
      <c r="K50" s="78" t="str">
        <f t="shared" si="14"/>
        <v/>
      </c>
      <c r="L50" s="78" t="str">
        <f t="shared" si="14"/>
        <v/>
      </c>
      <c r="M50" s="78" t="str">
        <f t="shared" si="14"/>
        <v/>
      </c>
      <c r="N50" s="78">
        <f t="shared" si="14"/>
        <v>69.846342963807871</v>
      </c>
      <c r="O50" s="78" t="str">
        <f t="shared" si="14"/>
        <v/>
      </c>
    </row>
    <row r="51" spans="1:16">
      <c r="A51" t="s">
        <v>48</v>
      </c>
      <c r="C51" s="31">
        <f>SUM(D51:O51)</f>
        <v>22.49164240700858</v>
      </c>
      <c r="D51" s="26">
        <f>Aurora!B31*1000</f>
        <v>0</v>
      </c>
      <c r="E51" s="26">
        <f>Aurora!C31*1000</f>
        <v>0</v>
      </c>
      <c r="F51" s="26">
        <f>Aurora!D31*1000</f>
        <v>0</v>
      </c>
      <c r="G51" s="26">
        <f>Aurora!E31*1000</f>
        <v>0</v>
      </c>
      <c r="H51" s="26">
        <f>Aurora!F31*1000</f>
        <v>0</v>
      </c>
      <c r="I51" s="26">
        <f>Aurora!G31*1000</f>
        <v>0</v>
      </c>
      <c r="J51" s="26">
        <f>Aurora!H31*1000</f>
        <v>0</v>
      </c>
      <c r="K51" s="26">
        <f>Aurora!I31*1000</f>
        <v>0</v>
      </c>
      <c r="L51" s="26">
        <f>Aurora!J31*1000</f>
        <v>0</v>
      </c>
      <c r="M51" s="26">
        <f>Aurora!K31*1000</f>
        <v>0</v>
      </c>
      <c r="N51" s="26">
        <f>Aurora!L31*1000</f>
        <v>22.49164240700858</v>
      </c>
      <c r="O51" s="26">
        <f>Aurora!M31*1000</f>
        <v>0</v>
      </c>
    </row>
    <row r="52" spans="1:16"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1:16">
      <c r="A53" t="s">
        <v>44</v>
      </c>
      <c r="C53" s="54">
        <f>SUM(D53:O53)</f>
        <v>109909416.72240648</v>
      </c>
      <c r="D53" s="33">
        <f t="shared" ref="D53:J53" si="15">D23+D27+D31+D35+D39+D43+D47+D51</f>
        <v>11821053.33928417</v>
      </c>
      <c r="E53" s="33">
        <f t="shared" si="15"/>
        <v>10356448.304789504</v>
      </c>
      <c r="F53" s="33">
        <f t="shared" si="15"/>
        <v>7495325.9782165233</v>
      </c>
      <c r="G53" s="33">
        <f t="shared" si="15"/>
        <v>3681139.3711975035</v>
      </c>
      <c r="H53" s="33">
        <f t="shared" si="15"/>
        <v>1975779.4656841385</v>
      </c>
      <c r="I53" s="33">
        <f t="shared" si="15"/>
        <v>1904889.1566876564</v>
      </c>
      <c r="J53" s="33">
        <f t="shared" si="15"/>
        <v>8629928.10263744</v>
      </c>
      <c r="K53" s="33">
        <f>K23+K27+K31+K35+K39+K43+K47+K51</f>
        <v>11881434.876405161</v>
      </c>
      <c r="L53" s="33">
        <f>L23+L27+L31+L35+L39+L43+L47+L51</f>
        <v>11753932.552883118</v>
      </c>
      <c r="M53" s="33">
        <f>M23+M27+M31+M35+M39+M43+M47+M51</f>
        <v>13533381.966246193</v>
      </c>
      <c r="N53" s="33">
        <f>N23+N27+N31+N35+N39+N43+N47+N51</f>
        <v>13408942.51500549</v>
      </c>
      <c r="O53" s="33">
        <f>O23+O27+O31+O35+O39+O43+O47+O51</f>
        <v>13467161.09336959</v>
      </c>
    </row>
    <row r="54" spans="1:16">
      <c r="C54" s="26"/>
      <c r="D54" s="26"/>
      <c r="E54" s="26"/>
      <c r="F54" s="26"/>
      <c r="G54" s="26"/>
      <c r="H54" s="26"/>
      <c r="I54" s="26"/>
    </row>
    <row r="55" spans="1:16" s="12" customFormat="1">
      <c r="A55" s="35" t="s">
        <v>95</v>
      </c>
      <c r="B55" s="36"/>
      <c r="C55" s="73">
        <f>C53+C13+C9</f>
        <v>92183724.872435659</v>
      </c>
    </row>
    <row r="56" spans="1:16" s="12" customFormat="1">
      <c r="A56" s="9"/>
      <c r="C56" s="37"/>
      <c r="D56" s="37"/>
      <c r="E56" s="37"/>
      <c r="F56" s="37"/>
      <c r="G56" s="37"/>
      <c r="H56" s="37"/>
      <c r="I56" s="37"/>
    </row>
  </sheetData>
  <phoneticPr fontId="6" type="noConversion"/>
  <pageMargins left="0.75" right="0.75" top="1" bottom="1" header="0.5" footer="0.5"/>
  <pageSetup scale="54" orientation="landscape" r:id="rId1"/>
  <headerFooter alignWithMargins="0">
    <oddHeader>&amp;RExhibit No.___ (WGJ-4)</oddHeader>
    <oddFooter>&amp;R&amp;"Geneva,Bold"&amp;12&amp;P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workbookViewId="0">
      <pane xSplit="4470" ySplit="825" topLeftCell="A16" activePane="bottomRight"/>
      <selection activeCell="B2" sqref="B2"/>
      <selection pane="topRight" activeCell="K1" sqref="K1"/>
      <selection pane="bottomLeft" activeCell="A30" sqref="A30"/>
      <selection pane="bottomRight" activeCell="B5" sqref="B5:M12"/>
    </sheetView>
  </sheetViews>
  <sheetFormatPr defaultRowHeight="12.75"/>
  <cols>
    <col min="1" max="1" width="20.140625" style="62" customWidth="1"/>
    <col min="2" max="13" width="9.140625" style="62"/>
    <col min="14" max="14" width="10.28515625" style="64" customWidth="1"/>
    <col min="15" max="15" width="9.28515625" style="62" customWidth="1"/>
    <col min="16" max="16384" width="9.140625" style="62"/>
  </cols>
  <sheetData>
    <row r="1" spans="1:16" ht="16.5" thickBot="1">
      <c r="A1" s="59" t="s">
        <v>69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  <c r="O1" s="60"/>
    </row>
    <row r="2" spans="1:16">
      <c r="A2" s="63"/>
      <c r="B2" s="72" t="s">
        <v>82</v>
      </c>
      <c r="C2" s="72" t="s">
        <v>83</v>
      </c>
      <c r="D2" s="72" t="s">
        <v>84</v>
      </c>
      <c r="E2" s="72" t="s">
        <v>85</v>
      </c>
      <c r="F2" s="72" t="s">
        <v>86</v>
      </c>
      <c r="G2" s="72" t="s">
        <v>87</v>
      </c>
      <c r="H2" s="72" t="s">
        <v>88</v>
      </c>
      <c r="I2" s="72" t="s">
        <v>89</v>
      </c>
      <c r="J2" s="72" t="s">
        <v>90</v>
      </c>
      <c r="K2" s="72" t="s">
        <v>91</v>
      </c>
      <c r="L2" s="72" t="s">
        <v>92</v>
      </c>
      <c r="M2" s="72" t="s">
        <v>93</v>
      </c>
    </row>
    <row r="3" spans="1:16">
      <c r="B3" s="65">
        <v>1</v>
      </c>
      <c r="C3" s="65">
        <v>2</v>
      </c>
      <c r="D3" s="65">
        <v>3</v>
      </c>
      <c r="E3" s="65">
        <v>4</v>
      </c>
      <c r="F3" s="65">
        <v>5</v>
      </c>
      <c r="G3" s="65">
        <v>6</v>
      </c>
      <c r="H3" s="65">
        <v>7</v>
      </c>
      <c r="I3" s="65">
        <v>8</v>
      </c>
      <c r="J3" s="65">
        <v>9</v>
      </c>
      <c r="K3" s="65">
        <v>10</v>
      </c>
      <c r="L3" s="65">
        <v>11</v>
      </c>
      <c r="M3" s="65">
        <v>12</v>
      </c>
      <c r="N3" s="66" t="s">
        <v>70</v>
      </c>
    </row>
    <row r="4" spans="1:16">
      <c r="A4" s="76" t="s">
        <v>71</v>
      </c>
      <c r="N4" s="77" t="s">
        <v>97</v>
      </c>
    </row>
    <row r="5" spans="1:16">
      <c r="A5" s="67" t="s">
        <v>72</v>
      </c>
      <c r="B5" s="68">
        <v>0.12608680524144852</v>
      </c>
      <c r="C5" s="68">
        <v>0.43106874964577807</v>
      </c>
      <c r="D5" s="68">
        <v>5.6853424617222377E-2</v>
      </c>
      <c r="E5" s="68">
        <v>6.2445002828325543E-3</v>
      </c>
      <c r="F5" s="68">
        <v>0</v>
      </c>
      <c r="G5" s="68">
        <v>0</v>
      </c>
      <c r="H5" s="68">
        <v>2.4500066646507808E-3</v>
      </c>
      <c r="I5" s="68">
        <v>6.8528570447649276E-4</v>
      </c>
      <c r="J5" s="68">
        <v>1.1046272618430001E-3</v>
      </c>
      <c r="K5" s="68">
        <v>4.0356221394879472E-3</v>
      </c>
      <c r="L5" s="68">
        <v>2.4960127173151291E-2</v>
      </c>
      <c r="M5" s="68">
        <v>1.8565309977531429E-2</v>
      </c>
      <c r="N5" s="64">
        <f>SUM(B5:M5)</f>
        <v>0.67205445870842251</v>
      </c>
      <c r="O5" s="62">
        <f>N5/8760*1000</f>
        <v>7.6718545514660105E-2</v>
      </c>
    </row>
    <row r="6" spans="1:16">
      <c r="A6" s="67" t="s">
        <v>26</v>
      </c>
      <c r="B6" s="68">
        <v>145.60861573660713</v>
      </c>
      <c r="C6" s="68">
        <v>133.55862628348214</v>
      </c>
      <c r="D6" s="68">
        <v>143.50859637276787</v>
      </c>
      <c r="E6" s="68">
        <v>114.59721644810269</v>
      </c>
      <c r="F6" s="68">
        <v>84.727468136160724</v>
      </c>
      <c r="G6" s="68">
        <v>73.190218387276772</v>
      </c>
      <c r="H6" s="68">
        <v>143.47875184151783</v>
      </c>
      <c r="I6" s="68">
        <v>149.62997142857142</v>
      </c>
      <c r="J6" s="68">
        <v>145.73863772321428</v>
      </c>
      <c r="K6" s="68">
        <v>149.88713850446428</v>
      </c>
      <c r="L6" s="68">
        <v>145.65377622767858</v>
      </c>
      <c r="M6" s="68">
        <v>147.09101037946428</v>
      </c>
      <c r="N6" s="64">
        <f t="shared" ref="N6:N12" si="0">SUM(B6:M6)</f>
        <v>1576.6700274693078</v>
      </c>
      <c r="O6" s="62">
        <f t="shared" ref="O6:O14" si="1">N6/8760*1000</f>
        <v>179.98516295311734</v>
      </c>
    </row>
    <row r="7" spans="1:16">
      <c r="A7" s="67" t="s">
        <v>73</v>
      </c>
      <c r="B7" s="68">
        <v>124.02762265624999</v>
      </c>
      <c r="C7" s="68">
        <v>113.09978680594308</v>
      </c>
      <c r="D7" s="68">
        <v>66.886710163225445</v>
      </c>
      <c r="E7" s="68">
        <v>20.16357024623326</v>
      </c>
      <c r="F7" s="68">
        <v>6.5654627041407991</v>
      </c>
      <c r="G7" s="68">
        <v>9.6019563964843755</v>
      </c>
      <c r="H7" s="68">
        <v>94.617882707868304</v>
      </c>
      <c r="I7" s="68">
        <v>145.67366015625001</v>
      </c>
      <c r="J7" s="68">
        <v>138.40951819196428</v>
      </c>
      <c r="K7" s="68">
        <v>164.55943883928569</v>
      </c>
      <c r="L7" s="68">
        <v>155.7802890625</v>
      </c>
      <c r="M7" s="68">
        <v>148.728909375</v>
      </c>
      <c r="N7" s="64">
        <f t="shared" si="0"/>
        <v>1188.1148073051452</v>
      </c>
      <c r="O7" s="62">
        <f t="shared" si="1"/>
        <v>135.62954421291613</v>
      </c>
      <c r="P7" s="62">
        <f>SUM(B7:M7)</f>
        <v>1188.1148073051452</v>
      </c>
    </row>
    <row r="8" spans="1:16">
      <c r="A8" s="67" t="s">
        <v>24</v>
      </c>
      <c r="B8" s="68">
        <v>32.950503306361604</v>
      </c>
      <c r="C8" s="68">
        <v>28.922652692522323</v>
      </c>
      <c r="D8" s="68">
        <v>30.758719503348217</v>
      </c>
      <c r="E8" s="68">
        <v>21.337649789101739</v>
      </c>
      <c r="F8" s="68">
        <v>11.918868134852817</v>
      </c>
      <c r="G8" s="68">
        <v>5.0052133196149553</v>
      </c>
      <c r="H8" s="68">
        <v>26.247121937779013</v>
      </c>
      <c r="I8" s="68">
        <v>32.303853683035712</v>
      </c>
      <c r="J8" s="68">
        <v>31.590470061383925</v>
      </c>
      <c r="K8" s="68">
        <v>32.883096623883922</v>
      </c>
      <c r="L8" s="68">
        <v>31.956388476562498</v>
      </c>
      <c r="M8" s="68">
        <v>31.676118722098217</v>
      </c>
      <c r="N8" s="64">
        <f t="shared" si="0"/>
        <v>317.55065625054499</v>
      </c>
      <c r="O8" s="62">
        <f t="shared" si="1"/>
        <v>36.250074914445776</v>
      </c>
    </row>
    <row r="9" spans="1:16">
      <c r="A9" s="67" t="s">
        <v>74</v>
      </c>
      <c r="B9" s="68">
        <v>0.20750828122070861</v>
      </c>
      <c r="C9" s="68">
        <v>0.47255228715624131</v>
      </c>
      <c r="D9" s="68">
        <v>0.13539173313379288</v>
      </c>
      <c r="E9" s="68">
        <v>2.215375950421606E-2</v>
      </c>
      <c r="F9" s="68">
        <v>4.6585660274539673E-3</v>
      </c>
      <c r="G9" s="68">
        <v>5.9184509694576249E-3</v>
      </c>
      <c r="H9" s="68">
        <v>1.521976103101458E-2</v>
      </c>
      <c r="I9" s="68">
        <v>1.7773328350271494E-2</v>
      </c>
      <c r="J9" s="68">
        <v>2.9846386422429764E-2</v>
      </c>
      <c r="K9" s="68">
        <v>3.8626609938485282E-2</v>
      </c>
      <c r="L9" s="68">
        <v>6.0801318557560449E-2</v>
      </c>
      <c r="M9" s="68">
        <v>3.3301555667604718E-2</v>
      </c>
      <c r="N9" s="64">
        <f t="shared" si="0"/>
        <v>1.0437520379792369</v>
      </c>
      <c r="O9" s="62">
        <f t="shared" si="1"/>
        <v>0.11914977602502705</v>
      </c>
    </row>
    <row r="10" spans="1:16">
      <c r="A10" s="67" t="s">
        <v>194</v>
      </c>
      <c r="B10" s="68">
        <v>140.84735084751674</v>
      </c>
      <c r="C10" s="68">
        <v>116.1580665736607</v>
      </c>
      <c r="D10" s="68">
        <v>71.000395431082595</v>
      </c>
      <c r="E10" s="68">
        <v>22.524850952148434</v>
      </c>
      <c r="F10" s="68">
        <v>4.959675848606655</v>
      </c>
      <c r="G10" s="68">
        <v>11.704022970145088</v>
      </c>
      <c r="H10" s="68">
        <v>88.57306959054128</v>
      </c>
      <c r="I10" s="68">
        <v>128.97439810267858</v>
      </c>
      <c r="J10" s="68">
        <v>133.13555613839287</v>
      </c>
      <c r="K10" s="68">
        <v>161.61221718749999</v>
      </c>
      <c r="L10" s="68">
        <v>156.58241450892859</v>
      </c>
      <c r="M10" s="68">
        <v>149.55836328125</v>
      </c>
    </row>
    <row r="11" spans="1:16">
      <c r="A11" s="67" t="s">
        <v>75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3.220160348074777E-4</v>
      </c>
      <c r="M11" s="68">
        <v>0</v>
      </c>
      <c r="N11" s="64">
        <f t="shared" si="0"/>
        <v>3.220160348074777E-4</v>
      </c>
      <c r="O11" s="62">
        <f t="shared" si="1"/>
        <v>3.6759821325054529E-5</v>
      </c>
    </row>
    <row r="12" spans="1:16">
      <c r="A12" s="67" t="s">
        <v>76</v>
      </c>
      <c r="B12" s="68">
        <v>1.6741714913504468E-2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4">
        <f t="shared" si="0"/>
        <v>1.6741714913504468E-2</v>
      </c>
      <c r="O12" s="62">
        <f t="shared" si="1"/>
        <v>1.9111546704913775E-3</v>
      </c>
    </row>
    <row r="13" spans="1:16">
      <c r="A13" s="67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>
        <f>SUM(N5:N12)</f>
        <v>3084.0683612526336</v>
      </c>
      <c r="O13" s="62">
        <f t="shared" si="1"/>
        <v>352.06259831651073</v>
      </c>
    </row>
    <row r="14" spans="1:16">
      <c r="A14" s="63" t="s">
        <v>98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  <c r="O14" s="62">
        <f t="shared" si="1"/>
        <v>0</v>
      </c>
    </row>
    <row r="15" spans="1:16">
      <c r="A15" s="67" t="s">
        <v>72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9"/>
    </row>
    <row r="16" spans="1:16">
      <c r="A16" s="67" t="s">
        <v>26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</row>
    <row r="17" spans="1:15">
      <c r="A17" s="67" t="s">
        <v>73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</row>
    <row r="18" spans="1:15">
      <c r="A18" s="67" t="s">
        <v>24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</row>
    <row r="19" spans="1:15">
      <c r="A19" s="67" t="s">
        <v>74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5">
      <c r="A20" s="67" t="s">
        <v>194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</row>
    <row r="21" spans="1:15">
      <c r="A21" s="67" t="s">
        <v>75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5">
      <c r="A22" s="67" t="s">
        <v>76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5">
      <c r="A23" s="67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>
        <f>SUM(N15:N22)</f>
        <v>0</v>
      </c>
    </row>
    <row r="24" spans="1:15">
      <c r="A24" s="76" t="s">
        <v>77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5">
      <c r="A25" s="67" t="s">
        <v>72</v>
      </c>
      <c r="B25" s="68">
        <v>6.2268674588629178</v>
      </c>
      <c r="C25" s="68">
        <v>21.16723574399948</v>
      </c>
      <c r="D25" s="68">
        <v>2.7143385937171325</v>
      </c>
      <c r="E25" s="68">
        <v>0.28423019626310891</v>
      </c>
      <c r="F25" s="68">
        <v>0</v>
      </c>
      <c r="G25" s="68">
        <v>0</v>
      </c>
      <c r="H25" s="68">
        <v>0.1132729088355388</v>
      </c>
      <c r="I25" s="68">
        <v>3.1890599216733657E-2</v>
      </c>
      <c r="J25" s="68">
        <v>5.1529130978243694E-2</v>
      </c>
      <c r="K25" s="68">
        <v>0.1908774861799819</v>
      </c>
      <c r="L25" s="68">
        <v>1.2268184800233159</v>
      </c>
      <c r="M25" s="68">
        <v>0.95417817533016203</v>
      </c>
      <c r="N25" s="69">
        <f>SUM(B25:M25)</f>
        <v>32.96123877340662</v>
      </c>
    </row>
    <row r="26" spans="1:15">
      <c r="A26" s="67" t="s">
        <v>26</v>
      </c>
      <c r="B26" s="68">
        <v>1811.6696411132812</v>
      </c>
      <c r="C26" s="68">
        <v>1669.6889064243862</v>
      </c>
      <c r="D26" s="68">
        <v>1792.446902029855</v>
      </c>
      <c r="E26" s="68">
        <v>1459.70324445452</v>
      </c>
      <c r="F26" s="68">
        <v>1113.2335081372942</v>
      </c>
      <c r="G26" s="68">
        <v>976.78505815778465</v>
      </c>
      <c r="H26" s="68">
        <v>1792.0649300711495</v>
      </c>
      <c r="I26" s="68">
        <v>1859.3683349609375</v>
      </c>
      <c r="J26" s="68">
        <v>1809.5738699776787</v>
      </c>
      <c r="K26" s="68">
        <v>1862.171337890625</v>
      </c>
      <c r="L26" s="68">
        <v>1808.6460562569755</v>
      </c>
      <c r="M26" s="68">
        <v>1831.3650582449777</v>
      </c>
      <c r="N26" s="69">
        <f t="shared" ref="N26:N32" si="2">SUM(B26:M26)</f>
        <v>19786.716847719465</v>
      </c>
    </row>
    <row r="27" spans="1:15">
      <c r="A27" s="67" t="s">
        <v>73</v>
      </c>
      <c r="B27" s="68">
        <v>3969.5624546748477</v>
      </c>
      <c r="C27" s="68">
        <v>3601.7600620852127</v>
      </c>
      <c r="D27" s="68">
        <v>2123.8330291671068</v>
      </c>
      <c r="E27" s="68">
        <v>632.40234287728458</v>
      </c>
      <c r="F27" s="68">
        <v>212.57497371900592</v>
      </c>
      <c r="G27" s="68">
        <v>312.06550876114511</v>
      </c>
      <c r="H27" s="68">
        <v>2865.655185983871</v>
      </c>
      <c r="I27" s="68">
        <v>4447.3526505756181</v>
      </c>
      <c r="J27" s="68">
        <v>4289.8689032701077</v>
      </c>
      <c r="K27" s="68">
        <v>5086.8836862971066</v>
      </c>
      <c r="L27" s="68">
        <v>5019.8190799978665</v>
      </c>
      <c r="M27" s="68">
        <v>5035.0853887965741</v>
      </c>
      <c r="N27" s="69">
        <f t="shared" si="2"/>
        <v>37596.86326620575</v>
      </c>
      <c r="O27" s="62">
        <f>N27/8760*1000</f>
        <v>4291.8793682883279</v>
      </c>
    </row>
    <row r="28" spans="1:15">
      <c r="A28" s="67" t="s">
        <v>24</v>
      </c>
      <c r="B28" s="68">
        <v>1247.1149832589285</v>
      </c>
      <c r="C28" s="68">
        <v>1098.6148925781249</v>
      </c>
      <c r="D28" s="68">
        <v>1168.1147729056222</v>
      </c>
      <c r="E28" s="68">
        <v>818.31929136344365</v>
      </c>
      <c r="F28" s="68">
        <v>463.68995691026959</v>
      </c>
      <c r="G28" s="68">
        <v>205.825256892613</v>
      </c>
      <c r="H28" s="68">
        <v>1003.851354108538</v>
      </c>
      <c r="I28" s="68">
        <v>1224.7402483258929</v>
      </c>
      <c r="J28" s="68">
        <v>1196.8600202287946</v>
      </c>
      <c r="K28" s="68">
        <v>1245.2096766880579</v>
      </c>
      <c r="L28" s="68">
        <v>1209.7701381138393</v>
      </c>
      <c r="M28" s="68">
        <v>1202.6246477399554</v>
      </c>
      <c r="N28" s="69">
        <f t="shared" si="2"/>
        <v>12084.735239114081</v>
      </c>
      <c r="O28" s="62">
        <f>N28/8760*1000</f>
        <v>1379.5359862002376</v>
      </c>
    </row>
    <row r="29" spans="1:15">
      <c r="A29" s="67" t="s">
        <v>74</v>
      </c>
      <c r="B29" s="68">
        <v>9.9356492214969219</v>
      </c>
      <c r="C29" s="68">
        <v>22.497192113740102</v>
      </c>
      <c r="D29" s="68">
        <v>6.2670097868357386</v>
      </c>
      <c r="E29" s="68">
        <v>0.97764415124963433</v>
      </c>
      <c r="F29" s="68">
        <v>0.20579761405076299</v>
      </c>
      <c r="G29" s="68">
        <v>0.26307212864714008</v>
      </c>
      <c r="H29" s="68">
        <v>0.68222471220152714</v>
      </c>
      <c r="I29" s="68">
        <v>0.80190071538090701</v>
      </c>
      <c r="J29" s="68">
        <v>1.3498628801533155</v>
      </c>
      <c r="K29" s="68">
        <v>1.7712980977126531</v>
      </c>
      <c r="L29" s="68">
        <v>2.8973926989594476</v>
      </c>
      <c r="M29" s="68">
        <v>1.6594059022409575</v>
      </c>
      <c r="N29" s="69">
        <f t="shared" si="2"/>
        <v>49.308450022669106</v>
      </c>
      <c r="O29" s="62">
        <f>N29/8760*1000</f>
        <v>5.6288184957384821</v>
      </c>
    </row>
    <row r="30" spans="1:15">
      <c r="A30" s="67" t="s">
        <v>194</v>
      </c>
      <c r="B30" s="68">
        <v>4775.5321461071499</v>
      </c>
      <c r="C30" s="68">
        <v>3942.7200158440401</v>
      </c>
      <c r="D30" s="68">
        <v>2401.9499257333869</v>
      </c>
      <c r="E30" s="68">
        <v>769.45261815474282</v>
      </c>
      <c r="F30" s="68">
        <v>186.07522930351797</v>
      </c>
      <c r="G30" s="68">
        <v>409.95026074746653</v>
      </c>
      <c r="H30" s="68">
        <v>2967.5611348528441</v>
      </c>
      <c r="I30" s="68">
        <v>4349.139851228113</v>
      </c>
      <c r="J30" s="68">
        <v>4456.2283673954053</v>
      </c>
      <c r="K30" s="68">
        <v>5337.1550897865109</v>
      </c>
      <c r="L30" s="68">
        <v>5366.5605378154196</v>
      </c>
      <c r="M30" s="68">
        <v>5395.472414510512</v>
      </c>
      <c r="N30" s="69"/>
    </row>
    <row r="31" spans="1:15">
      <c r="A31" s="67" t="s">
        <v>75</v>
      </c>
      <c r="B31" s="68">
        <v>0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2.2491642407008579E-2</v>
      </c>
      <c r="M31" s="68">
        <v>0</v>
      </c>
      <c r="N31" s="69">
        <f t="shared" si="2"/>
        <v>2.2491642407008579E-2</v>
      </c>
    </row>
    <row r="32" spans="1:15">
      <c r="A32" s="67" t="s">
        <v>76</v>
      </c>
      <c r="B32" s="68">
        <v>1.0115974496023996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9">
        <f t="shared" si="2"/>
        <v>1.0115974496023996</v>
      </c>
    </row>
    <row r="33" spans="1:15">
      <c r="A33" s="67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70">
        <f>SUM(N25:N32)</f>
        <v>69551.619130927371</v>
      </c>
    </row>
    <row r="34" spans="1:15">
      <c r="A34" s="76" t="s">
        <v>78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9"/>
    </row>
    <row r="35" spans="1:15">
      <c r="A35" s="67" t="s">
        <v>79</v>
      </c>
      <c r="B35" s="69">
        <v>35.42306363002232</v>
      </c>
      <c r="C35" s="62">
        <v>41.167927574539185</v>
      </c>
      <c r="D35" s="62">
        <v>55.012462477329798</v>
      </c>
      <c r="E35" s="62">
        <v>49.428556757463724</v>
      </c>
      <c r="F35" s="68">
        <v>23.441335304478233</v>
      </c>
      <c r="G35" s="68">
        <v>31.130346037946431</v>
      </c>
      <c r="H35" s="68">
        <v>31.16965363682338</v>
      </c>
      <c r="I35" s="68">
        <v>72.996351897321432</v>
      </c>
      <c r="J35" s="68">
        <v>25.590737039620539</v>
      </c>
      <c r="K35" s="68">
        <v>14.83025906235831</v>
      </c>
      <c r="L35" s="68">
        <v>17.09503622698103</v>
      </c>
      <c r="M35" s="68">
        <v>26.550908550153459</v>
      </c>
      <c r="N35" s="69">
        <f>SUM(B35:M35)</f>
        <v>423.83663819503789</v>
      </c>
    </row>
    <row r="36" spans="1:15">
      <c r="A36" s="67" t="s">
        <v>80</v>
      </c>
      <c r="B36" s="69">
        <v>-93.237524557059146</v>
      </c>
      <c r="C36" s="68">
        <v>-87.889734799194343</v>
      </c>
      <c r="D36" s="62">
        <v>-67.890957212611596</v>
      </c>
      <c r="E36" s="62">
        <v>-61.140349609375001</v>
      </c>
      <c r="F36" s="68">
        <v>-136.99948973214285</v>
      </c>
      <c r="G36" s="68">
        <v>-135.8829388950893</v>
      </c>
      <c r="H36" s="68">
        <v>-98.662031647600443</v>
      </c>
      <c r="I36" s="68">
        <v>-30.625665297154018</v>
      </c>
      <c r="J36" s="68">
        <v>-70.574069419642854</v>
      </c>
      <c r="K36" s="68">
        <v>-81.448875279017855</v>
      </c>
      <c r="L36" s="68">
        <v>-106.85170407366071</v>
      </c>
      <c r="M36" s="68">
        <v>-65.244283021763394</v>
      </c>
      <c r="N36" s="69">
        <f>SUM(B36:M36)</f>
        <v>-1036.4476235443115</v>
      </c>
    </row>
    <row r="37" spans="1:15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70">
        <f>SUM(B35:B36)</f>
        <v>-57.814460927036826</v>
      </c>
      <c r="O37" s="62">
        <f>N37/8.76</f>
        <v>-6.5998243067393636</v>
      </c>
    </row>
    <row r="38" spans="1:15">
      <c r="A38" s="76" t="s">
        <v>81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9"/>
    </row>
    <row r="39" spans="1:15">
      <c r="A39" s="67" t="s">
        <v>79</v>
      </c>
      <c r="B39" s="64">
        <v>1370.6936064311437</v>
      </c>
      <c r="C39" s="62">
        <v>1487.2646991763795</v>
      </c>
      <c r="D39" s="62">
        <v>2029.728886795044</v>
      </c>
      <c r="E39" s="62">
        <v>1726.4021691731043</v>
      </c>
      <c r="F39" s="68">
        <v>721.81581736973351</v>
      </c>
      <c r="G39" s="68">
        <v>871.78922615051272</v>
      </c>
      <c r="H39" s="68">
        <v>1212.275844996316</v>
      </c>
      <c r="I39" s="68">
        <v>3441.9789559500559</v>
      </c>
      <c r="J39" s="68">
        <v>1070.8211090087891</v>
      </c>
      <c r="K39" s="68">
        <v>697.54718811171392</v>
      </c>
      <c r="L39" s="68">
        <v>875.2170126233782</v>
      </c>
      <c r="M39" s="68">
        <v>1418.9069241659981</v>
      </c>
      <c r="N39" s="69">
        <f>SUM(B39:M39)</f>
        <v>16924.44143995217</v>
      </c>
    </row>
    <row r="40" spans="1:15">
      <c r="A40" s="67" t="s">
        <v>80</v>
      </c>
      <c r="B40" s="64">
        <v>-3728.4983803885325</v>
      </c>
      <c r="C40" s="62">
        <v>-3655.6126079968044</v>
      </c>
      <c r="D40" s="62">
        <v>-2342.1009606497628</v>
      </c>
      <c r="E40" s="62">
        <v>-1628.0560531616211</v>
      </c>
      <c r="F40" s="68">
        <v>-2677.0738429478238</v>
      </c>
      <c r="G40" s="68">
        <v>-1751.4770693097796</v>
      </c>
      <c r="H40" s="68">
        <v>-3857.2511648450577</v>
      </c>
      <c r="I40" s="68">
        <v>-1206.954953438895</v>
      </c>
      <c r="J40" s="68">
        <v>-2847.7992335728236</v>
      </c>
      <c r="K40" s="68">
        <v>-3446.994637625558</v>
      </c>
      <c r="L40" s="68">
        <v>-4520.0584437779016</v>
      </c>
      <c r="M40" s="68">
        <v>-2988.2559422084264</v>
      </c>
      <c r="N40" s="69">
        <f>SUM(B40:M40)</f>
        <v>-34650.133289922982</v>
      </c>
    </row>
    <row r="41" spans="1:15">
      <c r="N41" s="70">
        <f>SUM(N39:N40)</f>
        <v>-17725.691849970812</v>
      </c>
    </row>
    <row r="43" spans="1:15">
      <c r="M43" s="71" t="s">
        <v>99</v>
      </c>
      <c r="N43" s="70">
        <f>N33+N41</f>
        <v>51825.927280956559</v>
      </c>
    </row>
  </sheetData>
  <phoneticPr fontId="6" type="noConversion"/>
  <pageMargins left="0.75" right="0.75" top="1" bottom="1" header="0.5" footer="0.5"/>
  <pageSetup scale="76" orientation="landscape" r:id="rId1"/>
  <headerFooter alignWithMargins="0">
    <oddFooter>&amp;L&amp;"Geneva,Bold Italic"&amp;9&amp;F &amp;A&amp;R&amp;"Geneva,Bold Italic"&amp;9&amp;D WGJ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2011-05-16T07:00:00+00:00</OpenedDate>
    <Date1 xmlns="dc463f71-b30c-4ab2-9473-d307f9d35888">2011-05-16T07:00:00+00:00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110877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DF5022C8CA9C74EAC24E02BF6DDE455" ma:contentTypeVersion="143" ma:contentTypeDescription="" ma:contentTypeScope="" ma:versionID="e2ba8f076305413dc1d294c92ceeae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ADCEFE9-1EC6-451F-A548-F9E209715D6C}"/>
</file>

<file path=customXml/itemProps2.xml><?xml version="1.0" encoding="utf-8"?>
<ds:datastoreItem xmlns:ds="http://schemas.openxmlformats.org/officeDocument/2006/customXml" ds:itemID="{E828BCDB-375F-4724-89B3-8EB39F84C6EB}"/>
</file>

<file path=customXml/itemProps3.xml><?xml version="1.0" encoding="utf-8"?>
<ds:datastoreItem xmlns:ds="http://schemas.openxmlformats.org/officeDocument/2006/customXml" ds:itemID="{95A934BE-DA39-4C39-90F1-759D156DF888}"/>
</file>

<file path=customXml/itemProps4.xml><?xml version="1.0" encoding="utf-8"?>
<ds:datastoreItem xmlns:ds="http://schemas.openxmlformats.org/officeDocument/2006/customXml" ds:itemID="{19F0C732-B6F8-4D24-9FF8-E1B86BA894C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WGJ-5</vt:lpstr>
      <vt:lpstr>WGJ-2</vt:lpstr>
      <vt:lpstr>WGJ-4</vt:lpstr>
      <vt:lpstr>Aurora</vt:lpstr>
      <vt:lpstr>Index!Print_Area</vt:lpstr>
      <vt:lpstr>'WGJ-2'!Print_Area</vt:lpstr>
      <vt:lpstr>'WGJ-4'!Print_Area</vt:lpstr>
      <vt:lpstr>'WGJ-2'!Print_Titles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Resources</dc:creator>
  <cp:lastModifiedBy>Paul W. Kimball</cp:lastModifiedBy>
  <cp:lastPrinted>2011-05-11T14:44:58Z</cp:lastPrinted>
  <dcterms:created xsi:type="dcterms:W3CDTF">1998-10-07T00:01:47Z</dcterms:created>
  <dcterms:modified xsi:type="dcterms:W3CDTF">2011-05-11T14:45:01Z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0x0101006E56B4D1795A2E4DB2F0B01679ED314A001DF5022C8CA9C74EAC24E02BF6DDE455</vt:lpwstr>
  </property>
  <property fmtid="{D5CDD505-2E9C-101B-9397-08002B2CF9AE}" pid="3" name="_docset_NoMedatataSyncRequired">
    <vt:lpwstr>False</vt:lpwstr>
  </property>
</Properties>
</file>