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Murrey's 2005" sheetId="1" r:id="rId1"/>
    <sheet name="American 2005" sheetId="2" r:id="rId2"/>
  </sheets>
  <definedNames>
    <definedName name="_xlnm.Print_Area" localSheetId="1">'American 2005'!$A$1:$H$30</definedName>
    <definedName name="_xlnm.Print_Area" localSheetId="0">'Murrey''s 2005'!$A$1:$H$29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<sst xmlns="http://schemas.openxmlformats.org/spreadsheetml/2006/main" count="89" uniqueCount="40">
  <si>
    <t>Murrey's Disposal Co., Inc.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</si>
  <si>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</si>
  <si>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</si>
  <si>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</si>
  <si>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</si>
  <si>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</si>
  <si>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</si>
  <si>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</si>
  <si>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</si>
  <si>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</si>
  <si>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</si>
  <si>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</si>
  <si>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</si>
  <si>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December</t>
  </si>
  <si>
    <t>Total</t>
  </si>
  <si>
    <t>Tons</t>
  </si>
  <si>
    <t>Newspaper</t>
  </si>
  <si>
    <t>Mixed Paper</t>
  </si>
  <si>
    <t>Cardboard</t>
  </si>
  <si>
    <t xml:space="preserve">Aluminum Cans   </t>
  </si>
  <si>
    <t>Tin</t>
  </si>
  <si>
    <t>Glass</t>
  </si>
  <si>
    <t>Total per Month</t>
  </si>
  <si>
    <t>Total Customer Base</t>
  </si>
  <si>
    <t>Total Year 2005</t>
  </si>
  <si>
    <t>CURBSIDE RECYCLABLE MATERIAL 2005</t>
  </si>
  <si>
    <t>Magazines</t>
  </si>
  <si>
    <t>Pet</t>
  </si>
  <si>
    <t>Mixed Plastics</t>
  </si>
  <si>
    <t>Commodity:</t>
  </si>
  <si>
    <t>Average Lbs</t>
  </si>
  <si>
    <t># of Recycling Customers</t>
  </si>
  <si>
    <t>Average Lbs per Month</t>
  </si>
  <si>
    <t>Garbage</t>
  </si>
  <si>
    <t xml:space="preserve">                      Pounds per Month</t>
  </si>
  <si>
    <t>Average Lbs per Total Cust</t>
  </si>
  <si>
    <t>American Disposal Co., Inc.</t>
  </si>
  <si>
    <t>Contamination (waste)</t>
  </si>
  <si>
    <t>Total Collected (recycl+waste)</t>
  </si>
  <si>
    <t>Percent Contamination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</si>
</sst>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mm/dd/yy"/>
    <numFmt numFmtId="166" formatCode="0.000"/>
    <numFmt numFmtId="167" formatCode="&quot;$&quot;#,##0"/>
  </numFmts>
  <fonts count="9">
    <font>
      <sz val="12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i/>
      <sz val="14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/>
    </xf>
    <xf numFmtId="0" fontId="5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165" fontId="4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 horizontal="center"/>
    </xf>
    <xf numFmtId="37" fontId="4" fillId="2" borderId="1" xfId="0" applyNumberFormat="1" applyFont="1" applyBorder="1" applyAlignment="1">
      <alignment/>
    </xf>
    <xf numFmtId="39" fontId="4" fillId="2" borderId="1" xfId="0" applyNumberFormat="1" applyFont="1" applyBorder="1" applyAlignment="1">
      <alignment/>
    </xf>
    <xf numFmtId="10" fontId="4" fillId="2" borderId="1" xfId="0" applyNumberFormat="1" applyFont="1" applyBorder="1" applyAlignment="1">
      <alignment/>
    </xf>
    <xf numFmtId="37" fontId="8" fillId="2" borderId="1" xfId="0" applyNumberFormat="1" applyFont="1" applyBorder="1" applyAlignment="1">
      <alignment/>
    </xf>
    <xf numFmtId="39" fontId="8" fillId="2" borderId="1" xfId="0" applyNumberFormat="1" applyFont="1" applyBorder="1" applyAlignment="1">
      <alignment/>
    </xf>
    <xf numFmtId="37" fontId="7" fillId="2" borderId="1" xfId="0" applyNumberFormat="1" applyFont="1" applyBorder="1" applyAlignment="1">
      <alignment/>
    </xf>
    <xf numFmtId="39" fontId="7" fillId="2" borderId="1" xfId="0" applyNumberFormat="1" applyFont="1" applyBorder="1" applyAlignment="1">
      <alignment/>
    </xf>
    <xf numFmtId="164" fontId="4" fillId="2" borderId="1" xfId="0" applyNumberFormat="1" applyFont="1" applyBorder="1" applyAlignment="1">
      <alignment/>
    </xf>
    <xf numFmtId="37" fontId="5" fillId="2" borderId="1" xfId="0" applyNumberFormat="1" applyFont="1" applyBorder="1" applyAlignment="1">
      <alignment/>
    </xf>
    <xf numFmtId="37" fontId="4" fillId="2" borderId="1" xfId="0" applyNumberFormat="1" applyFont="1" applyBorder="1" applyAlignment="1">
      <alignment horizontal="center"/>
    </xf>
    <xf numFmtId="39" fontId="4" fillId="2" borderId="1" xfId="0" applyNumberFormat="1" applyFont="1" applyBorder="1" applyAlignment="1">
      <alignment horizontal="center"/>
    </xf>
    <xf numFmtId="166" fontId="4" fillId="2" borderId="1" xfId="0" applyNumberFormat="1" applyFont="1" applyBorder="1" applyAlignment="1">
      <alignment/>
    </xf>
    <xf numFmtId="4" fontId="4" fillId="2" borderId="1" xfId="0" applyNumberFormat="1" applyFont="1" applyBorder="1" applyAlignment="1">
      <alignment/>
    </xf>
    <xf numFmtId="37" fontId="5" fillId="2" borderId="1" xfId="0" applyNumberFormat="1" applyFont="1" applyBorder="1" applyAlignment="1">
      <alignment horizontal="center"/>
    </xf>
    <xf numFmtId="37" fontId="6" fillId="2" borderId="1" xfId="0" applyNumberFormat="1" applyFont="1" applyBorder="1" applyAlignment="1">
      <alignment/>
    </xf>
    <xf numFmtId="39" fontId="6" fillId="2" borderId="1" xfId="0" applyNumberFormat="1" applyFont="1" applyBorder="1" applyAlignment="1">
      <alignment/>
    </xf>
    <xf numFmtId="37" fontId="4" fillId="2" borderId="1" xfId="0" applyNumberFormat="1" applyFont="1" applyBorder="1" applyAlignment="1">
      <alignment horizontal="right"/>
    </xf>
    <xf numFmtId="43" fontId="4" fillId="2" borderId="1" xfId="0" applyNumberFormat="1" applyFont="1" applyBorder="1" applyAlignment="1">
      <alignment/>
    </xf>
    <xf numFmtId="43" fontId="7" fillId="2" borderId="1" xfId="0" applyNumberFormat="1" applyFont="1" applyBorder="1" applyAlignment="1">
      <alignment/>
    </xf>
    <xf numFmtId="5" fontId="4" fillId="2" borderId="1" xfId="0" applyNumberFormat="1" applyFont="1" applyBorder="1" applyAlignment="1">
      <alignment/>
    </xf>
    <xf numFmtId="5" fontId="6" fillId="2" borderId="1" xfId="0" applyNumberFormat="1" applyFont="1" applyBorder="1" applyAlignment="1">
      <alignment/>
    </xf>
    <xf numFmtId="37" fontId="5" fillId="2" borderId="1" xfId="0" applyNumberFormat="1" applyFont="1" applyBorder="1" applyAlignment="1">
      <alignment horizontal="right"/>
    </xf>
    <xf numFmtId="0" fontId="4" fillId="2" borderId="1" xfId="0" applyNumberFormat="1" applyFont="1" applyBorder="1" applyAlignment="1" quotePrefix="1">
      <alignment/>
    </xf>
    <xf numFmtId="0" fontId="6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center"/>
    </xf>
    <xf numFmtId="0" fontId="6" fillId="2" borderId="1" xfId="0" applyNumberFormat="1" applyFont="1" applyBorder="1" applyAlignment="1">
      <alignment/>
    </xf>
    <xf numFmtId="3" fontId="8" fillId="2" borderId="1" xfId="0" applyNumberFormat="1" applyFont="1" applyBorder="1" applyAlignment="1">
      <alignment/>
    </xf>
    <xf numFmtId="37" fontId="4" fillId="3" borderId="1" xfId="0" applyNumberFormat="1" applyFont="1" applyFill="1" applyBorder="1" applyAlignment="1">
      <alignment/>
    </xf>
    <xf numFmtId="37" fontId="6" fillId="3" borderId="1" xfId="0" applyNumberFormat="1" applyFont="1" applyFill="1" applyBorder="1" applyAlignment="1">
      <alignment/>
    </xf>
    <xf numFmtId="37" fontId="8" fillId="3" borderId="1" xfId="0" applyNumberFormat="1" applyFont="1" applyFill="1" applyBorder="1" applyAlignment="1">
      <alignment/>
    </xf>
    <xf numFmtId="39" fontId="8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37" fontId="7" fillId="3" borderId="1" xfId="0" applyNumberFormat="1" applyFont="1" applyFill="1" applyBorder="1" applyAlignment="1">
      <alignment/>
    </xf>
    <xf numFmtId="39" fontId="7" fillId="3" borderId="1" xfId="0" applyNumberFormat="1" applyFont="1" applyFill="1" applyBorder="1" applyAlignment="1">
      <alignment/>
    </xf>
    <xf numFmtId="4" fontId="4" fillId="2" borderId="1" xfId="0" applyNumberFormat="1" applyFont="1" applyBorder="1" applyAlignment="1">
      <alignment horizontal="right"/>
    </xf>
    <xf numFmtId="4" fontId="5" fillId="2" borderId="1" xfId="0" applyNumberFormat="1" applyFont="1" applyBorder="1" applyAlignment="1">
      <alignment/>
    </xf>
    <xf numFmtId="3" fontId="5" fillId="2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8">
      <pane xSplit="1" topLeftCell="C1" activePane="topRight" state="frozen"/>
      <selection pane="topLeft" activeCell="A1" sqref="A1"/>
      <selection pane="topRight" activeCell="B28" sqref="B28"/>
    </sheetView>
  </sheetViews>
  <sheetFormatPr defaultColWidth="8.88671875" defaultRowHeight="12" customHeight="1"/>
  <cols>
    <col min="1" max="1" width="19.4453125" style="2" customWidth="1"/>
    <col min="2" max="4" width="9.10546875" style="2" bestFit="1" customWidth="1"/>
    <col min="5" max="5" width="9.21484375" style="2" bestFit="1" customWidth="1"/>
    <col min="6" max="6" width="9.88671875" style="2" bestFit="1" customWidth="1"/>
    <col min="7" max="8" width="9.5546875" style="2" bestFit="1" customWidth="1"/>
    <col min="9" max="13" width="9.21484375" style="2" bestFit="1" customWidth="1"/>
    <col min="14" max="14" width="10.6640625" style="2" bestFit="1" customWidth="1"/>
    <col min="15" max="15" width="10.21484375" style="2" bestFit="1" customWidth="1"/>
    <col min="16" max="16384" width="8.88671875" style="2" customWidth="1"/>
  </cols>
  <sheetData>
    <row r="1" spans="1:15" ht="12" customHeight="1">
      <c r="A1" s="3" t="s">
        <v>24</v>
      </c>
      <c r="B1" s="1"/>
      <c r="C1" s="1"/>
      <c r="E1" s="3" t="s">
        <v>25</v>
      </c>
      <c r="O1" s="4"/>
    </row>
    <row r="2" spans="1:3" ht="12" customHeight="1">
      <c r="A2" s="1"/>
      <c r="B2" s="1"/>
      <c r="C2" s="1"/>
    </row>
    <row r="3" spans="1:8" ht="12" customHeight="1">
      <c r="A3" s="3" t="s">
        <v>0</v>
      </c>
      <c r="B3" s="3" t="s">
        <v>1</v>
      </c>
      <c r="C3" s="1"/>
      <c r="E3" s="31" t="s">
        <v>34</v>
      </c>
      <c r="H3" s="2" t="s">
        <v>1</v>
      </c>
    </row>
    <row r="4" spans="1:15" ht="12" customHeight="1">
      <c r="A4" s="29" t="s">
        <v>29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</row>
    <row r="5" spans="1:15" ht="12" customHeight="1">
      <c r="A5" s="1" t="s">
        <v>16</v>
      </c>
      <c r="B5" s="6">
        <f>68.082*2000</f>
        <v>136164</v>
      </c>
      <c r="C5" s="6">
        <f>86.688*2000</f>
        <v>173376</v>
      </c>
      <c r="D5" s="6">
        <f>104.7815*2000</f>
        <v>209563</v>
      </c>
      <c r="E5" s="6">
        <f>70.008*2000</f>
        <v>140016</v>
      </c>
      <c r="F5" s="6">
        <v>217780</v>
      </c>
      <c r="G5" s="6">
        <f>95.701*2000</f>
        <v>191402</v>
      </c>
      <c r="H5" s="6">
        <v>176858</v>
      </c>
      <c r="I5" s="6"/>
      <c r="J5" s="6"/>
      <c r="K5" s="6"/>
      <c r="L5" s="6"/>
      <c r="M5" s="6"/>
      <c r="N5" s="22">
        <f>SUM(B5:M5)</f>
        <v>1245159</v>
      </c>
      <c r="O5" s="7">
        <f>N5/2000</f>
        <v>622.5795</v>
      </c>
    </row>
    <row r="6" spans="1:15" ht="12" customHeight="1">
      <c r="A6" s="1" t="s">
        <v>17</v>
      </c>
      <c r="B6" s="6">
        <f>158.923*2000</f>
        <v>317846</v>
      </c>
      <c r="C6" s="6">
        <f>142.5*2000</f>
        <v>285000</v>
      </c>
      <c r="D6" s="6">
        <f>248.3535*2000</f>
        <v>496707</v>
      </c>
      <c r="E6" s="6">
        <f>279.892*2000</f>
        <v>559784</v>
      </c>
      <c r="F6" s="6">
        <v>888463</v>
      </c>
      <c r="G6" s="6">
        <f>390.425*2000</f>
        <v>780850</v>
      </c>
      <c r="H6" s="6">
        <v>721516</v>
      </c>
      <c r="I6" s="6"/>
      <c r="J6" s="6"/>
      <c r="K6" s="6"/>
      <c r="L6" s="6"/>
      <c r="M6" s="6"/>
      <c r="N6" s="22">
        <f aca="true" t="shared" si="0" ref="N6:N13">SUM(B6:M6)</f>
        <v>4050166</v>
      </c>
      <c r="O6" s="7">
        <f aca="true" t="shared" si="1" ref="O6:O13">N6/2000</f>
        <v>2025.083</v>
      </c>
    </row>
    <row r="7" spans="1:15" ht="12" customHeight="1">
      <c r="A7" s="1" t="s">
        <v>18</v>
      </c>
      <c r="B7" s="6">
        <f>44.338*2000</f>
        <v>88676</v>
      </c>
      <c r="C7" s="6">
        <f>36.161*2000</f>
        <v>72322</v>
      </c>
      <c r="D7" s="6">
        <f>61.1265*2000</f>
        <v>122253</v>
      </c>
      <c r="E7" s="6">
        <f>55.43*2000</f>
        <v>110860</v>
      </c>
      <c r="F7" s="6">
        <v>172433</v>
      </c>
      <c r="G7" s="6">
        <f>75.774*2000</f>
        <v>151548</v>
      </c>
      <c r="H7" s="6">
        <v>140032</v>
      </c>
      <c r="I7" s="6"/>
      <c r="J7" s="6"/>
      <c r="K7" s="6"/>
      <c r="L7" s="6"/>
      <c r="M7" s="6"/>
      <c r="N7" s="22">
        <f t="shared" si="0"/>
        <v>858124</v>
      </c>
      <c r="O7" s="7">
        <f t="shared" si="1"/>
        <v>429.062</v>
      </c>
    </row>
    <row r="8" spans="1:15" ht="12" customHeight="1">
      <c r="A8" s="1" t="s">
        <v>26</v>
      </c>
      <c r="B8" s="6">
        <f>32.864*2000</f>
        <v>65728</v>
      </c>
      <c r="C8" s="6">
        <f>1.927*2000</f>
        <v>3854</v>
      </c>
      <c r="D8" s="6">
        <f>5.0595*2000</f>
        <v>10119</v>
      </c>
      <c r="E8" s="6">
        <f>5.712*2000</f>
        <v>11424</v>
      </c>
      <c r="F8" s="6">
        <v>0</v>
      </c>
      <c r="G8" s="6">
        <v>0</v>
      </c>
      <c r="H8" s="6">
        <v>0</v>
      </c>
      <c r="I8" s="6"/>
      <c r="J8" s="6"/>
      <c r="K8" s="6"/>
      <c r="L8" s="6"/>
      <c r="M8" s="6"/>
      <c r="N8" s="22">
        <f t="shared" si="0"/>
        <v>91125</v>
      </c>
      <c r="O8" s="7">
        <f t="shared" si="1"/>
        <v>45.5625</v>
      </c>
    </row>
    <row r="9" spans="1:15" ht="12" customHeight="1">
      <c r="A9" s="1" t="s">
        <v>19</v>
      </c>
      <c r="B9" s="6">
        <f>5.4975*2000</f>
        <v>10995</v>
      </c>
      <c r="C9" s="6">
        <f>5.076*2000</f>
        <v>10152</v>
      </c>
      <c r="D9" s="6">
        <f>10.2415*2000</f>
        <v>20483</v>
      </c>
      <c r="E9" s="6">
        <f>7.129*2000</f>
        <v>14258</v>
      </c>
      <c r="F9" s="6">
        <v>22176</v>
      </c>
      <c r="G9" s="6">
        <f>9.745*2000</f>
        <v>19490</v>
      </c>
      <c r="H9" s="6">
        <v>18009</v>
      </c>
      <c r="I9" s="6"/>
      <c r="J9" s="6"/>
      <c r="K9" s="6"/>
      <c r="L9" s="6"/>
      <c r="M9" s="6"/>
      <c r="N9" s="22">
        <f t="shared" si="0"/>
        <v>115563</v>
      </c>
      <c r="O9" s="7">
        <f t="shared" si="1"/>
        <v>57.7815</v>
      </c>
    </row>
    <row r="10" spans="1:15" ht="12" customHeight="1">
      <c r="A10" s="1" t="s">
        <v>20</v>
      </c>
      <c r="B10" s="6">
        <f>7.6545*2000</f>
        <v>15309</v>
      </c>
      <c r="C10" s="6">
        <f>5.053*2000</f>
        <v>10106</v>
      </c>
      <c r="D10" s="6">
        <f>10.6365*2000</f>
        <v>21273</v>
      </c>
      <c r="E10" s="6">
        <f>9.779*2000</f>
        <v>19558</v>
      </c>
      <c r="F10" s="6">
        <v>33122</v>
      </c>
      <c r="G10" s="6">
        <f>14.555*2000</f>
        <v>29110</v>
      </c>
      <c r="H10" s="6">
        <v>26898</v>
      </c>
      <c r="I10" s="6"/>
      <c r="J10" s="6"/>
      <c r="K10" s="6"/>
      <c r="L10" s="6"/>
      <c r="M10" s="6"/>
      <c r="N10" s="22">
        <f t="shared" si="0"/>
        <v>155376</v>
      </c>
      <c r="O10" s="7">
        <f t="shared" si="1"/>
        <v>77.688</v>
      </c>
    </row>
    <row r="11" spans="1:15" ht="12" customHeight="1">
      <c r="A11" s="1" t="s">
        <v>27</v>
      </c>
      <c r="B11" s="6">
        <f>3.8395*2000</f>
        <v>7679</v>
      </c>
      <c r="C11" s="6">
        <f>1.159*2000</f>
        <v>2318</v>
      </c>
      <c r="D11" s="6">
        <f>2.772*2000</f>
        <v>5544</v>
      </c>
      <c r="E11" s="6">
        <f>6.9*2000</f>
        <v>13800</v>
      </c>
      <c r="F11" s="6">
        <v>21465</v>
      </c>
      <c r="G11" s="6">
        <f>9.433*2000</f>
        <v>18866</v>
      </c>
      <c r="H11" s="6">
        <v>17432</v>
      </c>
      <c r="I11" s="6"/>
      <c r="J11" s="6"/>
      <c r="K11" s="6"/>
      <c r="L11" s="6"/>
      <c r="M11" s="6"/>
      <c r="N11" s="22">
        <f t="shared" si="0"/>
        <v>87104</v>
      </c>
      <c r="O11" s="7">
        <f t="shared" si="1"/>
        <v>43.552</v>
      </c>
    </row>
    <row r="12" spans="1:15" ht="12" customHeight="1">
      <c r="A12" s="1" t="s">
        <v>28</v>
      </c>
      <c r="B12" s="6">
        <f>5.0305*2000+4185</f>
        <v>14246</v>
      </c>
      <c r="C12" s="6">
        <f>2.021*2000</f>
        <v>4042</v>
      </c>
      <c r="D12" s="6">
        <f>5.78*2000</f>
        <v>11560</v>
      </c>
      <c r="E12" s="6">
        <f>7.266*2000</f>
        <v>14532</v>
      </c>
      <c r="F12" s="6">
        <v>22602</v>
      </c>
      <c r="G12" s="6">
        <f>9.932*2000</f>
        <v>19864</v>
      </c>
      <c r="H12" s="6">
        <v>18355</v>
      </c>
      <c r="I12" s="6"/>
      <c r="J12" s="6"/>
      <c r="K12" s="6"/>
      <c r="L12" s="6"/>
      <c r="M12" s="6"/>
      <c r="N12" s="22">
        <f t="shared" si="0"/>
        <v>105201</v>
      </c>
      <c r="O12" s="7">
        <f t="shared" si="1"/>
        <v>52.6005</v>
      </c>
    </row>
    <row r="13" spans="1:15" ht="12" customHeight="1">
      <c r="A13" s="1" t="s">
        <v>21</v>
      </c>
      <c r="B13" s="6">
        <v>0</v>
      </c>
      <c r="C13" s="6">
        <f>90.887*2000</f>
        <v>181774</v>
      </c>
      <c r="D13" s="6">
        <v>0</v>
      </c>
      <c r="E13" s="6">
        <v>0</v>
      </c>
      <c r="F13" s="6">
        <v>26808</v>
      </c>
      <c r="G13" s="6">
        <v>66372</v>
      </c>
      <c r="H13" s="6">
        <v>52280</v>
      </c>
      <c r="I13" s="6"/>
      <c r="J13" s="6"/>
      <c r="K13" s="6"/>
      <c r="L13" s="6"/>
      <c r="M13" s="6"/>
      <c r="N13" s="22">
        <f t="shared" si="0"/>
        <v>327234</v>
      </c>
      <c r="O13" s="7">
        <f t="shared" si="1"/>
        <v>163.617</v>
      </c>
    </row>
    <row r="14" spans="1:15" ht="12" customHeight="1">
      <c r="A14" s="3" t="s">
        <v>22</v>
      </c>
      <c r="B14" s="20">
        <f>SUM(B5:B13)</f>
        <v>656643</v>
      </c>
      <c r="C14" s="20">
        <f>SUM(C5:C13)</f>
        <v>742944</v>
      </c>
      <c r="D14" s="20">
        <f>SUM(D5:D13)</f>
        <v>897502</v>
      </c>
      <c r="E14" s="20">
        <f>SUM(E5:E13)</f>
        <v>884232</v>
      </c>
      <c r="F14" s="20">
        <f>SUM(F5:F13)</f>
        <v>1404849</v>
      </c>
      <c r="G14" s="20">
        <f aca="true" t="shared" si="2" ref="G14:M14">SUM(G5:G13)</f>
        <v>1277502</v>
      </c>
      <c r="H14" s="20">
        <f t="shared" si="2"/>
        <v>1171380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32">
        <f>SUM(N5:N13)</f>
        <v>7035052</v>
      </c>
      <c r="O14" s="10">
        <f>SUM(O5:O13)</f>
        <v>3517.5260000000007</v>
      </c>
    </row>
    <row r="15" spans="1:15" ht="12" customHeight="1">
      <c r="A15" s="1" t="s">
        <v>37</v>
      </c>
      <c r="B15" s="6">
        <v>27320</v>
      </c>
      <c r="C15" s="6">
        <v>8820</v>
      </c>
      <c r="D15" s="6">
        <v>17827</v>
      </c>
      <c r="E15" s="6">
        <v>29702</v>
      </c>
      <c r="F15" s="6">
        <v>43499</v>
      </c>
      <c r="G15" s="6">
        <f>19.115*2000</f>
        <v>38230</v>
      </c>
      <c r="H15" s="6">
        <v>35325</v>
      </c>
      <c r="I15" s="20"/>
      <c r="J15" s="20"/>
      <c r="K15" s="20"/>
      <c r="L15" s="20"/>
      <c r="M15" s="20"/>
      <c r="N15" s="9"/>
      <c r="O15" s="10"/>
    </row>
    <row r="16" spans="1:15" ht="12" customHeight="1">
      <c r="A16" s="3" t="s">
        <v>38</v>
      </c>
      <c r="B16" s="20">
        <f aca="true" t="shared" si="3" ref="B16:H16">B14+B15</f>
        <v>683963</v>
      </c>
      <c r="C16" s="20">
        <f t="shared" si="3"/>
        <v>751764</v>
      </c>
      <c r="D16" s="20">
        <f t="shared" si="3"/>
        <v>915329</v>
      </c>
      <c r="E16" s="20">
        <f t="shared" si="3"/>
        <v>913934</v>
      </c>
      <c r="F16" s="20">
        <f t="shared" si="3"/>
        <v>1448348</v>
      </c>
      <c r="G16" s="20">
        <f t="shared" si="3"/>
        <v>1315732</v>
      </c>
      <c r="H16" s="20">
        <f t="shared" si="3"/>
        <v>1206705</v>
      </c>
      <c r="I16" s="20"/>
      <c r="J16" s="20"/>
      <c r="K16" s="20"/>
      <c r="L16" s="20"/>
      <c r="M16" s="20"/>
      <c r="N16" s="9"/>
      <c r="O16" s="10"/>
    </row>
    <row r="17" spans="1:15" ht="12" customHeight="1">
      <c r="A17" s="1" t="s">
        <v>39</v>
      </c>
      <c r="B17" s="8">
        <f aca="true" t="shared" si="4" ref="B17:H17">B15/B16</f>
        <v>0.039943681164039575</v>
      </c>
      <c r="C17" s="8">
        <f t="shared" si="4"/>
        <v>0.011732405382540265</v>
      </c>
      <c r="D17" s="8">
        <f t="shared" si="4"/>
        <v>0.019476057242805593</v>
      </c>
      <c r="E17" s="8">
        <f t="shared" si="4"/>
        <v>0.03249906448386864</v>
      </c>
      <c r="F17" s="8">
        <f t="shared" si="4"/>
        <v>0.03003352785380309</v>
      </c>
      <c r="G17" s="8">
        <f t="shared" si="4"/>
        <v>0.029056069169101306</v>
      </c>
      <c r="H17" s="8">
        <f t="shared" si="4"/>
        <v>0.02927393190547814</v>
      </c>
      <c r="I17" s="20"/>
      <c r="J17" s="20"/>
      <c r="K17" s="20"/>
      <c r="L17" s="20"/>
      <c r="M17" s="20"/>
      <c r="N17" s="9"/>
      <c r="O17" s="10"/>
    </row>
    <row r="18" spans="1:15" ht="12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9"/>
      <c r="O18" s="10"/>
    </row>
    <row r="19" spans="1:15" ht="12" customHeight="1">
      <c r="A19" s="29" t="s">
        <v>30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</row>
    <row r="20" spans="1:15" ht="12" customHeight="1">
      <c r="A20" s="28" t="s">
        <v>31</v>
      </c>
      <c r="B20" s="6">
        <v>27818</v>
      </c>
      <c r="C20" s="6">
        <v>28118</v>
      </c>
      <c r="D20" s="6">
        <v>27928</v>
      </c>
      <c r="E20" s="6">
        <v>28638</v>
      </c>
      <c r="F20" s="6">
        <v>28914</v>
      </c>
      <c r="G20" s="6">
        <v>29164</v>
      </c>
      <c r="H20" s="6">
        <v>29458</v>
      </c>
      <c r="I20" s="20"/>
      <c r="J20" s="20"/>
      <c r="K20" s="20"/>
      <c r="L20" s="20"/>
      <c r="M20" s="20"/>
      <c r="N20" s="9"/>
      <c r="O20" s="10"/>
    </row>
    <row r="21" spans="1:15" ht="12" customHeight="1">
      <c r="A21" s="1" t="s">
        <v>32</v>
      </c>
      <c r="B21" s="40">
        <f aca="true" t="shared" si="5" ref="B21:H21">B14/B20</f>
        <v>23.60496800632684</v>
      </c>
      <c r="C21" s="40">
        <f t="shared" si="5"/>
        <v>26.42236289921047</v>
      </c>
      <c r="D21" s="40">
        <f t="shared" si="5"/>
        <v>32.13627900315096</v>
      </c>
      <c r="E21" s="40">
        <f t="shared" si="5"/>
        <v>30.87617850408548</v>
      </c>
      <c r="F21" s="40">
        <f t="shared" si="5"/>
        <v>48.58715501141316</v>
      </c>
      <c r="G21" s="40">
        <f t="shared" si="5"/>
        <v>43.80407351529283</v>
      </c>
      <c r="H21" s="40">
        <f t="shared" si="5"/>
        <v>39.76441034693462</v>
      </c>
      <c r="I21" s="20"/>
      <c r="J21" s="20"/>
      <c r="K21" s="20"/>
      <c r="L21" s="20"/>
      <c r="M21" s="20"/>
      <c r="N21" s="9"/>
      <c r="O21" s="10"/>
    </row>
    <row r="22" spans="1:15" ht="12" customHeight="1">
      <c r="A22" s="1"/>
      <c r="B22" s="18"/>
      <c r="C22" s="18"/>
      <c r="D22" s="18"/>
      <c r="E22" s="18"/>
      <c r="F22" s="18"/>
      <c r="G22" s="20"/>
      <c r="H22" s="20"/>
      <c r="I22" s="20"/>
      <c r="J22" s="20"/>
      <c r="K22" s="20"/>
      <c r="L22" s="20"/>
      <c r="M22" s="20"/>
      <c r="N22" s="9"/>
      <c r="O22" s="10"/>
    </row>
    <row r="23" spans="1:15" ht="12" customHeight="1">
      <c r="A23" s="29" t="s">
        <v>30</v>
      </c>
      <c r="B23" s="37"/>
      <c r="C23" s="37"/>
      <c r="D23" s="37"/>
      <c r="E23" s="37"/>
      <c r="F23" s="37"/>
      <c r="G23" s="34"/>
      <c r="H23" s="34"/>
      <c r="I23" s="34"/>
      <c r="J23" s="34"/>
      <c r="K23" s="34"/>
      <c r="L23" s="34"/>
      <c r="M23" s="34"/>
      <c r="N23" s="35"/>
      <c r="O23" s="36"/>
    </row>
    <row r="24" spans="1:15" ht="12" customHeight="1">
      <c r="A24" s="1" t="s">
        <v>23</v>
      </c>
      <c r="B24" s="14">
        <v>30605</v>
      </c>
      <c r="C24" s="14">
        <v>30919</v>
      </c>
      <c r="D24" s="14">
        <v>30675</v>
      </c>
      <c r="E24" s="14">
        <v>31331</v>
      </c>
      <c r="F24" s="14">
        <v>31191</v>
      </c>
      <c r="G24" s="6">
        <v>31519</v>
      </c>
      <c r="H24" s="6">
        <v>31642</v>
      </c>
      <c r="I24" s="6"/>
      <c r="J24" s="6"/>
      <c r="K24" s="6"/>
      <c r="L24" s="6"/>
      <c r="M24" s="6"/>
      <c r="N24" s="11"/>
      <c r="O24" s="12"/>
    </row>
    <row r="25" spans="1:15" ht="12" customHeight="1">
      <c r="A25" s="1" t="s">
        <v>32</v>
      </c>
      <c r="B25" s="41">
        <f aca="true" t="shared" si="6" ref="B25:H25">B14/B24</f>
        <v>21.45541578173501</v>
      </c>
      <c r="C25" s="41">
        <f t="shared" si="6"/>
        <v>24.028720204405058</v>
      </c>
      <c r="D25" s="41">
        <f t="shared" si="6"/>
        <v>29.25841890790546</v>
      </c>
      <c r="E25" s="41">
        <f t="shared" si="6"/>
        <v>28.222271871309566</v>
      </c>
      <c r="F25" s="41">
        <f t="shared" si="6"/>
        <v>45.040203904972586</v>
      </c>
      <c r="G25" s="41">
        <f t="shared" si="6"/>
        <v>40.53117167422824</v>
      </c>
      <c r="H25" s="41">
        <f t="shared" si="6"/>
        <v>37.01978383161621</v>
      </c>
      <c r="I25" s="6"/>
      <c r="J25" s="6"/>
      <c r="K25" s="6"/>
      <c r="L25" s="6"/>
      <c r="M25" s="6"/>
      <c r="N25" s="6"/>
      <c r="O25" s="12"/>
    </row>
    <row r="26" spans="1:15" ht="12" customHeight="1">
      <c r="A26" s="1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"/>
      <c r="O26" s="12"/>
    </row>
    <row r="27" spans="1:15" ht="12" customHeight="1">
      <c r="A27" s="29" t="s">
        <v>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8"/>
      <c r="O27" s="39"/>
    </row>
    <row r="28" spans="1:15" ht="12" customHeight="1">
      <c r="A28" s="1" t="s">
        <v>22</v>
      </c>
      <c r="B28" s="6">
        <v>4966633</v>
      </c>
      <c r="C28" s="6">
        <v>4732472</v>
      </c>
      <c r="D28" s="6">
        <v>5169779</v>
      </c>
      <c r="E28" s="6">
        <v>5261920</v>
      </c>
      <c r="F28" s="6">
        <v>5221668</v>
      </c>
      <c r="G28" s="6">
        <v>5128609</v>
      </c>
      <c r="H28" s="6">
        <v>5050532</v>
      </c>
      <c r="I28" s="6"/>
      <c r="J28" s="6"/>
      <c r="K28" s="6"/>
      <c r="L28" s="6"/>
      <c r="M28" s="6"/>
      <c r="N28" s="11"/>
      <c r="O28" s="12"/>
    </row>
    <row r="29" spans="1:15" ht="12" customHeight="1">
      <c r="A29" s="1" t="s">
        <v>35</v>
      </c>
      <c r="B29" s="22">
        <f aca="true" t="shared" si="7" ref="B29:H29">B28/B24</f>
        <v>162.28175134781898</v>
      </c>
      <c r="C29" s="22">
        <f t="shared" si="7"/>
        <v>153.06031889776511</v>
      </c>
      <c r="D29" s="22">
        <f t="shared" si="7"/>
        <v>168.53395273023634</v>
      </c>
      <c r="E29" s="22">
        <f t="shared" si="7"/>
        <v>167.94612364750566</v>
      </c>
      <c r="F29" s="22">
        <f t="shared" si="7"/>
        <v>167.40944503222084</v>
      </c>
      <c r="G29" s="22">
        <f t="shared" si="7"/>
        <v>162.7148386687395</v>
      </c>
      <c r="H29" s="22">
        <f t="shared" si="7"/>
        <v>159.61481575121672</v>
      </c>
      <c r="I29" s="6"/>
      <c r="J29" s="6"/>
      <c r="K29" s="6"/>
      <c r="L29" s="6"/>
      <c r="M29" s="6"/>
      <c r="N29" s="11"/>
      <c r="O29" s="12"/>
    </row>
    <row r="31" spans="7:8" ht="12" customHeight="1">
      <c r="G31" s="6"/>
      <c r="H31" s="6"/>
    </row>
    <row r="32" spans="4:8" ht="12" customHeight="1">
      <c r="D32" s="42"/>
      <c r="E32" s="42"/>
      <c r="F32" s="42"/>
      <c r="G32" s="42"/>
      <c r="H32" s="42"/>
    </row>
  </sheetData>
  <printOptions/>
  <pageMargins left="0.5" right="0.5" top="1" bottom="0.75" header="0.5" footer="0.25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5">
      <pane xSplit="1" topLeftCell="C1" activePane="topRight" state="frozen"/>
      <selection pane="topLeft" activeCell="A1" sqref="A1"/>
      <selection pane="topRight" activeCell="H28" sqref="H28"/>
    </sheetView>
  </sheetViews>
  <sheetFormatPr defaultColWidth="8.88671875" defaultRowHeight="15"/>
  <cols>
    <col min="1" max="1" width="18.77734375" style="0" customWidth="1"/>
  </cols>
  <sheetData>
    <row r="1" spans="1:15" ht="15">
      <c r="A1" s="3" t="s">
        <v>24</v>
      </c>
      <c r="B1" s="1"/>
      <c r="C1" s="1"/>
      <c r="D1" s="2"/>
      <c r="E1" s="3" t="s">
        <v>25</v>
      </c>
      <c r="F1" s="2"/>
      <c r="G1" s="2"/>
      <c r="H1" s="2"/>
      <c r="I1" s="2"/>
      <c r="J1" s="2"/>
      <c r="K1" s="2"/>
      <c r="L1" s="2"/>
      <c r="M1" s="2"/>
      <c r="N1" s="2"/>
      <c r="O1" s="4"/>
    </row>
    <row r="2" spans="1:15" ht="1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3" t="s">
        <v>36</v>
      </c>
      <c r="B3" s="3" t="s">
        <v>1</v>
      </c>
      <c r="C3" s="1"/>
      <c r="D3" s="2"/>
      <c r="E3" s="31" t="s">
        <v>34</v>
      </c>
      <c r="F3" s="2"/>
      <c r="G3" s="2"/>
      <c r="H3" s="2" t="s">
        <v>1</v>
      </c>
      <c r="I3" s="2"/>
      <c r="J3" s="2"/>
      <c r="K3" s="2"/>
      <c r="L3" s="2"/>
      <c r="M3" s="2"/>
      <c r="N3" s="2"/>
      <c r="O3" s="2"/>
    </row>
    <row r="4" spans="1:15" ht="15">
      <c r="A4" s="29" t="s">
        <v>29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</row>
    <row r="5" spans="1:15" ht="15">
      <c r="A5" s="1" t="s">
        <v>16</v>
      </c>
      <c r="B5" s="22">
        <f>38.85*2000</f>
        <v>77700</v>
      </c>
      <c r="C5" s="27">
        <f>49.23*2000</f>
        <v>98460</v>
      </c>
      <c r="D5" s="22">
        <f>43.81*2000</f>
        <v>87620</v>
      </c>
      <c r="E5" s="22">
        <f>28.151*2000</f>
        <v>56302</v>
      </c>
      <c r="F5" s="22">
        <v>88035</v>
      </c>
      <c r="G5" s="6">
        <f>47.734*2000</f>
        <v>95468</v>
      </c>
      <c r="H5" s="6">
        <v>88197</v>
      </c>
      <c r="I5" s="6"/>
      <c r="J5" s="6"/>
      <c r="K5" s="6"/>
      <c r="L5" s="6"/>
      <c r="M5" s="6"/>
      <c r="N5" s="22">
        <f>SUM(B5:M5)</f>
        <v>591782</v>
      </c>
      <c r="O5" s="7">
        <f>N5/2000</f>
        <v>295.891</v>
      </c>
    </row>
    <row r="6" spans="1:15" ht="15">
      <c r="A6" s="1" t="s">
        <v>17</v>
      </c>
      <c r="B6" s="6">
        <f>90.6725*2000</f>
        <v>181345</v>
      </c>
      <c r="C6" s="14">
        <f>55.29*2000</f>
        <v>110580</v>
      </c>
      <c r="D6" s="6">
        <f>103.8385*2000</f>
        <v>207677</v>
      </c>
      <c r="E6" s="6">
        <f>112.547*2000</f>
        <v>225094</v>
      </c>
      <c r="F6" s="6">
        <v>359150</v>
      </c>
      <c r="G6" s="6">
        <f>194.738*2000</f>
        <v>389476</v>
      </c>
      <c r="H6" s="6">
        <v>359810</v>
      </c>
      <c r="I6" s="6"/>
      <c r="J6" s="6"/>
      <c r="K6" s="6"/>
      <c r="L6" s="6"/>
      <c r="M6" s="6"/>
      <c r="N6" s="22">
        <f aca="true" t="shared" si="0" ref="N6:N13">SUM(B6:M6)</f>
        <v>1833132</v>
      </c>
      <c r="O6" s="7">
        <f aca="true" t="shared" si="1" ref="O6:O13">N6/2000</f>
        <v>916.566</v>
      </c>
    </row>
    <row r="7" spans="1:15" ht="15">
      <c r="A7" s="1" t="s">
        <v>18</v>
      </c>
      <c r="B7" s="6">
        <f>27.805*2000</f>
        <v>55610</v>
      </c>
      <c r="C7" s="14">
        <f>19.665*2000</f>
        <v>39330</v>
      </c>
      <c r="D7" s="6">
        <f>25.5575*2000</f>
        <v>51115</v>
      </c>
      <c r="E7" s="6">
        <f>22.289*2000</f>
        <v>44578</v>
      </c>
      <c r="F7" s="6">
        <v>69704</v>
      </c>
      <c r="G7" s="6">
        <f>37.795*2000</f>
        <v>75590</v>
      </c>
      <c r="H7" s="6">
        <v>69832</v>
      </c>
      <c r="I7" s="6"/>
      <c r="J7" s="6"/>
      <c r="K7" s="6"/>
      <c r="L7" s="6"/>
      <c r="M7" s="6"/>
      <c r="N7" s="22">
        <f t="shared" si="0"/>
        <v>405759</v>
      </c>
      <c r="O7" s="7">
        <f t="shared" si="1"/>
        <v>202.8795</v>
      </c>
    </row>
    <row r="8" spans="1:15" ht="15">
      <c r="A8" s="1" t="s">
        <v>26</v>
      </c>
      <c r="B8" s="6">
        <f>18.75*2000</f>
        <v>37500</v>
      </c>
      <c r="C8" s="14">
        <v>2250</v>
      </c>
      <c r="D8" s="6">
        <f>2.1155*2000</f>
        <v>4231</v>
      </c>
      <c r="E8" s="6">
        <f>2.297*2000</f>
        <v>4594</v>
      </c>
      <c r="F8" s="6">
        <v>0</v>
      </c>
      <c r="G8" s="6">
        <v>0</v>
      </c>
      <c r="H8" s="6">
        <v>0</v>
      </c>
      <c r="I8" s="6"/>
      <c r="J8" s="6"/>
      <c r="K8" s="6"/>
      <c r="L8" s="6"/>
      <c r="M8" s="6"/>
      <c r="N8" s="22">
        <f t="shared" si="0"/>
        <v>48575</v>
      </c>
      <c r="O8" s="7">
        <f t="shared" si="1"/>
        <v>24.2875</v>
      </c>
    </row>
    <row r="9" spans="1:15" ht="15">
      <c r="A9" s="1" t="s">
        <v>19</v>
      </c>
      <c r="B9" s="6">
        <f>3.137*2000</f>
        <v>6274</v>
      </c>
      <c r="C9" s="14">
        <f>2.5345*2000</f>
        <v>5069</v>
      </c>
      <c r="D9" s="6">
        <f>3.782*2000</f>
        <v>7564</v>
      </c>
      <c r="E9" s="6">
        <f>2.867*2000</f>
        <v>5734</v>
      </c>
      <c r="F9" s="6">
        <v>8964</v>
      </c>
      <c r="G9" s="6">
        <f>4.861*2000</f>
        <v>9722</v>
      </c>
      <c r="H9" s="6">
        <v>8981</v>
      </c>
      <c r="I9" s="6"/>
      <c r="J9" s="6"/>
      <c r="K9" s="6"/>
      <c r="L9" s="6"/>
      <c r="M9" s="6"/>
      <c r="N9" s="22">
        <f t="shared" si="0"/>
        <v>52308</v>
      </c>
      <c r="O9" s="7">
        <f t="shared" si="1"/>
        <v>26.154</v>
      </c>
    </row>
    <row r="10" spans="1:15" ht="15">
      <c r="A10" s="1" t="s">
        <v>20</v>
      </c>
      <c r="B10" s="6">
        <f>4.3675*2000</f>
        <v>8735</v>
      </c>
      <c r="C10" s="14">
        <f>2.957*2000</f>
        <v>5914</v>
      </c>
      <c r="D10" s="6">
        <f>4.447*2000</f>
        <v>8894</v>
      </c>
      <c r="E10" s="6">
        <f>3.932*2000</f>
        <v>7864</v>
      </c>
      <c r="F10" s="6">
        <v>13389</v>
      </c>
      <c r="G10" s="6">
        <f>7.26*2000</f>
        <v>14520</v>
      </c>
      <c r="H10" s="6">
        <v>13414</v>
      </c>
      <c r="I10" s="6"/>
      <c r="J10" s="6"/>
      <c r="K10" s="6"/>
      <c r="L10" s="6"/>
      <c r="M10" s="6"/>
      <c r="N10" s="22">
        <f t="shared" si="0"/>
        <v>72730</v>
      </c>
      <c r="O10" s="7">
        <f t="shared" si="1"/>
        <v>36.365</v>
      </c>
    </row>
    <row r="11" spans="1:15" ht="15">
      <c r="A11" s="1" t="s">
        <v>27</v>
      </c>
      <c r="B11" s="6">
        <f>2.1925*2000</f>
        <v>4385</v>
      </c>
      <c r="C11" s="14">
        <f>0.6315*2000</f>
        <v>1263</v>
      </c>
      <c r="D11" s="6">
        <f>1.159*2000</f>
        <v>2318</v>
      </c>
      <c r="E11" s="6">
        <f>2.775*2000</f>
        <v>5550</v>
      </c>
      <c r="F11" s="6">
        <v>8677</v>
      </c>
      <c r="G11" s="6">
        <f>4.705*2000</f>
        <v>9410</v>
      </c>
      <c r="H11" s="6">
        <v>8693</v>
      </c>
      <c r="I11" s="6"/>
      <c r="J11" s="6"/>
      <c r="K11" s="6"/>
      <c r="L11" s="6"/>
      <c r="M11" s="6"/>
      <c r="N11" s="22">
        <f t="shared" si="0"/>
        <v>40296</v>
      </c>
      <c r="O11" s="7">
        <f t="shared" si="1"/>
        <v>20.148</v>
      </c>
    </row>
    <row r="12" spans="1:15" ht="15">
      <c r="A12" s="1" t="s">
        <v>28</v>
      </c>
      <c r="B12" s="6">
        <f>(2.87+1.1875)*2000</f>
        <v>8115</v>
      </c>
      <c r="C12" s="14">
        <f>0.6785*2000</f>
        <v>1357</v>
      </c>
      <c r="D12" s="6">
        <f>2.4165*2000</f>
        <v>4833</v>
      </c>
      <c r="E12" s="6">
        <f>2.922*2000</f>
        <v>5844</v>
      </c>
      <c r="F12" s="6">
        <v>9137</v>
      </c>
      <c r="G12" s="6">
        <f>4.954*2000</f>
        <v>9908</v>
      </c>
      <c r="H12" s="6">
        <v>9154</v>
      </c>
      <c r="I12" s="6"/>
      <c r="J12" s="6"/>
      <c r="K12" s="6"/>
      <c r="L12" s="6"/>
      <c r="M12" s="6"/>
      <c r="N12" s="22">
        <f t="shared" si="0"/>
        <v>48348</v>
      </c>
      <c r="O12" s="7">
        <f t="shared" si="1"/>
        <v>24.174</v>
      </c>
    </row>
    <row r="13" spans="1:15" ht="15">
      <c r="A13" s="1" t="s">
        <v>21</v>
      </c>
      <c r="B13" s="6">
        <v>0</v>
      </c>
      <c r="C13" s="14">
        <v>0</v>
      </c>
      <c r="D13" s="6">
        <v>0</v>
      </c>
      <c r="E13" s="6">
        <v>0</v>
      </c>
      <c r="F13" s="6">
        <v>4040</v>
      </c>
      <c r="G13" s="6">
        <v>13200</v>
      </c>
      <c r="H13" s="6">
        <v>28200</v>
      </c>
      <c r="I13" s="6"/>
      <c r="J13" s="6"/>
      <c r="K13" s="6"/>
      <c r="L13" s="6"/>
      <c r="M13" s="6"/>
      <c r="N13" s="22">
        <f t="shared" si="0"/>
        <v>45440</v>
      </c>
      <c r="O13" s="7">
        <f t="shared" si="1"/>
        <v>22.72</v>
      </c>
    </row>
    <row r="14" spans="1:15" ht="15">
      <c r="A14" s="3" t="s">
        <v>22</v>
      </c>
      <c r="B14" s="20">
        <f>SUM(B5:B13)</f>
        <v>379664</v>
      </c>
      <c r="C14" s="20">
        <f>SUM(C5:C13)</f>
        <v>264223</v>
      </c>
      <c r="D14" s="20">
        <f>SUM(D5:D13)</f>
        <v>374252</v>
      </c>
      <c r="E14" s="20">
        <f>SUM(E5:E13)</f>
        <v>355560</v>
      </c>
      <c r="F14" s="20">
        <f>SUM(F5:F13)</f>
        <v>561096</v>
      </c>
      <c r="G14" s="20">
        <f aca="true" t="shared" si="2" ref="G14:M14">SUM(G5:G13)</f>
        <v>617294</v>
      </c>
      <c r="H14" s="20">
        <f t="shared" si="2"/>
        <v>586281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9">
        <f>SUM(N5:N13)</f>
        <v>3138370</v>
      </c>
      <c r="O14" s="10">
        <f>SUM(O5:O13)</f>
        <v>1569.185</v>
      </c>
    </row>
    <row r="15" spans="1:15" ht="15">
      <c r="A15" s="1" t="s">
        <v>37</v>
      </c>
      <c r="B15" s="6">
        <v>15570</v>
      </c>
      <c r="C15" s="6">
        <v>9740</v>
      </c>
      <c r="D15" s="6">
        <v>8454</v>
      </c>
      <c r="E15" s="6">
        <v>11944</v>
      </c>
      <c r="F15" s="6">
        <v>17584</v>
      </c>
      <c r="G15" s="6">
        <f>9.534*2000</f>
        <v>19068</v>
      </c>
      <c r="H15" s="6">
        <v>17616</v>
      </c>
      <c r="I15" s="20"/>
      <c r="J15" s="20"/>
      <c r="K15" s="20"/>
      <c r="L15" s="20"/>
      <c r="M15" s="20"/>
      <c r="N15" s="9"/>
      <c r="O15" s="10"/>
    </row>
    <row r="16" spans="1:15" ht="15">
      <c r="A16" s="3" t="s">
        <v>38</v>
      </c>
      <c r="B16" s="20">
        <f aca="true" t="shared" si="3" ref="B16:H16">B14+B15</f>
        <v>395234</v>
      </c>
      <c r="C16" s="20">
        <f t="shared" si="3"/>
        <v>273963</v>
      </c>
      <c r="D16" s="20">
        <f t="shared" si="3"/>
        <v>382706</v>
      </c>
      <c r="E16" s="20">
        <f t="shared" si="3"/>
        <v>367504</v>
      </c>
      <c r="F16" s="20">
        <f t="shared" si="3"/>
        <v>578680</v>
      </c>
      <c r="G16" s="20">
        <f t="shared" si="3"/>
        <v>636362</v>
      </c>
      <c r="H16" s="20">
        <f t="shared" si="3"/>
        <v>603897</v>
      </c>
      <c r="I16" s="20"/>
      <c r="J16" s="20"/>
      <c r="K16" s="20"/>
      <c r="L16" s="20"/>
      <c r="M16" s="20"/>
      <c r="N16" s="9"/>
      <c r="O16" s="10"/>
    </row>
    <row r="17" spans="1:15" ht="15">
      <c r="A17" s="1" t="s">
        <v>39</v>
      </c>
      <c r="B17" s="8">
        <f aca="true" t="shared" si="4" ref="B17:H17">B15/B16</f>
        <v>0.03939438408638933</v>
      </c>
      <c r="C17" s="8">
        <f t="shared" si="4"/>
        <v>0.035552246106226024</v>
      </c>
      <c r="D17" s="8">
        <f t="shared" si="4"/>
        <v>0.022090063913291144</v>
      </c>
      <c r="E17" s="8">
        <f t="shared" si="4"/>
        <v>0.032500326527058206</v>
      </c>
      <c r="F17" s="8">
        <f t="shared" si="4"/>
        <v>0.030386396626805832</v>
      </c>
      <c r="G17" s="8">
        <f t="shared" si="4"/>
        <v>0.029964077050483845</v>
      </c>
      <c r="H17" s="8">
        <f t="shared" si="4"/>
        <v>0.02917053735984779</v>
      </c>
      <c r="I17" s="20"/>
      <c r="J17" s="20"/>
      <c r="K17" s="20"/>
      <c r="L17" s="20"/>
      <c r="M17" s="20"/>
      <c r="N17" s="9"/>
      <c r="O17" s="10"/>
    </row>
    <row r="18" spans="1:15" ht="15">
      <c r="A18" s="3"/>
      <c r="B18" s="6"/>
      <c r="C18" s="6"/>
      <c r="D18" s="6"/>
      <c r="E18" s="6"/>
      <c r="F18" s="6"/>
      <c r="G18" s="20"/>
      <c r="H18" s="20"/>
      <c r="I18" s="20"/>
      <c r="J18" s="20"/>
      <c r="K18" s="20"/>
      <c r="L18" s="20"/>
      <c r="M18" s="20"/>
      <c r="N18" s="9"/>
      <c r="O18" s="10"/>
    </row>
    <row r="19" spans="1:15" ht="15">
      <c r="A19" s="29" t="s">
        <v>30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</row>
    <row r="20" spans="1:15" ht="15">
      <c r="A20" s="28" t="s">
        <v>31</v>
      </c>
      <c r="B20" s="6">
        <v>13825</v>
      </c>
      <c r="C20" s="6">
        <v>13451</v>
      </c>
      <c r="D20" s="6">
        <v>14097</v>
      </c>
      <c r="E20" s="6">
        <v>13769</v>
      </c>
      <c r="F20" s="6">
        <v>14345</v>
      </c>
      <c r="G20" s="6">
        <v>14099</v>
      </c>
      <c r="H20" s="6">
        <v>14143</v>
      </c>
      <c r="I20" s="20"/>
      <c r="J20" s="20"/>
      <c r="K20" s="20"/>
      <c r="L20" s="20"/>
      <c r="M20" s="20"/>
      <c r="N20" s="9"/>
      <c r="O20" s="10"/>
    </row>
    <row r="21" spans="1:15" ht="15">
      <c r="A21" s="1" t="s">
        <v>32</v>
      </c>
      <c r="B21" s="40">
        <f aca="true" t="shared" si="5" ref="B21:H21">B14/B20</f>
        <v>27.462133815551535</v>
      </c>
      <c r="C21" s="40">
        <f t="shared" si="5"/>
        <v>19.643372239982156</v>
      </c>
      <c r="D21" s="40">
        <f t="shared" si="5"/>
        <v>26.54834361920976</v>
      </c>
      <c r="E21" s="40">
        <f t="shared" si="5"/>
        <v>25.82322608758806</v>
      </c>
      <c r="F21" s="40">
        <f t="shared" si="5"/>
        <v>39.11439525967236</v>
      </c>
      <c r="G21" s="40">
        <f t="shared" si="5"/>
        <v>43.78282147670048</v>
      </c>
      <c r="H21" s="40">
        <f t="shared" si="5"/>
        <v>41.453793396026306</v>
      </c>
      <c r="I21" s="20"/>
      <c r="J21" s="20"/>
      <c r="K21" s="20"/>
      <c r="L21" s="20"/>
      <c r="M21" s="20"/>
      <c r="N21" s="9"/>
      <c r="O21" s="10"/>
    </row>
    <row r="22" spans="1:15" ht="15">
      <c r="A22" s="1"/>
      <c r="B22" s="18"/>
      <c r="C22" s="18"/>
      <c r="D22" s="18"/>
      <c r="E22" s="18"/>
      <c r="F22" s="18"/>
      <c r="G22" s="20"/>
      <c r="H22" s="20"/>
      <c r="I22" s="20"/>
      <c r="J22" s="20"/>
      <c r="K22" s="20"/>
      <c r="L22" s="20"/>
      <c r="M22" s="20"/>
      <c r="N22" s="9"/>
      <c r="O22" s="10"/>
    </row>
    <row r="23" spans="1:15" ht="15">
      <c r="A23" s="29" t="s">
        <v>30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</row>
    <row r="24" spans="1:15" ht="15">
      <c r="A24" s="1" t="s">
        <v>23</v>
      </c>
      <c r="B24" s="14">
        <v>15098</v>
      </c>
      <c r="C24" s="14">
        <v>14652</v>
      </c>
      <c r="D24" s="14">
        <v>15290</v>
      </c>
      <c r="E24" s="14">
        <v>14929</v>
      </c>
      <c r="F24" s="6">
        <v>15573</v>
      </c>
      <c r="G24" s="6">
        <v>15137</v>
      </c>
      <c r="H24" s="6">
        <v>15788</v>
      </c>
      <c r="I24" s="20"/>
      <c r="J24" s="6"/>
      <c r="K24" s="6"/>
      <c r="L24" s="6"/>
      <c r="M24" s="6"/>
      <c r="N24" s="11"/>
      <c r="O24" s="12"/>
    </row>
    <row r="25" spans="1:15" ht="15">
      <c r="A25" s="1" t="s">
        <v>32</v>
      </c>
      <c r="B25" s="41">
        <f aca="true" t="shared" si="6" ref="B25:H25">B14/B24</f>
        <v>25.14664193932971</v>
      </c>
      <c r="C25" s="41">
        <f t="shared" si="6"/>
        <v>18.033237783237784</v>
      </c>
      <c r="D25" s="41">
        <f t="shared" si="6"/>
        <v>24.476913015042513</v>
      </c>
      <c r="E25" s="41">
        <f t="shared" si="6"/>
        <v>23.81673253399424</v>
      </c>
      <c r="F25" s="41">
        <f t="shared" si="6"/>
        <v>36.03005201309959</v>
      </c>
      <c r="G25" s="41">
        <f t="shared" si="6"/>
        <v>40.78047169188082</v>
      </c>
      <c r="H25" s="41">
        <f t="shared" si="6"/>
        <v>37.134595895616926</v>
      </c>
      <c r="I25" s="6"/>
      <c r="J25" s="6"/>
      <c r="K25" s="6"/>
      <c r="L25" s="6"/>
      <c r="M25" s="6"/>
      <c r="N25" s="6"/>
      <c r="O25" s="12"/>
    </row>
    <row r="26" spans="1:15" ht="15">
      <c r="A26" s="1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"/>
      <c r="O26" s="12"/>
    </row>
    <row r="27" spans="1:15" ht="15">
      <c r="A27" s="29" t="s">
        <v>33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</row>
    <row r="28" spans="1:15" ht="15">
      <c r="A28" s="1" t="s">
        <v>22</v>
      </c>
      <c r="B28" s="6">
        <v>2239379</v>
      </c>
      <c r="C28" s="6">
        <v>2033984</v>
      </c>
      <c r="D28" s="6">
        <v>2169873</v>
      </c>
      <c r="E28" s="6">
        <v>2126130</v>
      </c>
      <c r="F28" s="6">
        <v>2496498</v>
      </c>
      <c r="G28" s="6">
        <v>2165230</v>
      </c>
      <c r="H28" s="6">
        <v>2256012</v>
      </c>
      <c r="I28" s="6"/>
      <c r="J28" s="6"/>
      <c r="K28" s="6"/>
      <c r="L28" s="6"/>
      <c r="M28" s="6"/>
      <c r="N28" s="11"/>
      <c r="O28" s="12"/>
    </row>
    <row r="29" spans="1:15" ht="15">
      <c r="A29" s="1" t="s">
        <v>35</v>
      </c>
      <c r="B29" s="6">
        <f aca="true" t="shared" si="7" ref="B29:H29">B28/B24</f>
        <v>148.3228904490661</v>
      </c>
      <c r="C29" s="6">
        <f t="shared" si="7"/>
        <v>138.81954681954682</v>
      </c>
      <c r="D29" s="6">
        <f t="shared" si="7"/>
        <v>141.91451929365599</v>
      </c>
      <c r="E29" s="6">
        <f t="shared" si="7"/>
        <v>142.41610288699846</v>
      </c>
      <c r="F29" s="6">
        <f t="shared" si="7"/>
        <v>160.30938162203813</v>
      </c>
      <c r="G29" s="6">
        <f t="shared" si="7"/>
        <v>143.0422144414349</v>
      </c>
      <c r="H29" s="6">
        <f t="shared" si="7"/>
        <v>142.89409678236635</v>
      </c>
      <c r="I29" s="6"/>
      <c r="J29" s="6"/>
      <c r="K29" s="6"/>
      <c r="L29" s="6"/>
      <c r="M29" s="6"/>
      <c r="N29" s="11"/>
      <c r="O29" s="12"/>
    </row>
    <row r="30" spans="1:15" ht="15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5" ht="15">
      <c r="A31" s="3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6"/>
    </row>
    <row r="32" spans="1:15" ht="15">
      <c r="A32" s="1"/>
      <c r="B32" s="22"/>
      <c r="C32" s="2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"/>
    </row>
    <row r="33" spans="1:15" ht="15">
      <c r="A33" s="1"/>
      <c r="B33" s="6"/>
      <c r="C33" s="14"/>
      <c r="D33" s="6"/>
      <c r="E33" s="6"/>
      <c r="F33" s="6"/>
      <c r="G33" s="22"/>
      <c r="H33" s="6"/>
      <c r="I33" s="6"/>
      <c r="J33" s="6"/>
      <c r="K33" s="6"/>
      <c r="L33" s="6"/>
      <c r="M33" s="6"/>
      <c r="N33" s="22"/>
      <c r="O33" s="7"/>
    </row>
    <row r="34" spans="1:15" ht="15">
      <c r="A34" s="1"/>
      <c r="B34" s="6"/>
      <c r="C34" s="14"/>
      <c r="D34" s="6"/>
      <c r="E34" s="6"/>
      <c r="F34" s="6"/>
      <c r="G34" s="22"/>
      <c r="H34" s="6"/>
      <c r="I34" s="6"/>
      <c r="J34" s="6"/>
      <c r="K34" s="6"/>
      <c r="L34" s="6"/>
      <c r="M34" s="6"/>
      <c r="N34" s="22"/>
      <c r="O34" s="7"/>
    </row>
    <row r="35" spans="1:15" ht="15">
      <c r="A35" s="1"/>
      <c r="B35" s="6"/>
      <c r="C35" s="14"/>
      <c r="D35" s="6"/>
      <c r="E35" s="6"/>
      <c r="F35" s="6"/>
      <c r="G35" s="22"/>
      <c r="H35" s="6"/>
      <c r="I35" s="6"/>
      <c r="J35" s="6"/>
      <c r="K35" s="6"/>
      <c r="L35" s="6"/>
      <c r="M35" s="6"/>
      <c r="N35" s="22"/>
      <c r="O35" s="7"/>
    </row>
    <row r="36" spans="1:15" ht="15">
      <c r="A36" s="1"/>
      <c r="B36" s="6"/>
      <c r="C36" s="14"/>
      <c r="D36" s="6"/>
      <c r="E36" s="6"/>
      <c r="F36" s="6"/>
      <c r="G36" s="22"/>
      <c r="H36" s="6"/>
      <c r="I36" s="6"/>
      <c r="J36" s="6"/>
      <c r="K36" s="6"/>
      <c r="L36" s="6"/>
      <c r="M36" s="6"/>
      <c r="N36" s="22"/>
      <c r="O36" s="7"/>
    </row>
    <row r="37" spans="1:15" ht="15">
      <c r="A37" s="1"/>
      <c r="B37" s="6"/>
      <c r="C37" s="14"/>
      <c r="D37" s="6"/>
      <c r="E37" s="6"/>
      <c r="F37" s="6"/>
      <c r="G37" s="22"/>
      <c r="H37" s="6"/>
      <c r="I37" s="6"/>
      <c r="J37" s="6"/>
      <c r="K37" s="6"/>
      <c r="L37" s="6"/>
      <c r="M37" s="6"/>
      <c r="N37" s="22"/>
      <c r="O37" s="7"/>
    </row>
    <row r="38" spans="1:15" ht="15">
      <c r="A38" s="1"/>
      <c r="B38" s="6"/>
      <c r="C38" s="14"/>
      <c r="D38" s="6"/>
      <c r="E38" s="6"/>
      <c r="F38" s="6"/>
      <c r="G38" s="22"/>
      <c r="H38" s="6"/>
      <c r="I38" s="6"/>
      <c r="J38" s="6"/>
      <c r="K38" s="6"/>
      <c r="L38" s="6"/>
      <c r="M38" s="6"/>
      <c r="N38" s="22"/>
      <c r="O38" s="7"/>
    </row>
    <row r="39" spans="1:15" ht="15">
      <c r="A39" s="1"/>
      <c r="B39" s="6"/>
      <c r="C39" s="14"/>
      <c r="D39" s="6"/>
      <c r="E39" s="6"/>
      <c r="F39" s="6"/>
      <c r="G39" s="22"/>
      <c r="H39" s="6"/>
      <c r="I39" s="6"/>
      <c r="J39" s="6"/>
      <c r="K39" s="6"/>
      <c r="L39" s="6"/>
      <c r="M39" s="6"/>
      <c r="N39" s="22"/>
      <c r="O39" s="7"/>
    </row>
    <row r="40" spans="1:15" ht="15">
      <c r="A40" s="1"/>
      <c r="B40" s="6"/>
      <c r="C40" s="14"/>
      <c r="D40" s="6"/>
      <c r="E40" s="6"/>
      <c r="F40" s="6"/>
      <c r="G40" s="22"/>
      <c r="H40" s="6"/>
      <c r="I40" s="6"/>
      <c r="J40" s="6"/>
      <c r="K40" s="6"/>
      <c r="L40" s="6"/>
      <c r="M40" s="6"/>
      <c r="N40" s="22"/>
      <c r="O40" s="7"/>
    </row>
    <row r="41" spans="1:15" ht="15">
      <c r="A41" s="1"/>
      <c r="B41" s="6"/>
      <c r="C41" s="14"/>
      <c r="D41" s="6"/>
      <c r="E41" s="6"/>
      <c r="F41" s="6"/>
      <c r="G41" s="22"/>
      <c r="H41" s="6"/>
      <c r="I41" s="6"/>
      <c r="J41" s="6"/>
      <c r="K41" s="6"/>
      <c r="L41" s="6"/>
      <c r="M41" s="6"/>
      <c r="N41" s="22"/>
      <c r="O41" s="7"/>
    </row>
    <row r="42" spans="1:15" ht="15">
      <c r="A42" s="1"/>
      <c r="B42" s="6"/>
      <c r="C42" s="14"/>
      <c r="D42" s="6"/>
      <c r="E42" s="6"/>
      <c r="F42" s="6"/>
      <c r="G42" s="6"/>
      <c r="H42" s="6"/>
      <c r="I42" s="6"/>
      <c r="J42" s="6"/>
      <c r="K42" s="6"/>
      <c r="L42" s="6"/>
      <c r="M42" s="6"/>
      <c r="N42" s="20"/>
      <c r="O42" s="21"/>
    </row>
    <row r="43" spans="1:15" ht="1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0"/>
      <c r="O43" s="21"/>
    </row>
    <row r="44" spans="1:15" ht="15">
      <c r="A44" s="2"/>
      <c r="B44" s="14"/>
      <c r="C44" s="14"/>
      <c r="D44" s="14"/>
      <c r="E44" s="14"/>
      <c r="F44" s="6"/>
      <c r="G44" s="6"/>
      <c r="H44" s="6"/>
      <c r="I44" s="6"/>
      <c r="J44" s="6"/>
      <c r="K44" s="6"/>
      <c r="L44" s="6"/>
      <c r="M44" s="6"/>
      <c r="N44" s="6"/>
      <c r="O44" s="12"/>
    </row>
    <row r="45" spans="1:15" ht="15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2"/>
    </row>
    <row r="46" spans="1:15" ht="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8"/>
      <c r="O46" s="24"/>
    </row>
    <row r="47" spans="1:15" ht="15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</row>
    <row r="48" spans="1:15" ht="1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1"/>
      <c r="O48" s="12"/>
    </row>
    <row r="49" spans="1:15" ht="1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</row>
    <row r="50" spans="1:15" ht="15">
      <c r="A50" s="3"/>
      <c r="B50" s="15"/>
      <c r="C50" s="1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6"/>
    </row>
    <row r="51" spans="1:15" ht="15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ht="15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1:15" ht="15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ht="15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1:15" ht="15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1:15" ht="15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</row>
    <row r="57" spans="1:15" ht="15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</row>
    <row r="58" spans="1:15" ht="15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</row>
    <row r="59" spans="1:15" ht="15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</row>
    <row r="60" spans="1:15" ht="15">
      <c r="A60" s="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0"/>
      <c r="O61" s="21"/>
    </row>
    <row r="62" spans="1:15" ht="1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0"/>
      <c r="O62" s="21"/>
    </row>
    <row r="63" spans="1:15" ht="15">
      <c r="A63" s="2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0"/>
      <c r="O63" s="21"/>
    </row>
    <row r="64" spans="1:15" ht="15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0"/>
      <c r="O64" s="21"/>
    </row>
    <row r="65" spans="1:15" ht="15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0"/>
      <c r="O65" s="21"/>
    </row>
    <row r="66" spans="1:15" ht="15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0"/>
      <c r="O66" s="21"/>
    </row>
    <row r="67" spans="1:15" ht="15">
      <c r="A67" s="2"/>
      <c r="B67" s="14"/>
      <c r="C67" s="14"/>
      <c r="D67" s="14"/>
      <c r="E67" s="14"/>
      <c r="F67" s="6"/>
      <c r="G67" s="6"/>
      <c r="H67" s="6"/>
      <c r="I67" s="6"/>
      <c r="J67" s="6"/>
      <c r="K67" s="6"/>
      <c r="L67" s="6"/>
      <c r="M67" s="6"/>
      <c r="N67" s="6"/>
      <c r="O67" s="7"/>
    </row>
    <row r="68" spans="1:15" ht="15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</row>
    <row r="69" spans="1:15" ht="15">
      <c r="A69" s="1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6"/>
      <c r="N69" s="18"/>
      <c r="O69" s="12"/>
    </row>
    <row r="70" spans="1:15" ht="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1"/>
      <c r="O71" s="1"/>
    </row>
    <row r="72" spans="1:15" ht="15">
      <c r="A72" s="1"/>
      <c r="B72" s="17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"/>
    </row>
    <row r="73" spans="1:15" ht="15">
      <c r="A73" s="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/>
    </row>
    <row r="74" spans="1:15" ht="15">
      <c r="A74" s="3"/>
      <c r="B74" s="1"/>
      <c r="C74" s="1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1"/>
    </row>
    <row r="75" spans="1:15" ht="15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</row>
    <row r="76" spans="1:15" ht="15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</row>
    <row r="77" spans="1:1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2"/>
    </row>
    <row r="78" spans="1:15" ht="15">
      <c r="A78" s="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"/>
    </row>
    <row r="79" spans="1:15" ht="15">
      <c r="A79" s="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"/>
    </row>
    <row r="80" spans="1:15" ht="15">
      <c r="A80" s="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"/>
    </row>
    <row r="81" spans="1:15" ht="15">
      <c r="A81" s="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"/>
    </row>
    <row r="82" spans="1:15" ht="1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"/>
    </row>
    <row r="83" spans="1:15" ht="15">
      <c r="A83" s="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"/>
    </row>
    <row r="84" spans="1:15" ht="15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"/>
    </row>
    <row r="85" spans="1:15" ht="15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"/>
    </row>
    <row r="86" spans="1:15" ht="15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"/>
    </row>
    <row r="87" spans="1:15" ht="15">
      <c r="A87" s="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"/>
    </row>
    <row r="88" spans="1:15" ht="15">
      <c r="A88" s="1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"/>
    </row>
    <row r="89" spans="1:15" ht="15">
      <c r="A89" s="1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1"/>
      <c r="O89" s="2"/>
    </row>
    <row r="90" spans="1:15" ht="15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1"/>
      <c r="O90" s="2"/>
    </row>
    <row r="91" spans="1:15" ht="15">
      <c r="A91" s="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1"/>
      <c r="O91" s="2"/>
    </row>
    <row r="92" spans="1:15" ht="15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"/>
    </row>
    <row r="93" spans="1:15" ht="15">
      <c r="A93" s="1"/>
      <c r="B93" s="15"/>
      <c r="C93" s="1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"/>
    </row>
    <row r="94" spans="1:15" ht="15">
      <c r="A94" s="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6"/>
      <c r="O94" s="2"/>
    </row>
    <row r="95" spans="1:15" ht="15">
      <c r="A95" s="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"/>
    </row>
    <row r="96" spans="1:15" ht="15">
      <c r="A96" s="1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"/>
    </row>
    <row r="97" spans="1:15" ht="15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"/>
    </row>
    <row r="98" spans="1:15" ht="15">
      <c r="A98" s="1" t="s">
        <v>19</v>
      </c>
      <c r="B98" s="6">
        <v>1568.5</v>
      </c>
      <c r="C98" s="6">
        <v>1267</v>
      </c>
      <c r="D98" s="6">
        <v>3815</v>
      </c>
      <c r="E98" s="6">
        <v>3043</v>
      </c>
      <c r="F98" s="6">
        <v>4361</v>
      </c>
      <c r="G98" s="6"/>
      <c r="H98" s="6"/>
      <c r="I98" s="6"/>
      <c r="J98" s="6"/>
      <c r="K98" s="6"/>
      <c r="L98" s="6"/>
      <c r="M98" s="6"/>
      <c r="N98" s="6">
        <f>SUM(B98:M98)</f>
        <v>14054.5</v>
      </c>
      <c r="O98" s="2"/>
    </row>
  </sheetData>
  <printOptions/>
  <pageMargins left="0.75" right="0.75" top="1" bottom="1" header="0.5" footer="0.5"/>
  <pageSetup horizontalDpi="300" verticalDpi="300" orientation="portrait" scale="90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Sommerville, Customer Service Specialist 3</cp:lastModifiedBy>
  <cp:lastPrinted>2005-08-18T18:29:57Z</cp:lastPrinted>
  <dcterms:created xsi:type="dcterms:W3CDTF">2004-12-16T23:56:55Z</dcterms:created>
  <dcterms:modified xsi:type="dcterms:W3CDTF">2005-08-19T17:25:30Z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050075</vt:lpwstr>
  </property>
  <property fmtid="{D5CDD505-2E9C-101B-9397-08002B2CF9AE}" pid="6" name="IsConfidenti">
    <vt:lpwstr>0</vt:lpwstr>
  </property>
  <property fmtid="{D5CDD505-2E9C-101B-9397-08002B2CF9AE}" pid="7" name="Dat">
    <vt:lpwstr>2005-08-19T00:00:00Z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