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 Steps 1-2" sheetId="1" r:id="rId1"/>
    <sheet name="Steps 3-5" sheetId="2" r:id="rId2"/>
    <sheet name="Stop Loss Step 6" sheetId="3" r:id="rId3"/>
    <sheet name="Comparison" sheetId="4" r:id="rId4"/>
  </sheets>
  <definedNames>
    <definedName name="_xlnm.Print_Area" localSheetId="1">'Steps 3-5'!$A$1:$I$31</definedName>
  </definedNames>
  <calcPr fullCalcOnLoad="1"/>
</workbook>
</file>

<file path=xl/sharedStrings.xml><?xml version="1.0" encoding="utf-8"?>
<sst xmlns="http://schemas.openxmlformats.org/spreadsheetml/2006/main" count="159" uniqueCount="132">
  <si>
    <t>Step 4:</t>
  </si>
  <si>
    <t>Step 5:</t>
  </si>
  <si>
    <t>Direct Pools</t>
  </si>
  <si>
    <t>Miles</t>
  </si>
  <si>
    <t>Combined</t>
  </si>
  <si>
    <t>Company</t>
  </si>
  <si>
    <t>2004 Hours</t>
  </si>
  <si>
    <t>2003 Hours</t>
  </si>
  <si>
    <t>Average</t>
  </si>
  <si>
    <t>Percentage</t>
  </si>
  <si>
    <t>Agrium U.S. Inc. - Ammonia Pipeline</t>
  </si>
  <si>
    <t>Subtotal BP Olympic</t>
  </si>
  <si>
    <t>Chevron Texaco Pipeline Company Total</t>
  </si>
  <si>
    <t>Conoco -Yellowstone Pipe Line Company Spokane (HQ)</t>
  </si>
  <si>
    <t>Exxon Mobil Corporation Total</t>
  </si>
  <si>
    <t>Kaneb Pipeline Company</t>
  </si>
  <si>
    <t>McChord Pipeline Company</t>
  </si>
  <si>
    <t>Subtotal Terasen</t>
  </si>
  <si>
    <t>Tidewater Terminal Company - Pasco</t>
  </si>
  <si>
    <t>Agrium U.S. Inc.  - Gas Pipeline</t>
  </si>
  <si>
    <t>Subtotal Avista</t>
  </si>
  <si>
    <t>Basin Frozen Foods, Inc.</t>
  </si>
  <si>
    <t>Subtotal Cascade</t>
  </si>
  <si>
    <t>City of Buckley</t>
  </si>
  <si>
    <t>City of Ellensburg</t>
  </si>
  <si>
    <t>City of Enumclaw</t>
  </si>
  <si>
    <t>Ferndale Pipeline System</t>
  </si>
  <si>
    <t>Subtotal Gas Transmission NW</t>
  </si>
  <si>
    <t>Georgia Pacific Corp. - Camas Mill</t>
  </si>
  <si>
    <t>Inland Empire Paper Co.</t>
  </si>
  <si>
    <t>K.B.  Pipeline</t>
  </si>
  <si>
    <t>Subtotal Northwest Natural</t>
  </si>
  <si>
    <t>Subtotal PSE</t>
  </si>
  <si>
    <t>Sumas Cogeneration Company, L.P.</t>
  </si>
  <si>
    <t>Subtotal Weyerhaeuser</t>
  </si>
  <si>
    <t>Subtotal Williams</t>
  </si>
  <si>
    <t>Grand Total</t>
  </si>
  <si>
    <t>BP Cherry Point Refinery</t>
  </si>
  <si>
    <t>Yellowstone Pipeline - Moses Lake</t>
  </si>
  <si>
    <t>Yellowstone Pipeline - Spokane</t>
  </si>
  <si>
    <t>PG&amp;E Gas Transmission Northwest - Spokane</t>
  </si>
  <si>
    <t>Terasen Pipeline Corporation</t>
  </si>
  <si>
    <t>Weyerhaeuser Paper Company</t>
  </si>
  <si>
    <t>Step 1:</t>
  </si>
  <si>
    <t>Step 2:</t>
  </si>
  <si>
    <t>Step 3:</t>
  </si>
  <si>
    <t>Pipeline Safety Fees</t>
  </si>
  <si>
    <t>Current</t>
  </si>
  <si>
    <t>Maximum</t>
  </si>
  <si>
    <t>After</t>
  </si>
  <si>
    <t>Fees</t>
  </si>
  <si>
    <t>Variance</t>
  </si>
  <si>
    <t>Stop Loss</t>
  </si>
  <si>
    <t>Rebalance</t>
  </si>
  <si>
    <t>INTERSTATE</t>
  </si>
  <si>
    <t>GAS -- TRANSMISSION</t>
  </si>
  <si>
    <t>KB Pipeline--NWN</t>
  </si>
  <si>
    <t>Gas Transmission Northwest</t>
  </si>
  <si>
    <t>Williams</t>
  </si>
  <si>
    <t>PSE - Jackson Prarie</t>
  </si>
  <si>
    <t>Williams  -- LNG</t>
  </si>
  <si>
    <t>Williams  -- Construction 2004/2005</t>
  </si>
  <si>
    <t>HAZARDOUS LIQUIDS</t>
  </si>
  <si>
    <t>Teresan Pipeline</t>
  </si>
  <si>
    <t>Chevron</t>
  </si>
  <si>
    <t>Olympic Pipeline</t>
  </si>
  <si>
    <t>Olympic Anomaly Digs 2004/2005</t>
  </si>
  <si>
    <t>Exxon</t>
  </si>
  <si>
    <t>INTRASTATE</t>
  </si>
  <si>
    <t>LDC's</t>
  </si>
  <si>
    <t>NW Natural</t>
  </si>
  <si>
    <t>Avista</t>
  </si>
  <si>
    <t>Cascade</t>
  </si>
  <si>
    <t>PSE</t>
  </si>
  <si>
    <t>MUNICIPAL</t>
  </si>
  <si>
    <t>Buckley</t>
  </si>
  <si>
    <t>Ellensburg</t>
  </si>
  <si>
    <t>Enumclaw</t>
  </si>
  <si>
    <t>DIRECT SALES - TRANSMISSION</t>
  </si>
  <si>
    <t>Agrium</t>
  </si>
  <si>
    <t>Georgia Pacific Corp-Camas Mill</t>
  </si>
  <si>
    <t>Sumas Cogeneration Co.</t>
  </si>
  <si>
    <t>Weyerhaeuser Paper</t>
  </si>
  <si>
    <t>Ferndale Pipeline system</t>
  </si>
  <si>
    <t>PSE - Propane Air</t>
  </si>
  <si>
    <t>PSE -- LP Gas Distribution</t>
  </si>
  <si>
    <t>Tidewater</t>
  </si>
  <si>
    <t>Kaneb</t>
  </si>
  <si>
    <t>McChord Pipeline Co.</t>
  </si>
  <si>
    <t xml:space="preserve">Total Cost of Program </t>
  </si>
  <si>
    <t>Total overs</t>
  </si>
  <si>
    <t>Total unders</t>
  </si>
  <si>
    <t>Other Gas</t>
  </si>
  <si>
    <t>Company:</t>
  </si>
  <si>
    <t>Companies in More than One Category</t>
  </si>
  <si>
    <t>Agrium U.S. Inc.</t>
  </si>
  <si>
    <t>BP Olympic</t>
  </si>
  <si>
    <t>Interstate Gas Transmission</t>
  </si>
  <si>
    <t>Williams Gas Pipeline</t>
  </si>
  <si>
    <t>Interstate Hazardous Liquids</t>
  </si>
  <si>
    <t>Chevron Texaco Pipeline Company</t>
  </si>
  <si>
    <t>Exxon Mobil Corporation</t>
  </si>
  <si>
    <t>Intrastate Local Distribution Companies</t>
  </si>
  <si>
    <t>Avista Corporation</t>
  </si>
  <si>
    <t>Cascade Natural Gas</t>
  </si>
  <si>
    <t>Northwest Natural</t>
  </si>
  <si>
    <t>Puget Sound Energy</t>
  </si>
  <si>
    <t>Municipal</t>
  </si>
  <si>
    <t>Direct Sales-Gas Transmission</t>
  </si>
  <si>
    <t>Intrastate Hazardous Liquids</t>
  </si>
  <si>
    <t>Increase</t>
  </si>
  <si>
    <t>Basin Food</t>
  </si>
  <si>
    <t>Normalized</t>
  </si>
  <si>
    <t>Step 5</t>
  </si>
  <si>
    <t>Direct Program Cost Pool</t>
  </si>
  <si>
    <t>Net Direct Cost Pool Cost</t>
  </si>
  <si>
    <t xml:space="preserve"> at 25%</t>
  </si>
  <si>
    <t>Step 6:  Apply 25% Stop Loss Mechanism</t>
  </si>
  <si>
    <t>2006 Appropriation</t>
  </si>
  <si>
    <t>Less 2006 Federal Awards</t>
  </si>
  <si>
    <t>Appropriation</t>
  </si>
  <si>
    <t>From 2006</t>
  </si>
  <si>
    <t>Adjusted</t>
  </si>
  <si>
    <t>Increase (Decrease)</t>
  </si>
  <si>
    <t>From 2005</t>
  </si>
  <si>
    <t>Net of 2006</t>
  </si>
  <si>
    <t>Less Indirect (Agency Overhead) Cost Pool</t>
  </si>
  <si>
    <t>Indirect Pool</t>
  </si>
  <si>
    <t>Federal under (+) or over (-) recovery</t>
  </si>
  <si>
    <t>Estimate</t>
  </si>
  <si>
    <t>18% for 2006</t>
  </si>
  <si>
    <t>N/A- included above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</si>
</sst>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%"/>
    <numFmt numFmtId="166" formatCode="&quot;$&quot;#,##0.00"/>
    <numFmt numFmtId="167" formatCode="000"/>
    <numFmt numFmtId="168" formatCode="#,##0.0"/>
    <numFmt numFmtId="169" formatCode="_(&quot;$&quot;* #,##0.0000_);_(&quot;$&quot;* \(#,##0.0000\);_(&quot;$&quot;* &quot;-&quot;????_);_(@_)"/>
    <numFmt numFmtId="170" formatCode="&quot;$&quot;#,##0.0000"/>
    <numFmt numFmtId="171" formatCode="#,##0.0000"/>
    <numFmt numFmtId="172" formatCode="0.0"/>
    <numFmt numFmtId="173" formatCode="#,##0.0000000000000"/>
    <numFmt numFmtId="174" formatCode="_(* #,##0.0_);_(* \(#,##0.0\);_(* &quot;-&quot;?_);_(@_)"/>
    <numFmt numFmtId="175" formatCode="#,##0.0_);\(#,##0.0\)"/>
    <numFmt numFmtId="176" formatCode="_(* #,##0.0000000_);_(* \(#,##0.0000000\);_(* &quot;-&quot;?????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2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41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41" fontId="0" fillId="0" borderId="2" xfId="0" applyNumberFormat="1" applyBorder="1" applyAlignment="1">
      <alignment/>
    </xf>
    <xf numFmtId="0" fontId="1" fillId="0" borderId="0" xfId="0" applyFont="1" applyAlignment="1">
      <alignment/>
    </xf>
    <xf numFmtId="4" fontId="0" fillId="0" borderId="3" xfId="0" applyNumberFormat="1" applyBorder="1" applyAlignment="1">
      <alignment/>
    </xf>
    <xf numFmtId="165" fontId="0" fillId="0" borderId="3" xfId="0" applyNumberFormat="1" applyBorder="1" applyAlignment="1">
      <alignment/>
    </xf>
    <xf numFmtId="42" fontId="0" fillId="0" borderId="3" xfId="0" applyNumberFormat="1" applyBorder="1" applyAlignment="1">
      <alignment/>
    </xf>
    <xf numFmtId="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4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1" fontId="0" fillId="0" borderId="4" xfId="0" applyNumberFormat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2" fontId="0" fillId="0" borderId="4" xfId="0" applyNumberFormat="1" applyBorder="1" applyAlignment="1">
      <alignment/>
    </xf>
    <xf numFmtId="42" fontId="0" fillId="0" borderId="0" xfId="0" applyNumberFormat="1" applyBorder="1" applyAlignment="1">
      <alignment/>
    </xf>
    <xf numFmtId="41" fontId="0" fillId="0" borderId="0" xfId="0" applyNumberFormat="1" applyFont="1" applyBorder="1" applyAlignment="1" quotePrefix="1">
      <alignment/>
    </xf>
    <xf numFmtId="43" fontId="0" fillId="0" borderId="0" xfId="0" applyNumberFormat="1" applyAlignment="1">
      <alignment/>
    </xf>
    <xf numFmtId="0" fontId="1" fillId="0" borderId="1" xfId="0" applyFont="1" applyBorder="1" applyAlignment="1" quotePrefix="1">
      <alignment horizontal="center"/>
    </xf>
    <xf numFmtId="41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41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2" fontId="1" fillId="0" borderId="0" xfId="0" applyNumberFormat="1" applyFont="1" applyFill="1" applyAlignment="1">
      <alignment/>
    </xf>
    <xf numFmtId="41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1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38.7109375" style="0" customWidth="1"/>
    <col min="2" max="2" width="11.28125" style="0" bestFit="1" customWidth="1"/>
  </cols>
  <sheetData>
    <row r="1" spans="2:8" ht="12.75">
      <c r="B1" s="17"/>
      <c r="C1" s="7"/>
      <c r="D1" s="7"/>
      <c r="E1" s="7"/>
      <c r="F1" s="7"/>
      <c r="G1" s="7"/>
      <c r="H1" s="7"/>
    </row>
    <row r="2" spans="1:8" ht="12.75">
      <c r="A2" s="11" t="s">
        <v>43</v>
      </c>
      <c r="B2" s="7"/>
      <c r="C2" s="7"/>
      <c r="D2" s="7"/>
      <c r="E2" s="7"/>
      <c r="F2" s="7"/>
      <c r="G2" s="7"/>
      <c r="H2" s="7"/>
    </row>
    <row r="3" spans="1:8" ht="12.75">
      <c r="A3" t="s">
        <v>118</v>
      </c>
      <c r="B3" s="4">
        <v>2200000</v>
      </c>
      <c r="C3" s="7"/>
      <c r="D3" s="7"/>
      <c r="E3" s="7"/>
      <c r="F3" s="7"/>
      <c r="G3" s="7"/>
      <c r="H3" s="7"/>
    </row>
    <row r="4" spans="1:8" ht="12.75">
      <c r="A4" s="22" t="s">
        <v>126</v>
      </c>
      <c r="B4" s="52">
        <v>-344000</v>
      </c>
      <c r="C4" s="7"/>
      <c r="D4" s="7"/>
      <c r="E4" s="7"/>
      <c r="F4" s="7"/>
      <c r="G4" s="7"/>
      <c r="H4" s="7"/>
    </row>
    <row r="5" spans="1:8" ht="13.5" thickBot="1">
      <c r="A5" t="s">
        <v>114</v>
      </c>
      <c r="B5" s="43">
        <f>SUM(B3:B4)</f>
        <v>1856000</v>
      </c>
      <c r="C5" s="7"/>
      <c r="D5" s="7"/>
      <c r="E5" s="7"/>
      <c r="F5" s="7"/>
      <c r="G5" s="7"/>
      <c r="H5" s="7"/>
    </row>
    <row r="6" spans="3:8" ht="13.5" thickTop="1">
      <c r="C6" s="7"/>
      <c r="D6" s="7"/>
      <c r="E6" s="7"/>
      <c r="F6" s="7"/>
      <c r="G6" s="7"/>
      <c r="H6" s="7"/>
    </row>
    <row r="7" spans="1:8" ht="12.75">
      <c r="A7" s="11" t="s">
        <v>44</v>
      </c>
      <c r="B7" s="7"/>
      <c r="C7" s="7"/>
      <c r="D7" s="7"/>
      <c r="E7" s="7"/>
      <c r="F7" s="7"/>
      <c r="G7" s="7"/>
      <c r="H7" s="7"/>
    </row>
    <row r="8" spans="1:8" ht="12.75">
      <c r="A8" t="s">
        <v>114</v>
      </c>
      <c r="B8" s="4">
        <f>B5</f>
        <v>1856000</v>
      </c>
      <c r="C8" s="7"/>
      <c r="D8" s="7"/>
      <c r="E8" s="7"/>
      <c r="F8" s="7"/>
      <c r="G8" s="7"/>
      <c r="H8" s="7"/>
    </row>
    <row r="9" spans="1:8" ht="12.75">
      <c r="A9" t="s">
        <v>119</v>
      </c>
      <c r="B9" s="7">
        <v>-740000</v>
      </c>
      <c r="C9" s="7"/>
      <c r="D9" s="7"/>
      <c r="E9" s="7"/>
      <c r="F9" s="7"/>
      <c r="G9" s="7"/>
      <c r="H9" s="7"/>
    </row>
    <row r="10" spans="1:8" ht="12.75">
      <c r="A10" s="22" t="s">
        <v>128</v>
      </c>
      <c r="B10" s="7">
        <v>0</v>
      </c>
      <c r="C10" s="7"/>
      <c r="D10" s="7"/>
      <c r="E10" s="7"/>
      <c r="F10" s="7"/>
      <c r="G10" s="7"/>
      <c r="H10" s="7"/>
    </row>
    <row r="11" spans="1:8" ht="13.5" thickBot="1">
      <c r="A11" t="s">
        <v>115</v>
      </c>
      <c r="B11" s="30">
        <f>SUM(B8:B10)</f>
        <v>1116000</v>
      </c>
      <c r="C11" s="7"/>
      <c r="D11" s="7"/>
      <c r="E11" s="7"/>
      <c r="F11" s="7"/>
      <c r="G11" s="7"/>
      <c r="H11" s="7"/>
    </row>
    <row r="12" spans="2:8" ht="13.5" thickTop="1">
      <c r="B12" s="7"/>
      <c r="C12" s="7"/>
      <c r="D12" s="7"/>
      <c r="E12" s="7"/>
      <c r="F12" s="7"/>
      <c r="G12" s="7"/>
      <c r="H12" s="7"/>
    </row>
    <row r="13" spans="1:8" ht="12.75">
      <c r="A13" s="35"/>
      <c r="B13" s="44"/>
      <c r="C13" s="7"/>
      <c r="D13" s="7"/>
      <c r="E13" s="7"/>
      <c r="F13" s="7"/>
      <c r="G13" s="7"/>
      <c r="H13" s="7"/>
    </row>
    <row r="14" spans="1:8" ht="12.75">
      <c r="A14" s="35"/>
      <c r="B14" s="45"/>
      <c r="C14" s="7"/>
      <c r="D14" s="7"/>
      <c r="E14" s="7"/>
      <c r="F14" s="7"/>
      <c r="G14" s="7"/>
      <c r="H14" s="7"/>
    </row>
    <row r="15" spans="1:8" ht="12.75">
      <c r="A15" s="35"/>
      <c r="B15" s="34"/>
      <c r="C15" s="7"/>
      <c r="D15" s="7"/>
      <c r="E15" s="7"/>
      <c r="F15" s="7"/>
      <c r="G15" s="7"/>
      <c r="H15" s="7"/>
    </row>
    <row r="16" spans="1:8" ht="12.75">
      <c r="A16" s="35"/>
      <c r="B16" s="35"/>
      <c r="C16" s="7"/>
      <c r="D16" s="7"/>
      <c r="E16" s="7"/>
      <c r="F16" s="7"/>
      <c r="G16" s="7"/>
      <c r="H16" s="7"/>
    </row>
    <row r="17" spans="1:8" ht="12.75">
      <c r="A17" s="35"/>
      <c r="B17" s="34"/>
      <c r="C17" s="7"/>
      <c r="D17" s="7"/>
      <c r="E17" s="7"/>
      <c r="F17" s="7"/>
      <c r="G17" s="7"/>
      <c r="H17" s="7"/>
    </row>
    <row r="18" spans="2:8" ht="12.75">
      <c r="B18" s="7"/>
      <c r="C18" s="7"/>
      <c r="D18" s="7"/>
      <c r="E18" s="7"/>
      <c r="F18" s="7"/>
      <c r="G18" s="7"/>
      <c r="H18" s="7"/>
    </row>
    <row r="19" spans="2:8" ht="12.75">
      <c r="B19" s="7"/>
      <c r="C19" s="7"/>
      <c r="D19" s="7"/>
      <c r="E19" s="7"/>
      <c r="F19" s="7"/>
      <c r="G19" s="7"/>
      <c r="H19" s="7"/>
    </row>
    <row r="20" spans="2:8" ht="12.75">
      <c r="B20" s="7"/>
      <c r="C20" s="7"/>
      <c r="D20" s="7"/>
      <c r="E20" s="7"/>
      <c r="F20" s="7"/>
      <c r="G20" s="7"/>
      <c r="H20" s="7"/>
    </row>
    <row r="21" spans="3:8" ht="12.75">
      <c r="C21" s="7"/>
      <c r="D21" s="7"/>
      <c r="E21" s="7"/>
      <c r="F21" s="7"/>
      <c r="G21" s="7"/>
      <c r="H21" s="7"/>
    </row>
  </sheetData>
  <printOptions horizontalCentered="1"/>
  <pageMargins left="0.75" right="0.75" top="2" bottom="1" header="1" footer="0.5"/>
  <pageSetup horizontalDpi="600" verticalDpi="600" orientation="portrait" scale="110" r:id="rId1"/>
  <headerFooter alignWithMargins="0">
    <oddHeader>&amp;C&amp;"Arial,Bold"&amp;12Washington Utilities and Transportation Commission
Pipeline Safety Program
Proposed Fee Rule Example Steps 1 and 2</oddHeader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35.140625" style="0" customWidth="1"/>
    <col min="2" max="2" width="10.7109375" style="0" customWidth="1"/>
    <col min="3" max="3" width="10.57421875" style="0" customWidth="1"/>
    <col min="4" max="4" width="10.28125" style="0" customWidth="1"/>
    <col min="5" max="5" width="12.140625" style="0" customWidth="1"/>
    <col min="6" max="6" width="11.8515625" style="0" customWidth="1"/>
    <col min="7" max="7" width="9.28125" style="0" customWidth="1"/>
    <col min="8" max="8" width="12.57421875" style="0" customWidth="1"/>
    <col min="9" max="9" width="11.140625" style="0" customWidth="1"/>
  </cols>
  <sheetData>
    <row r="1" spans="6:9" ht="12.75">
      <c r="F1" s="1" t="s">
        <v>45</v>
      </c>
      <c r="G1" s="56" t="s">
        <v>0</v>
      </c>
      <c r="H1" s="56"/>
      <c r="I1" s="1" t="s">
        <v>1</v>
      </c>
    </row>
    <row r="2" spans="6:9" ht="13.5" thickBot="1">
      <c r="F2" s="2" t="s">
        <v>2</v>
      </c>
      <c r="G2" s="2" t="s">
        <v>3</v>
      </c>
      <c r="H2" s="2" t="s">
        <v>127</v>
      </c>
      <c r="I2" s="3" t="s">
        <v>4</v>
      </c>
    </row>
    <row r="3" spans="1:8" ht="13.5" thickBot="1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4">
        <f>SUM(' Steps 1-2'!B11)</f>
        <v>1116000</v>
      </c>
      <c r="H3" s="4">
        <v>344000</v>
      </c>
    </row>
    <row r="4" spans="1:9" ht="12.75">
      <c r="A4" t="s">
        <v>10</v>
      </c>
      <c r="B4" s="5">
        <v>87</v>
      </c>
      <c r="C4" s="5">
        <v>118</v>
      </c>
      <c r="D4" s="5">
        <f aca="true" t="shared" si="0" ref="D4:D12">AVERAGE(B4:C4)</f>
        <v>102.5</v>
      </c>
      <c r="E4" s="6">
        <f>D4/$D$31</f>
        <v>0.011408854384060996</v>
      </c>
      <c r="F4" s="7">
        <f>E4*$F$3</f>
        <v>12732.281492612072</v>
      </c>
      <c r="G4" s="5">
        <v>2</v>
      </c>
      <c r="H4" s="7">
        <f aca="true" t="shared" si="1" ref="H4:H29">(G4/$G$31)*$H$3</f>
        <v>31.578507704375596</v>
      </c>
      <c r="I4" s="7">
        <f aca="true" t="shared" si="2" ref="I4:I12">F4+H4</f>
        <v>12763.860000316447</v>
      </c>
    </row>
    <row r="5" spans="1:9" ht="12.75">
      <c r="A5" t="s">
        <v>11</v>
      </c>
      <c r="B5" s="5">
        <v>1120</v>
      </c>
      <c r="C5" s="5">
        <v>840</v>
      </c>
      <c r="D5" s="5">
        <f t="shared" si="0"/>
        <v>980</v>
      </c>
      <c r="E5" s="6">
        <f aca="true" t="shared" si="3" ref="E5:E12">D5/$D$31</f>
        <v>0.1090797785012661</v>
      </c>
      <c r="F5" s="7">
        <f aca="true" t="shared" si="4" ref="F5:F12">E5*$F$3</f>
        <v>121733.03280741296</v>
      </c>
      <c r="G5" s="5">
        <v>401</v>
      </c>
      <c r="H5" s="7">
        <f t="shared" si="1"/>
        <v>6331.490794727307</v>
      </c>
      <c r="I5" s="7">
        <f t="shared" si="2"/>
        <v>128064.52360214027</v>
      </c>
    </row>
    <row r="6" spans="1:9" ht="12.75">
      <c r="A6" t="s">
        <v>12</v>
      </c>
      <c r="B6" s="5">
        <v>2</v>
      </c>
      <c r="C6" s="5">
        <v>456</v>
      </c>
      <c r="D6" s="5">
        <f t="shared" si="0"/>
        <v>229</v>
      </c>
      <c r="E6" s="6">
        <f t="shared" si="3"/>
        <v>0.02548905028243871</v>
      </c>
      <c r="F6" s="7">
        <f t="shared" si="4"/>
        <v>28445.7801152016</v>
      </c>
      <c r="G6" s="5">
        <v>157</v>
      </c>
      <c r="H6" s="7">
        <f t="shared" si="1"/>
        <v>2478.9128547934843</v>
      </c>
      <c r="I6" s="7">
        <f t="shared" si="2"/>
        <v>30924.692969995085</v>
      </c>
    </row>
    <row r="7" spans="1:9" ht="12.75">
      <c r="A7" t="s">
        <v>13</v>
      </c>
      <c r="B7" s="5">
        <v>149</v>
      </c>
      <c r="C7" s="5">
        <v>117.5</v>
      </c>
      <c r="D7" s="5">
        <f t="shared" si="0"/>
        <v>133.25</v>
      </c>
      <c r="E7" s="6">
        <f t="shared" si="3"/>
        <v>0.014831510699279295</v>
      </c>
      <c r="F7" s="7">
        <f t="shared" si="4"/>
        <v>16551.965940395694</v>
      </c>
      <c r="G7" s="5">
        <v>135.35</v>
      </c>
      <c r="H7" s="7">
        <f t="shared" si="1"/>
        <v>2137.0755088936185</v>
      </c>
      <c r="I7" s="7">
        <f t="shared" si="2"/>
        <v>18689.04144928931</v>
      </c>
    </row>
    <row r="8" spans="1:9" ht="12.75">
      <c r="A8" t="s">
        <v>14</v>
      </c>
      <c r="B8" s="5">
        <v>0</v>
      </c>
      <c r="C8" s="5">
        <v>107.5</v>
      </c>
      <c r="D8" s="5">
        <f t="shared" si="0"/>
        <v>53.75</v>
      </c>
      <c r="E8" s="6">
        <f t="shared" si="3"/>
        <v>0.0059826919331051566</v>
      </c>
      <c r="F8" s="7">
        <f t="shared" si="4"/>
        <v>6676.684197345355</v>
      </c>
      <c r="G8" s="5">
        <v>0</v>
      </c>
      <c r="H8" s="7">
        <f t="shared" si="1"/>
        <v>0</v>
      </c>
      <c r="I8" s="7">
        <f t="shared" si="2"/>
        <v>6676.684197345355</v>
      </c>
    </row>
    <row r="9" spans="1:9" ht="12.75">
      <c r="A9" t="s">
        <v>15</v>
      </c>
      <c r="B9" s="5">
        <v>99</v>
      </c>
      <c r="C9" s="5">
        <v>27</v>
      </c>
      <c r="D9" s="5">
        <f t="shared" si="0"/>
        <v>63</v>
      </c>
      <c r="E9" s="6">
        <f t="shared" si="3"/>
        <v>0.007012271475081392</v>
      </c>
      <c r="F9" s="7">
        <f t="shared" si="4"/>
        <v>7825.694966190834</v>
      </c>
      <c r="G9" s="5">
        <v>4.19</v>
      </c>
      <c r="H9" s="7">
        <f t="shared" si="1"/>
        <v>66.15697364066688</v>
      </c>
      <c r="I9" s="7">
        <f t="shared" si="2"/>
        <v>7891.851939831501</v>
      </c>
    </row>
    <row r="10" spans="1:9" ht="12.75">
      <c r="A10" t="s">
        <v>16</v>
      </c>
      <c r="B10" s="5">
        <v>122</v>
      </c>
      <c r="C10" s="5">
        <v>152</v>
      </c>
      <c r="D10" s="5">
        <f t="shared" si="0"/>
        <v>137</v>
      </c>
      <c r="E10" s="6">
        <f t="shared" si="3"/>
        <v>0.015248907810891282</v>
      </c>
      <c r="F10" s="7">
        <f t="shared" si="4"/>
        <v>17017.78111695467</v>
      </c>
      <c r="G10" s="5">
        <v>14.25</v>
      </c>
      <c r="H10" s="7">
        <f t="shared" si="1"/>
        <v>224.9968673936761</v>
      </c>
      <c r="I10" s="7">
        <f t="shared" si="2"/>
        <v>17242.777984348344</v>
      </c>
    </row>
    <row r="11" spans="1:9" ht="12.75">
      <c r="A11" t="s">
        <v>17</v>
      </c>
      <c r="B11" s="5">
        <v>186</v>
      </c>
      <c r="C11" s="5">
        <v>35.5</v>
      </c>
      <c r="D11" s="5">
        <f t="shared" si="0"/>
        <v>110.75</v>
      </c>
      <c r="E11" s="6">
        <f t="shared" si="3"/>
        <v>0.012327128029607368</v>
      </c>
      <c r="F11" s="7">
        <f t="shared" si="4"/>
        <v>13757.074881041823</v>
      </c>
      <c r="G11" s="5">
        <v>63.8</v>
      </c>
      <c r="H11" s="7">
        <f t="shared" si="1"/>
        <v>1007.3543957695815</v>
      </c>
      <c r="I11" s="7">
        <f t="shared" si="2"/>
        <v>14764.429276811405</v>
      </c>
    </row>
    <row r="12" spans="1:9" ht="12.75">
      <c r="A12" t="s">
        <v>18</v>
      </c>
      <c r="B12" s="5">
        <v>87.5</v>
      </c>
      <c r="C12" s="5">
        <v>140</v>
      </c>
      <c r="D12" s="5">
        <f t="shared" si="0"/>
        <v>113.75</v>
      </c>
      <c r="E12" s="16">
        <f t="shared" si="3"/>
        <v>0.012661045718896959</v>
      </c>
      <c r="F12" s="34">
        <f t="shared" si="4"/>
        <v>14129.727022289006</v>
      </c>
      <c r="G12" s="15">
        <v>2.79</v>
      </c>
      <c r="H12" s="34">
        <f t="shared" si="1"/>
        <v>44.052018247603954</v>
      </c>
      <c r="I12" s="34">
        <f t="shared" si="2"/>
        <v>14173.77904053661</v>
      </c>
    </row>
    <row r="13" spans="1:9" ht="12.75">
      <c r="A13" t="s">
        <v>19</v>
      </c>
      <c r="B13" s="5">
        <v>76</v>
      </c>
      <c r="C13" s="5">
        <v>67</v>
      </c>
      <c r="D13" s="5">
        <f>AVERAGE(B13:C13)</f>
        <v>71.5</v>
      </c>
      <c r="E13" s="6">
        <f aca="true" t="shared" si="5" ref="E13:E29">D13/$D$31</f>
        <v>0.00795837159473523</v>
      </c>
      <c r="F13" s="7">
        <f aca="true" t="shared" si="6" ref="F13:F29">E13*$F$3</f>
        <v>8881.542699724518</v>
      </c>
      <c r="G13" s="5">
        <v>1</v>
      </c>
      <c r="H13" s="7">
        <f t="shared" si="1"/>
        <v>15.789253852187798</v>
      </c>
      <c r="I13" s="7">
        <f aca="true" t="shared" si="7" ref="I13:I29">F13+H13</f>
        <v>8897.331953576706</v>
      </c>
    </row>
    <row r="14" spans="1:9" ht="12.75">
      <c r="A14" t="s">
        <v>20</v>
      </c>
      <c r="B14" s="5">
        <v>68</v>
      </c>
      <c r="C14" s="5">
        <v>1035.5</v>
      </c>
      <c r="D14" s="5">
        <f aca="true" t="shared" si="8" ref="D14:D29">AVERAGE(B14:C14)</f>
        <v>551.75</v>
      </c>
      <c r="E14" s="6">
        <f t="shared" si="5"/>
        <v>0.06141302835517712</v>
      </c>
      <c r="F14" s="7">
        <f t="shared" si="6"/>
        <v>68536.93964437766</v>
      </c>
      <c r="G14" s="5">
        <v>2683</v>
      </c>
      <c r="H14" s="7">
        <f t="shared" si="1"/>
        <v>42362.56808541986</v>
      </c>
      <c r="I14" s="7">
        <f t="shared" si="7"/>
        <v>110899.50772979752</v>
      </c>
    </row>
    <row r="15" spans="1:9" ht="12.75">
      <c r="A15" t="s">
        <v>21</v>
      </c>
      <c r="B15" s="5">
        <v>65.5</v>
      </c>
      <c r="C15" s="5">
        <v>395</v>
      </c>
      <c r="D15" s="5">
        <f t="shared" si="8"/>
        <v>230.25</v>
      </c>
      <c r="E15" s="6">
        <f t="shared" si="5"/>
        <v>0.02562818265297604</v>
      </c>
      <c r="F15" s="7">
        <f t="shared" si="6"/>
        <v>28601.051840721262</v>
      </c>
      <c r="G15" s="5">
        <v>4</v>
      </c>
      <c r="H15" s="7">
        <f t="shared" si="1"/>
        <v>63.15701540875119</v>
      </c>
      <c r="I15" s="7">
        <f t="shared" si="7"/>
        <v>28664.20885613001</v>
      </c>
    </row>
    <row r="16" spans="1:9" ht="12.75">
      <c r="A16" t="s">
        <v>22</v>
      </c>
      <c r="B16" s="5">
        <v>591</v>
      </c>
      <c r="C16" s="5">
        <v>1030</v>
      </c>
      <c r="D16" s="5">
        <f t="shared" si="8"/>
        <v>810.5</v>
      </c>
      <c r="E16" s="6">
        <f t="shared" si="5"/>
        <v>0.09021342905640427</v>
      </c>
      <c r="F16" s="7">
        <f t="shared" si="6"/>
        <v>100678.18682694716</v>
      </c>
      <c r="G16" s="5">
        <v>3935</v>
      </c>
      <c r="H16" s="7">
        <f t="shared" si="1"/>
        <v>62130.71390835899</v>
      </c>
      <c r="I16" s="7">
        <f t="shared" si="7"/>
        <v>162808.90073530615</v>
      </c>
    </row>
    <row r="17" spans="1:9" ht="12.75">
      <c r="A17" t="s">
        <v>23</v>
      </c>
      <c r="B17" s="5">
        <v>43.5</v>
      </c>
      <c r="C17" s="5">
        <v>134</v>
      </c>
      <c r="D17" s="5">
        <f t="shared" si="8"/>
        <v>88.75</v>
      </c>
      <c r="E17" s="6">
        <f t="shared" si="5"/>
        <v>0.009878398308150375</v>
      </c>
      <c r="F17" s="7">
        <f t="shared" si="6"/>
        <v>11024.29251189582</v>
      </c>
      <c r="G17" s="5">
        <v>33.91</v>
      </c>
      <c r="H17" s="7">
        <f t="shared" si="1"/>
        <v>535.4135981276881</v>
      </c>
      <c r="I17" s="7">
        <f t="shared" si="7"/>
        <v>11559.706110023508</v>
      </c>
    </row>
    <row r="18" spans="1:9" ht="12.75">
      <c r="A18" t="s">
        <v>24</v>
      </c>
      <c r="B18" s="5">
        <v>125.5</v>
      </c>
      <c r="C18" s="5">
        <v>72</v>
      </c>
      <c r="D18" s="5">
        <f t="shared" si="8"/>
        <v>98.75</v>
      </c>
      <c r="E18" s="6">
        <f t="shared" si="5"/>
        <v>0.010991457272449007</v>
      </c>
      <c r="F18" s="7">
        <f t="shared" si="6"/>
        <v>12266.466316053093</v>
      </c>
      <c r="G18" s="5">
        <v>99</v>
      </c>
      <c r="H18" s="7">
        <f t="shared" si="1"/>
        <v>1563.136131366592</v>
      </c>
      <c r="I18" s="7">
        <f t="shared" si="7"/>
        <v>13829.602447419686</v>
      </c>
    </row>
    <row r="19" spans="1:9" ht="12.75">
      <c r="A19" t="s">
        <v>25</v>
      </c>
      <c r="B19" s="5">
        <v>77</v>
      </c>
      <c r="C19" s="5">
        <v>218</v>
      </c>
      <c r="D19" s="5">
        <f t="shared" si="8"/>
        <v>147.5</v>
      </c>
      <c r="E19" s="6">
        <f t="shared" si="5"/>
        <v>0.016417619723404848</v>
      </c>
      <c r="F19" s="7">
        <f t="shared" si="6"/>
        <v>18322.06361131981</v>
      </c>
      <c r="G19" s="5">
        <v>97</v>
      </c>
      <c r="H19" s="7">
        <f t="shared" si="1"/>
        <v>1531.5576236622162</v>
      </c>
      <c r="I19" s="7">
        <f t="shared" si="7"/>
        <v>19853.621234982023</v>
      </c>
    </row>
    <row r="20" spans="1:9" ht="12.75">
      <c r="A20" t="s">
        <v>26</v>
      </c>
      <c r="B20" s="5">
        <v>137</v>
      </c>
      <c r="C20" s="5">
        <v>7.5</v>
      </c>
      <c r="D20" s="5">
        <f t="shared" si="8"/>
        <v>72.25</v>
      </c>
      <c r="E20" s="6">
        <f t="shared" si="5"/>
        <v>0.008041851017057629</v>
      </c>
      <c r="F20" s="7">
        <f t="shared" si="6"/>
        <v>8974.705735036314</v>
      </c>
      <c r="G20" s="5">
        <v>37</v>
      </c>
      <c r="H20" s="7">
        <f t="shared" si="1"/>
        <v>584.2023925309485</v>
      </c>
      <c r="I20" s="7">
        <f t="shared" si="7"/>
        <v>9558.908127567262</v>
      </c>
    </row>
    <row r="21" spans="1:9" ht="12.75">
      <c r="A21" t="s">
        <v>27</v>
      </c>
      <c r="B21" s="5">
        <v>62.5</v>
      </c>
      <c r="C21" s="5">
        <v>100.5</v>
      </c>
      <c r="D21" s="5">
        <f t="shared" si="8"/>
        <v>81.5</v>
      </c>
      <c r="E21" s="6">
        <f t="shared" si="5"/>
        <v>0.009071430559033864</v>
      </c>
      <c r="F21" s="7">
        <f t="shared" si="6"/>
        <v>10123.716503881793</v>
      </c>
      <c r="G21" s="5">
        <v>309</v>
      </c>
      <c r="H21" s="7">
        <f t="shared" si="1"/>
        <v>4878.87944032603</v>
      </c>
      <c r="I21" s="7">
        <f t="shared" si="7"/>
        <v>15002.595944207824</v>
      </c>
    </row>
    <row r="22" spans="1:9" ht="12.75">
      <c r="A22" t="s">
        <v>28</v>
      </c>
      <c r="B22" s="5">
        <v>44.5</v>
      </c>
      <c r="C22" s="5">
        <v>165</v>
      </c>
      <c r="D22" s="5">
        <f t="shared" si="8"/>
        <v>104.75</v>
      </c>
      <c r="E22" s="6">
        <f t="shared" si="5"/>
        <v>0.011659292651028188</v>
      </c>
      <c r="F22" s="7">
        <f t="shared" si="6"/>
        <v>13011.770598547459</v>
      </c>
      <c r="G22" s="5">
        <v>1.68</v>
      </c>
      <c r="H22" s="7">
        <f t="shared" si="1"/>
        <v>26.5259464716755</v>
      </c>
      <c r="I22" s="7">
        <f t="shared" si="7"/>
        <v>13038.296545019133</v>
      </c>
    </row>
    <row r="23" spans="1:9" ht="12.75">
      <c r="A23" t="s">
        <v>29</v>
      </c>
      <c r="B23" s="5">
        <v>61.5</v>
      </c>
      <c r="C23" s="5">
        <v>217.5</v>
      </c>
      <c r="D23" s="5">
        <f t="shared" si="8"/>
        <v>139.5</v>
      </c>
      <c r="E23" s="6">
        <f t="shared" si="5"/>
        <v>0.01552717255196594</v>
      </c>
      <c r="F23" s="7">
        <f t="shared" si="6"/>
        <v>17328.32456799399</v>
      </c>
      <c r="G23" s="5">
        <v>3</v>
      </c>
      <c r="H23" s="7">
        <f t="shared" si="1"/>
        <v>47.367761556563394</v>
      </c>
      <c r="I23" s="7">
        <f t="shared" si="7"/>
        <v>17375.692329550555</v>
      </c>
    </row>
    <row r="24" spans="1:9" ht="12.75">
      <c r="A24" t="s">
        <v>30</v>
      </c>
      <c r="B24" s="5">
        <v>9</v>
      </c>
      <c r="C24" s="5">
        <v>3</v>
      </c>
      <c r="D24" s="5">
        <f t="shared" si="8"/>
        <v>6</v>
      </c>
      <c r="E24" s="6">
        <f t="shared" si="5"/>
        <v>0.0006678353785791802</v>
      </c>
      <c r="F24" s="7">
        <f t="shared" si="6"/>
        <v>745.3042824943651</v>
      </c>
      <c r="G24" s="5">
        <v>17</v>
      </c>
      <c r="H24" s="7">
        <f t="shared" si="1"/>
        <v>268.4173154871926</v>
      </c>
      <c r="I24" s="7">
        <f t="shared" si="7"/>
        <v>1013.7215979815577</v>
      </c>
    </row>
    <row r="25" spans="1:9" ht="12.75">
      <c r="A25" t="s">
        <v>31</v>
      </c>
      <c r="B25" s="5">
        <v>123</v>
      </c>
      <c r="C25" s="5">
        <v>286.5</v>
      </c>
      <c r="D25" s="5">
        <f t="shared" si="8"/>
        <v>204.75</v>
      </c>
      <c r="E25" s="6">
        <f t="shared" si="5"/>
        <v>0.022789882294014525</v>
      </c>
      <c r="F25" s="7">
        <f t="shared" si="6"/>
        <v>25433.50864012021</v>
      </c>
      <c r="G25" s="5">
        <v>1414</v>
      </c>
      <c r="H25" s="7">
        <f t="shared" si="1"/>
        <v>22326.004946993547</v>
      </c>
      <c r="I25" s="7">
        <f t="shared" si="7"/>
        <v>47759.51358711376</v>
      </c>
    </row>
    <row r="26" spans="1:9" ht="12.75">
      <c r="A26" t="s">
        <v>32</v>
      </c>
      <c r="B26" s="5">
        <v>1572</v>
      </c>
      <c r="C26" s="5">
        <v>2254.5</v>
      </c>
      <c r="D26" s="5">
        <f t="shared" si="8"/>
        <v>1913.25</v>
      </c>
      <c r="E26" s="6">
        <f t="shared" si="5"/>
        <v>0.2129560063444361</v>
      </c>
      <c r="F26" s="7">
        <f t="shared" si="6"/>
        <v>237658.90308039068</v>
      </c>
      <c r="G26" s="5">
        <v>10947</v>
      </c>
      <c r="H26" s="7">
        <f t="shared" si="1"/>
        <v>172844.96191989983</v>
      </c>
      <c r="I26" s="7">
        <f t="shared" si="7"/>
        <v>410503.8650002905</v>
      </c>
    </row>
    <row r="27" spans="1:9" ht="12.75">
      <c r="A27" t="s">
        <v>33</v>
      </c>
      <c r="B27" s="5">
        <v>206.5</v>
      </c>
      <c r="C27" s="5">
        <v>39</v>
      </c>
      <c r="D27" s="5">
        <f t="shared" si="8"/>
        <v>122.75</v>
      </c>
      <c r="E27" s="6">
        <f t="shared" si="5"/>
        <v>0.01366279878676573</v>
      </c>
      <c r="F27" s="7">
        <f t="shared" si="6"/>
        <v>15247.683446030554</v>
      </c>
      <c r="G27" s="5">
        <v>4</v>
      </c>
      <c r="H27" s="7">
        <f t="shared" si="1"/>
        <v>63.15701540875119</v>
      </c>
      <c r="I27" s="7">
        <f t="shared" si="7"/>
        <v>15310.840461439306</v>
      </c>
    </row>
    <row r="28" spans="1:9" ht="12.75">
      <c r="A28" t="s">
        <v>34</v>
      </c>
      <c r="B28" s="5">
        <v>67</v>
      </c>
      <c r="C28" s="5">
        <v>76.5</v>
      </c>
      <c r="D28" s="5">
        <f t="shared" si="8"/>
        <v>71.75</v>
      </c>
      <c r="E28" s="6">
        <f t="shared" si="5"/>
        <v>0.007986198068842697</v>
      </c>
      <c r="F28" s="7">
        <f t="shared" si="6"/>
        <v>8912.59704482845</v>
      </c>
      <c r="G28" s="5">
        <v>9</v>
      </c>
      <c r="H28" s="7">
        <f t="shared" si="1"/>
        <v>142.10328466969017</v>
      </c>
      <c r="I28" s="7">
        <f t="shared" si="7"/>
        <v>9054.70032949814</v>
      </c>
    </row>
    <row r="29" spans="1:9" ht="12.75">
      <c r="A29" t="s">
        <v>35</v>
      </c>
      <c r="B29" s="8">
        <v>3536</v>
      </c>
      <c r="C29" s="8">
        <v>1155.5</v>
      </c>
      <c r="D29" s="8">
        <f t="shared" si="8"/>
        <v>2345.75</v>
      </c>
      <c r="E29" s="9">
        <f t="shared" si="5"/>
        <v>0.261095806550352</v>
      </c>
      <c r="F29" s="10">
        <f t="shared" si="6"/>
        <v>291382.92011019285</v>
      </c>
      <c r="G29" s="8">
        <v>1412</v>
      </c>
      <c r="H29" s="10">
        <f t="shared" si="1"/>
        <v>22294.42643928917</v>
      </c>
      <c r="I29" s="10">
        <f t="shared" si="7"/>
        <v>313677.346549482</v>
      </c>
    </row>
    <row r="30" spans="1:9" ht="12.75">
      <c r="A30" s="53"/>
      <c r="B30" s="5"/>
      <c r="C30" s="5"/>
      <c r="D30" s="5"/>
      <c r="E30" s="6"/>
      <c r="F30" s="54"/>
      <c r="G30" s="5"/>
      <c r="H30" s="7"/>
      <c r="I30" s="54"/>
    </row>
    <row r="31" spans="1:9" ht="13.5" thickBot="1">
      <c r="A31" s="11" t="s">
        <v>36</v>
      </c>
      <c r="B31" s="12">
        <f>SUM(B4:B29)</f>
        <v>8718</v>
      </c>
      <c r="C31" s="12">
        <f>SUM(C4:C29)</f>
        <v>9250.5</v>
      </c>
      <c r="D31" s="12">
        <f>SUM(D13:D29,D4:D12)</f>
        <v>8984.25</v>
      </c>
      <c r="E31" s="13">
        <f>SUM(E4:E29)</f>
        <v>1</v>
      </c>
      <c r="F31" s="14">
        <f>SUM(F4:F29)</f>
        <v>1116000</v>
      </c>
      <c r="G31" s="12">
        <f>SUM(G4:G29)</f>
        <v>21786.97</v>
      </c>
      <c r="H31" s="14">
        <f>SUM(H4:H29)</f>
        <v>344000</v>
      </c>
      <c r="I31" s="14">
        <f>SUM(I4:I29)</f>
        <v>1460000</v>
      </c>
    </row>
    <row r="32" spans="1:9" ht="13.5" thickTop="1">
      <c r="A32" s="11"/>
      <c r="B32" s="5"/>
      <c r="C32" s="5"/>
      <c r="D32" s="5"/>
      <c r="E32" s="6"/>
      <c r="F32" s="7"/>
      <c r="G32" s="5"/>
      <c r="H32" s="7"/>
      <c r="I32" s="7"/>
    </row>
    <row r="33" spans="2:6" ht="12.75">
      <c r="B33" s="5"/>
      <c r="C33" s="5"/>
      <c r="D33" s="5"/>
      <c r="E33" s="6"/>
      <c r="F33" s="7"/>
    </row>
    <row r="34" spans="2:9" ht="12.75">
      <c r="B34" s="5"/>
      <c r="C34" s="5"/>
      <c r="D34" s="5"/>
      <c r="E34" s="6"/>
      <c r="F34" s="7"/>
      <c r="I34" s="7"/>
    </row>
    <row r="35" spans="2:5" ht="12.75">
      <c r="B35" s="5"/>
      <c r="C35" s="5"/>
      <c r="D35" s="5"/>
      <c r="E35" s="6"/>
    </row>
    <row r="36" spans="2:5" ht="12.75">
      <c r="B36" s="5"/>
      <c r="C36" s="5"/>
      <c r="D36" s="5"/>
      <c r="E36" s="6"/>
    </row>
    <row r="37" spans="2:5" ht="12.75">
      <c r="B37" s="5"/>
      <c r="C37" s="5"/>
      <c r="D37" s="5"/>
      <c r="E37" s="6"/>
    </row>
    <row r="38" spans="2:5" ht="12.75">
      <c r="B38" s="5"/>
      <c r="C38" s="5"/>
      <c r="D38" s="5"/>
      <c r="E38" s="6"/>
    </row>
    <row r="39" spans="2:5" ht="12.75">
      <c r="B39" s="5"/>
      <c r="C39" s="5"/>
      <c r="D39" s="5"/>
      <c r="E39" s="6"/>
    </row>
    <row r="40" spans="2:5" ht="12.75">
      <c r="B40" s="5"/>
      <c r="C40" s="5"/>
      <c r="D40" s="5"/>
      <c r="E40" s="6"/>
    </row>
    <row r="41" spans="2:5" ht="12.75">
      <c r="B41" s="5"/>
      <c r="C41" s="5"/>
      <c r="D41" s="5"/>
      <c r="E41" s="6"/>
    </row>
    <row r="42" spans="2:5" ht="12.75">
      <c r="B42" s="5"/>
      <c r="C42" s="5"/>
      <c r="D42" s="5"/>
      <c r="E42" s="6"/>
    </row>
    <row r="43" spans="2:5" ht="12.75">
      <c r="B43" s="5"/>
      <c r="C43" s="5"/>
      <c r="D43" s="5"/>
      <c r="E43" s="6"/>
    </row>
    <row r="44" spans="2:5" ht="12.75">
      <c r="B44" s="5"/>
      <c r="C44" s="5"/>
      <c r="D44" s="5"/>
      <c r="E44" s="6"/>
    </row>
    <row r="45" spans="2:5" ht="12.75">
      <c r="B45" s="5"/>
      <c r="C45" s="5"/>
      <c r="D45" s="5"/>
      <c r="E45" s="6"/>
    </row>
    <row r="46" spans="2:5" ht="12.75">
      <c r="B46" s="5"/>
      <c r="C46" s="5"/>
      <c r="D46" s="5"/>
      <c r="E46" s="6"/>
    </row>
    <row r="47" spans="2:5" ht="12.75">
      <c r="B47" s="5"/>
      <c r="C47" s="5"/>
      <c r="D47" s="5"/>
      <c r="E47" s="6"/>
    </row>
    <row r="48" spans="2:5" ht="12.75">
      <c r="B48" s="5"/>
      <c r="C48" s="5"/>
      <c r="D48" s="5"/>
      <c r="E48" s="6"/>
    </row>
    <row r="49" spans="2:5" ht="12.75">
      <c r="B49" s="5"/>
      <c r="C49" s="5"/>
      <c r="D49" s="5"/>
      <c r="E49" s="6"/>
    </row>
    <row r="50" spans="2:5" ht="12.75">
      <c r="B50" s="5"/>
      <c r="C50" s="5"/>
      <c r="D50" s="5"/>
      <c r="E50" s="6"/>
    </row>
    <row r="51" spans="2:5" ht="12.75">
      <c r="B51" s="5"/>
      <c r="C51" s="5"/>
      <c r="D51" s="5"/>
      <c r="E51" s="6"/>
    </row>
    <row r="52" spans="2:5" ht="12.75">
      <c r="B52" s="5"/>
      <c r="C52" s="5"/>
      <c r="D52" s="5"/>
      <c r="E52" s="6"/>
    </row>
    <row r="53" spans="2:5" ht="12.75">
      <c r="B53" s="5"/>
      <c r="C53" s="5"/>
      <c r="D53" s="5"/>
      <c r="E53" s="6"/>
    </row>
    <row r="54" spans="2:5" ht="12.75">
      <c r="B54" s="5"/>
      <c r="C54" s="5"/>
      <c r="D54" s="5"/>
      <c r="E54" s="6"/>
    </row>
    <row r="55" spans="2:5" ht="12.75">
      <c r="B55" s="5"/>
      <c r="C55" s="5"/>
      <c r="D55" s="5"/>
      <c r="E55" s="6"/>
    </row>
    <row r="56" spans="2:5" ht="12.75">
      <c r="B56" s="5"/>
      <c r="C56" s="5"/>
      <c r="D56" s="5"/>
      <c r="E56" s="6"/>
    </row>
    <row r="57" spans="2:5" ht="12.75">
      <c r="B57" s="5"/>
      <c r="C57" s="5"/>
      <c r="D57" s="5"/>
      <c r="E57" s="6"/>
    </row>
    <row r="58" spans="2:5" ht="12.75">
      <c r="B58" s="5"/>
      <c r="C58" s="5"/>
      <c r="D58" s="5"/>
      <c r="E58" s="6"/>
    </row>
    <row r="59" spans="2:5" ht="12.75">
      <c r="B59" s="5"/>
      <c r="C59" s="5"/>
      <c r="D59" s="5"/>
      <c r="E59" s="6"/>
    </row>
    <row r="60" spans="2:5" ht="12.75">
      <c r="B60" s="5"/>
      <c r="C60" s="5"/>
      <c r="D60" s="5"/>
      <c r="E60" s="6"/>
    </row>
    <row r="61" spans="2:5" ht="12.75">
      <c r="B61" s="5"/>
      <c r="C61" s="5"/>
      <c r="D61" s="5"/>
      <c r="E61" s="6"/>
    </row>
    <row r="62" spans="2:5" ht="12.75">
      <c r="B62" s="5"/>
      <c r="C62" s="5"/>
      <c r="D62" s="5"/>
      <c r="E62" s="6"/>
    </row>
    <row r="63" spans="2:5" ht="12.75">
      <c r="B63" s="5"/>
      <c r="C63" s="5"/>
      <c r="D63" s="5"/>
      <c r="E63" s="6"/>
    </row>
    <row r="64" spans="2:5" ht="12.75">
      <c r="B64" s="5"/>
      <c r="C64" s="5"/>
      <c r="D64" s="5"/>
      <c r="E64" s="6"/>
    </row>
    <row r="65" spans="2:5" ht="12.75">
      <c r="B65" s="5"/>
      <c r="C65" s="5"/>
      <c r="D65" s="5"/>
      <c r="E65" s="6"/>
    </row>
    <row r="66" spans="2:5" ht="12.75">
      <c r="B66" s="5"/>
      <c r="C66" s="5"/>
      <c r="D66" s="5"/>
      <c r="E66" s="6"/>
    </row>
    <row r="67" spans="2:5" ht="12.75">
      <c r="B67" s="5"/>
      <c r="C67" s="5"/>
      <c r="D67" s="5"/>
      <c r="E67" s="6"/>
    </row>
    <row r="68" spans="2:5" ht="12.75">
      <c r="B68" s="5"/>
      <c r="C68" s="5"/>
      <c r="D68" s="5"/>
      <c r="E68" s="6"/>
    </row>
    <row r="69" spans="2:5" ht="12.75">
      <c r="B69" s="5"/>
      <c r="C69" s="5"/>
      <c r="D69" s="5"/>
      <c r="E69" s="6"/>
    </row>
    <row r="70" spans="2:5" ht="12.75">
      <c r="B70" s="5"/>
      <c r="C70" s="5"/>
      <c r="D70" s="5"/>
      <c r="E70" s="6"/>
    </row>
    <row r="71" spans="2:5" ht="12.75">
      <c r="B71" s="5"/>
      <c r="C71" s="5"/>
      <c r="D71" s="5"/>
      <c r="E71" s="6"/>
    </row>
    <row r="72" spans="2:5" ht="12.75">
      <c r="B72" s="5"/>
      <c r="C72" s="5"/>
      <c r="D72" s="5"/>
      <c r="E72" s="6"/>
    </row>
    <row r="73" spans="2:5" ht="12.75">
      <c r="B73" s="5"/>
      <c r="C73" s="5"/>
      <c r="D73" s="5"/>
      <c r="E73" s="6"/>
    </row>
    <row r="74" spans="2:5" ht="12.75">
      <c r="B74" s="5"/>
      <c r="C74" s="5"/>
      <c r="D74" s="5"/>
      <c r="E74" s="6"/>
    </row>
    <row r="75" spans="2:5" ht="12.75">
      <c r="B75" s="5"/>
      <c r="C75" s="5"/>
      <c r="D75" s="5"/>
      <c r="E75" s="6"/>
    </row>
    <row r="76" spans="2:5" ht="12.75">
      <c r="B76" s="5"/>
      <c r="C76" s="5"/>
      <c r="D76" s="5"/>
      <c r="E76" s="6"/>
    </row>
    <row r="77" spans="2:5" ht="12.75">
      <c r="B77" s="5"/>
      <c r="C77" s="5"/>
      <c r="D77" s="5"/>
      <c r="E77" s="6"/>
    </row>
    <row r="78" spans="2:5" ht="12.75">
      <c r="B78" s="5"/>
      <c r="C78" s="5"/>
      <c r="D78" s="5"/>
      <c r="E78" s="6"/>
    </row>
    <row r="79" spans="2:5" ht="12.75">
      <c r="B79" s="5"/>
      <c r="C79" s="5"/>
      <c r="D79" s="5"/>
      <c r="E79" s="6"/>
    </row>
    <row r="80" spans="2:5" ht="12.75">
      <c r="B80" s="5"/>
      <c r="C80" s="5"/>
      <c r="D80" s="5"/>
      <c r="E80" s="6"/>
    </row>
    <row r="81" spans="2:5" ht="12.75">
      <c r="B81" s="5"/>
      <c r="C81" s="5"/>
      <c r="D81" s="5"/>
      <c r="E81" s="6"/>
    </row>
    <row r="82" spans="2:5" ht="12.75">
      <c r="B82" s="5"/>
      <c r="C82" s="5"/>
      <c r="D82" s="5"/>
      <c r="E82" s="6"/>
    </row>
    <row r="83" spans="2:5" ht="12.75">
      <c r="B83" s="5"/>
      <c r="C83" s="5"/>
      <c r="D83" s="5"/>
      <c r="E83" s="6"/>
    </row>
    <row r="84" spans="2:5" ht="12.75">
      <c r="B84" s="5"/>
      <c r="C84" s="5"/>
      <c r="D84" s="5"/>
      <c r="E84" s="6"/>
    </row>
    <row r="85" spans="2:5" ht="12.75">
      <c r="B85" s="5"/>
      <c r="C85" s="5"/>
      <c r="D85" s="5"/>
      <c r="E85" s="6"/>
    </row>
    <row r="86" spans="2:5" ht="12.75">
      <c r="B86" s="5"/>
      <c r="C86" s="5"/>
      <c r="D86" s="5"/>
      <c r="E86" s="6"/>
    </row>
    <row r="87" spans="2:5" ht="12.75">
      <c r="B87" s="5"/>
      <c r="C87" s="5"/>
      <c r="D87" s="5"/>
      <c r="E87" s="6"/>
    </row>
    <row r="88" spans="2:5" ht="12.75">
      <c r="B88" s="5"/>
      <c r="C88" s="5"/>
      <c r="D88" s="5"/>
      <c r="E88" s="6"/>
    </row>
    <row r="89" spans="2:5" ht="12.75">
      <c r="B89" s="5"/>
      <c r="C89" s="5"/>
      <c r="D89" s="5"/>
      <c r="E89" s="6"/>
    </row>
    <row r="90" spans="2:5" ht="12.75">
      <c r="B90" s="5"/>
      <c r="C90" s="5"/>
      <c r="D90" s="5"/>
      <c r="E90" s="6"/>
    </row>
    <row r="91" spans="2:5" ht="12.75">
      <c r="B91" s="5"/>
      <c r="C91" s="5"/>
      <c r="D91" s="5"/>
      <c r="E91" s="6"/>
    </row>
    <row r="92" spans="2:5" ht="12.75">
      <c r="B92" s="5"/>
      <c r="C92" s="5"/>
      <c r="D92" s="5"/>
      <c r="E92" s="6"/>
    </row>
    <row r="93" spans="2:5" ht="12.75">
      <c r="B93" s="5"/>
      <c r="C93" s="5"/>
      <c r="D93" s="5"/>
      <c r="E93" s="6"/>
    </row>
    <row r="94" spans="2:5" ht="12.75">
      <c r="B94" s="5"/>
      <c r="C94" s="5"/>
      <c r="D94" s="5"/>
      <c r="E94" s="6"/>
    </row>
    <row r="95" spans="2:5" ht="12.75">
      <c r="B95" s="5"/>
      <c r="C95" s="5"/>
      <c r="D95" s="5"/>
      <c r="E95" s="6"/>
    </row>
    <row r="96" spans="2:5" ht="12.75">
      <c r="B96" s="15"/>
      <c r="C96" s="15"/>
      <c r="D96" s="15"/>
      <c r="E96" s="16"/>
    </row>
    <row r="97" spans="2:5" ht="12.75">
      <c r="B97" s="5"/>
      <c r="C97" s="5"/>
      <c r="D97" s="5"/>
      <c r="E97" s="6"/>
    </row>
    <row r="98" spans="2:5" ht="12.75">
      <c r="B98" s="5"/>
      <c r="C98" s="5"/>
      <c r="D98" s="5"/>
      <c r="E98" s="6"/>
    </row>
    <row r="99" spans="2:5" ht="12.75">
      <c r="B99" s="5"/>
      <c r="C99" s="5"/>
      <c r="D99" s="5"/>
      <c r="E99" s="6"/>
    </row>
  </sheetData>
  <mergeCells count="1">
    <mergeCell ref="G1:H1"/>
  </mergeCells>
  <printOptions/>
  <pageMargins left="0.75" right="0.75" top="1.5" bottom="1" header="0.75" footer="0.5"/>
  <pageSetup horizontalDpi="600" verticalDpi="600" orientation="landscape" scale="95" r:id="rId1"/>
  <headerFooter alignWithMargins="0">
    <oddHeader>&amp;C&amp;"Arial,Bold"&amp;12Washington Utilities and Transportation Commission
Pipeline Safety Program
Proposed Fee Rule Example Steps 3-5</oddHeader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1"/>
  <sheetViews>
    <sheetView workbookViewId="0" topLeftCell="A1">
      <selection activeCell="F49" sqref="F49"/>
    </sheetView>
  </sheetViews>
  <sheetFormatPr defaultColWidth="9.140625" defaultRowHeight="12.75"/>
  <cols>
    <col min="1" max="1" width="31.7109375" style="0" customWidth="1"/>
    <col min="2" max="2" width="11.57421875" style="0" customWidth="1"/>
    <col min="3" max="3" width="11.8515625" style="0" customWidth="1"/>
    <col min="4" max="4" width="10.28125" style="0" customWidth="1"/>
    <col min="5" max="5" width="10.00390625" style="0" customWidth="1"/>
    <col min="6" max="6" width="10.7109375" style="0" customWidth="1"/>
    <col min="7" max="7" width="9.7109375" style="0" customWidth="1"/>
    <col min="8" max="8" width="10.140625" style="0" customWidth="1"/>
    <col min="9" max="9" width="11.28125" style="0" customWidth="1"/>
    <col min="11" max="11" width="9.28125" style="0" bestFit="1" customWidth="1"/>
    <col min="12" max="12" width="10.28125" style="0" bestFit="1" customWidth="1"/>
    <col min="13" max="13" width="11.28125" style="0" customWidth="1"/>
    <col min="14" max="14" width="15.00390625" style="0" customWidth="1"/>
  </cols>
  <sheetData>
    <row r="1" spans="1:9" ht="13.5" thickBot="1">
      <c r="A1" s="1" t="s">
        <v>46</v>
      </c>
      <c r="B1" s="1" t="s">
        <v>112</v>
      </c>
      <c r="C1" s="49" t="s">
        <v>130</v>
      </c>
      <c r="D1" s="1"/>
      <c r="E1" s="20" t="s">
        <v>51</v>
      </c>
      <c r="F1" s="57" t="s">
        <v>117</v>
      </c>
      <c r="G1" s="57"/>
      <c r="H1" s="57"/>
      <c r="I1" s="57"/>
    </row>
    <row r="2" spans="1:9" ht="12.75">
      <c r="A2" s="18"/>
      <c r="B2" s="1" t="s">
        <v>47</v>
      </c>
      <c r="C2" s="50" t="s">
        <v>120</v>
      </c>
      <c r="D2" s="1"/>
      <c r="E2" s="1" t="s">
        <v>121</v>
      </c>
      <c r="F2" s="1" t="s">
        <v>48</v>
      </c>
      <c r="I2" s="1" t="s">
        <v>49</v>
      </c>
    </row>
    <row r="3" spans="1:9" ht="13.5" thickBot="1">
      <c r="A3" s="1"/>
      <c r="B3" s="2" t="s">
        <v>50</v>
      </c>
      <c r="C3" s="2" t="s">
        <v>110</v>
      </c>
      <c r="D3" s="2" t="s">
        <v>113</v>
      </c>
      <c r="E3" s="51" t="s">
        <v>122</v>
      </c>
      <c r="F3" s="47" t="s">
        <v>116</v>
      </c>
      <c r="G3" s="2" t="s">
        <v>52</v>
      </c>
      <c r="H3" s="2" t="s">
        <v>53</v>
      </c>
      <c r="I3" s="2" t="s">
        <v>52</v>
      </c>
    </row>
    <row r="4" ht="12.75">
      <c r="A4" s="1" t="s">
        <v>54</v>
      </c>
    </row>
    <row r="5" spans="1:6" ht="12.75">
      <c r="A5" s="19" t="s">
        <v>55</v>
      </c>
      <c r="F5" s="20"/>
    </row>
    <row r="6" spans="1:9" ht="12.75">
      <c r="A6" s="21" t="s">
        <v>56</v>
      </c>
      <c r="B6" s="7">
        <v>7424.174531850436</v>
      </c>
      <c r="C6" s="7">
        <f aca="true" t="shared" si="0" ref="C6:C11">B6*1.1827379</f>
        <v>8780.852595034268</v>
      </c>
      <c r="D6" s="7">
        <f>SUM('Steps 3-5'!I24)</f>
        <v>1013.7215979815577</v>
      </c>
      <c r="E6" s="17">
        <f>(D6-C6)/C6</f>
        <v>-0.8845531698647537</v>
      </c>
      <c r="F6" s="7">
        <f>C6*1.25</f>
        <v>10976.065743792835</v>
      </c>
      <c r="G6" s="7">
        <f>F6-D6</f>
        <v>9962.344145811277</v>
      </c>
      <c r="H6" s="7">
        <f>(G6/$G$54)*$G$53</f>
        <v>2023.6771369664946</v>
      </c>
      <c r="I6" s="7">
        <f>D6+H6</f>
        <v>3037.398734948052</v>
      </c>
    </row>
    <row r="7" spans="1:9" ht="12.75">
      <c r="A7" t="s">
        <v>57</v>
      </c>
      <c r="B7" s="7">
        <v>42329.76060834028</v>
      </c>
      <c r="C7" s="7">
        <f t="shared" si="0"/>
        <v>50065.01216941111</v>
      </c>
      <c r="D7" s="7">
        <f>SUM('Steps 3-5'!I21)</f>
        <v>15002.595944207824</v>
      </c>
      <c r="E7" s="17">
        <f>(D7-C7)/C7</f>
        <v>-0.7003377150205875</v>
      </c>
      <c r="F7" s="7">
        <f>C7*1.25</f>
        <v>62581.265211763886</v>
      </c>
      <c r="G7" s="7">
        <f>F7-D7</f>
        <v>47578.66926755606</v>
      </c>
      <c r="H7" s="7">
        <f>(G7/$G$54)*$G$53</f>
        <v>9664.78007533264</v>
      </c>
      <c r="I7" s="7">
        <f>D7+H7</f>
        <v>24667.37601954046</v>
      </c>
    </row>
    <row r="8" spans="1:9" ht="12.75">
      <c r="A8" t="s">
        <v>58</v>
      </c>
      <c r="B8" s="7">
        <v>201142.02582193032</v>
      </c>
      <c r="C8" s="7">
        <f t="shared" si="0"/>
        <v>237898.29722237564</v>
      </c>
      <c r="D8" s="7">
        <f>SUM('Steps 3-5'!I29)</f>
        <v>313677.346549482</v>
      </c>
      <c r="E8" s="17">
        <f>(D8-SUM(C8,C10:C11))/SUM(C8,C10:C11)</f>
        <v>0.0827136356451887</v>
      </c>
      <c r="F8" s="7">
        <f>(C8+C10+C11)*1.25</f>
        <v>362142.5557767195</v>
      </c>
      <c r="G8" s="7">
        <f>F8-D8</f>
        <v>48465.2092272375</v>
      </c>
      <c r="H8" s="7">
        <f>(G8/$G$54)*$G$53</f>
        <v>9844.86526624314</v>
      </c>
      <c r="I8" s="7">
        <f>D8+H8</f>
        <v>323522.21181572514</v>
      </c>
    </row>
    <row r="9" spans="1:7" ht="12.75">
      <c r="A9" s="22" t="s">
        <v>59</v>
      </c>
      <c r="B9" s="7">
        <v>6174.09517516215</v>
      </c>
      <c r="C9" s="7">
        <f t="shared" si="0"/>
        <v>7302.336361871413</v>
      </c>
      <c r="D9" s="7"/>
      <c r="E9" s="7"/>
      <c r="F9" s="7"/>
      <c r="G9" s="7"/>
    </row>
    <row r="10" spans="1:7" ht="12.75">
      <c r="A10" s="23" t="s">
        <v>60</v>
      </c>
      <c r="B10" s="7">
        <v>10110</v>
      </c>
      <c r="C10" s="7">
        <f t="shared" si="0"/>
        <v>11957.480169</v>
      </c>
      <c r="D10" s="7"/>
      <c r="E10" s="7"/>
      <c r="F10" s="7"/>
      <c r="G10" s="7"/>
    </row>
    <row r="11" spans="1:7" ht="12.75">
      <c r="A11" s="24" t="s">
        <v>61</v>
      </c>
      <c r="B11" s="7">
        <v>33700</v>
      </c>
      <c r="C11" s="7">
        <f t="shared" si="0"/>
        <v>39858.26723</v>
      </c>
      <c r="D11" s="7"/>
      <c r="E11" s="7"/>
      <c r="F11" s="7"/>
      <c r="G11" s="7"/>
    </row>
    <row r="12" spans="1:6" ht="12.75">
      <c r="A12" s="19" t="s">
        <v>62</v>
      </c>
      <c r="B12" s="7"/>
      <c r="C12" s="7"/>
      <c r="D12" s="7"/>
      <c r="E12" s="7"/>
      <c r="F12" s="7"/>
    </row>
    <row r="13" spans="1:9" ht="12.75">
      <c r="A13" t="s">
        <v>63</v>
      </c>
      <c r="B13" s="7">
        <v>13355.631478356343</v>
      </c>
      <c r="C13" s="7">
        <f aca="true" t="shared" si="1" ref="C13:C19">B13*1.1827379</f>
        <v>15796.211527885076</v>
      </c>
      <c r="D13" s="7">
        <f>SUM('Steps 3-5'!I11)</f>
        <v>14764.429276811405</v>
      </c>
      <c r="E13" s="17">
        <f>(D13-C13)/C13</f>
        <v>-0.06531833593468059</v>
      </c>
      <c r="F13" s="7">
        <f>C13*1.25</f>
        <v>19745.264409856347</v>
      </c>
      <c r="G13" s="7">
        <f>F13-D13</f>
        <v>4980.835133044942</v>
      </c>
      <c r="H13" s="7">
        <f>(G13/$G$54)*$G$53</f>
        <v>1011.7701250042184</v>
      </c>
      <c r="I13" s="7">
        <f>D13+H13</f>
        <v>15776.199401815624</v>
      </c>
    </row>
    <row r="14" spans="1:7" ht="12.75">
      <c r="A14" s="24" t="s">
        <v>39</v>
      </c>
      <c r="B14" s="7">
        <v>7277.038834556655</v>
      </c>
      <c r="C14" s="7">
        <f t="shared" si="1"/>
        <v>8606.829629401986</v>
      </c>
      <c r="D14" s="7"/>
      <c r="E14" s="7"/>
      <c r="F14" s="7"/>
      <c r="G14" s="7"/>
    </row>
    <row r="15" spans="1:9" ht="12.75">
      <c r="A15" s="24" t="s">
        <v>38</v>
      </c>
      <c r="B15" s="7">
        <v>20360.65662932314</v>
      </c>
      <c r="C15" s="7">
        <f t="shared" si="1"/>
        <v>24081.32026438673</v>
      </c>
      <c r="D15" s="7">
        <f>SUM('Steps 3-5'!I7)</f>
        <v>18689.04144928931</v>
      </c>
      <c r="E15" s="17">
        <f>(D15-SUM(C14:C15))/SUM(C14:C15)</f>
        <v>-0.42826248931143895</v>
      </c>
      <c r="F15" s="7">
        <f>(C14+C15)*1.25</f>
        <v>40860.18736723589</v>
      </c>
      <c r="G15" s="7">
        <f>F15-D15</f>
        <v>22171.145917946582</v>
      </c>
      <c r="H15" s="7">
        <f>(G15/$G$54)*$G$53</f>
        <v>4503.6831129108505</v>
      </c>
      <c r="I15" s="7">
        <f>D15+H15</f>
        <v>23192.72456220016</v>
      </c>
    </row>
    <row r="16" spans="1:9" ht="12.75">
      <c r="A16" s="25" t="s">
        <v>64</v>
      </c>
      <c r="B16" s="7">
        <v>30225.7295000305</v>
      </c>
      <c r="C16" s="7">
        <f t="shared" si="1"/>
        <v>35749.11583483412</v>
      </c>
      <c r="D16" s="7">
        <f>SUM('Steps 3-5'!I6)</f>
        <v>30924.692969995085</v>
      </c>
      <c r="E16" s="17">
        <f>(D16-C16)/C16</f>
        <v>-0.1349522289482218</v>
      </c>
      <c r="F16" s="7">
        <f>C16*1.25</f>
        <v>44686.39479354265</v>
      </c>
      <c r="G16" s="7">
        <f>F16-D16</f>
        <v>13761.701823547563</v>
      </c>
      <c r="H16" s="7">
        <f>(G16/$G$54)*$G$53</f>
        <v>2795.4506427859837</v>
      </c>
      <c r="I16" s="7">
        <f>D16+H16</f>
        <v>33720.14361278107</v>
      </c>
    </row>
    <row r="17" spans="1:9" ht="12.75">
      <c r="A17" t="s">
        <v>65</v>
      </c>
      <c r="B17" s="7">
        <v>53296.887420450155</v>
      </c>
      <c r="C17" s="7">
        <f t="shared" si="1"/>
        <v>63036.248704199636</v>
      </c>
      <c r="D17" s="7">
        <f>SUM('Steps 3-5'!I5)</f>
        <v>128064.52360214027</v>
      </c>
      <c r="E17" s="17">
        <f>(D17-SUM(C17:C18,C46,C48))/SUM(C17:C18,C46,C48)</f>
        <v>0.21514997967914756</v>
      </c>
      <c r="F17" s="48">
        <f>SUM(C17:C18,C46,C48)*1.25</f>
        <v>131737.36343635834</v>
      </c>
      <c r="G17" s="7">
        <f>F17-D17</f>
        <v>3672.8398342180735</v>
      </c>
      <c r="H17" s="7">
        <f>(G17/$G$54)*$G$53</f>
        <v>746.0736039089778</v>
      </c>
      <c r="I17" s="7">
        <f>D17+H17</f>
        <v>128810.59720604925</v>
      </c>
    </row>
    <row r="18" spans="1:7" ht="12.75">
      <c r="A18" s="21" t="s">
        <v>66</v>
      </c>
      <c r="B18" s="7">
        <v>26960</v>
      </c>
      <c r="C18" s="7">
        <f t="shared" si="1"/>
        <v>31886.613784</v>
      </c>
      <c r="D18" s="7"/>
      <c r="E18" s="7"/>
      <c r="F18" s="7"/>
      <c r="G18" s="7"/>
    </row>
    <row r="19" spans="1:9" ht="12.75">
      <c r="A19" t="s">
        <v>67</v>
      </c>
      <c r="B19" s="7">
        <v>4381</v>
      </c>
      <c r="C19" s="7">
        <f t="shared" si="1"/>
        <v>5181.5747399</v>
      </c>
      <c r="D19" s="7">
        <f>SUM('Steps 3-5'!I8)</f>
        <v>6676.684197345355</v>
      </c>
      <c r="E19" s="17">
        <f>(D19-C19)/C19</f>
        <v>0.28854345107337176</v>
      </c>
      <c r="F19" s="7">
        <f>C19*1.25</f>
        <v>6476.968424875</v>
      </c>
      <c r="G19" s="7">
        <f>F19-D19</f>
        <v>-199.71577247035475</v>
      </c>
      <c r="H19" s="7"/>
      <c r="I19" s="7">
        <f>F19</f>
        <v>6476.968424875</v>
      </c>
    </row>
    <row r="20" spans="1:6" ht="12.75">
      <c r="A20" s="18" t="s">
        <v>68</v>
      </c>
      <c r="B20" s="7"/>
      <c r="C20" s="7"/>
      <c r="D20" s="7"/>
      <c r="E20" s="7"/>
      <c r="F20" s="7"/>
    </row>
    <row r="21" spans="1:6" ht="12.75">
      <c r="A21" s="19" t="s">
        <v>69</v>
      </c>
      <c r="B21" s="7"/>
      <c r="C21" s="7"/>
      <c r="D21" s="7"/>
      <c r="E21" s="7"/>
      <c r="F21" s="7"/>
    </row>
    <row r="22" spans="1:9" ht="12.75">
      <c r="A22" t="s">
        <v>70</v>
      </c>
      <c r="B22" s="7">
        <v>52615.06506786591</v>
      </c>
      <c r="C22" s="7">
        <f>B22*1.1827379</f>
        <v>62229.83156673108</v>
      </c>
      <c r="D22" s="7">
        <f>SUM('Steps 3-5'!I25)</f>
        <v>47759.51358711376</v>
      </c>
      <c r="E22" s="17">
        <f>(D22-C22)/C22</f>
        <v>-0.232530244985483</v>
      </c>
      <c r="F22" s="7">
        <f>C22*1.25</f>
        <v>77787.28945841386</v>
      </c>
      <c r="G22" s="7">
        <f>F22-D22</f>
        <v>30027.775871300095</v>
      </c>
      <c r="H22" s="7">
        <f>(G22/$G$54)*$G$53</f>
        <v>6099.620994347378</v>
      </c>
      <c r="I22" s="7">
        <f>D22+H22</f>
        <v>53859.13458146114</v>
      </c>
    </row>
    <row r="23" spans="1:9" ht="12.75">
      <c r="A23" t="s">
        <v>71</v>
      </c>
      <c r="B23" s="7">
        <v>113953.87098803693</v>
      </c>
      <c r="C23" s="7">
        <f>B23*1.1827379</f>
        <v>134777.5620692617</v>
      </c>
      <c r="D23" s="7">
        <f>SUM('Steps 3-5'!I14)</f>
        <v>110899.50772979752</v>
      </c>
      <c r="E23" s="17">
        <f>(D23-C23)/C23</f>
        <v>-0.17716639159264017</v>
      </c>
      <c r="F23" s="7">
        <f>C23*1.25</f>
        <v>168471.95258657713</v>
      </c>
      <c r="G23" s="7">
        <f>F23-D23</f>
        <v>57572.444856779606</v>
      </c>
      <c r="H23" s="7">
        <f>(G23/$G$54)*$G$53</f>
        <v>11694.84196396845</v>
      </c>
      <c r="I23" s="7">
        <f>D23+H23</f>
        <v>122594.34969376598</v>
      </c>
    </row>
    <row r="24" spans="1:9" ht="12.75">
      <c r="A24" t="s">
        <v>72</v>
      </c>
      <c r="B24" s="7">
        <v>174814.06721502994</v>
      </c>
      <c r="C24" s="7">
        <f>B24*1.1827379</f>
        <v>206759.22274836336</v>
      </c>
      <c r="D24" s="7">
        <f>SUM('Steps 3-5'!I16)</f>
        <v>162808.90073530615</v>
      </c>
      <c r="E24" s="17">
        <f>(D24-C24)/C24</f>
        <v>-0.21256764960152236</v>
      </c>
      <c r="F24" s="7">
        <f>C24*1.25</f>
        <v>258449.0284354542</v>
      </c>
      <c r="G24" s="7">
        <f>F24-D24</f>
        <v>95640.12770014806</v>
      </c>
      <c r="H24" s="7">
        <f>(G24/$G$54)*$G$53</f>
        <v>19427.63038202435</v>
      </c>
      <c r="I24" s="7">
        <f>D24+H24</f>
        <v>182236.53111733048</v>
      </c>
    </row>
    <row r="25" spans="1:9" ht="12.75">
      <c r="A25" s="26" t="s">
        <v>73</v>
      </c>
      <c r="B25" s="7">
        <v>346192.1862248303</v>
      </c>
      <c r="C25" s="7">
        <f>B25*1.1827379</f>
        <v>409454.6193319647</v>
      </c>
      <c r="D25" s="7">
        <f>SUM('Steps 3-5'!I26)</f>
        <v>410503.8650002905</v>
      </c>
      <c r="E25" s="17">
        <f>(D25-C25)/C25</f>
        <v>0.0025625444647264604</v>
      </c>
      <c r="F25" s="7">
        <f>C25*1.25</f>
        <v>511818.2741649559</v>
      </c>
      <c r="G25" s="7">
        <f>F25-D25</f>
        <v>101314.40916466538</v>
      </c>
      <c r="H25" s="7">
        <f>(G25/$G$54)*$G$53</f>
        <v>20580.262081992725</v>
      </c>
      <c r="I25" s="7">
        <f>D25+H25</f>
        <v>431084.12708228326</v>
      </c>
    </row>
    <row r="26" spans="1:6" ht="12.75">
      <c r="A26" s="19" t="s">
        <v>74</v>
      </c>
      <c r="B26" s="7"/>
      <c r="C26" s="7"/>
      <c r="D26" s="7"/>
      <c r="E26" s="7"/>
      <c r="F26" s="7"/>
    </row>
    <row r="27" spans="1:9" ht="12.75">
      <c r="A27" t="s">
        <v>75</v>
      </c>
      <c r="B27" s="7">
        <v>5335.685570333333</v>
      </c>
      <c r="C27" s="7">
        <f>B27*1.1827379</f>
        <v>6310.717546516349</v>
      </c>
      <c r="D27" s="7">
        <f>SUM('Steps 3-5'!I17)</f>
        <v>11559.706110023508</v>
      </c>
      <c r="E27" s="17">
        <f>(D27-C27)/C27</f>
        <v>0.8317578032635469</v>
      </c>
      <c r="F27" s="7">
        <f>C27*1.25</f>
        <v>7888.396933145436</v>
      </c>
      <c r="G27" s="7">
        <f>F27-D27</f>
        <v>-3671.3091768780714</v>
      </c>
      <c r="H27" s="7"/>
      <c r="I27" s="7">
        <f>F27</f>
        <v>7888.396933145436</v>
      </c>
    </row>
    <row r="28" spans="1:9" ht="12.75">
      <c r="A28" t="s">
        <v>76</v>
      </c>
      <c r="B28" s="7">
        <v>7168.197624977882</v>
      </c>
      <c r="C28" s="7">
        <f>B28*1.1827379</f>
        <v>8478.099005751328</v>
      </c>
      <c r="D28" s="7">
        <f>SUM('Steps 3-5'!I18)</f>
        <v>13829.602447419686</v>
      </c>
      <c r="E28" s="17">
        <f>(D28-C28)/C28</f>
        <v>0.6312150209661426</v>
      </c>
      <c r="F28" s="7">
        <f>C28*1.25</f>
        <v>10597.62375718916</v>
      </c>
      <c r="G28" s="7">
        <f>F28-D28</f>
        <v>-3231.978690230526</v>
      </c>
      <c r="H28" s="7"/>
      <c r="I28" s="7">
        <f>F28</f>
        <v>10597.62375718916</v>
      </c>
    </row>
    <row r="29" spans="1:9" ht="12.75">
      <c r="A29" t="s">
        <v>77</v>
      </c>
      <c r="B29" s="7">
        <v>7111.8906022510555</v>
      </c>
      <c r="C29" s="7">
        <f>B29*1.1827379</f>
        <v>8411.50255593615</v>
      </c>
      <c r="D29" s="7">
        <f>SUM('Steps 3-5'!I19)</f>
        <v>19853.621234982023</v>
      </c>
      <c r="E29" s="17">
        <f>(D29-C29)/C29</f>
        <v>1.360294264069499</v>
      </c>
      <c r="F29" s="7">
        <f>C29*1.25</f>
        <v>10514.378194920188</v>
      </c>
      <c r="G29" s="7">
        <f>F29-D29</f>
        <v>-9339.243040061836</v>
      </c>
      <c r="I29" s="7">
        <f>F29</f>
        <v>10514.378194920188</v>
      </c>
    </row>
    <row r="30" spans="1:6" ht="12.75">
      <c r="A30" s="19" t="s">
        <v>78</v>
      </c>
      <c r="B30" s="7"/>
      <c r="C30" s="7"/>
      <c r="D30" s="7"/>
      <c r="E30" s="7"/>
      <c r="F30" s="7"/>
    </row>
    <row r="31" spans="1:9" ht="12.75">
      <c r="A31" s="26" t="s">
        <v>79</v>
      </c>
      <c r="B31" s="7">
        <v>4072.153511363413</v>
      </c>
      <c r="C31" s="7">
        <f aca="true" t="shared" si="2" ref="C31:C37">B31*1.1827379</f>
        <v>4816.29029250759</v>
      </c>
      <c r="D31" s="7">
        <f>SUM('Steps 3-5'!I13)</f>
        <v>8897.331953576706</v>
      </c>
      <c r="E31" s="17">
        <f aca="true" t="shared" si="3" ref="E31:E37">(D31-C31)/C31</f>
        <v>0.8473412965613275</v>
      </c>
      <c r="F31" s="7">
        <f aca="true" t="shared" si="4" ref="F31:F37">C31*1.25</f>
        <v>6020.362865634487</v>
      </c>
      <c r="G31" s="7">
        <f aca="true" t="shared" si="5" ref="G31:G37">F31-D31</f>
        <v>-2876.9690879422187</v>
      </c>
      <c r="H31" s="7"/>
      <c r="I31" s="7">
        <f>F31</f>
        <v>6020.362865634487</v>
      </c>
    </row>
    <row r="32" spans="1:9" ht="12.75">
      <c r="A32" s="22" t="s">
        <v>29</v>
      </c>
      <c r="B32" s="7">
        <v>8172.460534090239</v>
      </c>
      <c r="C32" s="7">
        <f t="shared" si="2"/>
        <v>9665.878809922768</v>
      </c>
      <c r="D32" s="7">
        <f>SUM('Steps 3-5'!I23)</f>
        <v>17375.692329550555</v>
      </c>
      <c r="E32" s="17">
        <f t="shared" si="3"/>
        <v>0.7976319247571231</v>
      </c>
      <c r="F32" s="7">
        <f t="shared" si="4"/>
        <v>12082.34851240346</v>
      </c>
      <c r="G32" s="7">
        <f t="shared" si="5"/>
        <v>-5293.343817147095</v>
      </c>
      <c r="H32" s="7"/>
      <c r="I32" s="7">
        <f>F32</f>
        <v>12082.34851240346</v>
      </c>
    </row>
    <row r="33" spans="1:9" ht="12.75">
      <c r="A33" s="26" t="s">
        <v>80</v>
      </c>
      <c r="B33" s="7">
        <v>4091.297899090534</v>
      </c>
      <c r="C33" s="7">
        <f t="shared" si="2"/>
        <v>4838.93308544475</v>
      </c>
      <c r="D33" s="7">
        <f>SUM('Steps 3-5'!I22)</f>
        <v>13038.296545019133</v>
      </c>
      <c r="E33" s="17">
        <f t="shared" si="3"/>
        <v>1.6944568802237887</v>
      </c>
      <c r="F33" s="7">
        <f t="shared" si="4"/>
        <v>6048.6663568059375</v>
      </c>
      <c r="G33" s="7">
        <f t="shared" si="5"/>
        <v>-6989.630188213196</v>
      </c>
      <c r="H33" s="7"/>
      <c r="I33" s="7">
        <f>F33</f>
        <v>6048.6663568059375</v>
      </c>
    </row>
    <row r="34" spans="1:9" ht="12.75">
      <c r="A34" s="26" t="s">
        <v>81</v>
      </c>
      <c r="B34" s="7">
        <v>4156.614045453652</v>
      </c>
      <c r="C34" s="7">
        <f t="shared" si="2"/>
        <v>4916.184967230357</v>
      </c>
      <c r="D34" s="7">
        <f>SUM('Steps 3-5'!I27)</f>
        <v>15310.840461439306</v>
      </c>
      <c r="E34" s="17">
        <f t="shared" si="3"/>
        <v>2.114374370268052</v>
      </c>
      <c r="F34" s="7">
        <f t="shared" si="4"/>
        <v>6145.231209037946</v>
      </c>
      <c r="G34" s="7">
        <f t="shared" si="5"/>
        <v>-9165.609252401358</v>
      </c>
      <c r="H34" s="7"/>
      <c r="I34" s="7">
        <f>F34</f>
        <v>6145.231209037946</v>
      </c>
    </row>
    <row r="35" spans="1:9" ht="12.75">
      <c r="A35" s="26" t="s">
        <v>82</v>
      </c>
      <c r="B35" s="7">
        <v>4297.381602270717</v>
      </c>
      <c r="C35" s="7">
        <f t="shared" si="2"/>
        <v>5082.676091768303</v>
      </c>
      <c r="D35" s="7">
        <f>SUM('Steps 3-5'!I28)</f>
        <v>9054.70032949814</v>
      </c>
      <c r="E35" s="17">
        <f t="shared" si="3"/>
        <v>0.7814828578517461</v>
      </c>
      <c r="F35" s="7">
        <f t="shared" si="4"/>
        <v>6353.345114710379</v>
      </c>
      <c r="G35" s="7">
        <f t="shared" si="5"/>
        <v>-2701.3552147877617</v>
      </c>
      <c r="H35" s="7"/>
      <c r="I35" s="7">
        <f>F35</f>
        <v>6353.345114710379</v>
      </c>
    </row>
    <row r="36" spans="1:9" ht="12.75">
      <c r="A36" s="22" t="s">
        <v>83</v>
      </c>
      <c r="B36" s="7">
        <v>9129.679920446279</v>
      </c>
      <c r="C36" s="7">
        <f t="shared" si="2"/>
        <v>10798.0184567808</v>
      </c>
      <c r="D36" s="7">
        <f>SUM('Steps 3-5'!I20)</f>
        <v>9558.908127567262</v>
      </c>
      <c r="E36" s="17">
        <f t="shared" si="3"/>
        <v>-0.11475349242762381</v>
      </c>
      <c r="F36" s="7">
        <f t="shared" si="4"/>
        <v>13497.523070976</v>
      </c>
      <c r="G36" s="7">
        <f t="shared" si="5"/>
        <v>3938.6149434087383</v>
      </c>
      <c r="H36" s="7">
        <f>(G36/$G$54)*$G$53</f>
        <v>800.0612000180784</v>
      </c>
      <c r="I36" s="7">
        <f>D36+H36</f>
        <v>10358.96932758534</v>
      </c>
    </row>
    <row r="37" spans="1:9" ht="12.75">
      <c r="A37" t="s">
        <v>111</v>
      </c>
      <c r="B37" s="7">
        <v>8200.614045453653</v>
      </c>
      <c r="C37" s="7">
        <f t="shared" si="2"/>
        <v>9699.177034830358</v>
      </c>
      <c r="D37" s="7">
        <f>SUM('Steps 3-5'!I15)</f>
        <v>28664.20885613001</v>
      </c>
      <c r="E37" s="17">
        <f t="shared" si="3"/>
        <v>1.9553238128549488</v>
      </c>
      <c r="F37" s="7">
        <f t="shared" si="4"/>
        <v>12123.971293537947</v>
      </c>
      <c r="G37" s="7">
        <f t="shared" si="5"/>
        <v>-16540.237562592065</v>
      </c>
      <c r="H37" s="7"/>
      <c r="I37" s="7">
        <f>F37</f>
        <v>12123.971293537947</v>
      </c>
    </row>
    <row r="38" spans="2:6" ht="12.75">
      <c r="B38" s="7"/>
      <c r="C38" s="7"/>
      <c r="D38" s="7"/>
      <c r="F38" s="7"/>
    </row>
    <row r="39" spans="1:6" ht="12.75">
      <c r="A39" s="27" t="s">
        <v>92</v>
      </c>
      <c r="B39" s="7"/>
      <c r="C39" s="7"/>
      <c r="D39" s="7"/>
      <c r="F39" s="7"/>
    </row>
    <row r="40" spans="1:6" ht="12.75">
      <c r="A40" s="22" t="s">
        <v>84</v>
      </c>
      <c r="B40" s="7">
        <v>2022</v>
      </c>
      <c r="C40" s="7">
        <f>B40*1.1827379</f>
        <v>2391.4960338</v>
      </c>
      <c r="D40" s="7"/>
      <c r="F40" s="7"/>
    </row>
    <row r="41" spans="1:6" ht="12.75">
      <c r="A41" s="22" t="s">
        <v>85</v>
      </c>
      <c r="B41" s="7">
        <v>2022</v>
      </c>
      <c r="C41" s="7">
        <f>B41*1.1827379</f>
        <v>2391.4960338</v>
      </c>
      <c r="D41" s="7"/>
      <c r="F41" s="7"/>
    </row>
    <row r="42" spans="1:6" ht="12.75">
      <c r="A42" s="22"/>
      <c r="B42" s="7"/>
      <c r="C42" s="7"/>
      <c r="D42" s="7"/>
      <c r="F42" s="7"/>
    </row>
    <row r="43" spans="1:6" ht="12.75">
      <c r="A43" s="19" t="s">
        <v>62</v>
      </c>
      <c r="B43" s="7"/>
      <c r="C43" s="7"/>
      <c r="D43" s="7"/>
      <c r="F43" s="7"/>
    </row>
    <row r="44" spans="1:9" ht="12.75">
      <c r="A44" s="26" t="s">
        <v>79</v>
      </c>
      <c r="B44" s="7">
        <v>3763.307022726826</v>
      </c>
      <c r="C44" s="7">
        <f aca="true" t="shared" si="6" ref="C44:C49">B44*1.1827379</f>
        <v>4451.005845115178</v>
      </c>
      <c r="D44" s="7">
        <f>SUM('Steps 3-5'!I4)</f>
        <v>12763.860000316447</v>
      </c>
      <c r="E44" s="17">
        <f aca="true" t="shared" si="7" ref="E44:E49">(D44-C44)/C44</f>
        <v>1.8676349671219445</v>
      </c>
      <c r="F44" s="7">
        <f aca="true" t="shared" si="8" ref="F44:F49">C44*1.25</f>
        <v>5563.757306393973</v>
      </c>
      <c r="G44" s="7">
        <f aca="true" t="shared" si="9" ref="G44:G49">F44-D44</f>
        <v>-7200.102693922474</v>
      </c>
      <c r="H44" s="7"/>
      <c r="I44" s="7">
        <f>F44</f>
        <v>5563.757306393973</v>
      </c>
    </row>
    <row r="45" spans="1:9" ht="12.75">
      <c r="A45" s="26" t="s">
        <v>86</v>
      </c>
      <c r="B45" s="7">
        <v>3785.548296703922</v>
      </c>
      <c r="C45" s="7">
        <f t="shared" si="6"/>
        <v>4477.311442792174</v>
      </c>
      <c r="D45" s="7">
        <f>SUM('Steps 3-5'!I12)</f>
        <v>14173.77904053661</v>
      </c>
      <c r="E45" s="17">
        <f t="shared" si="7"/>
        <v>2.165689772006893</v>
      </c>
      <c r="F45" s="7">
        <f t="shared" si="8"/>
        <v>5596.639303490218</v>
      </c>
      <c r="G45" s="7">
        <f t="shared" si="9"/>
        <v>-8577.139737046393</v>
      </c>
      <c r="H45" s="7"/>
      <c r="I45" s="7">
        <f>F45</f>
        <v>5596.639303490218</v>
      </c>
    </row>
    <row r="46" spans="1:9" ht="12.75">
      <c r="A46" s="21" t="s">
        <v>37</v>
      </c>
      <c r="B46" s="7">
        <v>3988.5351136341296</v>
      </c>
      <c r="C46" s="7">
        <f t="shared" si="6"/>
        <v>4717.391644375892</v>
      </c>
      <c r="D46" s="7">
        <v>0</v>
      </c>
      <c r="E46" s="55" t="s">
        <v>131</v>
      </c>
      <c r="F46" s="48"/>
      <c r="G46" s="7"/>
      <c r="H46" s="7"/>
      <c r="I46" s="7">
        <f>D46</f>
        <v>0</v>
      </c>
    </row>
    <row r="47" spans="1:9" ht="12.75">
      <c r="A47" s="26" t="s">
        <v>87</v>
      </c>
      <c r="B47" s="7">
        <v>3824.9632126127003</v>
      </c>
      <c r="C47" s="7">
        <f t="shared" si="6"/>
        <v>4523.928957662799</v>
      </c>
      <c r="D47" s="7">
        <f>SUM('Steps 3-5'!I9)</f>
        <v>7891.851939831501</v>
      </c>
      <c r="E47" s="17">
        <f t="shared" si="7"/>
        <v>0.7444685833237918</v>
      </c>
      <c r="F47" s="7">
        <f t="shared" si="8"/>
        <v>5654.911197078499</v>
      </c>
      <c r="G47" s="7">
        <f t="shared" si="9"/>
        <v>-2236.9407427530023</v>
      </c>
      <c r="H47" s="7"/>
      <c r="I47" s="7">
        <f>F47</f>
        <v>5654.911197078499</v>
      </c>
    </row>
    <row r="48" spans="1:9" ht="12.75">
      <c r="A48" s="21" t="s">
        <v>65</v>
      </c>
      <c r="B48" s="7">
        <v>4861.293965899931</v>
      </c>
      <c r="C48" s="7">
        <f t="shared" si="6"/>
        <v>5749.636616511157</v>
      </c>
      <c r="D48" s="7">
        <v>0</v>
      </c>
      <c r="E48" s="55" t="s">
        <v>131</v>
      </c>
      <c r="F48" s="48"/>
      <c r="G48" s="7"/>
      <c r="H48" s="7"/>
      <c r="I48" s="7">
        <f>D48</f>
        <v>0</v>
      </c>
    </row>
    <row r="49" spans="1:14" ht="12.75">
      <c r="A49" t="s">
        <v>88</v>
      </c>
      <c r="B49" s="10">
        <v>4108.1875369286345</v>
      </c>
      <c r="C49" s="10">
        <f t="shared" si="6"/>
        <v>4858.909100233145</v>
      </c>
      <c r="D49" s="10">
        <f>SUM('Steps 3-5'!I10)</f>
        <v>17242.777984348344</v>
      </c>
      <c r="E49" s="17">
        <f t="shared" si="7"/>
        <v>2.5486932619342446</v>
      </c>
      <c r="F49" s="10">
        <f t="shared" si="8"/>
        <v>6073.636375291431</v>
      </c>
      <c r="G49" s="10">
        <f t="shared" si="9"/>
        <v>-11169.141609056913</v>
      </c>
      <c r="H49" s="10"/>
      <c r="I49" s="10">
        <f>F49</f>
        <v>6073.636375291431</v>
      </c>
      <c r="K49" s="46"/>
      <c r="L49" s="46"/>
      <c r="M49" s="46"/>
      <c r="N49" s="46"/>
    </row>
    <row r="50" spans="2:4" ht="12.75">
      <c r="B50" s="7"/>
      <c r="C50" s="7"/>
      <c r="D50" s="7"/>
    </row>
    <row r="51" spans="1:9" ht="13.5" thickBot="1">
      <c r="A51" s="19" t="s">
        <v>89</v>
      </c>
      <c r="B51" s="28">
        <v>1234424</v>
      </c>
      <c r="C51" s="28">
        <f>SUM(C6:C49)</f>
        <v>1460000.0494696002</v>
      </c>
      <c r="D51" s="28">
        <f>SUM(D6:D49)</f>
        <v>1460000</v>
      </c>
      <c r="E51" s="29"/>
      <c r="F51" s="28">
        <f>SUM(F6:F49)</f>
        <v>1809893.4013001604</v>
      </c>
      <c r="G51" s="28">
        <f>SUM(G6:G49)</f>
        <v>349893.4013001607</v>
      </c>
      <c r="H51" s="28">
        <f>SUM(H6:H49)</f>
        <v>89192.7165855033</v>
      </c>
      <c r="I51" s="28">
        <f>SUM(I6:I49)</f>
        <v>1459999.9999999998</v>
      </c>
    </row>
    <row r="52" ht="13.5" thickTop="1">
      <c r="A52" s="27"/>
    </row>
    <row r="53" spans="1:7" ht="12.75">
      <c r="A53" s="27" t="s">
        <v>90</v>
      </c>
      <c r="G53" s="7">
        <f>-SUM(G19,G27:G35,G37,G44:G45,G47,G49)</f>
        <v>89192.71658550328</v>
      </c>
    </row>
    <row r="54" spans="1:7" ht="12.75">
      <c r="A54" s="27" t="s">
        <v>91</v>
      </c>
      <c r="G54" s="7">
        <f>SUM(G6:G17,G22:G25,G36,G46,G48)</f>
        <v>439086.1178856639</v>
      </c>
    </row>
    <row r="55" ht="12.75">
      <c r="A55" s="19"/>
    </row>
    <row r="56" ht="12.75">
      <c r="A56" s="19"/>
    </row>
    <row r="57" ht="12.75">
      <c r="A57" s="27"/>
    </row>
    <row r="58" ht="12.75">
      <c r="A58" s="27"/>
    </row>
    <row r="59" ht="12.75">
      <c r="A59" s="27"/>
    </row>
    <row r="60" ht="12.75">
      <c r="A60" s="27"/>
    </row>
    <row r="61" ht="12.75">
      <c r="A61" s="27"/>
    </row>
    <row r="62" ht="12.75">
      <c r="A62" s="27"/>
    </row>
    <row r="63" ht="12.75">
      <c r="A63" s="11"/>
    </row>
    <row r="64" ht="12.75">
      <c r="A64" s="19"/>
    </row>
    <row r="65" ht="12.75">
      <c r="A65" s="19"/>
    </row>
    <row r="66" ht="12.75">
      <c r="A66" s="19"/>
    </row>
    <row r="67" ht="12.75">
      <c r="A67" s="27"/>
    </row>
    <row r="68" ht="12.75">
      <c r="A68" s="27"/>
    </row>
    <row r="69" ht="12.75">
      <c r="A69" s="27"/>
    </row>
    <row r="70" ht="12.75">
      <c r="A70" s="22"/>
    </row>
    <row r="71" ht="12.75">
      <c r="A71" s="27"/>
    </row>
    <row r="72" ht="12.75">
      <c r="A72" s="23"/>
    </row>
    <row r="73" ht="12.75">
      <c r="A73" s="23"/>
    </row>
    <row r="74" ht="12.75">
      <c r="A74" s="22"/>
    </row>
    <row r="75" ht="12.75">
      <c r="A75" s="11"/>
    </row>
    <row r="77" ht="12.75">
      <c r="A77" s="19"/>
    </row>
    <row r="78" ht="12.75">
      <c r="A78" s="23"/>
    </row>
    <row r="79" ht="12.75">
      <c r="A79" s="21"/>
    </row>
    <row r="80" ht="12.75">
      <c r="A80" s="22"/>
    </row>
    <row r="81" ht="12.75">
      <c r="A81" s="11"/>
    </row>
  </sheetData>
  <mergeCells count="1">
    <mergeCell ref="F1:I1"/>
  </mergeCells>
  <printOptions/>
  <pageMargins left="0.5" right="0.5" top="1.5" bottom="1" header="0.5" footer="0.5"/>
  <pageSetup horizontalDpi="600" verticalDpi="600" orientation="portrait" scale="80" r:id="rId1"/>
  <headerFooter alignWithMargins="0">
    <oddHeader>&amp;C&amp;"Arial,Bold"&amp;12Washington Utilities and Transportation Commission
Pipeline Safety Program
Proposed Fee Rule Example Step 6</oddHeader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1"/>
  <sheetViews>
    <sheetView workbookViewId="0" topLeftCell="A22">
      <selection activeCell="C6" sqref="C6"/>
    </sheetView>
  </sheetViews>
  <sheetFormatPr defaultColWidth="9.140625" defaultRowHeight="12.75"/>
  <cols>
    <col min="1" max="1" width="35.8515625" style="0" customWidth="1"/>
    <col min="2" max="2" width="11.8515625" style="0" customWidth="1"/>
    <col min="3" max="3" width="11.421875" style="0" customWidth="1"/>
    <col min="4" max="4" width="11.00390625" style="0" customWidth="1"/>
    <col min="5" max="5" width="9.7109375" style="7" customWidth="1"/>
    <col min="6" max="6" width="10.421875" style="0" customWidth="1"/>
    <col min="7" max="7" width="11.57421875" style="0" customWidth="1"/>
    <col min="8" max="8" width="10.28125" style="7" bestFit="1" customWidth="1"/>
  </cols>
  <sheetData>
    <row r="1" spans="2:10" ht="12.75">
      <c r="B1" s="1"/>
      <c r="C1" s="1"/>
      <c r="F1" s="20"/>
      <c r="G1" s="20"/>
      <c r="H1" s="34"/>
      <c r="I1" s="35"/>
      <c r="J1" s="35"/>
    </row>
    <row r="2" spans="2:10" ht="12.75">
      <c r="B2" s="1" t="s">
        <v>112</v>
      </c>
      <c r="C2" s="49" t="s">
        <v>130</v>
      </c>
      <c r="E2" s="58" t="s">
        <v>9</v>
      </c>
      <c r="F2" s="58"/>
      <c r="G2" s="20"/>
      <c r="H2" s="34"/>
      <c r="I2" s="35"/>
      <c r="J2" s="35"/>
    </row>
    <row r="3" spans="2:10" ht="12.75">
      <c r="B3" s="31">
        <v>2005</v>
      </c>
      <c r="C3" s="50" t="s">
        <v>120</v>
      </c>
      <c r="E3" s="58" t="s">
        <v>123</v>
      </c>
      <c r="F3" s="58"/>
      <c r="G3" s="20"/>
      <c r="H3" s="34"/>
      <c r="I3" s="35"/>
      <c r="J3" s="35"/>
    </row>
    <row r="4" spans="1:10" ht="13.5" thickBot="1">
      <c r="A4" s="33" t="s">
        <v>93</v>
      </c>
      <c r="B4" s="2" t="s">
        <v>50</v>
      </c>
      <c r="C4" s="2" t="s">
        <v>110</v>
      </c>
      <c r="D4" s="47" t="s">
        <v>129</v>
      </c>
      <c r="E4" s="3" t="s">
        <v>124</v>
      </c>
      <c r="F4" s="2" t="s">
        <v>125</v>
      </c>
      <c r="G4" s="35"/>
      <c r="H4" s="34"/>
      <c r="I4" s="35"/>
      <c r="J4" s="35"/>
    </row>
    <row r="5" spans="1:10" ht="12.75">
      <c r="A5" s="11" t="s">
        <v>94</v>
      </c>
      <c r="B5" s="20"/>
      <c r="C5" s="20"/>
      <c r="F5" s="37"/>
      <c r="G5" s="35"/>
      <c r="H5" s="34"/>
      <c r="I5" s="35"/>
      <c r="J5" s="35"/>
    </row>
    <row r="6" spans="1:10" ht="12.75">
      <c r="A6" s="26" t="s">
        <v>95</v>
      </c>
      <c r="B6" s="4">
        <v>7835.460534090239</v>
      </c>
      <c r="C6" s="4">
        <f>SUM('Stop Loss Step 6'!C31,'Stop Loss Step 6'!C44)</f>
        <v>9267.296137622769</v>
      </c>
      <c r="D6" s="4">
        <f>SUM('Stop Loss Step 6'!I44,'Stop Loss Step 6'!I31)</f>
        <v>11584.120172028459</v>
      </c>
      <c r="E6" s="17">
        <f>(D6-B6)/B6</f>
        <v>0.4784223749999999</v>
      </c>
      <c r="F6" s="17">
        <f>(D6-C6)/C6</f>
        <v>0.2499999999999998</v>
      </c>
      <c r="G6" s="34"/>
      <c r="H6" s="34"/>
      <c r="I6" s="35"/>
      <c r="J6" s="35"/>
    </row>
    <row r="7" spans="1:10" ht="12.75">
      <c r="A7" s="26" t="s">
        <v>96</v>
      </c>
      <c r="B7" s="7">
        <v>89106.71649998424</v>
      </c>
      <c r="C7" s="7">
        <f>SUM('Stop Loss Step 6'!C17:C18,'Stop Loss Step 6'!C46,'Stop Loss Step 6'!C48)</f>
        <v>105389.89074908668</v>
      </c>
      <c r="D7" s="7">
        <f>SUM('Stop Loss Step 6'!I48,'Stop Loss Step 6'!I46,'Stop Loss Step 6'!I17)</f>
        <v>128810.59720604925</v>
      </c>
      <c r="E7" s="17">
        <f>(D7-B7)/B7</f>
        <v>0.44557674511631273</v>
      </c>
      <c r="F7" s="17">
        <f>(D7-C7)/C7</f>
        <v>0.22222915585635078</v>
      </c>
      <c r="G7" s="34"/>
      <c r="H7" s="34"/>
      <c r="I7" s="35"/>
      <c r="J7" s="35"/>
    </row>
    <row r="8" spans="1:10" ht="12.75">
      <c r="A8" s="26"/>
      <c r="B8" s="7"/>
      <c r="C8" s="7"/>
      <c r="D8" s="7"/>
      <c r="E8" s="17"/>
      <c r="F8" s="35"/>
      <c r="G8" s="34"/>
      <c r="H8" s="34"/>
      <c r="I8" s="34"/>
      <c r="J8" s="35"/>
    </row>
    <row r="9" spans="1:10" ht="12.75">
      <c r="A9" s="1" t="s">
        <v>97</v>
      </c>
      <c r="B9" s="20"/>
      <c r="C9" s="20"/>
      <c r="F9" s="39"/>
      <c r="G9" s="34"/>
      <c r="H9" s="34"/>
      <c r="I9" s="35"/>
      <c r="J9" s="35"/>
    </row>
    <row r="10" spans="1:10" ht="12.75">
      <c r="A10" t="s">
        <v>30</v>
      </c>
      <c r="B10" s="7">
        <v>7424.174531850436</v>
      </c>
      <c r="C10" s="7">
        <f>SUM('Stop Loss Step 6'!C6)</f>
        <v>8780.852595034268</v>
      </c>
      <c r="D10" s="7">
        <f>SUM('Stop Loss Step 6'!I6)</f>
        <v>3037.398734948052</v>
      </c>
      <c r="E10" s="17">
        <f>(D10-B10)/B10</f>
        <v>-0.5908772454207112</v>
      </c>
      <c r="F10" s="17">
        <f>(D10-C10)/C10</f>
        <v>-0.6540884040502222</v>
      </c>
      <c r="G10" s="34"/>
      <c r="H10" s="34"/>
      <c r="I10" s="35"/>
      <c r="J10" s="35"/>
    </row>
    <row r="11" spans="1:10" ht="25.5">
      <c r="A11" s="32" t="s">
        <v>40</v>
      </c>
      <c r="B11" s="7">
        <v>42329.76060834028</v>
      </c>
      <c r="C11" s="7">
        <f>SUM('Stop Loss Step 6'!C7)</f>
        <v>50065.01216941111</v>
      </c>
      <c r="D11" s="7">
        <f>SUM('Stop Loss Step 6'!I7)</f>
        <v>24667.37601954046</v>
      </c>
      <c r="E11" s="17">
        <f>(D11-B11)/B11</f>
        <v>-0.4172568976286575</v>
      </c>
      <c r="F11" s="17">
        <f>(D11-C11)/C11</f>
        <v>-0.5072931184742262</v>
      </c>
      <c r="G11" s="34"/>
      <c r="H11" s="34"/>
      <c r="I11" s="35"/>
      <c r="J11" s="35"/>
    </row>
    <row r="12" spans="1:10" ht="12.75">
      <c r="A12" s="26" t="s">
        <v>98</v>
      </c>
      <c r="B12" s="7">
        <v>244952.02582193032</v>
      </c>
      <c r="C12" s="7">
        <f>SUM('Stop Loss Step 6'!C8,'Stop Loss Step 6'!C10,'Stop Loss Step 6'!C11)</f>
        <v>289714.0446213756</v>
      </c>
      <c r="D12" s="7">
        <f>SUM('Stop Loss Step 6'!I8)</f>
        <v>323522.21181572514</v>
      </c>
      <c r="E12" s="17">
        <f>(D12-B12)/B12</f>
        <v>0.32075744517790594</v>
      </c>
      <c r="F12" s="17">
        <f>(D12-C12)/C12</f>
        <v>0.11669495429030054</v>
      </c>
      <c r="G12" s="34"/>
      <c r="H12" s="34"/>
      <c r="I12" s="35"/>
      <c r="J12" s="35"/>
    </row>
    <row r="13" spans="1:10" ht="12.75">
      <c r="A13" s="26"/>
      <c r="B13" s="7"/>
      <c r="C13" s="7"/>
      <c r="D13" s="7"/>
      <c r="E13" s="17"/>
      <c r="F13" s="35"/>
      <c r="G13" s="34"/>
      <c r="H13" s="34"/>
      <c r="I13" s="35"/>
      <c r="J13" s="35"/>
    </row>
    <row r="14" spans="1:10" ht="12.75">
      <c r="A14" s="1" t="s">
        <v>99</v>
      </c>
      <c r="B14" s="7"/>
      <c r="C14" s="7"/>
      <c r="F14" s="40"/>
      <c r="G14" s="34"/>
      <c r="H14" s="34"/>
      <c r="I14" s="34"/>
      <c r="J14" s="35"/>
    </row>
    <row r="15" spans="1:10" ht="25.5">
      <c r="A15" s="32" t="s">
        <v>13</v>
      </c>
      <c r="B15" s="7">
        <v>27637.695463879798</v>
      </c>
      <c r="C15" s="7">
        <f>SUM('Stop Loss Step 6'!C14:C15)</f>
        <v>32688.149893788715</v>
      </c>
      <c r="D15" s="7">
        <f>SUM('Stop Loss Step 6'!I15)</f>
        <v>23192.72456220016</v>
      </c>
      <c r="E15" s="17">
        <f>(D15-B15)/B15</f>
        <v>-0.16083001231013813</v>
      </c>
      <c r="F15" s="17">
        <f>(D15-C15)/C15</f>
        <v>-0.2904852480926992</v>
      </c>
      <c r="G15" s="34"/>
      <c r="H15" s="34"/>
      <c r="I15" s="35"/>
      <c r="J15" s="35"/>
    </row>
    <row r="16" spans="1:10" ht="12.75">
      <c r="A16" t="s">
        <v>100</v>
      </c>
      <c r="B16" s="7">
        <v>30225.7295000305</v>
      </c>
      <c r="C16" s="7">
        <f>SUM('Stop Loss Step 6'!C16)</f>
        <v>35749.11583483412</v>
      </c>
      <c r="D16" s="7">
        <f>SUM('Stop Loss Step 6'!I16)</f>
        <v>33720.14361278107</v>
      </c>
      <c r="E16" s="17">
        <f>(D16-B16)/B16</f>
        <v>0.11561057981237614</v>
      </c>
      <c r="F16" s="17">
        <f>(D16-C16)/C16</f>
        <v>-0.05675587142986099</v>
      </c>
      <c r="G16" s="34"/>
      <c r="H16" s="34"/>
      <c r="I16" s="35"/>
      <c r="J16" s="35"/>
    </row>
    <row r="17" spans="1:10" ht="12.75">
      <c r="A17" t="s">
        <v>101</v>
      </c>
      <c r="B17" s="7">
        <v>4381</v>
      </c>
      <c r="C17" s="7">
        <f>SUM('Stop Loss Step 6'!C19)</f>
        <v>5181.5747399</v>
      </c>
      <c r="D17" s="7">
        <f>SUM('Stop Loss Step 6'!I19)</f>
        <v>6476.968424875</v>
      </c>
      <c r="E17" s="17">
        <f>(D17-B17)/B17</f>
        <v>0.478422375</v>
      </c>
      <c r="F17" s="17">
        <f>(D17-C17)/C17</f>
        <v>0.24999999999999994</v>
      </c>
      <c r="G17" s="34"/>
      <c r="H17" s="34"/>
      <c r="I17" s="34"/>
      <c r="J17" s="34"/>
    </row>
    <row r="18" spans="1:10" ht="12.75">
      <c r="A18" t="s">
        <v>41</v>
      </c>
      <c r="B18" s="7">
        <v>13355.631478356343</v>
      </c>
      <c r="C18" s="7">
        <f>SUM('Stop Loss Step 6'!C13)</f>
        <v>15796.211527885076</v>
      </c>
      <c r="D18" s="7">
        <f>SUM('Stop Loss Step 6'!I13)</f>
        <v>15776.199401815624</v>
      </c>
      <c r="E18" s="17">
        <f>(D18-B18)/B18</f>
        <v>0.18123949641632192</v>
      </c>
      <c r="F18" s="17">
        <f>(D18-C18)/C18</f>
        <v>-0.0012668940292502949</v>
      </c>
      <c r="G18" s="34"/>
      <c r="H18" s="34"/>
      <c r="I18" s="35"/>
      <c r="J18" s="35"/>
    </row>
    <row r="19" spans="2:10" ht="12.75">
      <c r="B19" s="7"/>
      <c r="C19" s="7"/>
      <c r="D19" s="7"/>
      <c r="E19" s="17"/>
      <c r="F19" s="35"/>
      <c r="G19" s="34"/>
      <c r="H19" s="34"/>
      <c r="I19" s="35"/>
      <c r="J19" s="35"/>
    </row>
    <row r="20" spans="1:10" ht="12.75">
      <c r="A20" s="1" t="s">
        <v>102</v>
      </c>
      <c r="B20" s="7"/>
      <c r="C20" s="7"/>
      <c r="F20" s="36"/>
      <c r="G20" s="34"/>
      <c r="H20" s="34"/>
      <c r="I20" s="35"/>
      <c r="J20" s="35"/>
    </row>
    <row r="21" spans="1:10" ht="12.75">
      <c r="A21" s="26" t="s">
        <v>103</v>
      </c>
      <c r="B21" s="7">
        <v>113953.87098803693</v>
      </c>
      <c r="C21" s="7">
        <f>SUM('Stop Loss Step 6'!C23)</f>
        <v>134777.5620692617</v>
      </c>
      <c r="D21" s="7">
        <f>SUM('Stop Loss Step 6'!I23)</f>
        <v>122594.34969376598</v>
      </c>
      <c r="E21" s="17">
        <f>(D21-B21)/B21</f>
        <v>0.07582435445862251</v>
      </c>
      <c r="F21" s="17">
        <f>(D21-C21)/C21</f>
        <v>-0.09039496032162103</v>
      </c>
      <c r="G21" s="34"/>
      <c r="H21" s="34"/>
      <c r="I21" s="35"/>
      <c r="J21" s="35"/>
    </row>
    <row r="22" spans="1:10" ht="12.75">
      <c r="A22" s="26" t="s">
        <v>104</v>
      </c>
      <c r="B22" s="7">
        <v>174814.06721502994</v>
      </c>
      <c r="C22" s="7">
        <f>SUM('Stop Loss Step 6'!C24)</f>
        <v>206759.22274836336</v>
      </c>
      <c r="D22" s="7">
        <f>SUM('Stop Loss Step 6'!I24)</f>
        <v>182236.53111733048</v>
      </c>
      <c r="E22" s="17">
        <f>(D22-B22)/B22</f>
        <v>0.04245919118837586</v>
      </c>
      <c r="F22" s="17">
        <f>(D22-C22)/C22</f>
        <v>-0.11860506779365418</v>
      </c>
      <c r="G22" s="34"/>
      <c r="H22" s="34"/>
      <c r="I22" s="35"/>
      <c r="J22" s="35"/>
    </row>
    <row r="23" spans="1:10" ht="12.75">
      <c r="A23" s="26" t="s">
        <v>105</v>
      </c>
      <c r="B23" s="7">
        <v>52615.06506786591</v>
      </c>
      <c r="C23" s="7">
        <f>SUM('Stop Loss Step 6'!C22)</f>
        <v>62229.83156673108</v>
      </c>
      <c r="D23" s="7">
        <f>SUM('Stop Loss Step 6'!I22)</f>
        <v>53859.13458146114</v>
      </c>
      <c r="E23" s="17">
        <f>(D23-B23)/B23</f>
        <v>0.023644739619547404</v>
      </c>
      <c r="F23" s="17">
        <f>(D23-C23)/C23</f>
        <v>-0.13451260873643484</v>
      </c>
      <c r="G23" s="34"/>
      <c r="H23" s="34"/>
      <c r="I23" s="35"/>
      <c r="J23" s="35"/>
    </row>
    <row r="24" spans="1:10" ht="12.75">
      <c r="A24" s="26" t="s">
        <v>106</v>
      </c>
      <c r="B24" s="7">
        <v>356410.2813999924</v>
      </c>
      <c r="C24" s="7">
        <f>SUM('Stop Loss Step 6'!C9,'Stop Loss Step 6'!C25,'Stop Loss Step 6'!C40:C41)</f>
        <v>421539.9477614361</v>
      </c>
      <c r="D24" s="7">
        <f>SUM('Stop Loss Step 6'!I25)</f>
        <v>431084.12708228326</v>
      </c>
      <c r="E24" s="17">
        <f>(D24-B24)/B24</f>
        <v>0.2095165307492514</v>
      </c>
      <c r="F24" s="17">
        <f>(D24-C24)/C24</f>
        <v>0.0226412214821655</v>
      </c>
      <c r="G24" s="34"/>
      <c r="H24" s="34"/>
      <c r="I24" s="35"/>
      <c r="J24" s="35"/>
    </row>
    <row r="25" spans="1:10" ht="12.75">
      <c r="A25" s="26"/>
      <c r="B25" s="7"/>
      <c r="C25" s="7"/>
      <c r="D25" s="7"/>
      <c r="E25" s="17"/>
      <c r="F25" s="41"/>
      <c r="G25" s="34"/>
      <c r="H25" s="34"/>
      <c r="I25" s="34"/>
      <c r="J25" s="34"/>
    </row>
    <row r="26" spans="1:10" ht="12.75">
      <c r="A26" s="1" t="s">
        <v>107</v>
      </c>
      <c r="F26" s="37"/>
      <c r="G26" s="34"/>
      <c r="H26" s="34"/>
      <c r="I26" s="35"/>
      <c r="J26" s="35"/>
    </row>
    <row r="27" spans="1:10" ht="12.75">
      <c r="A27" t="s">
        <v>23</v>
      </c>
      <c r="B27" s="7">
        <v>5335.685570333333</v>
      </c>
      <c r="C27" s="7">
        <f>SUM('Stop Loss Step 6'!C27)</f>
        <v>6310.717546516349</v>
      </c>
      <c r="D27" s="7">
        <f>SUM('Stop Loss Step 6'!I27)</f>
        <v>7888.396933145436</v>
      </c>
      <c r="E27" s="17">
        <f>(D27-B27)/B27</f>
        <v>0.4784223750000001</v>
      </c>
      <c r="F27" s="17">
        <f>(D27-C27)/C27</f>
        <v>0.25</v>
      </c>
      <c r="G27" s="34"/>
      <c r="H27" s="34"/>
      <c r="I27" s="35"/>
      <c r="J27" s="35"/>
    </row>
    <row r="28" spans="1:10" ht="12.75">
      <c r="A28" t="s">
        <v>24</v>
      </c>
      <c r="B28" s="7">
        <v>7168.197624977882</v>
      </c>
      <c r="C28" s="7">
        <f>SUM('Stop Loss Step 6'!C28)</f>
        <v>8478.099005751328</v>
      </c>
      <c r="D28" s="7">
        <f>SUM('Stop Loss Step 6'!I28)</f>
        <v>10597.62375718916</v>
      </c>
      <c r="E28" s="17">
        <f>(D28-B28)/B28</f>
        <v>0.47842237500000007</v>
      </c>
      <c r="F28" s="17">
        <f>(D28-C28)/C28</f>
        <v>0.24999999999999994</v>
      </c>
      <c r="G28" s="34"/>
      <c r="H28" s="34"/>
      <c r="I28" s="35"/>
      <c r="J28" s="35"/>
    </row>
    <row r="29" spans="1:10" ht="12.75">
      <c r="A29" t="s">
        <v>25</v>
      </c>
      <c r="B29" s="7">
        <v>7111.8906022510555</v>
      </c>
      <c r="C29" s="7">
        <f>SUM('Stop Loss Step 6'!C29)</f>
        <v>8411.50255593615</v>
      </c>
      <c r="D29" s="7">
        <f>SUM('Stop Loss Step 6'!I29)</f>
        <v>10514.378194920188</v>
      </c>
      <c r="E29" s="17">
        <f>(D29-B29)/B29</f>
        <v>0.47842237500000023</v>
      </c>
      <c r="F29" s="17">
        <f>(D29-C29)/C29</f>
        <v>0.2500000000000001</v>
      </c>
      <c r="G29" s="34"/>
      <c r="H29" s="34"/>
      <c r="I29" s="35"/>
      <c r="J29" s="35"/>
    </row>
    <row r="30" spans="2:10" ht="12.75">
      <c r="B30" s="7"/>
      <c r="C30" s="7"/>
      <c r="D30" s="7"/>
      <c r="E30" s="17"/>
      <c r="F30" s="37"/>
      <c r="G30" s="34"/>
      <c r="H30" s="34"/>
      <c r="I30" s="35"/>
      <c r="J30" s="35"/>
    </row>
    <row r="31" spans="1:10" ht="12.75">
      <c r="A31" s="1" t="s">
        <v>108</v>
      </c>
      <c r="F31" s="41"/>
      <c r="G31" s="34"/>
      <c r="H31" s="34"/>
      <c r="I31" s="34"/>
      <c r="J31" s="34"/>
    </row>
    <row r="32" spans="1:10" ht="12.75">
      <c r="A32" t="s">
        <v>21</v>
      </c>
      <c r="B32" s="7">
        <v>8200.614045453653</v>
      </c>
      <c r="C32" s="7">
        <f>SUM('Stop Loss Step 6'!C37)</f>
        <v>9699.177034830358</v>
      </c>
      <c r="D32" s="7">
        <f>SUM('Stop Loss Step 6'!I37)</f>
        <v>12123.971293537947</v>
      </c>
      <c r="E32" s="17">
        <f aca="true" t="shared" si="0" ref="E32:E37">(D32-B32)/B32</f>
        <v>0.47842237499999996</v>
      </c>
      <c r="F32" s="17">
        <f aca="true" t="shared" si="1" ref="F32:F37">(D32-C32)/C32</f>
        <v>0.24999999999999992</v>
      </c>
      <c r="G32" s="34"/>
      <c r="H32" s="34"/>
      <c r="I32" s="35"/>
      <c r="J32" s="35"/>
    </row>
    <row r="33" spans="1:10" ht="12.75">
      <c r="A33" t="s">
        <v>26</v>
      </c>
      <c r="B33" s="7">
        <v>9129.679920446279</v>
      </c>
      <c r="C33" s="7">
        <f>SUM('Stop Loss Step 6'!C36)</f>
        <v>10798.0184567808</v>
      </c>
      <c r="D33" s="7">
        <f>SUM('Stop Loss Step 6'!I36)</f>
        <v>10358.96932758534</v>
      </c>
      <c r="E33" s="17">
        <f t="shared" si="0"/>
        <v>0.1346475909178393</v>
      </c>
      <c r="F33" s="17">
        <f t="shared" si="1"/>
        <v>-0.040660157319859946</v>
      </c>
      <c r="G33" s="34"/>
      <c r="H33" s="34"/>
      <c r="I33" s="35"/>
      <c r="J33" s="35"/>
    </row>
    <row r="34" spans="1:10" ht="12.75">
      <c r="A34" t="s">
        <v>28</v>
      </c>
      <c r="B34" s="7">
        <v>4091.297899090534</v>
      </c>
      <c r="C34" s="7">
        <f>SUM('Stop Loss Step 6'!C33)</f>
        <v>4838.93308544475</v>
      </c>
      <c r="D34" s="7">
        <f>SUM('Stop Loss Step 6'!I33)</f>
        <v>6048.6663568059375</v>
      </c>
      <c r="E34" s="17">
        <f t="shared" si="0"/>
        <v>0.478422375</v>
      </c>
      <c r="F34" s="17">
        <f t="shared" si="1"/>
        <v>0.25000000000000006</v>
      </c>
      <c r="G34" s="34"/>
      <c r="H34" s="34"/>
      <c r="I34" s="35"/>
      <c r="J34" s="35"/>
    </row>
    <row r="35" spans="1:10" ht="12.75">
      <c r="A35" t="s">
        <v>29</v>
      </c>
      <c r="B35" s="7">
        <v>8172.460534090239</v>
      </c>
      <c r="C35" s="7">
        <f>SUM('Stop Loss Step 6'!C32)</f>
        <v>9665.878809922768</v>
      </c>
      <c r="D35" s="7">
        <f>SUM('Stop Loss Step 6'!I32)</f>
        <v>12082.34851240346</v>
      </c>
      <c r="E35" s="17">
        <f t="shared" si="0"/>
        <v>0.478422375</v>
      </c>
      <c r="F35" s="17">
        <f t="shared" si="1"/>
        <v>0.25</v>
      </c>
      <c r="G35" s="34"/>
      <c r="H35" s="34"/>
      <c r="I35" s="35"/>
      <c r="J35" s="35"/>
    </row>
    <row r="36" spans="1:10" ht="12.75">
      <c r="A36" t="s">
        <v>33</v>
      </c>
      <c r="B36" s="7">
        <v>4156.614045453652</v>
      </c>
      <c r="C36" s="7">
        <f>SUM('Stop Loss Step 6'!C34)</f>
        <v>4916.184967230357</v>
      </c>
      <c r="D36" s="7">
        <f>SUM('Stop Loss Step 6'!I34)</f>
        <v>6145.231209037946</v>
      </c>
      <c r="E36" s="17">
        <f t="shared" si="0"/>
        <v>0.4784223750000002</v>
      </c>
      <c r="F36" s="17">
        <f t="shared" si="1"/>
        <v>0.25000000000000006</v>
      </c>
      <c r="G36" s="34"/>
      <c r="H36" s="34"/>
      <c r="I36" s="35"/>
      <c r="J36" s="35"/>
    </row>
    <row r="37" spans="1:10" ht="12.75">
      <c r="A37" t="s">
        <v>42</v>
      </c>
      <c r="B37" s="7">
        <v>4297.381602270717</v>
      </c>
      <c r="C37" s="7">
        <f>SUM('Stop Loss Step 6'!C35)</f>
        <v>5082.676091768303</v>
      </c>
      <c r="D37" s="7">
        <f>SUM('Stop Loss Step 6'!I35)</f>
        <v>6353.345114710379</v>
      </c>
      <c r="E37" s="17">
        <f t="shared" si="0"/>
        <v>0.478422375</v>
      </c>
      <c r="F37" s="17">
        <f t="shared" si="1"/>
        <v>0.24999999999999994</v>
      </c>
      <c r="G37" s="34"/>
      <c r="H37" s="34"/>
      <c r="I37" s="35"/>
      <c r="J37" s="35"/>
    </row>
    <row r="38" spans="2:10" ht="12.75">
      <c r="B38" s="7"/>
      <c r="C38" s="7"/>
      <c r="D38" s="7"/>
      <c r="E38" s="17"/>
      <c r="F38" s="35"/>
      <c r="G38" s="34"/>
      <c r="H38" s="34"/>
      <c r="I38" s="35"/>
      <c r="J38" s="35"/>
    </row>
    <row r="39" spans="1:10" ht="12.75">
      <c r="A39" s="1" t="s">
        <v>109</v>
      </c>
      <c r="F39" s="42"/>
      <c r="G39" s="34"/>
      <c r="H39" s="34"/>
      <c r="I39" s="35"/>
      <c r="J39" s="35"/>
    </row>
    <row r="40" spans="1:10" ht="12.75">
      <c r="A40" t="s">
        <v>15</v>
      </c>
      <c r="B40" s="7">
        <v>3824.9632126127003</v>
      </c>
      <c r="C40" s="7">
        <f>SUM('Stop Loss Step 6'!C47)</f>
        <v>4523.928957662799</v>
      </c>
      <c r="D40" s="7">
        <f>SUM('Stop Loss Step 6'!I47)</f>
        <v>5654.911197078499</v>
      </c>
      <c r="E40" s="17">
        <f>(D40-B40)/B40</f>
        <v>0.4784223750000001</v>
      </c>
      <c r="F40" s="17">
        <f>(D40-C40)/C40</f>
        <v>0.25000000000000006</v>
      </c>
      <c r="G40" s="34"/>
      <c r="H40" s="34"/>
      <c r="I40" s="35"/>
      <c r="J40" s="35"/>
    </row>
    <row r="41" spans="1:10" ht="12.75">
      <c r="A41" t="s">
        <v>16</v>
      </c>
      <c r="B41" s="7">
        <v>4108.1875369286345</v>
      </c>
      <c r="C41" s="7">
        <f>SUM('Stop Loss Step 6'!C49)</f>
        <v>4858.909100233145</v>
      </c>
      <c r="D41" s="7">
        <f>SUM('Stop Loss Step 6'!I49)</f>
        <v>6073.636375291431</v>
      </c>
      <c r="E41" s="17">
        <f>(D41-B41)/B41</f>
        <v>0.47842237499999984</v>
      </c>
      <c r="F41" s="17">
        <f>(D41-C41)/C41</f>
        <v>0.24999999999999994</v>
      </c>
      <c r="G41" s="34"/>
      <c r="H41" s="34"/>
      <c r="I41" s="35"/>
      <c r="J41" s="35"/>
    </row>
    <row r="42" spans="1:10" ht="12.75">
      <c r="A42" t="s">
        <v>18</v>
      </c>
      <c r="B42" s="10">
        <v>3785.548296703922</v>
      </c>
      <c r="C42" s="10">
        <f>SUM('Stop Loss Step 6'!C45)</f>
        <v>4477.311442792174</v>
      </c>
      <c r="D42" s="10">
        <f>SUM('Stop Loss Step 6'!I45)</f>
        <v>5596.639303490218</v>
      </c>
      <c r="E42" s="17">
        <f>(D42-B42)/B42</f>
        <v>0.4784223750000001</v>
      </c>
      <c r="F42" s="17">
        <f>(D42-C42)/C42</f>
        <v>0.2500000000000001</v>
      </c>
      <c r="G42" s="34"/>
      <c r="H42" s="34"/>
      <c r="I42" s="35"/>
      <c r="J42" s="35"/>
    </row>
    <row r="43" spans="6:10" ht="12.75">
      <c r="F43" s="37"/>
      <c r="G43" s="34"/>
      <c r="H43" s="34"/>
      <c r="I43" s="35"/>
      <c r="J43" s="35"/>
    </row>
    <row r="44" spans="1:10" ht="13.5" thickBot="1">
      <c r="A44" t="s">
        <v>36</v>
      </c>
      <c r="B44" s="14">
        <f>SUM(B5:B42)</f>
        <v>1234424.0000000002</v>
      </c>
      <c r="C44" s="14">
        <f>SUM(C6:C42)</f>
        <v>1460000.0494696</v>
      </c>
      <c r="D44" s="14">
        <f>SUM(D6:D42)</f>
        <v>1459999.9999999998</v>
      </c>
      <c r="E44" s="17">
        <f>(D44-B44)/B44</f>
        <v>0.18273785992495245</v>
      </c>
      <c r="F44" s="41"/>
      <c r="G44" s="34"/>
      <c r="H44" s="34"/>
      <c r="I44" s="35"/>
      <c r="J44" s="35"/>
    </row>
    <row r="45" spans="6:10" ht="13.5" thickTop="1">
      <c r="F45" s="41"/>
      <c r="G45" s="34"/>
      <c r="H45" s="34"/>
      <c r="I45" s="35"/>
      <c r="J45" s="35"/>
    </row>
    <row r="46" spans="6:10" ht="12.75">
      <c r="F46" s="38"/>
      <c r="G46" s="34"/>
      <c r="H46" s="34"/>
      <c r="I46" s="35"/>
      <c r="J46" s="35"/>
    </row>
    <row r="47" spans="6:10" ht="12.75">
      <c r="F47" s="41"/>
      <c r="G47" s="34"/>
      <c r="H47" s="34"/>
      <c r="I47" s="35"/>
      <c r="J47" s="35"/>
    </row>
    <row r="48" spans="6:10" ht="12.75">
      <c r="F48" s="38"/>
      <c r="G48" s="34"/>
      <c r="H48" s="34"/>
      <c r="I48" s="35"/>
      <c r="J48" s="35"/>
    </row>
    <row r="49" spans="6:10" ht="12.75">
      <c r="F49" s="35"/>
      <c r="G49" s="34"/>
      <c r="H49" s="34"/>
      <c r="I49" s="35"/>
      <c r="J49" s="35"/>
    </row>
    <row r="50" spans="6:10" ht="12.75">
      <c r="F50" s="35"/>
      <c r="G50" s="34"/>
      <c r="H50" s="34"/>
      <c r="I50" s="35"/>
      <c r="J50" s="35"/>
    </row>
    <row r="51" spans="6:10" ht="12.75">
      <c r="F51" s="37"/>
      <c r="G51" s="34"/>
      <c r="H51" s="34"/>
      <c r="I51" s="35"/>
      <c r="J51" s="35"/>
    </row>
    <row r="52" spans="6:10" ht="12.75">
      <c r="F52" s="42"/>
      <c r="G52" s="35"/>
      <c r="H52" s="34"/>
      <c r="I52" s="35"/>
      <c r="J52" s="35"/>
    </row>
    <row r="53" spans="6:10" ht="12.75">
      <c r="F53" s="42"/>
      <c r="G53" s="35"/>
      <c r="H53" s="34"/>
      <c r="I53" s="35"/>
      <c r="J53" s="35"/>
    </row>
    <row r="54" spans="6:10" ht="12.75">
      <c r="F54" s="42"/>
      <c r="G54" s="35"/>
      <c r="H54" s="34"/>
      <c r="I54" s="35"/>
      <c r="J54" s="35"/>
    </row>
    <row r="55" spans="6:10" ht="12.75">
      <c r="F55" s="37"/>
      <c r="G55" s="35"/>
      <c r="H55" s="34"/>
      <c r="I55" s="35"/>
      <c r="J55" s="35"/>
    </row>
    <row r="56" spans="6:10" ht="12.75">
      <c r="F56" s="37"/>
      <c r="G56" s="35"/>
      <c r="H56" s="34"/>
      <c r="I56" s="35"/>
      <c r="J56" s="35"/>
    </row>
    <row r="57" ht="12.75">
      <c r="F57" s="27"/>
    </row>
    <row r="58" ht="12.75">
      <c r="F58" s="27"/>
    </row>
    <row r="59" ht="12.75">
      <c r="F59" s="27"/>
    </row>
    <row r="60" ht="12.75">
      <c r="F60" s="27"/>
    </row>
    <row r="61" ht="12.75">
      <c r="F61" s="27"/>
    </row>
    <row r="62" ht="12.75">
      <c r="F62" s="27"/>
    </row>
    <row r="63" ht="12.75">
      <c r="F63" s="11"/>
    </row>
    <row r="64" ht="12.75">
      <c r="F64" s="19"/>
    </row>
    <row r="65" ht="12.75">
      <c r="F65" s="19"/>
    </row>
    <row r="66" ht="12.75">
      <c r="F66" s="19"/>
    </row>
    <row r="67" ht="12.75">
      <c r="F67" s="27"/>
    </row>
    <row r="68" ht="12.75">
      <c r="F68" s="27"/>
    </row>
    <row r="69" ht="12.75">
      <c r="F69" s="27"/>
    </row>
    <row r="70" ht="12.75">
      <c r="F70" s="22"/>
    </row>
    <row r="71" ht="12.75">
      <c r="F71" s="27"/>
    </row>
    <row r="72" ht="12.75">
      <c r="F72" s="23"/>
    </row>
    <row r="73" ht="12.75">
      <c r="F73" s="23"/>
    </row>
    <row r="74" ht="12.75">
      <c r="F74" s="22"/>
    </row>
    <row r="75" ht="12.75">
      <c r="F75" s="11"/>
    </row>
    <row r="77" ht="12.75">
      <c r="F77" s="19"/>
    </row>
    <row r="78" ht="12.75">
      <c r="F78" s="23"/>
    </row>
    <row r="79" ht="12.75">
      <c r="F79" s="21"/>
    </row>
    <row r="80" ht="12.75">
      <c r="F80" s="22"/>
    </row>
    <row r="81" ht="12.75">
      <c r="F81" s="11"/>
    </row>
  </sheetData>
  <mergeCells count="2">
    <mergeCell ref="E2:F2"/>
    <mergeCell ref="E3:F3"/>
  </mergeCells>
  <printOptions horizontalCentered="1"/>
  <pageMargins left="0.75" right="0.75" top="1.5" bottom="1" header="0.75" footer="0.5"/>
  <pageSetup horizontalDpi="600" verticalDpi="600" orientation="portrait" scale="95" r:id="rId1"/>
  <headerFooter alignWithMargins="0">
    <oddHeader>&amp;C&amp;"Arial,Bold"&amp;12Washington Utilities and Transportation Commission
Pipeline Safety Program
Comparison of Proposed Fee Rule Example to 2005 Normalized Fees</oddHeader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Miller &amp; Miller, 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G. Miller</dc:creator>
  <cp:keywords/>
  <dc:description/>
  <cp:lastModifiedBy>KWalker</cp:lastModifiedBy>
  <cp:lastPrinted>2005-02-18T16:50:30Z</cp:lastPrinted>
  <dcterms:created xsi:type="dcterms:W3CDTF">2004-12-19T16:11:06Z</dcterms:created>
  <dcterms:modified xsi:type="dcterms:W3CDTF">2005-02-18T16:56:06Z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Notice</vt:lpwstr>
  </property>
  <property fmtid="{D5CDD505-2E9C-101B-9397-08002B2CF9AE}" pid="4" name="IsHighlyConfidenti">
    <vt:lpwstr>0</vt:lpwstr>
  </property>
  <property fmtid="{D5CDD505-2E9C-101B-9397-08002B2CF9AE}" pid="5" name="DocketNumb">
    <vt:lpwstr>041344</vt:lpwstr>
  </property>
  <property fmtid="{D5CDD505-2E9C-101B-9397-08002B2CF9AE}" pid="6" name="IsConfidenti">
    <vt:lpwstr>0</vt:lpwstr>
  </property>
  <property fmtid="{D5CDD505-2E9C-101B-9397-08002B2CF9AE}" pid="7" name="Dat">
    <vt:lpwstr>2005-02-18T00:00:00Z</vt:lpwstr>
  </property>
  <property fmtid="{D5CDD505-2E9C-101B-9397-08002B2CF9AE}" pid="8" name="CaseTy">
    <vt:lpwstr>Rulemaking</vt:lpwstr>
  </property>
  <property fmtid="{D5CDD505-2E9C-101B-9397-08002B2CF9AE}" pid="9" name="OpenedDa">
    <vt:lpwstr>2004-07-27T00:00:00Z</vt:lpwstr>
  </property>
  <property fmtid="{D5CDD505-2E9C-101B-9397-08002B2CF9AE}" pid="10" name="Pref">
    <vt:lpwstr>P</vt:lpwstr>
  </property>
  <property fmtid="{D5CDD505-2E9C-101B-9397-08002B2CF9AE}" pid="11" name="CaseCompanyNam">
    <vt:lpwstr/>
  </property>
  <property fmtid="{D5CDD505-2E9C-101B-9397-08002B2CF9AE}" pid="12" name="IndustryCo">
    <vt:lpwstr>504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