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775" yWindow="-15" windowWidth="6585" windowHeight="6870" tabRatio="848"/>
  </bookViews>
  <sheets>
    <sheet name="Summary Attrition Allowance" sheetId="141" r:id="rId1"/>
    <sheet name="Attrition 2011 to 2013" sheetId="120" r:id="rId2"/>
    <sheet name="Billing Determinant Index 2013" sheetId="87" r:id="rId3"/>
    <sheet name="Elec Usage and Cust Conf" sheetId="127" r:id="rId4"/>
  </sheets>
  <externalReferences>
    <externalReference r:id="rId5"/>
  </externalReferences>
  <definedNames>
    <definedName name="_28__123Graph_XChart_1A" localSheetId="0" hidden="1">'[1]PSE Total System'!#REF!</definedName>
    <definedName name="_28__123Graph_XChart_1A" hidden="1">'[1]PSE Total System'!#REF!</definedName>
    <definedName name="_32__123Graph_XChart_7D" localSheetId="0" hidden="1">'[1]PSE Total System'!#REF!</definedName>
    <definedName name="_32__123Graph_XChart_7D" hidden="1">'[1]PSE Total System'!#REF!</definedName>
    <definedName name="_xlnm.Print_Area" localSheetId="1">'Attrition 2011 to 2013'!$F$8:$U$91</definedName>
    <definedName name="_xlnm.Print_Titles" localSheetId="1">'Attrition 2011 to 2013'!$A:$E,'Attrition 2011 to 2013'!$1:$7</definedName>
    <definedName name="wrn.All._.Sheets." hidden="1">{"IncSt",#N/A,FALSE,"IS";"BalSht",#N/A,FALSE,"BS";"IntCash",#N/A,FALSE,"Int. Cash";"Stats",#N/A,FALSE,"Stats"}</definedName>
  </definedNames>
  <calcPr calcId="145621"/>
</workbook>
</file>

<file path=xl/calcChain.xml><?xml version="1.0" encoding="utf-8"?>
<calcChain xmlns="http://schemas.openxmlformats.org/spreadsheetml/2006/main">
  <c r="A27" i="127" l="1"/>
  <c r="O69" i="120" l="1"/>
  <c r="O64" i="120"/>
  <c r="O63" i="120"/>
  <c r="O62" i="120"/>
  <c r="O61" i="120"/>
  <c r="O60" i="120"/>
  <c r="O54" i="120"/>
  <c r="O55" i="120"/>
  <c r="O56" i="120"/>
  <c r="O57" i="120"/>
  <c r="G26" i="141" l="1"/>
  <c r="B13" i="141"/>
  <c r="B14" i="141" s="1"/>
  <c r="B15" i="141" s="1"/>
  <c r="B16" i="141" s="1"/>
  <c r="B18" i="141" s="1"/>
  <c r="B20" i="141" s="1"/>
  <c r="B22" i="141" s="1"/>
  <c r="B24" i="141" s="1"/>
  <c r="B25" i="141" s="1"/>
  <c r="B26" i="141" s="1"/>
  <c r="S65" i="120"/>
  <c r="R65" i="120"/>
  <c r="T65" i="120"/>
  <c r="B28" i="141" l="1"/>
  <c r="B29" i="141" s="1"/>
  <c r="B31" i="141" s="1"/>
  <c r="B35" i="141" s="1"/>
  <c r="T58" i="120" l="1"/>
  <c r="T67" i="120" s="1"/>
  <c r="Q58" i="120"/>
  <c r="R58" i="120"/>
  <c r="R67" i="120" s="1"/>
  <c r="S58" i="120"/>
  <c r="S67" i="120" s="1"/>
  <c r="T23" i="120"/>
  <c r="T39" i="120"/>
  <c r="S70" i="120" l="1"/>
  <c r="S74" i="120"/>
  <c r="R70" i="120"/>
  <c r="R74" i="120"/>
  <c r="T74" i="120"/>
  <c r="T70" i="120"/>
  <c r="T29" i="120"/>
  <c r="T40" i="120" s="1"/>
  <c r="A6" i="127" l="1"/>
  <c r="A7" i="127" s="1"/>
  <c r="A8" i="127" s="1"/>
  <c r="A9" i="127" s="1"/>
  <c r="A10" i="127" s="1"/>
  <c r="A11" i="127" s="1"/>
  <c r="A12" i="127" s="1"/>
  <c r="A13" i="127" s="1"/>
  <c r="A14" i="127" s="1"/>
  <c r="A15" i="127" s="1"/>
  <c r="A16" i="127" s="1"/>
  <c r="A17" i="127" s="1"/>
  <c r="A18" i="127" s="1"/>
  <c r="A19" i="127" s="1"/>
  <c r="A20" i="127" s="1"/>
  <c r="A21" i="127" s="1"/>
  <c r="A22" i="127" s="1"/>
  <c r="A23" i="127" s="1"/>
  <c r="A24" i="127" s="1"/>
  <c r="A25" i="127" s="1"/>
  <c r="A26" i="127" s="1"/>
  <c r="A28" i="127" s="1"/>
  <c r="A29" i="127" s="1"/>
  <c r="A30" i="127" s="1"/>
  <c r="A31" i="127" s="1"/>
  <c r="A32" i="127" s="1"/>
  <c r="A33" i="127" s="1"/>
  <c r="A34" i="127" s="1"/>
  <c r="A35" i="127" s="1"/>
  <c r="A36" i="127" s="1"/>
  <c r="A37" i="127" s="1"/>
  <c r="A38" i="127" s="1"/>
  <c r="A39" i="127" s="1"/>
  <c r="A40" i="127" s="1"/>
  <c r="A41" i="127" s="1"/>
  <c r="A42" i="127" s="1"/>
  <c r="A43" i="127" s="1"/>
  <c r="A44" i="127" s="1"/>
  <c r="A45" i="127" s="1"/>
  <c r="A46" i="127" s="1"/>
  <c r="A47" i="127" s="1"/>
  <c r="A48" i="127" s="1"/>
  <c r="A49" i="127" s="1"/>
  <c r="A50" i="127" s="1"/>
  <c r="A51" i="127" s="1"/>
  <c r="A52" i="127" s="1"/>
  <c r="A53" i="127" s="1"/>
  <c r="A54" i="127" s="1"/>
  <c r="A55" i="127" s="1"/>
  <c r="A56" i="127" s="1"/>
  <c r="A57" i="127" s="1"/>
  <c r="A58" i="127" s="1"/>
  <c r="A59" i="127" s="1"/>
  <c r="A60" i="127" s="1"/>
  <c r="A61" i="127" s="1"/>
  <c r="A62" i="127" s="1"/>
  <c r="A63" i="127" s="1"/>
  <c r="A64" i="127" s="1"/>
  <c r="A65" i="127" s="1"/>
  <c r="A66" i="127" s="1"/>
  <c r="A67" i="127" s="1"/>
  <c r="A68" i="127" s="1"/>
  <c r="A69" i="127" s="1"/>
  <c r="A70" i="127" s="1"/>
  <c r="A71" i="127" s="1"/>
  <c r="A72" i="127" s="1"/>
  <c r="A73" i="127" s="1"/>
  <c r="A74" i="127" s="1"/>
  <c r="A75" i="127" s="1"/>
  <c r="A76" i="127" s="1"/>
  <c r="A77" i="127" s="1"/>
  <c r="A78" i="127" s="1"/>
  <c r="A79" i="127" s="1"/>
  <c r="A2" i="87"/>
  <c r="A3" i="87"/>
  <c r="A4" i="87"/>
  <c r="A5" i="87"/>
  <c r="A1" i="87"/>
  <c r="A30" i="87"/>
  <c r="A31" i="87" s="1"/>
  <c r="A32" i="87" s="1"/>
  <c r="A33" i="87" s="1"/>
  <c r="A34" i="87" s="1"/>
  <c r="A35" i="87" s="1"/>
  <c r="F73" i="127" l="1"/>
  <c r="G73" i="127"/>
  <c r="H73" i="127"/>
  <c r="I73" i="127"/>
  <c r="F77" i="127"/>
  <c r="G77" i="127"/>
  <c r="H77" i="127"/>
  <c r="I77" i="127"/>
  <c r="E77" i="127"/>
  <c r="E73" i="127"/>
  <c r="A65" i="120" l="1"/>
  <c r="A67" i="120" s="1"/>
  <c r="A69" i="120" s="1"/>
  <c r="A70" i="120" s="1"/>
  <c r="A71" i="120" s="1"/>
  <c r="A72" i="120" s="1"/>
  <c r="A74" i="120" s="1"/>
  <c r="A76" i="120" s="1"/>
  <c r="A79" i="120" s="1"/>
  <c r="A80" i="120" s="1"/>
  <c r="A81" i="120" s="1"/>
  <c r="A82" i="120" s="1"/>
  <c r="A83" i="120" s="1"/>
  <c r="A84" i="120" s="1"/>
  <c r="A86" i="120" s="1"/>
  <c r="A89" i="120" s="1"/>
  <c r="A90" i="120" s="1"/>
  <c r="U57" i="120"/>
  <c r="U56" i="120"/>
  <c r="U55" i="120"/>
  <c r="U54" i="120"/>
  <c r="U53" i="120" l="1"/>
  <c r="I10" i="120" l="1"/>
  <c r="I32" i="120"/>
  <c r="I11" i="120"/>
  <c r="I33" i="120"/>
  <c r="I37" i="120"/>
  <c r="I9" i="120" l="1"/>
  <c r="E14" i="141" l="1"/>
  <c r="I36" i="120"/>
  <c r="D34" i="127" l="1"/>
  <c r="D35" i="127"/>
  <c r="D36" i="127"/>
  <c r="D37" i="127"/>
  <c r="D38" i="127"/>
  <c r="D33" i="127"/>
  <c r="D9" i="127"/>
  <c r="D10" i="127"/>
  <c r="D11" i="127"/>
  <c r="D12" i="127"/>
  <c r="D13" i="127"/>
  <c r="D8" i="127"/>
  <c r="D14" i="127" l="1"/>
  <c r="D64" i="127" l="1"/>
  <c r="D63" i="127"/>
  <c r="D62" i="127"/>
  <c r="D61" i="127"/>
  <c r="D60" i="127"/>
  <c r="D59" i="127"/>
  <c r="D39" i="127"/>
  <c r="K33" i="127"/>
  <c r="D23" i="127"/>
  <c r="D22" i="127"/>
  <c r="D21" i="127"/>
  <c r="K37" i="127" l="1"/>
  <c r="K35" i="127"/>
  <c r="K36" i="127"/>
  <c r="L33" i="127"/>
  <c r="K34" i="127"/>
  <c r="K38" i="127"/>
  <c r="D52" i="127"/>
  <c r="D53" i="127"/>
  <c r="F26" i="127"/>
  <c r="D26" i="127"/>
  <c r="D66" i="127"/>
  <c r="R11" i="120"/>
  <c r="R18" i="120"/>
  <c r="L38" i="127" l="1"/>
  <c r="F19" i="87"/>
  <c r="L35" i="127"/>
  <c r="L34" i="127"/>
  <c r="L36" i="127"/>
  <c r="L37" i="127"/>
  <c r="R13" i="120"/>
  <c r="I13" i="120"/>
  <c r="F28" i="127"/>
  <c r="D65" i="127"/>
  <c r="F20" i="87" l="1"/>
  <c r="F17" i="87"/>
  <c r="F21" i="87"/>
  <c r="F18" i="87"/>
  <c r="F14" i="127"/>
  <c r="F22" i="87"/>
  <c r="L20" i="120"/>
  <c r="M20" i="120" s="1"/>
  <c r="L27" i="120"/>
  <c r="M27" i="120" s="1"/>
  <c r="L37" i="120"/>
  <c r="M37" i="120" s="1"/>
  <c r="O37" i="120" s="1"/>
  <c r="N21" i="87" l="1"/>
  <c r="N19" i="87"/>
  <c r="N26" i="87"/>
  <c r="N20" i="87" s="1"/>
  <c r="N25" i="87"/>
  <c r="N24" i="87"/>
  <c r="N18" i="87" s="1"/>
  <c r="E12" i="87"/>
  <c r="E11" i="87"/>
  <c r="I11" i="87" s="1"/>
  <c r="F82" i="120"/>
  <c r="I38" i="120"/>
  <c r="I60" i="120"/>
  <c r="I61" i="120"/>
  <c r="I62" i="120"/>
  <c r="I64" i="120"/>
  <c r="I71" i="120"/>
  <c r="I72" i="120"/>
  <c r="I19" i="87"/>
  <c r="I21" i="87"/>
  <c r="I24" i="87"/>
  <c r="I25" i="87"/>
  <c r="E32" i="87"/>
  <c r="Q26" i="87" s="1"/>
  <c r="N17" i="87"/>
  <c r="R29" i="120"/>
  <c r="R39" i="120"/>
  <c r="I47" i="120"/>
  <c r="T41" i="120"/>
  <c r="T44" i="120" s="1"/>
  <c r="Q41" i="120"/>
  <c r="G39" i="120"/>
  <c r="H29" i="120"/>
  <c r="F30" i="87"/>
  <c r="G12" i="120"/>
  <c r="I12" i="87"/>
  <c r="F32" i="87"/>
  <c r="H23" i="120"/>
  <c r="I26" i="87"/>
  <c r="T49" i="120" l="1"/>
  <c r="E30" i="87"/>
  <c r="O47" i="120"/>
  <c r="P47" i="120" s="1"/>
  <c r="U47" i="120" s="1"/>
  <c r="H29" i="87"/>
  <c r="M29" i="87"/>
  <c r="K29" i="87"/>
  <c r="J29" i="87"/>
  <c r="Q24" i="87"/>
  <c r="U11" i="120"/>
  <c r="I32" i="87"/>
  <c r="Q25" i="87"/>
  <c r="I17" i="87"/>
  <c r="L29" i="87"/>
  <c r="N29" i="87"/>
  <c r="I15" i="87"/>
  <c r="Q11" i="87"/>
  <c r="I30" i="87"/>
  <c r="E31" i="87"/>
  <c r="Q12" i="87"/>
  <c r="I22" i="87"/>
  <c r="I20" i="87"/>
  <c r="R12" i="120"/>
  <c r="R14" i="120" s="1"/>
  <c r="H12" i="120"/>
  <c r="H14" i="120" s="1"/>
  <c r="H39" i="120"/>
  <c r="H40" i="120" s="1"/>
  <c r="G14" i="120" l="1"/>
  <c r="Q19" i="87"/>
  <c r="Q18" i="87"/>
  <c r="Q22" i="87"/>
  <c r="Q20" i="87"/>
  <c r="Q21" i="87"/>
  <c r="Q17" i="87"/>
  <c r="Q15" i="87"/>
  <c r="O26" i="87"/>
  <c r="O12" i="87"/>
  <c r="O22" i="87"/>
  <c r="O18" i="87"/>
  <c r="O15" i="87"/>
  <c r="O11" i="87"/>
  <c r="O24" i="87"/>
  <c r="O25" i="87"/>
  <c r="O20" i="87"/>
  <c r="O19" i="87"/>
  <c r="O17" i="87"/>
  <c r="O21" i="87"/>
  <c r="H41" i="120"/>
  <c r="H49" i="120" s="1"/>
  <c r="R21" i="87" l="1"/>
  <c r="S21" i="87" s="1"/>
  <c r="P21" i="87"/>
  <c r="R19" i="87"/>
  <c r="S19" i="87" s="1"/>
  <c r="P19" i="87"/>
  <c r="P25" i="87"/>
  <c r="R25" i="87"/>
  <c r="S25" i="87" s="1"/>
  <c r="U15" i="87"/>
  <c r="R11" i="87"/>
  <c r="S11" i="87" s="1"/>
  <c r="O29" i="87"/>
  <c r="P11" i="87"/>
  <c r="R18" i="87"/>
  <c r="R12" i="87"/>
  <c r="S12" i="87" s="1"/>
  <c r="P12" i="87"/>
  <c r="U22" i="87"/>
  <c r="R17" i="87"/>
  <c r="S17" i="87" s="1"/>
  <c r="P17" i="87"/>
  <c r="R20" i="87"/>
  <c r="S20" i="87" s="1"/>
  <c r="P20" i="87"/>
  <c r="P24" i="87"/>
  <c r="R24" i="87"/>
  <c r="S24" i="87" s="1"/>
  <c r="U26" i="87"/>
  <c r="P15" i="87"/>
  <c r="R15" i="87"/>
  <c r="S15" i="87" s="1"/>
  <c r="P22" i="87"/>
  <c r="R22" i="87"/>
  <c r="S22" i="87" s="1"/>
  <c r="R26" i="87"/>
  <c r="S26" i="87" s="1"/>
  <c r="P26" i="87"/>
  <c r="L13" i="120" l="1"/>
  <c r="M13" i="120" s="1"/>
  <c r="S13" i="120" s="1"/>
  <c r="T26" i="87"/>
  <c r="V26" i="87" s="1"/>
  <c r="T15" i="87"/>
  <c r="V15" i="87" s="1"/>
  <c r="U28" i="87"/>
  <c r="L22" i="120" l="1"/>
  <c r="M22" i="120" s="1"/>
  <c r="L28" i="120" l="1"/>
  <c r="M28" i="120" s="1"/>
  <c r="L38" i="120"/>
  <c r="M38" i="120" s="1"/>
  <c r="O38" i="120" l="1"/>
  <c r="P38" i="120" s="1"/>
  <c r="U38" i="120" s="1"/>
  <c r="L18" i="120"/>
  <c r="L26" i="120" l="1"/>
  <c r="M26" i="120" s="1"/>
  <c r="M18" i="120"/>
  <c r="L33" i="120"/>
  <c r="M33" i="120" s="1"/>
  <c r="O33" i="120" s="1"/>
  <c r="L31" i="120"/>
  <c r="L36" i="120"/>
  <c r="M36" i="120" s="1"/>
  <c r="O36" i="120" s="1"/>
  <c r="M31" i="120" l="1"/>
  <c r="L32" i="120"/>
  <c r="M32" i="120" s="1"/>
  <c r="O32" i="120" s="1"/>
  <c r="O71" i="120" l="1"/>
  <c r="P71" i="120" s="1"/>
  <c r="U71" i="120" s="1"/>
  <c r="O72" i="120"/>
  <c r="P72" i="120" s="1"/>
  <c r="U72" i="120" s="1"/>
  <c r="I56" i="120" l="1"/>
  <c r="I28" i="120" l="1"/>
  <c r="I22" i="120"/>
  <c r="I55" i="120"/>
  <c r="O28" i="120" l="1"/>
  <c r="P28" i="120" s="1"/>
  <c r="O22" i="120"/>
  <c r="P22" i="120" s="1"/>
  <c r="U22" i="120" s="1"/>
  <c r="I53" i="120"/>
  <c r="O53" i="120" s="1"/>
  <c r="I54" i="120"/>
  <c r="I57" i="120"/>
  <c r="I21" i="120"/>
  <c r="P33" i="120"/>
  <c r="U33" i="120" s="1"/>
  <c r="O21" i="120" l="1"/>
  <c r="P21" i="120" s="1"/>
  <c r="U21" i="120" s="1"/>
  <c r="U10" i="120"/>
  <c r="F58" i="120"/>
  <c r="U58" i="120"/>
  <c r="I58" i="120"/>
  <c r="P58" i="120" l="1"/>
  <c r="O58" i="120"/>
  <c r="I27" i="120" l="1"/>
  <c r="O27" i="120" s="1"/>
  <c r="I20" i="120" l="1"/>
  <c r="O20" i="120" s="1"/>
  <c r="P20" i="120" l="1"/>
  <c r="U20" i="120" s="1"/>
  <c r="I12" i="120" l="1"/>
  <c r="P37" i="120" l="1"/>
  <c r="U37" i="120" s="1"/>
  <c r="I31" i="120"/>
  <c r="I46" i="120"/>
  <c r="O46" i="120" s="1"/>
  <c r="P46" i="120" s="1"/>
  <c r="U46" i="120" s="1"/>
  <c r="O31" i="120" l="1"/>
  <c r="P31" i="120" s="1"/>
  <c r="I26" i="120"/>
  <c r="O26" i="120" s="1"/>
  <c r="F29" i="120"/>
  <c r="P32" i="120"/>
  <c r="U32" i="120" s="1"/>
  <c r="P26" i="120" l="1"/>
  <c r="U26" i="120" s="1"/>
  <c r="I29" i="120"/>
  <c r="F39" i="120"/>
  <c r="I39" i="120" l="1"/>
  <c r="O39" i="120" l="1"/>
  <c r="P36" i="120"/>
  <c r="P39" i="120" l="1"/>
  <c r="F12" i="120" l="1"/>
  <c r="F14" i="120" l="1"/>
  <c r="I14" i="120"/>
  <c r="U13" i="120" l="1"/>
  <c r="G19" i="120" l="1"/>
  <c r="G23" i="120" l="1"/>
  <c r="G40" i="120" s="1"/>
  <c r="G41" i="120" s="1"/>
  <c r="G44" i="120" s="1"/>
  <c r="R19" i="120"/>
  <c r="R23" i="120" s="1"/>
  <c r="R40" i="120" s="1"/>
  <c r="R41" i="120" s="1"/>
  <c r="I19" i="120"/>
  <c r="I18" i="120"/>
  <c r="O18" i="120" s="1"/>
  <c r="F23" i="120"/>
  <c r="F40" i="120" s="1"/>
  <c r="F41" i="120" s="1"/>
  <c r="O19" i="120" l="1"/>
  <c r="P19" i="120" s="1"/>
  <c r="R44" i="120"/>
  <c r="R49" i="120" s="1"/>
  <c r="I23" i="120"/>
  <c r="I40" i="120" s="1"/>
  <c r="I41" i="120" s="1"/>
  <c r="G49" i="120"/>
  <c r="O23" i="120" l="1"/>
  <c r="P18" i="120"/>
  <c r="U18" i="120" s="1"/>
  <c r="P23" i="120" l="1"/>
  <c r="I44" i="120" l="1"/>
  <c r="U61" i="120" l="1"/>
  <c r="U64" i="120"/>
  <c r="U62" i="120"/>
  <c r="U60" i="120"/>
  <c r="O29" i="120" l="1"/>
  <c r="O40" i="120" s="1"/>
  <c r="O41" i="120" s="1"/>
  <c r="P27" i="120"/>
  <c r="U27" i="120" s="1"/>
  <c r="O44" i="120" l="1"/>
  <c r="P44" i="120" s="1"/>
  <c r="P29" i="120"/>
  <c r="P40" i="120" s="1"/>
  <c r="P41" i="120" s="1"/>
  <c r="I18" i="87" l="1"/>
  <c r="S18" i="87" l="1"/>
  <c r="T22" i="87" s="1"/>
  <c r="V22" i="87" s="1"/>
  <c r="V28" i="87" s="1"/>
  <c r="P34" i="87"/>
  <c r="L9" i="120" s="1"/>
  <c r="U84" i="120" s="1"/>
  <c r="G29" i="141" s="1"/>
  <c r="P18" i="87"/>
  <c r="P29" i="87" s="1"/>
  <c r="F31" i="87"/>
  <c r="F16" i="127"/>
  <c r="F41" i="127"/>
  <c r="V29" i="87" l="1"/>
  <c r="I31" i="87"/>
  <c r="M9" i="120" l="1"/>
  <c r="S9" i="120" l="1"/>
  <c r="U9" i="120" s="1"/>
  <c r="U12" i="120" s="1"/>
  <c r="U14" i="120" s="1"/>
  <c r="G12" i="141" s="1"/>
  <c r="U19" i="120"/>
  <c r="U23" i="120" s="1"/>
  <c r="S23" i="120"/>
  <c r="F12" i="141" l="1"/>
  <c r="S12" i="120"/>
  <c r="S14" i="120" s="1"/>
  <c r="U36" i="120" l="1"/>
  <c r="U28" i="120"/>
  <c r="U31" i="120"/>
  <c r="U39" i="120" l="1"/>
  <c r="S39" i="120"/>
  <c r="S29" i="120"/>
  <c r="U29" i="120"/>
  <c r="S40" i="120" l="1"/>
  <c r="S41" i="120" s="1"/>
  <c r="U40" i="120"/>
  <c r="S44" i="120" l="1"/>
  <c r="S49" i="120" s="1"/>
  <c r="U41" i="120"/>
  <c r="G13" i="141"/>
  <c r="U44" i="120" l="1"/>
  <c r="G14" i="141"/>
  <c r="F13" i="141"/>
  <c r="F14" i="141" s="1"/>
  <c r="E24" i="141" l="1"/>
  <c r="F65" i="120"/>
  <c r="F67" i="120" s="1"/>
  <c r="I63" i="120"/>
  <c r="O65" i="120" l="1"/>
  <c r="O67" i="120" s="1"/>
  <c r="I65" i="120"/>
  <c r="I67" i="120" s="1"/>
  <c r="I69" i="120" l="1"/>
  <c r="F70" i="120"/>
  <c r="U63" i="120"/>
  <c r="U65" i="120" s="1"/>
  <c r="U67" i="120" s="1"/>
  <c r="P65" i="120"/>
  <c r="P67" i="120" s="1"/>
  <c r="I74" i="120" l="1"/>
  <c r="F74" i="120"/>
  <c r="F80" i="120" s="1"/>
  <c r="I70" i="120"/>
  <c r="O74" i="120" l="1"/>
  <c r="O45" i="120" s="1"/>
  <c r="O49" i="120" s="1"/>
  <c r="U69" i="120" l="1"/>
  <c r="P74" i="120"/>
  <c r="P70" i="120"/>
  <c r="U74" i="120" l="1"/>
  <c r="U80" i="120" s="1"/>
  <c r="U70" i="120"/>
  <c r="G18" i="141" l="1"/>
  <c r="G24" i="141" l="1"/>
  <c r="F18" i="141"/>
  <c r="E16" i="141"/>
  <c r="E25" i="141" s="1"/>
  <c r="E28" i="141" s="1"/>
  <c r="E20" i="141" l="1"/>
  <c r="F49" i="120" l="1"/>
  <c r="F81" i="120" s="1"/>
  <c r="F83" i="120" s="1"/>
  <c r="I45" i="120"/>
  <c r="I49" i="120" l="1"/>
  <c r="P45" i="120"/>
  <c r="F76" i="120"/>
  <c r="P49" i="120" l="1"/>
  <c r="U45" i="120"/>
  <c r="U49" i="120" l="1"/>
  <c r="G15" i="141"/>
  <c r="G16" i="141" l="1"/>
  <c r="G25" i="141" s="1"/>
  <c r="G28" i="141" s="1"/>
  <c r="G31" i="141" s="1"/>
  <c r="E35" i="141" s="1"/>
  <c r="F15" i="141"/>
  <c r="F16" i="141" s="1"/>
  <c r="U81" i="120"/>
  <c r="U83" i="120" s="1"/>
  <c r="U86" i="120" s="1"/>
  <c r="U90" i="120" s="1"/>
  <c r="U76" i="120"/>
  <c r="G20" i="141" l="1"/>
</calcChain>
</file>

<file path=xl/sharedStrings.xml><?xml version="1.0" encoding="utf-8"?>
<sst xmlns="http://schemas.openxmlformats.org/spreadsheetml/2006/main" count="290" uniqueCount="182">
  <si>
    <t>REVENUES</t>
  </si>
  <si>
    <t>Line</t>
  </si>
  <si>
    <t>Total</t>
  </si>
  <si>
    <t>Federal Income Tax</t>
  </si>
  <si>
    <t>Forecast</t>
  </si>
  <si>
    <t>Average</t>
  </si>
  <si>
    <t>WA012</t>
  </si>
  <si>
    <t>WA022</t>
  </si>
  <si>
    <t>WA011</t>
  </si>
  <si>
    <t>WA021</t>
  </si>
  <si>
    <t>WA025</t>
  </si>
  <si>
    <t>Total Demand Usage by Rate Sched:</t>
  </si>
  <si>
    <t>Revenue</t>
  </si>
  <si>
    <t>Revenue Requirement</t>
  </si>
  <si>
    <t xml:space="preserve">RATE OF RETURN  </t>
  </si>
  <si>
    <t xml:space="preserve">TOTAL RATE BASE  </t>
  </si>
  <si>
    <t xml:space="preserve">General  </t>
  </si>
  <si>
    <t xml:space="preserve">Distribution  </t>
  </si>
  <si>
    <t xml:space="preserve">Transmission  </t>
  </si>
  <si>
    <t xml:space="preserve">Production  </t>
  </si>
  <si>
    <t xml:space="preserve">Intangible  </t>
  </si>
  <si>
    <t xml:space="preserve">NET OPERATING INCOME  </t>
  </si>
  <si>
    <t>Amortized ITC - Noxon</t>
  </si>
  <si>
    <t xml:space="preserve">Deferred Income Taxes  </t>
  </si>
  <si>
    <t xml:space="preserve">OPERATING INCOME BEFORE FIT  </t>
  </si>
  <si>
    <t xml:space="preserve">Total Electric Expenses  </t>
  </si>
  <si>
    <t xml:space="preserve">Taxes  </t>
  </si>
  <si>
    <t xml:space="preserve">Operating Expenses  </t>
  </si>
  <si>
    <t xml:space="preserve">Administrative &amp; General  </t>
  </si>
  <si>
    <t xml:space="preserve">Sales Expenses  </t>
  </si>
  <si>
    <t xml:space="preserve">Customer Service &amp; Information  </t>
  </si>
  <si>
    <t xml:space="preserve">Customer Accounting  </t>
  </si>
  <si>
    <t xml:space="preserve">Purchased Power  </t>
  </si>
  <si>
    <t xml:space="preserve">Production and Transmission  </t>
  </si>
  <si>
    <t xml:space="preserve">EXPENSES  </t>
  </si>
  <si>
    <t xml:space="preserve">Total Electric Revenue  </t>
  </si>
  <si>
    <t xml:space="preserve">Other Revenue  </t>
  </si>
  <si>
    <t xml:space="preserve">Sales for Resale  </t>
  </si>
  <si>
    <t xml:space="preserve">Interdepartmental Sales  </t>
  </si>
  <si>
    <t xml:space="preserve">Total General Business  </t>
  </si>
  <si>
    <t>No.</t>
  </si>
  <si>
    <t>Revenue Conversion Factor</t>
  </si>
  <si>
    <t>Rate</t>
  </si>
  <si>
    <t>Schedule</t>
  </si>
  <si>
    <t>RESIDENTIAL</t>
  </si>
  <si>
    <t>SCHEDULE 1</t>
  </si>
  <si>
    <t xml:space="preserve">GENERAL SVC. </t>
  </si>
  <si>
    <t>SCH. 11,12</t>
  </si>
  <si>
    <t>LG. GEN. SVC.</t>
  </si>
  <si>
    <t>SCH. 21,22</t>
  </si>
  <si>
    <t>EX LG GEN SVC</t>
  </si>
  <si>
    <t>SCHEDULE 25</t>
  </si>
  <si>
    <t>PUMPING</t>
  </si>
  <si>
    <t>SCH. 30, 31, 32</t>
  </si>
  <si>
    <t>ST &amp; AREA LTG</t>
  </si>
  <si>
    <t>SCH. 41-48</t>
  </si>
  <si>
    <t>Billing Determinant</t>
  </si>
  <si>
    <t>Volumes</t>
  </si>
  <si>
    <t>Demand</t>
  </si>
  <si>
    <t>Working Capital</t>
  </si>
  <si>
    <t>Weight</t>
  </si>
  <si>
    <t>Growth</t>
  </si>
  <si>
    <t>Basic Charge</t>
  </si>
  <si>
    <t>[A]</t>
  </si>
  <si>
    <t>[B]</t>
  </si>
  <si>
    <t>[C] = LN([B]/[A])</t>
  </si>
  <si>
    <t>[D]</t>
  </si>
  <si>
    <t>[E] = [D] / SUM([D])</t>
  </si>
  <si>
    <t>Weight x Growth</t>
  </si>
  <si>
    <t>2 Year Growth Projection</t>
  </si>
  <si>
    <t>[G] = SUM( [F] )</t>
  </si>
  <si>
    <t>ELECTRIC BILLING DETERMINANT INDEX CALCULATIONS</t>
  </si>
  <si>
    <t>Total Customers</t>
  </si>
  <si>
    <t>Total Volumes</t>
  </si>
  <si>
    <t>Total Demand</t>
  </si>
  <si>
    <t>Difference</t>
  </si>
  <si>
    <t xml:space="preserve">Depreciation/Amortization  </t>
  </si>
  <si>
    <t>Regulatory Amortization</t>
  </si>
  <si>
    <t>Depreciation/Amortization</t>
  </si>
  <si>
    <t xml:space="preserve">Current Accrual </t>
  </si>
  <si>
    <t>Debt Interest</t>
  </si>
  <si>
    <t>2013 Projected Revenue and Cost</t>
  </si>
  <si>
    <t>2-Year Escalation Factor</t>
  </si>
  <si>
    <t>Revenue Model</t>
  </si>
  <si>
    <t>Net Plant</t>
  </si>
  <si>
    <t>Plant in Service</t>
  </si>
  <si>
    <t>Subtotal: Production and Transmission</t>
  </si>
  <si>
    <t>Subtotal: Distribution</t>
  </si>
  <si>
    <t>Subtotal: Administrative and General</t>
  </si>
  <si>
    <t>Accumulated Depreciation and Amortization</t>
  </si>
  <si>
    <t>Deferred Taxes</t>
  </si>
  <si>
    <t>Deferred Debits and Credits</t>
  </si>
  <si>
    <t>2-Year Escalation Rate</t>
  </si>
  <si>
    <t>2-Year Non-Energy Cost Escalation Amount</t>
  </si>
  <si>
    <t>Subtotal: Sales of Electricity</t>
  </si>
  <si>
    <t>Subtotal: Plant in Service</t>
  </si>
  <si>
    <t>[F] = [C] x [E]</t>
  </si>
  <si>
    <t>Seems high</t>
  </si>
  <si>
    <t>12 bills per customer per year</t>
  </si>
  <si>
    <t>Volume Weights</t>
  </si>
  <si>
    <t>Diff x Growth</t>
  </si>
  <si>
    <t>Proposed Rate of Return</t>
  </si>
  <si>
    <t>Annual Trend Value Used</t>
  </si>
  <si>
    <t>ATTRITION ADJUSTED REVENUE REQUIREMENT</t>
  </si>
  <si>
    <t>Operating Income Deficiency</t>
  </si>
  <si>
    <t>Attrition Adjusted Revenue Requirement</t>
  </si>
  <si>
    <t>Subtotal: Accumulated Depreciation and Amortization</t>
  </si>
  <si>
    <t>Net Plant After Deferred taxes</t>
  </si>
  <si>
    <t>Return on Plant in Service at Proposed Rate</t>
  </si>
  <si>
    <t>2011 Restated Test Period</t>
  </si>
  <si>
    <t xml:space="preserve">Adjusted Test Period 2011 Results </t>
  </si>
  <si>
    <t>Electric Load and Customers</t>
  </si>
  <si>
    <t>Washington Total Electric kWh Usage</t>
  </si>
  <si>
    <t>Residential</t>
  </si>
  <si>
    <t>General Service 11/12</t>
  </si>
  <si>
    <t>Large General Service  21/22</t>
  </si>
  <si>
    <t>Ex. Lg. General Service 25</t>
  </si>
  <si>
    <t>Pumping 30-32</t>
  </si>
  <si>
    <t>Street &amp; Area Lights 41-48</t>
  </si>
  <si>
    <t>Total Washington Usage</t>
  </si>
  <si>
    <t>Percentage Growth</t>
  </si>
  <si>
    <t>Percentage Growth 2011 to 2013</t>
  </si>
  <si>
    <t>Smoothed Growth - Staff Load Projection</t>
  </si>
  <si>
    <t>July 27, 2012 Update (Supplemental Response to DR 178C Attachment A)</t>
  </si>
  <si>
    <t>Washington Customers by Class</t>
  </si>
  <si>
    <t xml:space="preserve"> Adj 3.00 Power Supply  Cost</t>
  </si>
  <si>
    <t>Other Revenue Growth</t>
  </si>
  <si>
    <t>Rate Year</t>
  </si>
  <si>
    <t>Pro Forma</t>
  </si>
  <si>
    <t>Attrition</t>
  </si>
  <si>
    <t>Two Year  Growth</t>
  </si>
  <si>
    <t>kw &gt; 20</t>
  </si>
  <si>
    <t>kw &gt; 50</t>
  </si>
  <si>
    <t>kvar &gt; 3000</t>
  </si>
  <si>
    <t>5 yr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</si>
  <si>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</si>
  <si>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</si>
  <si>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</si>
  <si>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</si>
  <si>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</si>
  <si>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</si>
  <si>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</si>
  <si>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</si>
  <si>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</si>
  <si>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RATE BASE  (1)</t>
  </si>
  <si>
    <t>Staff Attrition Allowance</t>
  </si>
  <si>
    <t>Docket UE-120436 and UG-120437</t>
  </si>
  <si>
    <t>Attrition Study - Electric</t>
  </si>
  <si>
    <t>Washington State</t>
  </si>
  <si>
    <t>Dollars in Thousands</t>
  </si>
  <si>
    <t>Avista Initial Filing (Response to DR 178C Attachment A)</t>
  </si>
  <si>
    <t>(j)</t>
  </si>
  <si>
    <t>(1) Column f equals Avista Rate Base - Agrees to Andrews EMA-2 except for Working Capital and Other Regulatory Assets and Liabilities</t>
  </si>
  <si>
    <t>Summary Electric Attrition Allowance Calculation</t>
  </si>
  <si>
    <t>Total Revenue</t>
  </si>
  <si>
    <t>Total Operating Expense</t>
  </si>
  <si>
    <t>Net Operating Income</t>
  </si>
  <si>
    <t>Income Before Income Tax</t>
  </si>
  <si>
    <t>Net Rate Base</t>
  </si>
  <si>
    <t>Return on Rate Base</t>
  </si>
  <si>
    <t xml:space="preserve">Smart Grid Dis-allowance </t>
  </si>
  <si>
    <t>Staff</t>
  </si>
  <si>
    <t>Results</t>
  </si>
  <si>
    <t>Projected</t>
  </si>
  <si>
    <t>Operating Income Requirement</t>
  </si>
  <si>
    <t>Operating Income Surplus/Deficiency</t>
  </si>
  <si>
    <t>L1-L2</t>
  </si>
  <si>
    <t>L3-L4</t>
  </si>
  <si>
    <t>L5/L6</t>
  </si>
  <si>
    <t>L6*L8</t>
  </si>
  <si>
    <t>L9-L5</t>
  </si>
  <si>
    <t>Conversion Factor</t>
  </si>
  <si>
    <t>L10/L11</t>
  </si>
  <si>
    <t>L12/L13</t>
  </si>
  <si>
    <t>Total Washington Customers</t>
  </si>
  <si>
    <t>Avista Corporation</t>
  </si>
  <si>
    <t>Docket UE-120436/UG-120437</t>
  </si>
  <si>
    <t>State of Washington</t>
  </si>
  <si>
    <t>Change</t>
  </si>
  <si>
    <t>Revenue Growth Factor</t>
  </si>
  <si>
    <t>Staff Revenue Requirement</t>
  </si>
  <si>
    <t>L14-L13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</si>
</sst>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0_);\(#,##0.000\)"/>
    <numFmt numFmtId="168" formatCode="0.0000"/>
    <numFmt numFmtId="169" formatCode="0.000_);\(0.000\)"/>
    <numFmt numFmtId="170" formatCode="0.000"/>
    <numFmt numFmtId="171" formatCode="_(* #,##0.0000_);_(* \(#,##0.0000\);_(* &quot;-&quot;??_);_(@_)"/>
    <numFmt numFmtId="172" formatCode="&quot;$&quot;\ #,##0_);\(&quot;$&quot;\ #,##0\)"/>
    <numFmt numFmtId="173" formatCode="&quot;$&quot;\ #,##0.00_);\(&quot;$&quot;\ #,##0.00\)"/>
    <numFmt numFmtId="174" formatCode="@*."/>
    <numFmt numFmtId="175" formatCode="[$-409]mmm\-yy;@"/>
    <numFmt numFmtId="176" formatCode="#,##0.00;[Red]\(#,##0.00\)"/>
    <numFmt numFmtId="177" formatCode="#,##0,_);\(#,##0,\)"/>
    <numFmt numFmtId="178" formatCode="0.00000%"/>
    <numFmt numFmtId="179" formatCode="_(* #,##0.000000_);_(* \(#,##0.000000\);_(* &quot;-&quot;??_);_(@_)"/>
    <numFmt numFmtId="180" formatCode="0.00000"/>
    <numFmt numFmtId="181" formatCode="_(* #,##0.0000000_);_(* \(#,##0.0000000\);_(* &quot;-&quot;??_);_(@_)"/>
    <numFmt numFmtId="182" formatCode="_(&quot;$&quot;* #,##0.00000_);_(&quot;$&quot;* \(#,##0.00000\);_(&quot;$&quot;* &quot;-&quot;??_);_(@_)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Geneva"/>
      <family val="2"/>
    </font>
    <font>
      <sz val="10"/>
      <name val="Geneva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7.5"/>
      <color indexed="9"/>
      <name val="Arial"/>
      <family val="2"/>
    </font>
    <font>
      <sz val="10"/>
      <color indexed="12"/>
      <name val="Times New Roman"/>
      <family val="1"/>
    </font>
    <font>
      <sz val="12"/>
      <color indexed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i/>
      <u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theme="0"/>
      <name val="Arial"/>
      <family val="2"/>
    </font>
    <font>
      <sz val="10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ms Rmn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color rgb="FF0000FF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i/>
      <sz val="12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4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3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029">
    <xf numFmtId="0" fontId="0" fillId="0" borderId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6" fillId="2" borderId="0"/>
    <xf numFmtId="0" fontId="34" fillId="0" borderId="0"/>
    <xf numFmtId="0" fontId="34" fillId="0" borderId="0"/>
    <xf numFmtId="0" fontId="12" fillId="0" borderId="0">
      <alignment readingOrder="1"/>
    </xf>
    <xf numFmtId="0" fontId="34" fillId="0" borderId="0"/>
    <xf numFmtId="0" fontId="12" fillId="0" borderId="0"/>
    <xf numFmtId="0" fontId="12" fillId="0" borderId="0"/>
    <xf numFmtId="0" fontId="12" fillId="0" borderId="0">
      <alignment readingOrder="1"/>
    </xf>
    <xf numFmtId="0" fontId="12" fillId="0" borderId="0"/>
    <xf numFmtId="0" fontId="12" fillId="0" borderId="0">
      <alignment readingOrder="1"/>
    </xf>
    <xf numFmtId="0" fontId="17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4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39" fontId="22" fillId="0" borderId="0" applyFont="0" applyFill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1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7" fillId="10" borderId="25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49" fillId="11" borderId="28" applyNumberFormat="0" applyAlignment="0" applyProtection="0"/>
    <xf numFmtId="0" fontId="56" fillId="37" borderId="0">
      <alignment horizontal="left"/>
    </xf>
    <xf numFmtId="0" fontId="57" fillId="37" borderId="0">
      <alignment horizontal="right"/>
    </xf>
    <xf numFmtId="0" fontId="57" fillId="37" borderId="0">
      <alignment horizontal="center"/>
    </xf>
    <xf numFmtId="0" fontId="57" fillId="37" borderId="0">
      <alignment horizontal="right"/>
    </xf>
    <xf numFmtId="0" fontId="58" fillId="37" borderId="0">
      <alignment horizontal="lef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172" fontId="22" fillId="0" borderId="0" applyFont="0" applyFill="0" applyBorder="0" applyAlignment="0" applyProtection="0"/>
    <xf numFmtId="5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0" fontId="45" fillId="9" borderId="25" applyNumberFormat="0" applyAlignment="0" applyProtection="0"/>
    <xf numFmtId="174" fontId="22" fillId="0" borderId="0" applyFont="0" applyFill="0" applyBorder="0" applyAlignment="0" applyProtection="0">
      <alignment horizontal="left" indent="1"/>
    </xf>
    <xf numFmtId="0" fontId="56" fillId="37" borderId="0">
      <alignment horizontal="left"/>
    </xf>
    <xf numFmtId="0" fontId="56" fillId="37" borderId="0">
      <alignment horizontal="left"/>
    </xf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41" fontId="26" fillId="2" borderId="0" applyBorder="0" applyAlignment="0" applyProtection="0"/>
    <xf numFmtId="175" fontId="22" fillId="38" borderId="0" applyFont="0" applyFill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>
      <alignment readingOrder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6" fillId="12" borderId="29" applyNumberFormat="0" applyFon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0" fontId="46" fillId="10" borderId="26" applyNumberFormat="0" applyAlignment="0" applyProtection="0"/>
    <xf numFmtId="40" fontId="33" fillId="5" borderId="0">
      <alignment horizontal="right"/>
    </xf>
    <xf numFmtId="176" fontId="32" fillId="37" borderId="0">
      <alignment horizontal="right"/>
    </xf>
    <xf numFmtId="0" fontId="60" fillId="5" borderId="0">
      <alignment horizontal="right"/>
    </xf>
    <xf numFmtId="0" fontId="61" fillId="5" borderId="8"/>
    <xf numFmtId="0" fontId="61" fillId="0" borderId="0" applyBorder="0">
      <alignment horizontal="centerContinuous"/>
    </xf>
    <xf numFmtId="0" fontId="62" fillId="0" borderId="0" applyBorder="0">
      <alignment horizontal="centerContinuous"/>
    </xf>
    <xf numFmtId="0" fontId="22" fillId="0" borderId="0" applyFont="0" applyFill="0" applyBorder="0" applyAlignment="0" applyProtection="0"/>
    <xf numFmtId="0" fontId="56" fillId="37" borderId="0">
      <alignment horizontal="center"/>
    </xf>
    <xf numFmtId="49" fontId="63" fillId="37" borderId="0">
      <alignment horizontal="center"/>
    </xf>
    <xf numFmtId="0" fontId="57" fillId="37" borderId="0">
      <alignment horizontal="center"/>
    </xf>
    <xf numFmtId="0" fontId="57" fillId="37" borderId="0">
      <alignment horizontal="centerContinuous"/>
    </xf>
    <xf numFmtId="0" fontId="64" fillId="37" borderId="0">
      <alignment horizontal="left"/>
    </xf>
    <xf numFmtId="49" fontId="64" fillId="37" borderId="0">
      <alignment horizontal="center"/>
    </xf>
    <xf numFmtId="0" fontId="56" fillId="37" borderId="0">
      <alignment horizontal="left"/>
    </xf>
    <xf numFmtId="49" fontId="64" fillId="37" borderId="0">
      <alignment horizontal="left"/>
    </xf>
    <xf numFmtId="0" fontId="56" fillId="37" borderId="0">
      <alignment horizontal="centerContinuous"/>
    </xf>
    <xf numFmtId="0" fontId="56" fillId="37" borderId="0">
      <alignment horizontal="right"/>
    </xf>
    <xf numFmtId="49" fontId="56" fillId="37" borderId="0">
      <alignment horizontal="left"/>
    </xf>
    <xf numFmtId="0" fontId="57" fillId="37" borderId="0">
      <alignment horizontal="right"/>
    </xf>
    <xf numFmtId="0" fontId="64" fillId="39" borderId="0">
      <alignment horizontal="center"/>
    </xf>
    <xf numFmtId="0" fontId="65" fillId="39" borderId="0">
      <alignment horizontal="center"/>
    </xf>
    <xf numFmtId="177" fontId="22" fillId="0" borderId="0" applyFont="0" applyFill="0" applyBorder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52" fillId="0" borderId="30" applyNumberFormat="0" applyFill="0" applyAlignment="0" applyProtection="0"/>
    <xf numFmtId="0" fontId="66" fillId="37" borderId="0">
      <alignment horizont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3" fillId="0" borderId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17" fillId="0" borderId="0" applyFont="0" applyFill="0" applyBorder="0" applyAlignment="0" applyProtection="0"/>
    <xf numFmtId="9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6" fillId="0" borderId="0"/>
    <xf numFmtId="9" fontId="4" fillId="0" borderId="0" applyFont="0" applyFill="0" applyBorder="0" applyAlignment="0" applyProtection="0"/>
    <xf numFmtId="0" fontId="12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27">
    <xf numFmtId="0" fontId="0" fillId="0" borderId="0" xfId="0"/>
    <xf numFmtId="3" fontId="13" fillId="0" borderId="0" xfId="0" applyNumberFormat="1" applyFont="1" applyFill="1" applyBorder="1"/>
    <xf numFmtId="0" fontId="22" fillId="0" borderId="0" xfId="22" applyFont="1" applyFill="1"/>
    <xf numFmtId="0" fontId="13" fillId="0" borderId="0" xfId="22" applyFont="1" applyFill="1" applyBorder="1"/>
    <xf numFmtId="167" fontId="13" fillId="0" borderId="0" xfId="22" applyNumberFormat="1" applyFont="1" applyFill="1" applyAlignment="1">
      <alignment horizontal="center"/>
    </xf>
    <xf numFmtId="3" fontId="13" fillId="0" borderId="0" xfId="22" applyNumberFormat="1" applyFont="1" applyFill="1"/>
    <xf numFmtId="0" fontId="13" fillId="0" borderId="0" xfId="22" applyFont="1" applyFill="1"/>
    <xf numFmtId="3" fontId="22" fillId="0" borderId="0" xfId="22" applyNumberFormat="1" applyFont="1" applyFill="1"/>
    <xf numFmtId="166" fontId="13" fillId="0" borderId="0" xfId="22" applyNumberFormat="1" applyFont="1" applyFill="1"/>
    <xf numFmtId="10" fontId="13" fillId="0" borderId="0" xfId="37" applyNumberFormat="1" applyFont="1" applyFill="1" applyBorder="1" applyAlignment="1">
      <alignment horizontal="center"/>
    </xf>
    <xf numFmtId="0" fontId="22" fillId="0" borderId="0" xfId="22" applyFont="1" applyFill="1" applyBorder="1"/>
    <xf numFmtId="3" fontId="22" fillId="0" borderId="0" xfId="0" applyNumberFormat="1" applyFont="1" applyFill="1" applyBorder="1"/>
    <xf numFmtId="0" fontId="22" fillId="0" borderId="0" xfId="0" applyFont="1" applyFill="1" applyBorder="1" applyAlignment="1"/>
    <xf numFmtId="167" fontId="13" fillId="0" borderId="0" xfId="22" applyNumberFormat="1" applyFont="1" applyFill="1"/>
    <xf numFmtId="0" fontId="23" fillId="0" borderId="0" xfId="22" applyFont="1" applyFill="1" applyBorder="1"/>
    <xf numFmtId="164" fontId="22" fillId="0" borderId="0" xfId="22" applyNumberFormat="1" applyFont="1" applyFill="1" applyBorder="1"/>
    <xf numFmtId="167" fontId="13" fillId="0" borderId="0" xfId="22" applyNumberFormat="1" applyFont="1" applyFill="1" applyBorder="1"/>
    <xf numFmtId="3" fontId="13" fillId="0" borderId="0" xfId="22" applyNumberFormat="1" applyFont="1" applyFill="1" applyBorder="1"/>
    <xf numFmtId="165" fontId="13" fillId="0" borderId="0" xfId="1" applyNumberFormat="1" applyFont="1" applyFill="1"/>
    <xf numFmtId="3" fontId="18" fillId="0" borderId="0" xfId="22" applyNumberFormat="1" applyFont="1" applyFill="1" applyBorder="1" applyAlignment="1">
      <alignment horizontal="center"/>
    </xf>
    <xf numFmtId="3" fontId="22" fillId="0" borderId="0" xfId="22" applyNumberFormat="1" applyFont="1" applyFill="1" applyBorder="1" applyAlignment="1">
      <alignment horizontal="center"/>
    </xf>
    <xf numFmtId="167" fontId="22" fillId="0" borderId="0" xfId="22" applyNumberFormat="1" applyFont="1" applyFill="1" applyAlignment="1">
      <alignment horizontal="center"/>
    </xf>
    <xf numFmtId="3" fontId="19" fillId="0" borderId="0" xfId="22" applyNumberFormat="1" applyFont="1" applyFill="1" applyAlignment="1">
      <alignment horizontal="center"/>
    </xf>
    <xf numFmtId="0" fontId="19" fillId="0" borderId="0" xfId="22" applyFont="1" applyFill="1" applyAlignment="1">
      <alignment horizontal="center"/>
    </xf>
    <xf numFmtId="3" fontId="19" fillId="0" borderId="0" xfId="22" applyNumberFormat="1" applyFont="1" applyFill="1" applyBorder="1"/>
    <xf numFmtId="3" fontId="19" fillId="0" borderId="0" xfId="22" applyNumberFormat="1" applyFont="1" applyFill="1" applyAlignment="1">
      <alignment wrapText="1"/>
    </xf>
    <xf numFmtId="167" fontId="19" fillId="0" borderId="0" xfId="22" applyNumberFormat="1" applyFont="1" applyFill="1" applyAlignment="1">
      <alignment horizontal="center"/>
    </xf>
    <xf numFmtId="0" fontId="19" fillId="0" borderId="0" xfId="22" applyFont="1" applyFill="1"/>
    <xf numFmtId="3" fontId="19" fillId="0" borderId="0" xfId="22" applyNumberFormat="1" applyFont="1" applyFill="1"/>
    <xf numFmtId="3" fontId="19" fillId="0" borderId="0" xfId="0" applyNumberFormat="1" applyFont="1" applyFill="1" applyBorder="1"/>
    <xf numFmtId="3" fontId="29" fillId="0" borderId="0" xfId="22" applyNumberFormat="1" applyFont="1" applyFill="1" applyBorder="1" applyAlignment="1">
      <alignment horizontal="center"/>
    </xf>
    <xf numFmtId="3" fontId="19" fillId="0" borderId="0" xfId="22" applyNumberFormat="1" applyFont="1" applyFill="1" applyBorder="1" applyAlignment="1">
      <alignment horizontal="center"/>
    </xf>
    <xf numFmtId="0" fontId="13" fillId="4" borderId="0" xfId="22" applyFont="1" applyFill="1" applyBorder="1"/>
    <xf numFmtId="0" fontId="13" fillId="4" borderId="0" xfId="22" applyFont="1" applyFill="1"/>
    <xf numFmtId="3" fontId="13" fillId="4" borderId="0" xfId="22" applyNumberFormat="1" applyFont="1" applyFill="1"/>
    <xf numFmtId="165" fontId="13" fillId="4" borderId="0" xfId="1" applyNumberFormat="1" applyFont="1" applyFill="1"/>
    <xf numFmtId="167" fontId="13" fillId="4" borderId="0" xfId="22" applyNumberFormat="1" applyFont="1" applyFill="1" applyAlignment="1">
      <alignment horizontal="center"/>
    </xf>
    <xf numFmtId="0" fontId="30" fillId="0" borderId="0" xfId="0" applyFont="1" applyFill="1"/>
    <xf numFmtId="0" fontId="30" fillId="0" borderId="0" xfId="0" applyFont="1" applyFill="1" applyBorder="1"/>
    <xf numFmtId="166" fontId="19" fillId="0" borderId="0" xfId="10" applyNumberFormat="1" applyFont="1" applyFill="1" applyBorder="1"/>
    <xf numFmtId="166" fontId="19" fillId="0" borderId="0" xfId="10" applyNumberFormat="1" applyFont="1" applyFill="1" applyAlignment="1">
      <alignment horizontal="center"/>
    </xf>
    <xf numFmtId="169" fontId="19" fillId="0" borderId="0" xfId="1" applyNumberFormat="1" applyFont="1" applyFill="1" applyAlignment="1">
      <alignment horizontal="center"/>
    </xf>
    <xf numFmtId="10" fontId="19" fillId="0" borderId="0" xfId="37" applyNumberFormat="1" applyFont="1" applyFill="1" applyAlignment="1">
      <alignment horizontal="center"/>
    </xf>
    <xf numFmtId="166" fontId="19" fillId="0" borderId="0" xfId="10" applyNumberFormat="1" applyFont="1" applyFill="1"/>
    <xf numFmtId="166" fontId="19" fillId="0" borderId="1" xfId="10" applyNumberFormat="1" applyFont="1" applyFill="1" applyBorder="1"/>
    <xf numFmtId="166" fontId="19" fillId="0" borderId="1" xfId="10" applyNumberFormat="1" applyFont="1" applyFill="1" applyBorder="1" applyAlignment="1">
      <alignment horizontal="center"/>
    </xf>
    <xf numFmtId="169" fontId="19" fillId="0" borderId="1" xfId="1" applyNumberFormat="1" applyFont="1" applyFill="1" applyBorder="1" applyAlignment="1">
      <alignment horizontal="center"/>
    </xf>
    <xf numFmtId="10" fontId="19" fillId="0" borderId="1" xfId="37" applyNumberFormat="1" applyFont="1" applyFill="1" applyBorder="1" applyAlignment="1">
      <alignment horizontal="center"/>
    </xf>
    <xf numFmtId="165" fontId="19" fillId="0" borderId="0" xfId="1" applyNumberFormat="1" applyFont="1" applyFill="1" applyAlignment="1">
      <alignment horizontal="center"/>
    </xf>
    <xf numFmtId="164" fontId="19" fillId="0" borderId="0" xfId="37" applyNumberFormat="1" applyFont="1" applyFill="1" applyAlignment="1">
      <alignment horizontal="center"/>
    </xf>
    <xf numFmtId="10" fontId="19" fillId="0" borderId="0" xfId="37" applyNumberFormat="1" applyFont="1" applyFill="1" applyBorder="1" applyAlignment="1">
      <alignment horizontal="center"/>
    </xf>
    <xf numFmtId="165" fontId="19" fillId="0" borderId="0" xfId="1" applyNumberFormat="1" applyFont="1" applyFill="1" applyBorder="1"/>
    <xf numFmtId="44" fontId="19" fillId="0" borderId="1" xfId="10" applyNumberFormat="1" applyFont="1" applyFill="1" applyBorder="1"/>
    <xf numFmtId="166" fontId="19" fillId="0" borderId="0" xfId="22" applyNumberFormat="1" applyFont="1" applyFill="1" applyBorder="1"/>
    <xf numFmtId="0" fontId="19" fillId="0" borderId="0" xfId="22" applyFont="1" applyFill="1" applyBorder="1"/>
    <xf numFmtId="166" fontId="19" fillId="0" borderId="0" xfId="37" applyNumberFormat="1" applyFont="1" applyFill="1"/>
    <xf numFmtId="165" fontId="19" fillId="0" borderId="0" xfId="1" applyNumberFormat="1" applyFont="1" applyFill="1"/>
    <xf numFmtId="166" fontId="19" fillId="0" borderId="0" xfId="11" applyNumberFormat="1" applyFont="1" applyFill="1"/>
    <xf numFmtId="166" fontId="19" fillId="0" borderId="0" xfId="11" applyNumberFormat="1" applyFont="1" applyFill="1" applyBorder="1"/>
    <xf numFmtId="9" fontId="19" fillId="0" borderId="0" xfId="37" applyFont="1" applyFill="1"/>
    <xf numFmtId="166" fontId="19" fillId="0" borderId="0" xfId="10" applyNumberFormat="1" applyFont="1" applyFill="1" applyBorder="1" applyAlignment="1">
      <alignment horizontal="center"/>
    </xf>
    <xf numFmtId="10" fontId="19" fillId="0" borderId="0" xfId="37" applyNumberFormat="1" applyFont="1" applyFill="1" applyBorder="1"/>
    <xf numFmtId="10" fontId="19" fillId="0" borderId="0" xfId="37" applyNumberFormat="1" applyFont="1" applyFill="1"/>
    <xf numFmtId="166" fontId="19" fillId="0" borderId="0" xfId="22" applyNumberFormat="1" applyFont="1" applyFill="1"/>
    <xf numFmtId="167" fontId="19" fillId="0" borderId="0" xfId="22" applyNumberFormat="1" applyFont="1" applyFill="1" applyBorder="1" applyAlignment="1">
      <alignment horizontal="center"/>
    </xf>
    <xf numFmtId="167" fontId="19" fillId="0" borderId="0" xfId="22" applyNumberFormat="1" applyFont="1" applyFill="1" applyBorder="1"/>
    <xf numFmtId="3" fontId="19" fillId="0" borderId="0" xfId="37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/>
    <xf numFmtId="164" fontId="19" fillId="0" borderId="0" xfId="37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/>
    <xf numFmtId="166" fontId="26" fillId="0" borderId="0" xfId="10" applyNumberFormat="1" applyFont="1" applyFill="1" applyBorder="1"/>
    <xf numFmtId="0" fontId="13" fillId="0" borderId="0" xfId="22" applyFont="1" applyFill="1" applyAlignment="1">
      <alignment horizontal="center" wrapText="1"/>
    </xf>
    <xf numFmtId="3" fontId="19" fillId="0" borderId="0" xfId="22" applyNumberFormat="1" applyFont="1" applyFill="1" applyBorder="1" applyAlignment="1">
      <alignment horizontal="center"/>
    </xf>
    <xf numFmtId="3" fontId="22" fillId="0" borderId="0" xfId="22" applyNumberFormat="1" applyFont="1" applyFill="1" applyBorder="1"/>
    <xf numFmtId="3" fontId="19" fillId="0" borderId="0" xfId="22" applyNumberFormat="1" applyFont="1" applyFill="1" applyBorder="1" applyAlignment="1">
      <alignment horizontal="center" wrapText="1"/>
    </xf>
    <xf numFmtId="165" fontId="19" fillId="0" borderId="0" xfId="1" applyNumberFormat="1" applyFont="1" applyFill="1" applyBorder="1" applyAlignment="1">
      <alignment horizontal="center" wrapText="1"/>
    </xf>
    <xf numFmtId="0" fontId="19" fillId="0" borderId="0" xfId="22" applyFont="1" applyFill="1" applyBorder="1" applyAlignment="1">
      <alignment horizontal="center"/>
    </xf>
    <xf numFmtId="0" fontId="38" fillId="0" borderId="0" xfId="0" applyFont="1"/>
    <xf numFmtId="171" fontId="19" fillId="0" borderId="1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center"/>
    </xf>
    <xf numFmtId="171" fontId="19" fillId="0" borderId="0" xfId="1" applyNumberFormat="1" applyFont="1" applyFill="1" applyAlignment="1">
      <alignment horizontal="center"/>
    </xf>
    <xf numFmtId="166" fontId="19" fillId="0" borderId="0" xfId="11" applyNumberFormat="1" applyFont="1" applyFill="1" applyAlignment="1">
      <alignment horizontal="center"/>
    </xf>
    <xf numFmtId="165" fontId="39" fillId="0" borderId="0" xfId="1" applyNumberFormat="1" applyFont="1"/>
    <xf numFmtId="44" fontId="13" fillId="0" borderId="0" xfId="22" applyNumberFormat="1" applyFont="1" applyFill="1"/>
    <xf numFmtId="0" fontId="39" fillId="0" borderId="0" xfId="46" applyFont="1"/>
    <xf numFmtId="0" fontId="52" fillId="0" borderId="0" xfId="46" applyFont="1" applyBorder="1" applyAlignment="1">
      <alignment horizontal="center"/>
    </xf>
    <xf numFmtId="0" fontId="54" fillId="0" borderId="33" xfId="46" applyFont="1" applyBorder="1" applyAlignment="1">
      <alignment horizontal="center"/>
    </xf>
    <xf numFmtId="0" fontId="54" fillId="0" borderId="0" xfId="46" applyFont="1" applyBorder="1" applyAlignment="1">
      <alignment horizontal="center"/>
    </xf>
    <xf numFmtId="165" fontId="39" fillId="0" borderId="0" xfId="47" applyNumberFormat="1" applyFont="1"/>
    <xf numFmtId="165" fontId="39" fillId="0" borderId="2" xfId="47" applyNumberFormat="1" applyFont="1" applyBorder="1"/>
    <xf numFmtId="165" fontId="39" fillId="0" borderId="0" xfId="47" applyNumberFormat="1" applyFont="1" applyBorder="1"/>
    <xf numFmtId="164" fontId="39" fillId="0" borderId="0" xfId="48" applyNumberFormat="1" applyFont="1" applyBorder="1"/>
    <xf numFmtId="10" fontId="54" fillId="0" borderId="4" xfId="48" applyNumberFormat="1" applyFont="1" applyBorder="1"/>
    <xf numFmtId="0" fontId="54" fillId="0" borderId="31" xfId="46" applyFont="1" applyBorder="1" applyAlignment="1">
      <alignment horizontal="center"/>
    </xf>
    <xf numFmtId="165" fontId="39" fillId="0" borderId="13" xfId="47" applyNumberFormat="1" applyFont="1" applyBorder="1"/>
    <xf numFmtId="165" fontId="39" fillId="0" borderId="9" xfId="47" applyNumberFormat="1" applyFont="1" applyBorder="1"/>
    <xf numFmtId="165" fontId="39" fillId="0" borderId="6" xfId="47" applyNumberFormat="1" applyFont="1" applyBorder="1"/>
    <xf numFmtId="0" fontId="55" fillId="0" borderId="0" xfId="46" applyFont="1"/>
    <xf numFmtId="165" fontId="39" fillId="0" borderId="31" xfId="47" applyNumberFormat="1" applyFont="1" applyBorder="1"/>
    <xf numFmtId="0" fontId="54" fillId="0" borderId="10" xfId="46" applyFont="1" applyBorder="1" applyAlignment="1">
      <alignment horizontal="center"/>
    </xf>
    <xf numFmtId="165" fontId="39" fillId="0" borderId="10" xfId="47" applyNumberFormat="1" applyFont="1" applyBorder="1"/>
    <xf numFmtId="165" fontId="39" fillId="0" borderId="7" xfId="47" applyNumberFormat="1" applyFont="1" applyBorder="1"/>
    <xf numFmtId="165" fontId="39" fillId="0" borderId="4" xfId="47" applyNumberFormat="1" applyFont="1" applyBorder="1"/>
    <xf numFmtId="164" fontId="54" fillId="0" borderId="0" xfId="48" applyNumberFormat="1" applyFont="1" applyBorder="1"/>
    <xf numFmtId="0" fontId="19" fillId="0" borderId="0" xfId="3011" applyFont="1"/>
    <xf numFmtId="171" fontId="19" fillId="0" borderId="0" xfId="1" applyNumberFormat="1" applyFont="1" applyFill="1" applyBorder="1" applyAlignment="1">
      <alignment horizontal="center"/>
    </xf>
    <xf numFmtId="43" fontId="19" fillId="0" borderId="0" xfId="1" applyFont="1" applyFill="1" applyBorder="1" applyAlignment="1">
      <alignment horizontal="center"/>
    </xf>
    <xf numFmtId="3" fontId="13" fillId="0" borderId="0" xfId="0" quotePrefix="1" applyNumberFormat="1" applyFont="1" applyFill="1" applyBorder="1"/>
    <xf numFmtId="44" fontId="19" fillId="0" borderId="0" xfId="10" applyNumberFormat="1" applyFont="1" applyFill="1" applyBorder="1"/>
    <xf numFmtId="0" fontId="39" fillId="0" borderId="0" xfId="46" applyFont="1" applyBorder="1"/>
    <xf numFmtId="10" fontId="39" fillId="0" borderId="0" xfId="48" applyNumberFormat="1" applyFont="1" applyBorder="1"/>
    <xf numFmtId="178" fontId="0" fillId="0" borderId="0" xfId="0" applyNumberFormat="1" applyBorder="1"/>
    <xf numFmtId="10" fontId="39" fillId="0" borderId="0" xfId="46" applyNumberFormat="1" applyFont="1" applyBorder="1"/>
    <xf numFmtId="0" fontId="55" fillId="0" borderId="0" xfId="46" applyFont="1" applyBorder="1"/>
    <xf numFmtId="0" fontId="15" fillId="0" borderId="0" xfId="0" applyFont="1" applyFill="1">
      <alignment readingOrder="1"/>
    </xf>
    <xf numFmtId="0" fontId="0" fillId="0" borderId="0" xfId="0" applyFill="1">
      <alignment readingOrder="1"/>
    </xf>
    <xf numFmtId="0" fontId="67" fillId="0" borderId="0" xfId="0" applyFont="1" applyAlignment="1">
      <alignment horizontal="left" indent="1" readingOrder="1"/>
    </xf>
    <xf numFmtId="0" fontId="0" fillId="0" borderId="0" xfId="0">
      <alignment readingOrder="1"/>
    </xf>
    <xf numFmtId="3" fontId="0" fillId="0" borderId="0" xfId="0" applyNumberFormat="1" applyFill="1">
      <alignment readingOrder="1"/>
    </xf>
    <xf numFmtId="165" fontId="19" fillId="0" borderId="1" xfId="1" quotePrefix="1" applyNumberFormat="1" applyFont="1" applyFill="1" applyBorder="1" applyAlignment="1">
      <alignment horizontal="center" vertical="center" wrapText="1"/>
    </xf>
    <xf numFmtId="165" fontId="19" fillId="0" borderId="1" xfId="1" applyNumberFormat="1" applyFont="1" applyFill="1" applyBorder="1" applyAlignment="1">
      <alignment horizontal="center" vertical="center" wrapText="1"/>
    </xf>
    <xf numFmtId="167" fontId="19" fillId="0" borderId="1" xfId="1" quotePrefix="1" applyNumberFormat="1" applyFont="1" applyFill="1" applyBorder="1" applyAlignment="1">
      <alignment horizontal="center" vertical="center" wrapText="1"/>
    </xf>
    <xf numFmtId="167" fontId="19" fillId="0" borderId="1" xfId="1" applyNumberFormat="1" applyFont="1" applyFill="1" applyBorder="1" applyAlignment="1">
      <alignment horizontal="center" vertical="center" wrapText="1"/>
    </xf>
    <xf numFmtId="3" fontId="19" fillId="0" borderId="1" xfId="1" quotePrefix="1" applyNumberFormat="1" applyFont="1" applyFill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horizontal="center" vertical="center" wrapText="1"/>
    </xf>
    <xf numFmtId="3" fontId="19" fillId="0" borderId="0" xfId="22" applyNumberFormat="1" applyFont="1" applyFill="1" applyBorder="1" applyAlignment="1">
      <alignment horizontal="left"/>
    </xf>
    <xf numFmtId="165" fontId="19" fillId="0" borderId="12" xfId="1" applyNumberFormat="1" applyFont="1" applyFill="1" applyBorder="1" applyAlignment="1">
      <alignment horizontal="center" vertical="center" wrapText="1"/>
    </xf>
    <xf numFmtId="167" fontId="19" fillId="0" borderId="12" xfId="1" applyNumberFormat="1" applyFont="1" applyFill="1" applyBorder="1" applyAlignment="1">
      <alignment horizontal="center" vertical="center" wrapText="1"/>
    </xf>
    <xf numFmtId="3" fontId="19" fillId="0" borderId="12" xfId="1" applyNumberFormat="1" applyFont="1" applyFill="1" applyBorder="1" applyAlignment="1">
      <alignment horizontal="center" vertical="center" wrapText="1"/>
    </xf>
    <xf numFmtId="3" fontId="19" fillId="0" borderId="13" xfId="22" applyNumberFormat="1" applyFont="1" applyFill="1" applyBorder="1" applyAlignment="1">
      <alignment horizontal="center" vertical="center" wrapText="1"/>
    </xf>
    <xf numFmtId="3" fontId="19" fillId="0" borderId="11" xfId="1" applyNumberFormat="1" applyFont="1" applyFill="1" applyBorder="1" applyAlignment="1">
      <alignment horizontal="center" vertical="center" wrapText="1"/>
    </xf>
    <xf numFmtId="3" fontId="19" fillId="0" borderId="6" xfId="22" quotePrefix="1" applyNumberFormat="1" applyFont="1" applyFill="1" applyBorder="1" applyAlignment="1">
      <alignment horizontal="center" vertical="center" wrapText="1"/>
    </xf>
    <xf numFmtId="3" fontId="19" fillId="0" borderId="5" xfId="1" quotePrefix="1" applyNumberFormat="1" applyFont="1" applyFill="1" applyBorder="1" applyAlignment="1">
      <alignment horizontal="center" vertical="center" wrapText="1"/>
    </xf>
    <xf numFmtId="3" fontId="19" fillId="0" borderId="13" xfId="22" applyNumberFormat="1" applyFont="1" applyFill="1" applyBorder="1"/>
    <xf numFmtId="0" fontId="19" fillId="0" borderId="12" xfId="22" applyFont="1" applyFill="1" applyBorder="1"/>
    <xf numFmtId="0" fontId="13" fillId="0" borderId="12" xfId="22" applyFont="1" applyFill="1" applyBorder="1"/>
    <xf numFmtId="166" fontId="19" fillId="0" borderId="12" xfId="22" applyNumberFormat="1" applyFont="1" applyFill="1" applyBorder="1"/>
    <xf numFmtId="165" fontId="19" fillId="0" borderId="12" xfId="1" applyNumberFormat="1" applyFont="1" applyFill="1" applyBorder="1"/>
    <xf numFmtId="167" fontId="19" fillId="0" borderId="12" xfId="22" applyNumberFormat="1" applyFont="1" applyFill="1" applyBorder="1" applyAlignment="1">
      <alignment horizontal="center"/>
    </xf>
    <xf numFmtId="3" fontId="19" fillId="0" borderId="12" xfId="22" applyNumberFormat="1" applyFont="1" applyFill="1" applyBorder="1"/>
    <xf numFmtId="166" fontId="19" fillId="0" borderId="12" xfId="10" applyNumberFormat="1" applyFont="1" applyFill="1" applyBorder="1"/>
    <xf numFmtId="0" fontId="19" fillId="0" borderId="11" xfId="22" applyFont="1" applyFill="1" applyBorder="1"/>
    <xf numFmtId="3" fontId="19" fillId="0" borderId="9" xfId="0" applyNumberFormat="1" applyFont="1" applyFill="1" applyBorder="1"/>
    <xf numFmtId="10" fontId="19" fillId="0" borderId="8" xfId="37" applyNumberFormat="1" applyFont="1" applyFill="1" applyBorder="1" applyAlignment="1">
      <alignment horizontal="right"/>
    </xf>
    <xf numFmtId="165" fontId="19" fillId="0" borderId="8" xfId="1" applyNumberFormat="1" applyFont="1" applyFill="1" applyBorder="1" applyAlignment="1">
      <alignment horizontal="right"/>
    </xf>
    <xf numFmtId="179" fontId="19" fillId="0" borderId="8" xfId="1" applyNumberFormat="1" applyFont="1" applyFill="1" applyBorder="1" applyAlignment="1">
      <alignment horizontal="right"/>
    </xf>
    <xf numFmtId="165" fontId="19" fillId="0" borderId="0" xfId="1" applyNumberFormat="1" applyFont="1" applyFill="1" applyBorder="1" applyAlignment="1">
      <alignment horizontal="center"/>
    </xf>
    <xf numFmtId="10" fontId="19" fillId="0" borderId="0" xfId="37" applyNumberFormat="1" applyFont="1" applyFill="1" applyBorder="1" applyAlignment="1">
      <alignment horizontal="right"/>
    </xf>
    <xf numFmtId="3" fontId="19" fillId="0" borderId="0" xfId="37" applyNumberFormat="1" applyFont="1" applyFill="1" applyBorder="1" applyAlignment="1">
      <alignment horizontal="right"/>
    </xf>
    <xf numFmtId="165" fontId="19" fillId="0" borderId="0" xfId="1" applyNumberFormat="1" applyFont="1" applyFill="1" applyBorder="1" applyAlignment="1">
      <alignment horizontal="right"/>
    </xf>
    <xf numFmtId="0" fontId="39" fillId="0" borderId="0" xfId="33" applyFont="1"/>
    <xf numFmtId="0" fontId="39" fillId="0" borderId="0" xfId="33" applyFont="1" applyFill="1"/>
    <xf numFmtId="0" fontId="69" fillId="0" borderId="0" xfId="33" applyFont="1"/>
    <xf numFmtId="0" fontId="69" fillId="0" borderId="0" xfId="33" applyFont="1" applyFill="1"/>
    <xf numFmtId="0" fontId="39" fillId="0" borderId="0" xfId="33" applyFont="1" applyAlignment="1">
      <alignment horizontal="center"/>
    </xf>
    <xf numFmtId="0" fontId="69" fillId="0" borderId="0" xfId="33" applyFont="1" applyFill="1" applyBorder="1" applyAlignment="1">
      <alignment horizontal="center"/>
    </xf>
    <xf numFmtId="0" fontId="69" fillId="0" borderId="0" xfId="33" applyFont="1" applyFill="1" applyAlignment="1">
      <alignment horizontal="center"/>
    </xf>
    <xf numFmtId="0" fontId="69" fillId="0" borderId="0" xfId="33" applyFont="1" applyFill="1" applyBorder="1"/>
    <xf numFmtId="0" fontId="69" fillId="0" borderId="1" xfId="33" applyFont="1" applyFill="1" applyBorder="1"/>
    <xf numFmtId="0" fontId="69" fillId="3" borderId="1" xfId="33" applyFont="1" applyFill="1" applyBorder="1"/>
    <xf numFmtId="0" fontId="69" fillId="3" borderId="1" xfId="33" applyFont="1" applyFill="1" applyBorder="1" applyAlignment="1">
      <alignment horizontal="center"/>
    </xf>
    <xf numFmtId="0" fontId="19" fillId="0" borderId="0" xfId="30" applyFont="1" applyAlignment="1">
      <alignment horizontal="left"/>
    </xf>
    <xf numFmtId="0" fontId="19" fillId="0" borderId="0" xfId="30" applyFont="1" applyBorder="1" applyAlignment="1">
      <alignment horizontal="left"/>
    </xf>
    <xf numFmtId="165" fontId="19" fillId="0" borderId="0" xfId="6" applyNumberFormat="1" applyFont="1" applyFill="1"/>
    <xf numFmtId="10" fontId="69" fillId="0" borderId="0" xfId="37" applyNumberFormat="1" applyFont="1" applyFill="1" applyAlignment="1">
      <alignment horizontal="center"/>
    </xf>
    <xf numFmtId="164" fontId="69" fillId="3" borderId="0" xfId="37" applyNumberFormat="1" applyFont="1" applyFill="1" applyAlignment="1">
      <alignment horizontal="center"/>
    </xf>
    <xf numFmtId="10" fontId="39" fillId="3" borderId="0" xfId="33" applyNumberFormat="1" applyFont="1" applyFill="1" applyAlignment="1">
      <alignment horizontal="center"/>
    </xf>
    <xf numFmtId="10" fontId="69" fillId="3" borderId="0" xfId="37" applyNumberFormat="1" applyFont="1" applyFill="1" applyAlignment="1">
      <alignment horizontal="center"/>
    </xf>
    <xf numFmtId="0" fontId="39" fillId="3" borderId="0" xfId="33" applyFont="1" applyFill="1"/>
    <xf numFmtId="10" fontId="70" fillId="3" borderId="0" xfId="37" applyNumberFormat="1" applyFont="1" applyFill="1"/>
    <xf numFmtId="0" fontId="70" fillId="3" borderId="0" xfId="33" applyFont="1" applyFill="1"/>
    <xf numFmtId="165" fontId="69" fillId="0" borderId="0" xfId="1" applyNumberFormat="1" applyFont="1"/>
    <xf numFmtId="10" fontId="69" fillId="0" borderId="0" xfId="37" applyNumberFormat="1" applyFont="1" applyFill="1" applyBorder="1" applyAlignment="1">
      <alignment horizontal="center"/>
    </xf>
    <xf numFmtId="10" fontId="39" fillId="3" borderId="0" xfId="33" applyNumberFormat="1" applyFont="1" applyFill="1"/>
    <xf numFmtId="10" fontId="69" fillId="3" borderId="0" xfId="37" applyNumberFormat="1" applyFont="1" applyFill="1"/>
    <xf numFmtId="0" fontId="19" fillId="0" borderId="1" xfId="30" applyFont="1" applyBorder="1" applyAlignment="1">
      <alignment horizontal="left"/>
    </xf>
    <xf numFmtId="165" fontId="19" fillId="0" borderId="1" xfId="6" applyNumberFormat="1" applyFont="1" applyFill="1" applyBorder="1"/>
    <xf numFmtId="10" fontId="69" fillId="0" borderId="1" xfId="37" applyNumberFormat="1" applyFont="1" applyFill="1" applyBorder="1" applyAlignment="1">
      <alignment horizontal="center"/>
    </xf>
    <xf numFmtId="10" fontId="69" fillId="0" borderId="0" xfId="37" applyNumberFormat="1" applyFont="1"/>
    <xf numFmtId="43" fontId="69" fillId="0" borderId="0" xfId="1" applyFont="1" applyFill="1"/>
    <xf numFmtId="0" fontId="39" fillId="3" borderId="0" xfId="33" applyFont="1" applyFill="1" applyAlignment="1">
      <alignment horizontal="center"/>
    </xf>
    <xf numFmtId="43" fontId="71" fillId="0" borderId="0" xfId="1" applyFont="1" applyFill="1"/>
    <xf numFmtId="0" fontId="71" fillId="0" borderId="0" xfId="33" applyFont="1" applyFill="1"/>
    <xf numFmtId="10" fontId="69" fillId="0" borderId="0" xfId="37" applyNumberFormat="1" applyFont="1" applyFill="1"/>
    <xf numFmtId="0" fontId="19" fillId="0" borderId="3" xfId="30" applyFont="1" applyBorder="1" applyAlignment="1">
      <alignment horizontal="left"/>
    </xf>
    <xf numFmtId="165" fontId="19" fillId="0" borderId="3" xfId="6" applyNumberFormat="1" applyFont="1" applyFill="1" applyBorder="1"/>
    <xf numFmtId="43" fontId="71" fillId="0" borderId="3" xfId="1" applyFont="1" applyFill="1" applyBorder="1"/>
    <xf numFmtId="0" fontId="71" fillId="0" borderId="3" xfId="33" applyFont="1" applyFill="1" applyBorder="1"/>
    <xf numFmtId="10" fontId="69" fillId="0" borderId="3" xfId="37" applyNumberFormat="1" applyFont="1" applyFill="1" applyBorder="1"/>
    <xf numFmtId="10" fontId="69" fillId="0" borderId="3" xfId="37" applyNumberFormat="1" applyFont="1" applyFill="1" applyBorder="1" applyAlignment="1">
      <alignment horizontal="center"/>
    </xf>
    <xf numFmtId="165" fontId="71" fillId="0" borderId="0" xfId="6" applyNumberFormat="1" applyFont="1" applyFill="1"/>
    <xf numFmtId="165" fontId="69" fillId="0" borderId="0" xfId="6" applyNumberFormat="1" applyFont="1" applyFill="1"/>
    <xf numFmtId="10" fontId="69" fillId="0" borderId="0" xfId="33" applyNumberFormat="1" applyFont="1" applyFill="1" applyAlignment="1">
      <alignment horizontal="center"/>
    </xf>
    <xf numFmtId="164" fontId="39" fillId="0" borderId="0" xfId="33" applyNumberFormat="1" applyFont="1"/>
    <xf numFmtId="10" fontId="69" fillId="0" borderId="21" xfId="37" applyNumberFormat="1" applyFont="1" applyBorder="1"/>
    <xf numFmtId="0" fontId="69" fillId="0" borderId="15" xfId="33" applyFont="1" applyBorder="1"/>
    <xf numFmtId="10" fontId="69" fillId="0" borderId="20" xfId="37" applyNumberFormat="1" applyFont="1" applyFill="1" applyBorder="1" applyAlignment="1">
      <alignment horizontal="center"/>
    </xf>
    <xf numFmtId="10" fontId="39" fillId="0" borderId="0" xfId="33" applyNumberFormat="1" applyFont="1"/>
    <xf numFmtId="10" fontId="69" fillId="0" borderId="0" xfId="37" applyNumberFormat="1" applyFont="1" applyAlignment="1">
      <alignment horizontal="center"/>
    </xf>
    <xf numFmtId="0" fontId="69" fillId="0" borderId="18" xfId="33" applyFont="1" applyBorder="1"/>
    <xf numFmtId="0" fontId="69" fillId="0" borderId="16" xfId="33" applyFont="1" applyBorder="1"/>
    <xf numFmtId="0" fontId="69" fillId="0" borderId="19" xfId="33" applyFont="1" applyFill="1" applyBorder="1"/>
    <xf numFmtId="0" fontId="69" fillId="0" borderId="0" xfId="33" applyFont="1" applyAlignment="1">
      <alignment horizontal="center"/>
    </xf>
    <xf numFmtId="0" fontId="69" fillId="0" borderId="0" xfId="33" applyFont="1" applyBorder="1" applyAlignment="1">
      <alignment horizontal="center"/>
    </xf>
    <xf numFmtId="0" fontId="69" fillId="0" borderId="1" xfId="33" applyFont="1" applyBorder="1" applyAlignment="1">
      <alignment horizontal="center"/>
    </xf>
    <xf numFmtId="0" fontId="33" fillId="0" borderId="1" xfId="33" applyFont="1" applyFill="1" applyBorder="1" applyAlignment="1">
      <alignment horizontal="center"/>
    </xf>
    <xf numFmtId="0" fontId="69" fillId="0" borderId="13" xfId="33" applyFont="1" applyFill="1" applyBorder="1"/>
    <xf numFmtId="0" fontId="69" fillId="0" borderId="12" xfId="33" applyFont="1" applyFill="1" applyBorder="1"/>
    <xf numFmtId="165" fontId="29" fillId="0" borderId="12" xfId="6" applyNumberFormat="1" applyFont="1" applyFill="1" applyBorder="1"/>
    <xf numFmtId="165" fontId="71" fillId="0" borderId="12" xfId="6" applyNumberFormat="1" applyFont="1" applyFill="1" applyBorder="1"/>
    <xf numFmtId="10" fontId="69" fillId="0" borderId="12" xfId="37" applyNumberFormat="1" applyFont="1" applyFill="1" applyBorder="1" applyAlignment="1">
      <alignment horizontal="center"/>
    </xf>
    <xf numFmtId="165" fontId="19" fillId="0" borderId="12" xfId="6" applyNumberFormat="1" applyFont="1" applyFill="1" applyBorder="1"/>
    <xf numFmtId="10" fontId="69" fillId="0" borderId="11" xfId="33" applyNumberFormat="1" applyFont="1" applyFill="1" applyBorder="1" applyAlignment="1">
      <alignment horizontal="center"/>
    </xf>
    <xf numFmtId="0" fontId="69" fillId="0" borderId="9" xfId="33" applyFont="1" applyFill="1" applyBorder="1"/>
    <xf numFmtId="165" fontId="29" fillId="0" borderId="0" xfId="6" applyNumberFormat="1" applyFont="1" applyFill="1" applyBorder="1"/>
    <xf numFmtId="165" fontId="71" fillId="0" borderId="0" xfId="6" applyNumberFormat="1" applyFont="1" applyFill="1" applyBorder="1"/>
    <xf numFmtId="165" fontId="19" fillId="0" borderId="0" xfId="6" applyNumberFormat="1" applyFont="1" applyFill="1" applyBorder="1"/>
    <xf numFmtId="10" fontId="69" fillId="0" borderId="8" xfId="33" applyNumberFormat="1" applyFont="1" applyFill="1" applyBorder="1" applyAlignment="1">
      <alignment horizontal="center"/>
    </xf>
    <xf numFmtId="0" fontId="69" fillId="0" borderId="6" xfId="33" applyFont="1" applyFill="1" applyBorder="1"/>
    <xf numFmtId="165" fontId="29" fillId="0" borderId="1" xfId="6" applyNumberFormat="1" applyFont="1" applyFill="1" applyBorder="1"/>
    <xf numFmtId="165" fontId="71" fillId="0" borderId="1" xfId="6" applyNumberFormat="1" applyFont="1" applyFill="1" applyBorder="1"/>
    <xf numFmtId="10" fontId="69" fillId="0" borderId="5" xfId="33" applyNumberFormat="1" applyFont="1" applyFill="1" applyBorder="1" applyAlignment="1">
      <alignment horizontal="center"/>
    </xf>
    <xf numFmtId="0" fontId="54" fillId="0" borderId="0" xfId="46" applyFont="1"/>
    <xf numFmtId="10" fontId="39" fillId="0" borderId="0" xfId="37" applyNumberFormat="1" applyFont="1" applyBorder="1"/>
    <xf numFmtId="0" fontId="39" fillId="0" borderId="33" xfId="46" applyFont="1" applyBorder="1" applyAlignment="1">
      <alignment horizontal="center"/>
    </xf>
    <xf numFmtId="166" fontId="26" fillId="0" borderId="1" xfId="10" applyNumberFormat="1" applyFont="1" applyFill="1" applyBorder="1"/>
    <xf numFmtId="0" fontId="39" fillId="0" borderId="0" xfId="2702" applyFont="1"/>
    <xf numFmtId="37" fontId="19" fillId="0" borderId="1" xfId="1" applyNumberFormat="1" applyFont="1" applyFill="1" applyBorder="1" applyAlignment="1">
      <alignment horizontal="right"/>
    </xf>
    <xf numFmtId="165" fontId="19" fillId="0" borderId="1" xfId="1" applyNumberFormat="1" applyFont="1" applyFill="1" applyBorder="1" applyAlignment="1">
      <alignment horizontal="center"/>
    </xf>
    <xf numFmtId="166" fontId="26" fillId="0" borderId="0" xfId="10" applyNumberFormat="1" applyFont="1" applyFill="1" applyBorder="1" applyAlignment="1">
      <alignment horizontal="right"/>
    </xf>
    <xf numFmtId="166" fontId="19" fillId="0" borderId="0" xfId="37" applyNumberFormat="1" applyFont="1" applyFill="1" applyBorder="1" applyAlignment="1">
      <alignment horizontal="right"/>
    </xf>
    <xf numFmtId="10" fontId="19" fillId="0" borderId="0" xfId="37" applyNumberFormat="1" applyFont="1" applyFill="1" applyAlignment="1">
      <alignment horizontal="right"/>
    </xf>
    <xf numFmtId="166" fontId="19" fillId="0" borderId="0" xfId="37" applyNumberFormat="1" applyFont="1" applyFill="1" applyAlignment="1">
      <alignment horizontal="right"/>
    </xf>
    <xf numFmtId="0" fontId="19" fillId="0" borderId="0" xfId="22" applyFont="1"/>
    <xf numFmtId="0" fontId="19" fillId="0" borderId="0" xfId="22" applyFont="1" applyAlignment="1">
      <alignment horizontal="center"/>
    </xf>
    <xf numFmtId="0" fontId="19" fillId="0" borderId="0" xfId="22" applyFont="1" applyBorder="1" applyAlignment="1">
      <alignment horizontal="center"/>
    </xf>
    <xf numFmtId="41" fontId="19" fillId="0" borderId="0" xfId="22" applyNumberFormat="1" applyFont="1"/>
    <xf numFmtId="166" fontId="19" fillId="0" borderId="0" xfId="10" applyNumberFormat="1" applyFont="1"/>
    <xf numFmtId="166" fontId="19" fillId="0" borderId="0" xfId="22" applyNumberFormat="1" applyFont="1"/>
    <xf numFmtId="10" fontId="19" fillId="0" borderId="0" xfId="37" applyNumberFormat="1" applyFont="1"/>
    <xf numFmtId="166" fontId="19" fillId="0" borderId="14" xfId="10" applyNumberFormat="1" applyFont="1" applyBorder="1"/>
    <xf numFmtId="166" fontId="19" fillId="0" borderId="2" xfId="10" applyNumberFormat="1" applyFont="1" applyBorder="1"/>
    <xf numFmtId="0" fontId="29" fillId="0" borderId="7" xfId="22" applyFont="1" applyBorder="1" applyAlignment="1">
      <alignment horizontal="center"/>
    </xf>
    <xf numFmtId="0" fontId="29" fillId="0" borderId="0" xfId="22" applyFont="1"/>
    <xf numFmtId="165" fontId="19" fillId="0" borderId="0" xfId="1" applyNumberFormat="1" applyFont="1"/>
    <xf numFmtId="180" fontId="19" fillId="0" borderId="0" xfId="22" applyNumberFormat="1" applyFont="1"/>
    <xf numFmtId="10" fontId="29" fillId="0" borderId="0" xfId="37" applyNumberFormat="1" applyFont="1"/>
    <xf numFmtId="166" fontId="19" fillId="0" borderId="1" xfId="10" applyNumberFormat="1" applyFont="1" applyBorder="1"/>
    <xf numFmtId="166" fontId="29" fillId="0" borderId="33" xfId="10" applyNumberFormat="1" applyFont="1" applyBorder="1"/>
    <xf numFmtId="165" fontId="19" fillId="0" borderId="0" xfId="22" applyNumberFormat="1" applyFont="1"/>
    <xf numFmtId="166" fontId="19" fillId="0" borderId="1" xfId="22" applyNumberFormat="1" applyFont="1" applyBorder="1"/>
    <xf numFmtId="0" fontId="29" fillId="0" borderId="4" xfId="22" quotePrefix="1" applyFont="1" applyBorder="1" applyAlignment="1">
      <alignment horizontal="center"/>
    </xf>
    <xf numFmtId="0" fontId="39" fillId="0" borderId="0" xfId="3028" applyFont="1"/>
    <xf numFmtId="0" fontId="72" fillId="0" borderId="0" xfId="22" applyFont="1"/>
    <xf numFmtId="0" fontId="72" fillId="0" borderId="34" xfId="22" applyFont="1" applyBorder="1" applyAlignment="1">
      <alignment vertical="center"/>
    </xf>
    <xf numFmtId="0" fontId="73" fillId="0" borderId="35" xfId="22" applyFont="1" applyBorder="1" applyAlignment="1">
      <alignment vertical="center"/>
    </xf>
    <xf numFmtId="0" fontId="19" fillId="0" borderId="12" xfId="22" applyFont="1" applyBorder="1"/>
    <xf numFmtId="0" fontId="19" fillId="0" borderId="12" xfId="22" applyFont="1" applyBorder="1" applyAlignment="1">
      <alignment horizontal="center"/>
    </xf>
    <xf numFmtId="166" fontId="19" fillId="0" borderId="12" xfId="22" applyNumberFormat="1" applyFont="1" applyBorder="1"/>
    <xf numFmtId="0" fontId="19" fillId="0" borderId="0" xfId="22" applyFont="1" applyBorder="1"/>
    <xf numFmtId="3" fontId="19" fillId="0" borderId="0" xfId="22" applyNumberFormat="1" applyFont="1" applyFill="1" applyBorder="1" applyAlignment="1">
      <alignment horizontal="center"/>
    </xf>
    <xf numFmtId="3" fontId="18" fillId="0" borderId="0" xfId="22" applyNumberFormat="1" applyFont="1" applyFill="1" applyBorder="1" applyAlignment="1">
      <alignment horizontal="center"/>
    </xf>
    <xf numFmtId="0" fontId="73" fillId="0" borderId="35" xfId="22" applyFont="1" applyBorder="1" applyAlignment="1">
      <alignment horizontal="center" vertical="center"/>
    </xf>
    <xf numFmtId="170" fontId="19" fillId="0" borderId="0" xfId="37" applyNumberFormat="1" applyFont="1" applyFill="1" applyBorder="1" applyAlignment="1">
      <alignment horizontal="center"/>
    </xf>
    <xf numFmtId="168" fontId="19" fillId="0" borderId="0" xfId="37" applyNumberFormat="1" applyFont="1" applyFill="1" applyBorder="1" applyAlignment="1">
      <alignment horizontal="center"/>
    </xf>
    <xf numFmtId="181" fontId="19" fillId="0" borderId="8" xfId="1" applyNumberFormat="1" applyFont="1" applyFill="1" applyBorder="1" applyAlignment="1">
      <alignment horizontal="right"/>
    </xf>
    <xf numFmtId="165" fontId="19" fillId="0" borderId="8" xfId="1" applyNumberFormat="1" applyFont="1" applyFill="1" applyBorder="1" applyAlignment="1">
      <alignment horizontal="center"/>
    </xf>
    <xf numFmtId="3" fontId="73" fillId="0" borderId="0" xfId="22" applyNumberFormat="1" applyFont="1" applyFill="1" applyAlignment="1">
      <alignment horizontal="left" vertical="center"/>
    </xf>
    <xf numFmtId="3" fontId="73" fillId="0" borderId="0" xfId="0" applyNumberFormat="1" applyFont="1" applyFill="1" applyBorder="1" applyAlignment="1">
      <alignment horizontal="left" vertical="center"/>
    </xf>
    <xf numFmtId="170" fontId="73" fillId="0" borderId="0" xfId="37" applyNumberFormat="1" applyFont="1" applyFill="1" applyBorder="1" applyAlignment="1">
      <alignment horizontal="left" vertical="center"/>
    </xf>
    <xf numFmtId="167" fontId="73" fillId="0" borderId="0" xfId="22" applyNumberFormat="1" applyFont="1" applyFill="1" applyBorder="1" applyAlignment="1">
      <alignment horizontal="left" vertical="center"/>
    </xf>
    <xf numFmtId="168" fontId="73" fillId="0" borderId="0" xfId="37" applyNumberFormat="1" applyFont="1" applyFill="1" applyBorder="1" applyAlignment="1">
      <alignment horizontal="left" vertical="center"/>
    </xf>
    <xf numFmtId="3" fontId="74" fillId="0" borderId="0" xfId="0" applyNumberFormat="1" applyFont="1" applyFill="1" applyBorder="1" applyAlignment="1">
      <alignment horizontal="left" vertical="center"/>
    </xf>
    <xf numFmtId="0" fontId="73" fillId="0" borderId="0" xfId="22" applyFont="1" applyFill="1" applyBorder="1" applyAlignment="1">
      <alignment horizontal="left" vertical="center"/>
    </xf>
    <xf numFmtId="3" fontId="73" fillId="0" borderId="0" xfId="22" applyNumberFormat="1" applyFont="1" applyFill="1" applyBorder="1" applyAlignment="1">
      <alignment horizontal="left" vertical="center"/>
    </xf>
    <xf numFmtId="165" fontId="73" fillId="0" borderId="0" xfId="1" applyNumberFormat="1" applyFont="1" applyFill="1" applyBorder="1" applyAlignment="1">
      <alignment horizontal="left" vertical="center"/>
    </xf>
    <xf numFmtId="0" fontId="39" fillId="0" borderId="0" xfId="3019" applyFont="1" applyBorder="1"/>
    <xf numFmtId="166" fontId="19" fillId="0" borderId="0" xfId="11" applyNumberFormat="1" applyFont="1" applyFill="1" applyBorder="1" applyAlignment="1">
      <alignment horizontal="center"/>
    </xf>
    <xf numFmtId="3" fontId="73" fillId="0" borderId="1" xfId="22" applyNumberFormat="1" applyFont="1" applyFill="1" applyBorder="1" applyAlignment="1">
      <alignment horizontal="left" vertical="center"/>
    </xf>
    <xf numFmtId="3" fontId="73" fillId="0" borderId="1" xfId="0" applyNumberFormat="1" applyFont="1" applyFill="1" applyBorder="1" applyAlignment="1">
      <alignment horizontal="left" vertical="center"/>
    </xf>
    <xf numFmtId="170" fontId="73" fillId="0" borderId="1" xfId="37" applyNumberFormat="1" applyFont="1" applyFill="1" applyBorder="1" applyAlignment="1">
      <alignment horizontal="left" vertical="center"/>
    </xf>
    <xf numFmtId="167" fontId="73" fillId="0" borderId="1" xfId="22" applyNumberFormat="1" applyFont="1" applyFill="1" applyBorder="1" applyAlignment="1">
      <alignment horizontal="left" vertical="center"/>
    </xf>
    <xf numFmtId="168" fontId="73" fillId="0" borderId="1" xfId="37" applyNumberFormat="1" applyFont="1" applyFill="1" applyBorder="1" applyAlignment="1">
      <alignment horizontal="left" vertical="center"/>
    </xf>
    <xf numFmtId="3" fontId="74" fillId="0" borderId="1" xfId="0" applyNumberFormat="1" applyFont="1" applyFill="1" applyBorder="1" applyAlignment="1">
      <alignment horizontal="left" vertical="center"/>
    </xf>
    <xf numFmtId="0" fontId="73" fillId="0" borderId="1" xfId="22" applyFont="1" applyFill="1" applyBorder="1" applyAlignment="1">
      <alignment horizontal="left" vertical="center"/>
    </xf>
    <xf numFmtId="165" fontId="73" fillId="0" borderId="1" xfId="1" applyNumberFormat="1" applyFont="1" applyFill="1" applyBorder="1" applyAlignment="1">
      <alignment horizontal="left" vertical="center"/>
    </xf>
    <xf numFmtId="3" fontId="73" fillId="0" borderId="37" xfId="0" applyNumberFormat="1" applyFont="1" applyFill="1" applyBorder="1" applyAlignment="1">
      <alignment horizontal="left" vertical="center"/>
    </xf>
    <xf numFmtId="3" fontId="73" fillId="0" borderId="17" xfId="0" applyNumberFormat="1" applyFont="1" applyFill="1" applyBorder="1" applyAlignment="1">
      <alignment horizontal="left" vertical="center"/>
    </xf>
    <xf numFmtId="170" fontId="73" fillId="0" borderId="17" xfId="37" applyNumberFormat="1" applyFont="1" applyFill="1" applyBorder="1" applyAlignment="1">
      <alignment horizontal="left" vertical="center"/>
    </xf>
    <xf numFmtId="167" fontId="73" fillId="0" borderId="17" xfId="22" applyNumberFormat="1" applyFont="1" applyFill="1" applyBorder="1" applyAlignment="1">
      <alignment horizontal="left" vertical="center"/>
    </xf>
    <xf numFmtId="168" fontId="73" fillId="0" borderId="17" xfId="37" applyNumberFormat="1" applyFont="1" applyFill="1" applyBorder="1" applyAlignment="1">
      <alignment horizontal="left" vertical="center"/>
    </xf>
    <xf numFmtId="3" fontId="74" fillId="0" borderId="17" xfId="0" applyNumberFormat="1" applyFont="1" applyFill="1" applyBorder="1" applyAlignment="1">
      <alignment horizontal="left" vertical="center"/>
    </xf>
    <xf numFmtId="0" fontId="73" fillId="0" borderId="17" xfId="22" applyFont="1" applyFill="1" applyBorder="1" applyAlignment="1">
      <alignment horizontal="left" vertical="center"/>
    </xf>
    <xf numFmtId="165" fontId="73" fillId="0" borderId="38" xfId="1" applyNumberFormat="1" applyFont="1" applyFill="1" applyBorder="1" applyAlignment="1">
      <alignment horizontal="left" vertical="center"/>
    </xf>
    <xf numFmtId="166" fontId="29" fillId="0" borderId="0" xfId="11" applyNumberFormat="1" applyFont="1" applyBorder="1"/>
    <xf numFmtId="182" fontId="19" fillId="0" borderId="0" xfId="11" applyNumberFormat="1" applyFont="1" applyBorder="1" applyAlignment="1">
      <alignment horizontal="center" vertical="center"/>
    </xf>
    <xf numFmtId="166" fontId="73" fillId="0" borderId="36" xfId="10" applyNumberFormat="1" applyFont="1" applyBorder="1" applyAlignment="1">
      <alignment horizontal="right" vertical="center"/>
    </xf>
    <xf numFmtId="0" fontId="19" fillId="0" borderId="0" xfId="22" applyFont="1" applyAlignment="1">
      <alignment horizontal="center" vertical="center"/>
    </xf>
    <xf numFmtId="180" fontId="19" fillId="0" borderId="0" xfId="0" applyNumberFormat="1" applyFont="1" applyFill="1" applyBorder="1" applyAlignment="1">
      <alignment horizontal="right"/>
    </xf>
    <xf numFmtId="0" fontId="73" fillId="0" borderId="34" xfId="22" applyFont="1" applyBorder="1" applyAlignment="1">
      <alignment horizontal="center" vertical="center"/>
    </xf>
    <xf numFmtId="0" fontId="73" fillId="0" borderId="35" xfId="22" applyFont="1" applyBorder="1" applyAlignment="1">
      <alignment horizontal="center" vertical="center"/>
    </xf>
    <xf numFmtId="0" fontId="73" fillId="0" borderId="36" xfId="22" applyFont="1" applyBorder="1" applyAlignment="1">
      <alignment horizontal="center" vertical="center"/>
    </xf>
    <xf numFmtId="3" fontId="19" fillId="0" borderId="0" xfId="22" applyNumberFormat="1" applyFont="1" applyFill="1" applyBorder="1" applyAlignment="1">
      <alignment horizontal="center"/>
    </xf>
    <xf numFmtId="0" fontId="68" fillId="0" borderId="16" xfId="33" applyFont="1" applyBorder="1" applyAlignment="1">
      <alignment horizontal="center"/>
    </xf>
    <xf numFmtId="0" fontId="69" fillId="0" borderId="0" xfId="33" applyFont="1" applyFill="1" applyBorder="1" applyAlignment="1">
      <alignment horizontal="center"/>
    </xf>
    <xf numFmtId="0" fontId="54" fillId="0" borderId="31" xfId="46" applyFont="1" applyBorder="1" applyAlignment="1">
      <alignment horizontal="center"/>
    </xf>
    <xf numFmtId="0" fontId="52" fillId="0" borderId="2" xfId="46" applyFont="1" applyBorder="1" applyAlignment="1">
      <alignment horizontal="center"/>
    </xf>
    <xf numFmtId="0" fontId="52" fillId="0" borderId="32" xfId="46" applyFont="1" applyBorder="1" applyAlignment="1">
      <alignment horizontal="center"/>
    </xf>
    <xf numFmtId="165" fontId="39" fillId="40" borderId="0" xfId="47" applyNumberFormat="1" applyFont="1" applyFill="1"/>
    <xf numFmtId="10" fontId="39" fillId="40" borderId="0" xfId="37" applyNumberFormat="1" applyFont="1" applyFill="1"/>
    <xf numFmtId="0" fontId="39" fillId="40" borderId="0" xfId="46" applyFont="1" applyFill="1"/>
    <xf numFmtId="165" fontId="39" fillId="40" borderId="2" xfId="47" applyNumberFormat="1" applyFont="1" applyFill="1" applyBorder="1"/>
    <xf numFmtId="10" fontId="39" fillId="40" borderId="2" xfId="48" applyNumberFormat="1" applyFont="1" applyFill="1" applyBorder="1"/>
    <xf numFmtId="10" fontId="39" fillId="40" borderId="31" xfId="48" applyNumberFormat="1" applyFont="1" applyFill="1" applyBorder="1"/>
    <xf numFmtId="165" fontId="39" fillId="40" borderId="0" xfId="47" applyNumberFormat="1" applyFont="1" applyFill="1" applyBorder="1"/>
    <xf numFmtId="164" fontId="39" fillId="40" borderId="2" xfId="48" applyNumberFormat="1" applyFont="1" applyFill="1" applyBorder="1"/>
    <xf numFmtId="165" fontId="39" fillId="40" borderId="12" xfId="47" applyNumberFormat="1" applyFont="1" applyFill="1" applyBorder="1"/>
    <xf numFmtId="165" fontId="39" fillId="40" borderId="1" xfId="47" applyNumberFormat="1" applyFont="1" applyFill="1" applyBorder="1"/>
    <xf numFmtId="165" fontId="39" fillId="40" borderId="32" xfId="47" applyNumberFormat="1" applyFont="1" applyFill="1" applyBorder="1"/>
    <xf numFmtId="165" fontId="55" fillId="40" borderId="0" xfId="47" applyNumberFormat="1" applyFont="1" applyFill="1" applyBorder="1"/>
    <xf numFmtId="164" fontId="39" fillId="40" borderId="31" xfId="48" applyNumberFormat="1" applyFont="1" applyFill="1" applyBorder="1"/>
    <xf numFmtId="164" fontId="39" fillId="40" borderId="32" xfId="48" applyNumberFormat="1" applyFont="1" applyFill="1" applyBorder="1"/>
    <xf numFmtId="164" fontId="54" fillId="40" borderId="4" xfId="48" applyNumberFormat="1" applyFont="1" applyFill="1" applyBorder="1"/>
    <xf numFmtId="165" fontId="39" fillId="0" borderId="0" xfId="47" applyNumberFormat="1" applyFont="1" applyFill="1"/>
    <xf numFmtId="165" fontId="39" fillId="0" borderId="2" xfId="47" applyNumberFormat="1" applyFont="1" applyFill="1" applyBorder="1"/>
    <xf numFmtId="10" fontId="54" fillId="0" borderId="4" xfId="48" applyNumberFormat="1" applyFont="1" applyFill="1" applyBorder="1"/>
  </cellXfs>
  <cellStyles count="3029">
    <cellStyle name="20% - Accent1 10" xfId="49"/>
    <cellStyle name="20% - Accent1 11" xfId="50"/>
    <cellStyle name="20% - Accent1 12" xfId="51"/>
    <cellStyle name="20% - Accent1 13" xfId="52"/>
    <cellStyle name="20% - Accent1 14" xfId="53"/>
    <cellStyle name="20% - Accent1 15" xfId="54"/>
    <cellStyle name="20% - Accent1 16" xfId="55"/>
    <cellStyle name="20% - Accent1 17" xfId="56"/>
    <cellStyle name="20% - Accent1 18" xfId="57"/>
    <cellStyle name="20% - Accent1 19" xfId="58"/>
    <cellStyle name="20% - Accent1 2" xfId="59"/>
    <cellStyle name="20% - Accent1 20" xfId="60"/>
    <cellStyle name="20% - Accent1 21" xfId="61"/>
    <cellStyle name="20% - Accent1 22" xfId="62"/>
    <cellStyle name="20% - Accent1 23" xfId="63"/>
    <cellStyle name="20% - Accent1 24" xfId="64"/>
    <cellStyle name="20% - Accent1 25" xfId="65"/>
    <cellStyle name="20% - Accent1 26" xfId="66"/>
    <cellStyle name="20% - Accent1 27" xfId="67"/>
    <cellStyle name="20% - Accent1 28" xfId="68"/>
    <cellStyle name="20% - Accent1 29" xfId="69"/>
    <cellStyle name="20% - Accent1 3" xfId="70"/>
    <cellStyle name="20% - Accent1 30" xfId="71"/>
    <cellStyle name="20% - Accent1 31" xfId="72"/>
    <cellStyle name="20% - Accent1 32" xfId="73"/>
    <cellStyle name="20% - Accent1 33" xfId="74"/>
    <cellStyle name="20% - Accent1 34" xfId="75"/>
    <cellStyle name="20% - Accent1 35" xfId="76"/>
    <cellStyle name="20% - Accent1 36" xfId="77"/>
    <cellStyle name="20% - Accent1 37" xfId="78"/>
    <cellStyle name="20% - Accent1 38" xfId="79"/>
    <cellStyle name="20% - Accent1 39" xfId="80"/>
    <cellStyle name="20% - Accent1 4" xfId="81"/>
    <cellStyle name="20% - Accent1 40" xfId="82"/>
    <cellStyle name="20% - Accent1 41" xfId="83"/>
    <cellStyle name="20% - Accent1 42" xfId="84"/>
    <cellStyle name="20% - Accent1 43" xfId="85"/>
    <cellStyle name="20% - Accent1 44" xfId="86"/>
    <cellStyle name="20% - Accent1 45" xfId="87"/>
    <cellStyle name="20% - Accent1 46" xfId="88"/>
    <cellStyle name="20% - Accent1 47" xfId="89"/>
    <cellStyle name="20% - Accent1 48" xfId="90"/>
    <cellStyle name="20% - Accent1 49" xfId="91"/>
    <cellStyle name="20% - Accent1 5" xfId="92"/>
    <cellStyle name="20% - Accent1 50" xfId="93"/>
    <cellStyle name="20% - Accent1 51" xfId="94"/>
    <cellStyle name="20% - Accent1 52" xfId="95"/>
    <cellStyle name="20% - Accent1 53" xfId="96"/>
    <cellStyle name="20% - Accent1 54" xfId="97"/>
    <cellStyle name="20% - Accent1 55" xfId="98"/>
    <cellStyle name="20% - Accent1 56" xfId="99"/>
    <cellStyle name="20% - Accent1 57" xfId="100"/>
    <cellStyle name="20% - Accent1 58" xfId="101"/>
    <cellStyle name="20% - Accent1 59" xfId="102"/>
    <cellStyle name="20% - Accent1 6" xfId="103"/>
    <cellStyle name="20% - Accent1 60" xfId="104"/>
    <cellStyle name="20% - Accent1 61" xfId="105"/>
    <cellStyle name="20% - Accent1 62" xfId="106"/>
    <cellStyle name="20% - Accent1 63" xfId="107"/>
    <cellStyle name="20% - Accent1 64" xfId="108"/>
    <cellStyle name="20% - Accent1 65" xfId="109"/>
    <cellStyle name="20% - Accent1 66" xfId="110"/>
    <cellStyle name="20% - Accent1 67" xfId="111"/>
    <cellStyle name="20% - Accent1 68" xfId="112"/>
    <cellStyle name="20% - Accent1 69" xfId="113"/>
    <cellStyle name="20% - Accent1 7" xfId="114"/>
    <cellStyle name="20% - Accent1 70" xfId="115"/>
    <cellStyle name="20% - Accent1 71" xfId="116"/>
    <cellStyle name="20% - Accent1 72" xfId="117"/>
    <cellStyle name="20% - Accent1 8" xfId="118"/>
    <cellStyle name="20% - Accent1 9" xfId="119"/>
    <cellStyle name="20% - Accent2 10" xfId="120"/>
    <cellStyle name="20% - Accent2 11" xfId="121"/>
    <cellStyle name="20% - Accent2 12" xfId="122"/>
    <cellStyle name="20% - Accent2 13" xfId="123"/>
    <cellStyle name="20% - Accent2 14" xfId="124"/>
    <cellStyle name="20% - Accent2 15" xfId="125"/>
    <cellStyle name="20% - Accent2 16" xfId="126"/>
    <cellStyle name="20% - Accent2 17" xfId="127"/>
    <cellStyle name="20% - Accent2 18" xfId="128"/>
    <cellStyle name="20% - Accent2 19" xfId="129"/>
    <cellStyle name="20% - Accent2 2" xfId="130"/>
    <cellStyle name="20% - Accent2 20" xfId="131"/>
    <cellStyle name="20% - Accent2 21" xfId="132"/>
    <cellStyle name="20% - Accent2 22" xfId="133"/>
    <cellStyle name="20% - Accent2 23" xfId="134"/>
    <cellStyle name="20% - Accent2 24" xfId="135"/>
    <cellStyle name="20% - Accent2 25" xfId="136"/>
    <cellStyle name="20% - Accent2 26" xfId="137"/>
    <cellStyle name="20% - Accent2 27" xfId="138"/>
    <cellStyle name="20% - Accent2 28" xfId="139"/>
    <cellStyle name="20% - Accent2 29" xfId="140"/>
    <cellStyle name="20% - Accent2 3" xfId="141"/>
    <cellStyle name="20% - Accent2 30" xfId="142"/>
    <cellStyle name="20% - Accent2 31" xfId="143"/>
    <cellStyle name="20% - Accent2 32" xfId="144"/>
    <cellStyle name="20% - Accent2 33" xfId="145"/>
    <cellStyle name="20% - Accent2 34" xfId="146"/>
    <cellStyle name="20% - Accent2 35" xfId="147"/>
    <cellStyle name="20% - Accent2 36" xfId="148"/>
    <cellStyle name="20% - Accent2 37" xfId="149"/>
    <cellStyle name="20% - Accent2 38" xfId="150"/>
    <cellStyle name="20% - Accent2 39" xfId="151"/>
    <cellStyle name="20% - Accent2 4" xfId="152"/>
    <cellStyle name="20% - Accent2 40" xfId="153"/>
    <cellStyle name="20% - Accent2 41" xfId="154"/>
    <cellStyle name="20% - Accent2 42" xfId="155"/>
    <cellStyle name="20% - Accent2 43" xfId="156"/>
    <cellStyle name="20% - Accent2 44" xfId="157"/>
    <cellStyle name="20% - Accent2 45" xfId="158"/>
    <cellStyle name="20% - Accent2 46" xfId="159"/>
    <cellStyle name="20% - Accent2 47" xfId="160"/>
    <cellStyle name="20% - Accent2 48" xfId="161"/>
    <cellStyle name="20% - Accent2 49" xfId="162"/>
    <cellStyle name="20% - Accent2 5" xfId="163"/>
    <cellStyle name="20% - Accent2 50" xfId="164"/>
    <cellStyle name="20% - Accent2 51" xfId="165"/>
    <cellStyle name="20% - Accent2 52" xfId="166"/>
    <cellStyle name="20% - Accent2 53" xfId="167"/>
    <cellStyle name="20% - Accent2 54" xfId="168"/>
    <cellStyle name="20% - Accent2 55" xfId="169"/>
    <cellStyle name="20% - Accent2 56" xfId="170"/>
    <cellStyle name="20% - Accent2 57" xfId="171"/>
    <cellStyle name="20% - Accent2 58" xfId="172"/>
    <cellStyle name="20% - Accent2 59" xfId="173"/>
    <cellStyle name="20% - Accent2 6" xfId="174"/>
    <cellStyle name="20% - Accent2 60" xfId="175"/>
    <cellStyle name="20% - Accent2 61" xfId="176"/>
    <cellStyle name="20% - Accent2 62" xfId="177"/>
    <cellStyle name="20% - Accent2 63" xfId="178"/>
    <cellStyle name="20% - Accent2 64" xfId="179"/>
    <cellStyle name="20% - Accent2 65" xfId="180"/>
    <cellStyle name="20% - Accent2 66" xfId="181"/>
    <cellStyle name="20% - Accent2 67" xfId="182"/>
    <cellStyle name="20% - Accent2 68" xfId="183"/>
    <cellStyle name="20% - Accent2 69" xfId="184"/>
    <cellStyle name="20% - Accent2 7" xfId="185"/>
    <cellStyle name="20% - Accent2 70" xfId="186"/>
    <cellStyle name="20% - Accent2 71" xfId="187"/>
    <cellStyle name="20% - Accent2 72" xfId="188"/>
    <cellStyle name="20% - Accent2 8" xfId="189"/>
    <cellStyle name="20% - Accent2 9" xfId="190"/>
    <cellStyle name="20% - Accent3 10" xfId="191"/>
    <cellStyle name="20% - Accent3 11" xfId="192"/>
    <cellStyle name="20% - Accent3 12" xfId="193"/>
    <cellStyle name="20% - Accent3 13" xfId="194"/>
    <cellStyle name="20% - Accent3 14" xfId="195"/>
    <cellStyle name="20% - Accent3 15" xfId="196"/>
    <cellStyle name="20% - Accent3 16" xfId="197"/>
    <cellStyle name="20% - Accent3 17" xfId="198"/>
    <cellStyle name="20% - Accent3 18" xfId="199"/>
    <cellStyle name="20% - Accent3 19" xfId="200"/>
    <cellStyle name="20% - Accent3 2" xfId="201"/>
    <cellStyle name="20% - Accent3 20" xfId="202"/>
    <cellStyle name="20% - Accent3 21" xfId="203"/>
    <cellStyle name="20% - Accent3 22" xfId="204"/>
    <cellStyle name="20% - Accent3 23" xfId="205"/>
    <cellStyle name="20% - Accent3 24" xfId="206"/>
    <cellStyle name="20% - Accent3 25" xfId="207"/>
    <cellStyle name="20% - Accent3 26" xfId="208"/>
    <cellStyle name="20% - Accent3 27" xfId="209"/>
    <cellStyle name="20% - Accent3 28" xfId="210"/>
    <cellStyle name="20% - Accent3 29" xfId="211"/>
    <cellStyle name="20% - Accent3 3" xfId="212"/>
    <cellStyle name="20% - Accent3 30" xfId="213"/>
    <cellStyle name="20% - Accent3 31" xfId="214"/>
    <cellStyle name="20% - Accent3 32" xfId="215"/>
    <cellStyle name="20% - Accent3 33" xfId="216"/>
    <cellStyle name="20% - Accent3 34" xfId="217"/>
    <cellStyle name="20% - Accent3 35" xfId="218"/>
    <cellStyle name="20% - Accent3 36" xfId="219"/>
    <cellStyle name="20% - Accent3 37" xfId="220"/>
    <cellStyle name="20% - Accent3 38" xfId="221"/>
    <cellStyle name="20% - Accent3 39" xfId="222"/>
    <cellStyle name="20% - Accent3 4" xfId="223"/>
    <cellStyle name="20% - Accent3 40" xfId="224"/>
    <cellStyle name="20% - Accent3 41" xfId="225"/>
    <cellStyle name="20% - Accent3 42" xfId="226"/>
    <cellStyle name="20% - Accent3 43" xfId="227"/>
    <cellStyle name="20% - Accent3 44" xfId="228"/>
    <cellStyle name="20% - Accent3 45" xfId="229"/>
    <cellStyle name="20% - Accent3 46" xfId="230"/>
    <cellStyle name="20% - Accent3 47" xfId="231"/>
    <cellStyle name="20% - Accent3 48" xfId="232"/>
    <cellStyle name="20% - Accent3 49" xfId="233"/>
    <cellStyle name="20% - Accent3 5" xfId="234"/>
    <cellStyle name="20% - Accent3 50" xfId="235"/>
    <cellStyle name="20% - Accent3 51" xfId="236"/>
    <cellStyle name="20% - Accent3 52" xfId="237"/>
    <cellStyle name="20% - Accent3 53" xfId="238"/>
    <cellStyle name="20% - Accent3 54" xfId="239"/>
    <cellStyle name="20% - Accent3 55" xfId="240"/>
    <cellStyle name="20% - Accent3 56" xfId="241"/>
    <cellStyle name="20% - Accent3 57" xfId="242"/>
    <cellStyle name="20% - Accent3 58" xfId="243"/>
    <cellStyle name="20% - Accent3 59" xfId="244"/>
    <cellStyle name="20% - Accent3 6" xfId="245"/>
    <cellStyle name="20% - Accent3 60" xfId="246"/>
    <cellStyle name="20% - Accent3 61" xfId="247"/>
    <cellStyle name="20% - Accent3 62" xfId="248"/>
    <cellStyle name="20% - Accent3 63" xfId="249"/>
    <cellStyle name="20% - Accent3 64" xfId="250"/>
    <cellStyle name="20% - Accent3 65" xfId="251"/>
    <cellStyle name="20% - Accent3 66" xfId="252"/>
    <cellStyle name="20% - Accent3 67" xfId="253"/>
    <cellStyle name="20% - Accent3 68" xfId="254"/>
    <cellStyle name="20% - Accent3 69" xfId="255"/>
    <cellStyle name="20% - Accent3 7" xfId="256"/>
    <cellStyle name="20% - Accent3 70" xfId="257"/>
    <cellStyle name="20% - Accent3 71" xfId="258"/>
    <cellStyle name="20% - Accent3 72" xfId="259"/>
    <cellStyle name="20% - Accent3 8" xfId="260"/>
    <cellStyle name="20% - Accent3 9" xfId="261"/>
    <cellStyle name="20% - Accent4 10" xfId="262"/>
    <cellStyle name="20% - Accent4 11" xfId="263"/>
    <cellStyle name="20% - Accent4 12" xfId="264"/>
    <cellStyle name="20% - Accent4 13" xfId="265"/>
    <cellStyle name="20% - Accent4 14" xfId="266"/>
    <cellStyle name="20% - Accent4 15" xfId="267"/>
    <cellStyle name="20% - Accent4 16" xfId="268"/>
    <cellStyle name="20% - Accent4 17" xfId="269"/>
    <cellStyle name="20% - Accent4 18" xfId="270"/>
    <cellStyle name="20% - Accent4 19" xfId="271"/>
    <cellStyle name="20% - Accent4 2" xfId="272"/>
    <cellStyle name="20% - Accent4 20" xfId="273"/>
    <cellStyle name="20% - Accent4 21" xfId="274"/>
    <cellStyle name="20% - Accent4 22" xfId="275"/>
    <cellStyle name="20% - Accent4 23" xfId="276"/>
    <cellStyle name="20% - Accent4 24" xfId="277"/>
    <cellStyle name="20% - Accent4 25" xfId="278"/>
    <cellStyle name="20% - Accent4 26" xfId="279"/>
    <cellStyle name="20% - Accent4 27" xfId="280"/>
    <cellStyle name="20% - Accent4 28" xfId="281"/>
    <cellStyle name="20% - Accent4 29" xfId="282"/>
    <cellStyle name="20% - Accent4 3" xfId="283"/>
    <cellStyle name="20% - Accent4 30" xfId="284"/>
    <cellStyle name="20% - Accent4 31" xfId="285"/>
    <cellStyle name="20% - Accent4 32" xfId="286"/>
    <cellStyle name="20% - Accent4 33" xfId="287"/>
    <cellStyle name="20% - Accent4 34" xfId="288"/>
    <cellStyle name="20% - Accent4 35" xfId="289"/>
    <cellStyle name="20% - Accent4 36" xfId="290"/>
    <cellStyle name="20% - Accent4 37" xfId="291"/>
    <cellStyle name="20% - Accent4 38" xfId="292"/>
    <cellStyle name="20% - Accent4 39" xfId="293"/>
    <cellStyle name="20% - Accent4 4" xfId="294"/>
    <cellStyle name="20% - Accent4 40" xfId="295"/>
    <cellStyle name="20% - Accent4 41" xfId="296"/>
    <cellStyle name="20% - Accent4 42" xfId="297"/>
    <cellStyle name="20% - Accent4 43" xfId="298"/>
    <cellStyle name="20% - Accent4 44" xfId="299"/>
    <cellStyle name="20% - Accent4 45" xfId="300"/>
    <cellStyle name="20% - Accent4 46" xfId="301"/>
    <cellStyle name="20% - Accent4 47" xfId="302"/>
    <cellStyle name="20% - Accent4 48" xfId="303"/>
    <cellStyle name="20% - Accent4 49" xfId="304"/>
    <cellStyle name="20% - Accent4 5" xfId="305"/>
    <cellStyle name="20% - Accent4 50" xfId="306"/>
    <cellStyle name="20% - Accent4 51" xfId="307"/>
    <cellStyle name="20% - Accent4 52" xfId="308"/>
    <cellStyle name="20% - Accent4 53" xfId="309"/>
    <cellStyle name="20% - Accent4 54" xfId="310"/>
    <cellStyle name="20% - Accent4 55" xfId="311"/>
    <cellStyle name="20% - Accent4 56" xfId="312"/>
    <cellStyle name="20% - Accent4 57" xfId="313"/>
    <cellStyle name="20% - Accent4 58" xfId="314"/>
    <cellStyle name="20% - Accent4 59" xfId="315"/>
    <cellStyle name="20% - Accent4 6" xfId="316"/>
    <cellStyle name="20% - Accent4 60" xfId="317"/>
    <cellStyle name="20% - Accent4 61" xfId="318"/>
    <cellStyle name="20% - Accent4 62" xfId="319"/>
    <cellStyle name="20% - Accent4 63" xfId="320"/>
    <cellStyle name="20% - Accent4 64" xfId="321"/>
    <cellStyle name="20% - Accent4 65" xfId="322"/>
    <cellStyle name="20% - Accent4 66" xfId="323"/>
    <cellStyle name="20% - Accent4 67" xfId="324"/>
    <cellStyle name="20% - Accent4 68" xfId="325"/>
    <cellStyle name="20% - Accent4 69" xfId="326"/>
    <cellStyle name="20% - Accent4 7" xfId="327"/>
    <cellStyle name="20% - Accent4 70" xfId="328"/>
    <cellStyle name="20% - Accent4 71" xfId="329"/>
    <cellStyle name="20% - Accent4 72" xfId="330"/>
    <cellStyle name="20% - Accent4 8" xfId="331"/>
    <cellStyle name="20% - Accent4 9" xfId="332"/>
    <cellStyle name="20% - Accent5 10" xfId="333"/>
    <cellStyle name="20% - Accent5 11" xfId="334"/>
    <cellStyle name="20% - Accent5 12" xfId="335"/>
    <cellStyle name="20% - Accent5 13" xfId="336"/>
    <cellStyle name="20% - Accent5 14" xfId="337"/>
    <cellStyle name="20% - Accent5 15" xfId="338"/>
    <cellStyle name="20% - Accent5 16" xfId="339"/>
    <cellStyle name="20% - Accent5 17" xfId="340"/>
    <cellStyle name="20% - Accent5 18" xfId="341"/>
    <cellStyle name="20% - Accent5 19" xfId="342"/>
    <cellStyle name="20% - Accent5 2" xfId="343"/>
    <cellStyle name="20% - Accent5 20" xfId="344"/>
    <cellStyle name="20% - Accent5 21" xfId="345"/>
    <cellStyle name="20% - Accent5 22" xfId="346"/>
    <cellStyle name="20% - Accent5 23" xfId="347"/>
    <cellStyle name="20% - Accent5 24" xfId="348"/>
    <cellStyle name="20% - Accent5 25" xfId="349"/>
    <cellStyle name="20% - Accent5 26" xfId="350"/>
    <cellStyle name="20% - Accent5 27" xfId="351"/>
    <cellStyle name="20% - Accent5 28" xfId="352"/>
    <cellStyle name="20% - Accent5 29" xfId="353"/>
    <cellStyle name="20% - Accent5 3" xfId="354"/>
    <cellStyle name="20% - Accent5 30" xfId="355"/>
    <cellStyle name="20% - Accent5 31" xfId="356"/>
    <cellStyle name="20% - Accent5 32" xfId="357"/>
    <cellStyle name="20% - Accent5 33" xfId="358"/>
    <cellStyle name="20% - Accent5 34" xfId="359"/>
    <cellStyle name="20% - Accent5 35" xfId="360"/>
    <cellStyle name="20% - Accent5 36" xfId="361"/>
    <cellStyle name="20% - Accent5 37" xfId="362"/>
    <cellStyle name="20% - Accent5 38" xfId="363"/>
    <cellStyle name="20% - Accent5 39" xfId="364"/>
    <cellStyle name="20% - Accent5 4" xfId="365"/>
    <cellStyle name="20% - Accent5 40" xfId="366"/>
    <cellStyle name="20% - Accent5 41" xfId="367"/>
    <cellStyle name="20% - Accent5 42" xfId="368"/>
    <cellStyle name="20% - Accent5 43" xfId="369"/>
    <cellStyle name="20% - Accent5 44" xfId="370"/>
    <cellStyle name="20% - Accent5 45" xfId="371"/>
    <cellStyle name="20% - Accent5 46" xfId="372"/>
    <cellStyle name="20% - Accent5 47" xfId="373"/>
    <cellStyle name="20% - Accent5 48" xfId="374"/>
    <cellStyle name="20% - Accent5 49" xfId="375"/>
    <cellStyle name="20% - Accent5 5" xfId="376"/>
    <cellStyle name="20% - Accent5 50" xfId="377"/>
    <cellStyle name="20% - Accent5 51" xfId="378"/>
    <cellStyle name="20% - Accent5 52" xfId="379"/>
    <cellStyle name="20% - Accent5 53" xfId="380"/>
    <cellStyle name="20% - Accent5 54" xfId="381"/>
    <cellStyle name="20% - Accent5 55" xfId="382"/>
    <cellStyle name="20% - Accent5 56" xfId="383"/>
    <cellStyle name="20% - Accent5 57" xfId="384"/>
    <cellStyle name="20% - Accent5 58" xfId="385"/>
    <cellStyle name="20% - Accent5 59" xfId="386"/>
    <cellStyle name="20% - Accent5 6" xfId="387"/>
    <cellStyle name="20% - Accent5 60" xfId="388"/>
    <cellStyle name="20% - Accent5 61" xfId="389"/>
    <cellStyle name="20% - Accent5 62" xfId="390"/>
    <cellStyle name="20% - Accent5 63" xfId="391"/>
    <cellStyle name="20% - Accent5 64" xfId="392"/>
    <cellStyle name="20% - Accent5 65" xfId="393"/>
    <cellStyle name="20% - Accent5 66" xfId="394"/>
    <cellStyle name="20% - Accent5 67" xfId="395"/>
    <cellStyle name="20% - Accent5 68" xfId="396"/>
    <cellStyle name="20% - Accent5 69" xfId="397"/>
    <cellStyle name="20% - Accent5 7" xfId="398"/>
    <cellStyle name="20% - Accent5 70" xfId="399"/>
    <cellStyle name="20% - Accent5 71" xfId="400"/>
    <cellStyle name="20% - Accent5 72" xfId="401"/>
    <cellStyle name="20% - Accent5 8" xfId="402"/>
    <cellStyle name="20% - Accent5 9" xfId="403"/>
    <cellStyle name="20% - Accent6 10" xfId="404"/>
    <cellStyle name="20% - Accent6 11" xfId="405"/>
    <cellStyle name="20% - Accent6 12" xfId="406"/>
    <cellStyle name="20% - Accent6 13" xfId="407"/>
    <cellStyle name="20% - Accent6 14" xfId="408"/>
    <cellStyle name="20% - Accent6 15" xfId="409"/>
    <cellStyle name="20% - Accent6 16" xfId="410"/>
    <cellStyle name="20% - Accent6 17" xfId="411"/>
    <cellStyle name="20% - Accent6 18" xfId="412"/>
    <cellStyle name="20% - Accent6 19" xfId="413"/>
    <cellStyle name="20% - Accent6 2" xfId="414"/>
    <cellStyle name="20% - Accent6 20" xfId="415"/>
    <cellStyle name="20% - Accent6 21" xfId="416"/>
    <cellStyle name="20% - Accent6 22" xfId="417"/>
    <cellStyle name="20% - Accent6 23" xfId="418"/>
    <cellStyle name="20% - Accent6 24" xfId="419"/>
    <cellStyle name="20% - Accent6 25" xfId="420"/>
    <cellStyle name="20% - Accent6 26" xfId="421"/>
    <cellStyle name="20% - Accent6 27" xfId="422"/>
    <cellStyle name="20% - Accent6 28" xfId="423"/>
    <cellStyle name="20% - Accent6 29" xfId="424"/>
    <cellStyle name="20% - Accent6 3" xfId="425"/>
    <cellStyle name="20% - Accent6 30" xfId="426"/>
    <cellStyle name="20% - Accent6 31" xfId="427"/>
    <cellStyle name="20% - Accent6 32" xfId="428"/>
    <cellStyle name="20% - Accent6 33" xfId="429"/>
    <cellStyle name="20% - Accent6 34" xfId="430"/>
    <cellStyle name="20% - Accent6 35" xfId="431"/>
    <cellStyle name="20% - Accent6 36" xfId="432"/>
    <cellStyle name="20% - Accent6 37" xfId="433"/>
    <cellStyle name="20% - Accent6 38" xfId="434"/>
    <cellStyle name="20% - Accent6 39" xfId="435"/>
    <cellStyle name="20% - Accent6 4" xfId="436"/>
    <cellStyle name="20% - Accent6 40" xfId="437"/>
    <cellStyle name="20% - Accent6 41" xfId="438"/>
    <cellStyle name="20% - Accent6 42" xfId="439"/>
    <cellStyle name="20% - Accent6 43" xfId="440"/>
    <cellStyle name="20% - Accent6 44" xfId="441"/>
    <cellStyle name="20% - Accent6 45" xfId="442"/>
    <cellStyle name="20% - Accent6 46" xfId="443"/>
    <cellStyle name="20% - Accent6 47" xfId="444"/>
    <cellStyle name="20% - Accent6 48" xfId="445"/>
    <cellStyle name="20% - Accent6 49" xfId="446"/>
    <cellStyle name="20% - Accent6 5" xfId="447"/>
    <cellStyle name="20% - Accent6 50" xfId="448"/>
    <cellStyle name="20% - Accent6 51" xfId="449"/>
    <cellStyle name="20% - Accent6 52" xfId="450"/>
    <cellStyle name="20% - Accent6 53" xfId="451"/>
    <cellStyle name="20% - Accent6 54" xfId="452"/>
    <cellStyle name="20% - Accent6 55" xfId="453"/>
    <cellStyle name="20% - Accent6 56" xfId="454"/>
    <cellStyle name="20% - Accent6 57" xfId="455"/>
    <cellStyle name="20% - Accent6 58" xfId="456"/>
    <cellStyle name="20% - Accent6 59" xfId="457"/>
    <cellStyle name="20% - Accent6 6" xfId="458"/>
    <cellStyle name="20% - Accent6 60" xfId="459"/>
    <cellStyle name="20% - Accent6 61" xfId="460"/>
    <cellStyle name="20% - Accent6 62" xfId="461"/>
    <cellStyle name="20% - Accent6 63" xfId="462"/>
    <cellStyle name="20% - Accent6 64" xfId="463"/>
    <cellStyle name="20% - Accent6 65" xfId="464"/>
    <cellStyle name="20% - Accent6 66" xfId="465"/>
    <cellStyle name="20% - Accent6 67" xfId="466"/>
    <cellStyle name="20% - Accent6 68" xfId="467"/>
    <cellStyle name="20% - Accent6 69" xfId="468"/>
    <cellStyle name="20% - Accent6 7" xfId="469"/>
    <cellStyle name="20% - Accent6 70" xfId="470"/>
    <cellStyle name="20% - Accent6 71" xfId="471"/>
    <cellStyle name="20% - Accent6 72" xfId="472"/>
    <cellStyle name="20% - Accent6 8" xfId="473"/>
    <cellStyle name="20% - Accent6 9" xfId="474"/>
    <cellStyle name="2decimal" xfId="475"/>
    <cellStyle name="40% - Accent1 10" xfId="476"/>
    <cellStyle name="40% - Accent1 11" xfId="477"/>
    <cellStyle name="40% - Accent1 12" xfId="478"/>
    <cellStyle name="40% - Accent1 13" xfId="479"/>
    <cellStyle name="40% - Accent1 14" xfId="480"/>
    <cellStyle name="40% - Accent1 15" xfId="481"/>
    <cellStyle name="40% - Accent1 16" xfId="482"/>
    <cellStyle name="40% - Accent1 17" xfId="483"/>
    <cellStyle name="40% - Accent1 18" xfId="484"/>
    <cellStyle name="40% - Accent1 19" xfId="485"/>
    <cellStyle name="40% - Accent1 2" xfId="486"/>
    <cellStyle name="40% - Accent1 20" xfId="487"/>
    <cellStyle name="40% - Accent1 21" xfId="488"/>
    <cellStyle name="40% - Accent1 22" xfId="489"/>
    <cellStyle name="40% - Accent1 23" xfId="490"/>
    <cellStyle name="40% - Accent1 24" xfId="491"/>
    <cellStyle name="40% - Accent1 25" xfId="492"/>
    <cellStyle name="40% - Accent1 26" xfId="493"/>
    <cellStyle name="40% - Accent1 27" xfId="494"/>
    <cellStyle name="40% - Accent1 28" xfId="495"/>
    <cellStyle name="40% - Accent1 29" xfId="496"/>
    <cellStyle name="40% - Accent1 3" xfId="497"/>
    <cellStyle name="40% - Accent1 30" xfId="498"/>
    <cellStyle name="40% - Accent1 31" xfId="499"/>
    <cellStyle name="40% - Accent1 32" xfId="500"/>
    <cellStyle name="40% - Accent1 33" xfId="501"/>
    <cellStyle name="40% - Accent1 34" xfId="502"/>
    <cellStyle name="40% - Accent1 35" xfId="503"/>
    <cellStyle name="40% - Accent1 36" xfId="504"/>
    <cellStyle name="40% - Accent1 37" xfId="505"/>
    <cellStyle name="40% - Accent1 38" xfId="506"/>
    <cellStyle name="40% - Accent1 39" xfId="507"/>
    <cellStyle name="40% - Accent1 4" xfId="508"/>
    <cellStyle name="40% - Accent1 40" xfId="509"/>
    <cellStyle name="40% - Accent1 41" xfId="510"/>
    <cellStyle name="40% - Accent1 42" xfId="511"/>
    <cellStyle name="40% - Accent1 43" xfId="512"/>
    <cellStyle name="40% - Accent1 44" xfId="513"/>
    <cellStyle name="40% - Accent1 45" xfId="514"/>
    <cellStyle name="40% - Accent1 46" xfId="515"/>
    <cellStyle name="40% - Accent1 47" xfId="516"/>
    <cellStyle name="40% - Accent1 48" xfId="517"/>
    <cellStyle name="40% - Accent1 49" xfId="518"/>
    <cellStyle name="40% - Accent1 5" xfId="519"/>
    <cellStyle name="40% - Accent1 50" xfId="520"/>
    <cellStyle name="40% - Accent1 51" xfId="521"/>
    <cellStyle name="40% - Accent1 52" xfId="522"/>
    <cellStyle name="40% - Accent1 53" xfId="523"/>
    <cellStyle name="40% - Accent1 54" xfId="524"/>
    <cellStyle name="40% - Accent1 55" xfId="525"/>
    <cellStyle name="40% - Accent1 56" xfId="526"/>
    <cellStyle name="40% - Accent1 57" xfId="527"/>
    <cellStyle name="40% - Accent1 58" xfId="528"/>
    <cellStyle name="40% - Accent1 59" xfId="529"/>
    <cellStyle name="40% - Accent1 6" xfId="530"/>
    <cellStyle name="40% - Accent1 60" xfId="531"/>
    <cellStyle name="40% - Accent1 61" xfId="532"/>
    <cellStyle name="40% - Accent1 62" xfId="533"/>
    <cellStyle name="40% - Accent1 63" xfId="534"/>
    <cellStyle name="40% - Accent1 64" xfId="535"/>
    <cellStyle name="40% - Accent1 65" xfId="536"/>
    <cellStyle name="40% - Accent1 66" xfId="537"/>
    <cellStyle name="40% - Accent1 67" xfId="538"/>
    <cellStyle name="40% - Accent1 68" xfId="539"/>
    <cellStyle name="40% - Accent1 69" xfId="540"/>
    <cellStyle name="40% - Accent1 7" xfId="541"/>
    <cellStyle name="40% - Accent1 70" xfId="542"/>
    <cellStyle name="40% - Accent1 71" xfId="543"/>
    <cellStyle name="40% - Accent1 72" xfId="544"/>
    <cellStyle name="40% - Accent1 8" xfId="545"/>
    <cellStyle name="40% - Accent1 9" xfId="546"/>
    <cellStyle name="40% - Accent2 10" xfId="547"/>
    <cellStyle name="40% - Accent2 11" xfId="548"/>
    <cellStyle name="40% - Accent2 12" xfId="549"/>
    <cellStyle name="40% - Accent2 13" xfId="550"/>
    <cellStyle name="40% - Accent2 14" xfId="551"/>
    <cellStyle name="40% - Accent2 15" xfId="552"/>
    <cellStyle name="40% - Accent2 16" xfId="553"/>
    <cellStyle name="40% - Accent2 17" xfId="554"/>
    <cellStyle name="40% - Accent2 18" xfId="555"/>
    <cellStyle name="40% - Accent2 19" xfId="556"/>
    <cellStyle name="40% - Accent2 2" xfId="557"/>
    <cellStyle name="40% - Accent2 20" xfId="558"/>
    <cellStyle name="40% - Accent2 21" xfId="559"/>
    <cellStyle name="40% - Accent2 22" xfId="560"/>
    <cellStyle name="40% - Accent2 23" xfId="561"/>
    <cellStyle name="40% - Accent2 24" xfId="562"/>
    <cellStyle name="40% - Accent2 25" xfId="563"/>
    <cellStyle name="40% - Accent2 26" xfId="564"/>
    <cellStyle name="40% - Accent2 27" xfId="565"/>
    <cellStyle name="40% - Accent2 28" xfId="566"/>
    <cellStyle name="40% - Accent2 29" xfId="567"/>
    <cellStyle name="40% - Accent2 3" xfId="568"/>
    <cellStyle name="40% - Accent2 30" xfId="569"/>
    <cellStyle name="40% - Accent2 31" xfId="570"/>
    <cellStyle name="40% - Accent2 32" xfId="571"/>
    <cellStyle name="40% - Accent2 33" xfId="572"/>
    <cellStyle name="40% - Accent2 34" xfId="573"/>
    <cellStyle name="40% - Accent2 35" xfId="574"/>
    <cellStyle name="40% - Accent2 36" xfId="575"/>
    <cellStyle name="40% - Accent2 37" xfId="576"/>
    <cellStyle name="40% - Accent2 38" xfId="577"/>
    <cellStyle name="40% - Accent2 39" xfId="578"/>
    <cellStyle name="40% - Accent2 4" xfId="579"/>
    <cellStyle name="40% - Accent2 40" xfId="580"/>
    <cellStyle name="40% - Accent2 41" xfId="581"/>
    <cellStyle name="40% - Accent2 42" xfId="582"/>
    <cellStyle name="40% - Accent2 43" xfId="583"/>
    <cellStyle name="40% - Accent2 44" xfId="584"/>
    <cellStyle name="40% - Accent2 45" xfId="585"/>
    <cellStyle name="40% - Accent2 46" xfId="586"/>
    <cellStyle name="40% - Accent2 47" xfId="587"/>
    <cellStyle name="40% - Accent2 48" xfId="588"/>
    <cellStyle name="40% - Accent2 49" xfId="589"/>
    <cellStyle name="40% - Accent2 5" xfId="590"/>
    <cellStyle name="40% - Accent2 50" xfId="591"/>
    <cellStyle name="40% - Accent2 51" xfId="592"/>
    <cellStyle name="40% - Accent2 52" xfId="593"/>
    <cellStyle name="40% - Accent2 53" xfId="594"/>
    <cellStyle name="40% - Accent2 54" xfId="595"/>
    <cellStyle name="40% - Accent2 55" xfId="596"/>
    <cellStyle name="40% - Accent2 56" xfId="597"/>
    <cellStyle name="40% - Accent2 57" xfId="598"/>
    <cellStyle name="40% - Accent2 58" xfId="599"/>
    <cellStyle name="40% - Accent2 59" xfId="600"/>
    <cellStyle name="40% - Accent2 6" xfId="601"/>
    <cellStyle name="40% - Accent2 60" xfId="602"/>
    <cellStyle name="40% - Accent2 61" xfId="603"/>
    <cellStyle name="40% - Accent2 62" xfId="604"/>
    <cellStyle name="40% - Accent2 63" xfId="605"/>
    <cellStyle name="40% - Accent2 64" xfId="606"/>
    <cellStyle name="40% - Accent2 65" xfId="607"/>
    <cellStyle name="40% - Accent2 66" xfId="608"/>
    <cellStyle name="40% - Accent2 67" xfId="609"/>
    <cellStyle name="40% - Accent2 68" xfId="610"/>
    <cellStyle name="40% - Accent2 69" xfId="611"/>
    <cellStyle name="40% - Accent2 7" xfId="612"/>
    <cellStyle name="40% - Accent2 70" xfId="613"/>
    <cellStyle name="40% - Accent2 71" xfId="614"/>
    <cellStyle name="40% - Accent2 72" xfId="615"/>
    <cellStyle name="40% - Accent2 8" xfId="616"/>
    <cellStyle name="40% - Accent2 9" xfId="617"/>
    <cellStyle name="40% - Accent3 10" xfId="618"/>
    <cellStyle name="40% - Accent3 11" xfId="619"/>
    <cellStyle name="40% - Accent3 12" xfId="620"/>
    <cellStyle name="40% - Accent3 13" xfId="621"/>
    <cellStyle name="40% - Accent3 14" xfId="622"/>
    <cellStyle name="40% - Accent3 15" xfId="623"/>
    <cellStyle name="40% - Accent3 16" xfId="624"/>
    <cellStyle name="40% - Accent3 17" xfId="625"/>
    <cellStyle name="40% - Accent3 18" xfId="626"/>
    <cellStyle name="40% - Accent3 19" xfId="627"/>
    <cellStyle name="40% - Accent3 2" xfId="628"/>
    <cellStyle name="40% - Accent3 20" xfId="629"/>
    <cellStyle name="40% - Accent3 21" xfId="630"/>
    <cellStyle name="40% - Accent3 22" xfId="631"/>
    <cellStyle name="40% - Accent3 23" xfId="632"/>
    <cellStyle name="40% - Accent3 24" xfId="633"/>
    <cellStyle name="40% - Accent3 25" xfId="634"/>
    <cellStyle name="40% - Accent3 26" xfId="635"/>
    <cellStyle name="40% - Accent3 27" xfId="636"/>
    <cellStyle name="40% - Accent3 28" xfId="637"/>
    <cellStyle name="40% - Accent3 29" xfId="638"/>
    <cellStyle name="40% - Accent3 3" xfId="639"/>
    <cellStyle name="40% - Accent3 30" xfId="640"/>
    <cellStyle name="40% - Accent3 31" xfId="641"/>
    <cellStyle name="40% - Accent3 32" xfId="642"/>
    <cellStyle name="40% - Accent3 33" xfId="643"/>
    <cellStyle name="40% - Accent3 34" xfId="644"/>
    <cellStyle name="40% - Accent3 35" xfId="645"/>
    <cellStyle name="40% - Accent3 36" xfId="646"/>
    <cellStyle name="40% - Accent3 37" xfId="647"/>
    <cellStyle name="40% - Accent3 38" xfId="648"/>
    <cellStyle name="40% - Accent3 39" xfId="649"/>
    <cellStyle name="40% - Accent3 4" xfId="650"/>
    <cellStyle name="40% - Accent3 40" xfId="651"/>
    <cellStyle name="40% - Accent3 41" xfId="652"/>
    <cellStyle name="40% - Accent3 42" xfId="653"/>
    <cellStyle name="40% - Accent3 43" xfId="654"/>
    <cellStyle name="40% - Accent3 44" xfId="655"/>
    <cellStyle name="40% - Accent3 45" xfId="656"/>
    <cellStyle name="40% - Accent3 46" xfId="657"/>
    <cellStyle name="40% - Accent3 47" xfId="658"/>
    <cellStyle name="40% - Accent3 48" xfId="659"/>
    <cellStyle name="40% - Accent3 49" xfId="660"/>
    <cellStyle name="40% - Accent3 5" xfId="661"/>
    <cellStyle name="40% - Accent3 50" xfId="662"/>
    <cellStyle name="40% - Accent3 51" xfId="663"/>
    <cellStyle name="40% - Accent3 52" xfId="664"/>
    <cellStyle name="40% - Accent3 53" xfId="665"/>
    <cellStyle name="40% - Accent3 54" xfId="666"/>
    <cellStyle name="40% - Accent3 55" xfId="667"/>
    <cellStyle name="40% - Accent3 56" xfId="668"/>
    <cellStyle name="40% - Accent3 57" xfId="669"/>
    <cellStyle name="40% - Accent3 58" xfId="670"/>
    <cellStyle name="40% - Accent3 59" xfId="671"/>
    <cellStyle name="40% - Accent3 6" xfId="672"/>
    <cellStyle name="40% - Accent3 60" xfId="673"/>
    <cellStyle name="40% - Accent3 61" xfId="674"/>
    <cellStyle name="40% - Accent3 62" xfId="675"/>
    <cellStyle name="40% - Accent3 63" xfId="676"/>
    <cellStyle name="40% - Accent3 64" xfId="677"/>
    <cellStyle name="40% - Accent3 65" xfId="678"/>
    <cellStyle name="40% - Accent3 66" xfId="679"/>
    <cellStyle name="40% - Accent3 67" xfId="680"/>
    <cellStyle name="40% - Accent3 68" xfId="681"/>
    <cellStyle name="40% - Accent3 69" xfId="682"/>
    <cellStyle name="40% - Accent3 7" xfId="683"/>
    <cellStyle name="40% - Accent3 70" xfId="684"/>
    <cellStyle name="40% - Accent3 71" xfId="685"/>
    <cellStyle name="40% - Accent3 72" xfId="686"/>
    <cellStyle name="40% - Accent3 8" xfId="687"/>
    <cellStyle name="40% - Accent3 9" xfId="688"/>
    <cellStyle name="40% - Accent4 10" xfId="689"/>
    <cellStyle name="40% - Accent4 11" xfId="690"/>
    <cellStyle name="40% - Accent4 12" xfId="691"/>
    <cellStyle name="40% - Accent4 13" xfId="692"/>
    <cellStyle name="40% - Accent4 14" xfId="693"/>
    <cellStyle name="40% - Accent4 15" xfId="694"/>
    <cellStyle name="40% - Accent4 16" xfId="695"/>
    <cellStyle name="40% - Accent4 17" xfId="696"/>
    <cellStyle name="40% - Accent4 18" xfId="697"/>
    <cellStyle name="40% - Accent4 19" xfId="698"/>
    <cellStyle name="40% - Accent4 2" xfId="699"/>
    <cellStyle name="40% - Accent4 20" xfId="700"/>
    <cellStyle name="40% - Accent4 21" xfId="701"/>
    <cellStyle name="40% - Accent4 22" xfId="702"/>
    <cellStyle name="40% - Accent4 23" xfId="703"/>
    <cellStyle name="40% - Accent4 24" xfId="704"/>
    <cellStyle name="40% - Accent4 25" xfId="705"/>
    <cellStyle name="40% - Accent4 26" xfId="706"/>
    <cellStyle name="40% - Accent4 27" xfId="707"/>
    <cellStyle name="40% - Accent4 28" xfId="708"/>
    <cellStyle name="40% - Accent4 29" xfId="709"/>
    <cellStyle name="40% - Accent4 3" xfId="710"/>
    <cellStyle name="40% - Accent4 30" xfId="711"/>
    <cellStyle name="40% - Accent4 31" xfId="712"/>
    <cellStyle name="40% - Accent4 32" xfId="713"/>
    <cellStyle name="40% - Accent4 33" xfId="714"/>
    <cellStyle name="40% - Accent4 34" xfId="715"/>
    <cellStyle name="40% - Accent4 35" xfId="716"/>
    <cellStyle name="40% - Accent4 36" xfId="717"/>
    <cellStyle name="40% - Accent4 37" xfId="718"/>
    <cellStyle name="40% - Accent4 38" xfId="719"/>
    <cellStyle name="40% - Accent4 39" xfId="720"/>
    <cellStyle name="40% - Accent4 4" xfId="721"/>
    <cellStyle name="40% - Accent4 40" xfId="722"/>
    <cellStyle name="40% - Accent4 41" xfId="723"/>
    <cellStyle name="40% - Accent4 42" xfId="724"/>
    <cellStyle name="40% - Accent4 43" xfId="725"/>
    <cellStyle name="40% - Accent4 44" xfId="726"/>
    <cellStyle name="40% - Accent4 45" xfId="727"/>
    <cellStyle name="40% - Accent4 46" xfId="728"/>
    <cellStyle name="40% - Accent4 47" xfId="729"/>
    <cellStyle name="40% - Accent4 48" xfId="730"/>
    <cellStyle name="40% - Accent4 49" xfId="731"/>
    <cellStyle name="40% - Accent4 5" xfId="732"/>
    <cellStyle name="40% - Accent4 50" xfId="733"/>
    <cellStyle name="40% - Accent4 51" xfId="734"/>
    <cellStyle name="40% - Accent4 52" xfId="735"/>
    <cellStyle name="40% - Accent4 53" xfId="736"/>
    <cellStyle name="40% - Accent4 54" xfId="737"/>
    <cellStyle name="40% - Accent4 55" xfId="738"/>
    <cellStyle name="40% - Accent4 56" xfId="739"/>
    <cellStyle name="40% - Accent4 57" xfId="740"/>
    <cellStyle name="40% - Accent4 58" xfId="741"/>
    <cellStyle name="40% - Accent4 59" xfId="742"/>
    <cellStyle name="40% - Accent4 6" xfId="743"/>
    <cellStyle name="40% - Accent4 60" xfId="744"/>
    <cellStyle name="40% - Accent4 61" xfId="745"/>
    <cellStyle name="40% - Accent4 62" xfId="746"/>
    <cellStyle name="40% - Accent4 63" xfId="747"/>
    <cellStyle name="40% - Accent4 64" xfId="748"/>
    <cellStyle name="40% - Accent4 65" xfId="749"/>
    <cellStyle name="40% - Accent4 66" xfId="750"/>
    <cellStyle name="40% - Accent4 67" xfId="751"/>
    <cellStyle name="40% - Accent4 68" xfId="752"/>
    <cellStyle name="40% - Accent4 69" xfId="753"/>
    <cellStyle name="40% - Accent4 7" xfId="754"/>
    <cellStyle name="40% - Accent4 70" xfId="755"/>
    <cellStyle name="40% - Accent4 71" xfId="756"/>
    <cellStyle name="40% - Accent4 72" xfId="757"/>
    <cellStyle name="40% - Accent4 8" xfId="758"/>
    <cellStyle name="40% - Accent4 9" xfId="759"/>
    <cellStyle name="40% - Accent5 10" xfId="760"/>
    <cellStyle name="40% - Accent5 11" xfId="761"/>
    <cellStyle name="40% - Accent5 12" xfId="762"/>
    <cellStyle name="40% - Accent5 13" xfId="763"/>
    <cellStyle name="40% - Accent5 14" xfId="764"/>
    <cellStyle name="40% - Accent5 15" xfId="765"/>
    <cellStyle name="40% - Accent5 16" xfId="766"/>
    <cellStyle name="40% - Accent5 17" xfId="767"/>
    <cellStyle name="40% - Accent5 18" xfId="768"/>
    <cellStyle name="40% - Accent5 19" xfId="769"/>
    <cellStyle name="40% - Accent5 2" xfId="770"/>
    <cellStyle name="40% - Accent5 20" xfId="771"/>
    <cellStyle name="40% - Accent5 21" xfId="772"/>
    <cellStyle name="40% - Accent5 22" xfId="773"/>
    <cellStyle name="40% - Accent5 23" xfId="774"/>
    <cellStyle name="40% - Accent5 24" xfId="775"/>
    <cellStyle name="40% - Accent5 25" xfId="776"/>
    <cellStyle name="40% - Accent5 26" xfId="777"/>
    <cellStyle name="40% - Accent5 27" xfId="778"/>
    <cellStyle name="40% - Accent5 28" xfId="779"/>
    <cellStyle name="40% - Accent5 29" xfId="780"/>
    <cellStyle name="40% - Accent5 3" xfId="781"/>
    <cellStyle name="40% - Accent5 30" xfId="782"/>
    <cellStyle name="40% - Accent5 31" xfId="783"/>
    <cellStyle name="40% - Accent5 32" xfId="784"/>
    <cellStyle name="40% - Accent5 33" xfId="785"/>
    <cellStyle name="40% - Accent5 34" xfId="786"/>
    <cellStyle name="40% - Accent5 35" xfId="787"/>
    <cellStyle name="40% - Accent5 36" xfId="788"/>
    <cellStyle name="40% - Accent5 37" xfId="789"/>
    <cellStyle name="40% - Accent5 38" xfId="790"/>
    <cellStyle name="40% - Accent5 39" xfId="791"/>
    <cellStyle name="40% - Accent5 4" xfId="792"/>
    <cellStyle name="40% - Accent5 40" xfId="793"/>
    <cellStyle name="40% - Accent5 41" xfId="794"/>
    <cellStyle name="40% - Accent5 42" xfId="795"/>
    <cellStyle name="40% - Accent5 43" xfId="796"/>
    <cellStyle name="40% - Accent5 44" xfId="797"/>
    <cellStyle name="40% - Accent5 45" xfId="798"/>
    <cellStyle name="40% - Accent5 46" xfId="799"/>
    <cellStyle name="40% - Accent5 47" xfId="800"/>
    <cellStyle name="40% - Accent5 48" xfId="801"/>
    <cellStyle name="40% - Accent5 49" xfId="802"/>
    <cellStyle name="40% - Accent5 5" xfId="803"/>
    <cellStyle name="40% - Accent5 50" xfId="804"/>
    <cellStyle name="40% - Accent5 51" xfId="805"/>
    <cellStyle name="40% - Accent5 52" xfId="806"/>
    <cellStyle name="40% - Accent5 53" xfId="807"/>
    <cellStyle name="40% - Accent5 54" xfId="808"/>
    <cellStyle name="40% - Accent5 55" xfId="809"/>
    <cellStyle name="40% - Accent5 56" xfId="810"/>
    <cellStyle name="40% - Accent5 57" xfId="811"/>
    <cellStyle name="40% - Accent5 58" xfId="812"/>
    <cellStyle name="40% - Accent5 59" xfId="813"/>
    <cellStyle name="40% - Accent5 6" xfId="814"/>
    <cellStyle name="40% - Accent5 60" xfId="815"/>
    <cellStyle name="40% - Accent5 61" xfId="816"/>
    <cellStyle name="40% - Accent5 62" xfId="817"/>
    <cellStyle name="40% - Accent5 63" xfId="818"/>
    <cellStyle name="40% - Accent5 64" xfId="819"/>
    <cellStyle name="40% - Accent5 65" xfId="820"/>
    <cellStyle name="40% - Accent5 66" xfId="821"/>
    <cellStyle name="40% - Accent5 67" xfId="822"/>
    <cellStyle name="40% - Accent5 68" xfId="823"/>
    <cellStyle name="40% - Accent5 69" xfId="824"/>
    <cellStyle name="40% - Accent5 7" xfId="825"/>
    <cellStyle name="40% - Accent5 70" xfId="826"/>
    <cellStyle name="40% - Accent5 71" xfId="827"/>
    <cellStyle name="40% - Accent5 72" xfId="828"/>
    <cellStyle name="40% - Accent5 8" xfId="829"/>
    <cellStyle name="40% - Accent5 9" xfId="830"/>
    <cellStyle name="40% - Accent6 10" xfId="831"/>
    <cellStyle name="40% - Accent6 11" xfId="832"/>
    <cellStyle name="40% - Accent6 12" xfId="833"/>
    <cellStyle name="40% - Accent6 13" xfId="834"/>
    <cellStyle name="40% - Accent6 14" xfId="835"/>
    <cellStyle name="40% - Accent6 15" xfId="836"/>
    <cellStyle name="40% - Accent6 16" xfId="837"/>
    <cellStyle name="40% - Accent6 17" xfId="838"/>
    <cellStyle name="40% - Accent6 18" xfId="839"/>
    <cellStyle name="40% - Accent6 19" xfId="840"/>
    <cellStyle name="40% - Accent6 2" xfId="841"/>
    <cellStyle name="40% - Accent6 20" xfId="842"/>
    <cellStyle name="40% - Accent6 21" xfId="843"/>
    <cellStyle name="40% - Accent6 22" xfId="844"/>
    <cellStyle name="40% - Accent6 23" xfId="845"/>
    <cellStyle name="40% - Accent6 24" xfId="846"/>
    <cellStyle name="40% - Accent6 25" xfId="847"/>
    <cellStyle name="40% - Accent6 26" xfId="848"/>
    <cellStyle name="40% - Accent6 27" xfId="849"/>
    <cellStyle name="40% - Accent6 28" xfId="850"/>
    <cellStyle name="40% - Accent6 29" xfId="851"/>
    <cellStyle name="40% - Accent6 3" xfId="852"/>
    <cellStyle name="40% - Accent6 30" xfId="853"/>
    <cellStyle name="40% - Accent6 31" xfId="854"/>
    <cellStyle name="40% - Accent6 32" xfId="855"/>
    <cellStyle name="40% - Accent6 33" xfId="856"/>
    <cellStyle name="40% - Accent6 34" xfId="857"/>
    <cellStyle name="40% - Accent6 35" xfId="858"/>
    <cellStyle name="40% - Accent6 36" xfId="859"/>
    <cellStyle name="40% - Accent6 37" xfId="860"/>
    <cellStyle name="40% - Accent6 38" xfId="861"/>
    <cellStyle name="40% - Accent6 39" xfId="862"/>
    <cellStyle name="40% - Accent6 4" xfId="863"/>
    <cellStyle name="40% - Accent6 40" xfId="864"/>
    <cellStyle name="40% - Accent6 41" xfId="865"/>
    <cellStyle name="40% - Accent6 42" xfId="866"/>
    <cellStyle name="40% - Accent6 43" xfId="867"/>
    <cellStyle name="40% - Accent6 44" xfId="868"/>
    <cellStyle name="40% - Accent6 45" xfId="869"/>
    <cellStyle name="40% - Accent6 46" xfId="870"/>
    <cellStyle name="40% - Accent6 47" xfId="871"/>
    <cellStyle name="40% - Accent6 48" xfId="872"/>
    <cellStyle name="40% - Accent6 49" xfId="873"/>
    <cellStyle name="40% - Accent6 5" xfId="874"/>
    <cellStyle name="40% - Accent6 50" xfId="875"/>
    <cellStyle name="40% - Accent6 51" xfId="876"/>
    <cellStyle name="40% - Accent6 52" xfId="877"/>
    <cellStyle name="40% - Accent6 53" xfId="878"/>
    <cellStyle name="40% - Accent6 54" xfId="879"/>
    <cellStyle name="40% - Accent6 55" xfId="880"/>
    <cellStyle name="40% - Accent6 56" xfId="881"/>
    <cellStyle name="40% - Accent6 57" xfId="882"/>
    <cellStyle name="40% - Accent6 58" xfId="883"/>
    <cellStyle name="40% - Accent6 59" xfId="884"/>
    <cellStyle name="40% - Accent6 6" xfId="885"/>
    <cellStyle name="40% - Accent6 60" xfId="886"/>
    <cellStyle name="40% - Accent6 61" xfId="887"/>
    <cellStyle name="40% - Accent6 62" xfId="888"/>
    <cellStyle name="40% - Accent6 63" xfId="889"/>
    <cellStyle name="40% - Accent6 64" xfId="890"/>
    <cellStyle name="40% - Accent6 65" xfId="891"/>
    <cellStyle name="40% - Accent6 66" xfId="892"/>
    <cellStyle name="40% - Accent6 67" xfId="893"/>
    <cellStyle name="40% - Accent6 68" xfId="894"/>
    <cellStyle name="40% - Accent6 69" xfId="895"/>
    <cellStyle name="40% - Accent6 7" xfId="896"/>
    <cellStyle name="40% - Accent6 70" xfId="897"/>
    <cellStyle name="40% - Accent6 71" xfId="898"/>
    <cellStyle name="40% - Accent6 72" xfId="899"/>
    <cellStyle name="40% - Accent6 8" xfId="900"/>
    <cellStyle name="40% - Accent6 9" xfId="901"/>
    <cellStyle name="60% - Accent1 10" xfId="902"/>
    <cellStyle name="60% - Accent1 11" xfId="903"/>
    <cellStyle name="60% - Accent1 12" xfId="904"/>
    <cellStyle name="60% - Accent1 13" xfId="905"/>
    <cellStyle name="60% - Accent1 14" xfId="906"/>
    <cellStyle name="60% - Accent1 15" xfId="907"/>
    <cellStyle name="60% - Accent1 16" xfId="908"/>
    <cellStyle name="60% - Accent1 17" xfId="909"/>
    <cellStyle name="60% - Accent1 18" xfId="910"/>
    <cellStyle name="60% - Accent1 19" xfId="911"/>
    <cellStyle name="60% - Accent1 2" xfId="912"/>
    <cellStyle name="60% - Accent1 20" xfId="913"/>
    <cellStyle name="60% - Accent1 21" xfId="914"/>
    <cellStyle name="60% - Accent1 22" xfId="915"/>
    <cellStyle name="60% - Accent1 23" xfId="916"/>
    <cellStyle name="60% - Accent1 24" xfId="917"/>
    <cellStyle name="60% - Accent1 25" xfId="918"/>
    <cellStyle name="60% - Accent1 26" xfId="919"/>
    <cellStyle name="60% - Accent1 27" xfId="920"/>
    <cellStyle name="60% - Accent1 28" xfId="921"/>
    <cellStyle name="60% - Accent1 29" xfId="922"/>
    <cellStyle name="60% - Accent1 3" xfId="923"/>
    <cellStyle name="60% - Accent1 30" xfId="924"/>
    <cellStyle name="60% - Accent1 31" xfId="925"/>
    <cellStyle name="60% - Accent1 32" xfId="926"/>
    <cellStyle name="60% - Accent1 33" xfId="927"/>
    <cellStyle name="60% - Accent1 34" xfId="928"/>
    <cellStyle name="60% - Accent1 35" xfId="929"/>
    <cellStyle name="60% - Accent1 36" xfId="930"/>
    <cellStyle name="60% - Accent1 37" xfId="931"/>
    <cellStyle name="60% - Accent1 38" xfId="932"/>
    <cellStyle name="60% - Accent1 39" xfId="933"/>
    <cellStyle name="60% - Accent1 4" xfId="934"/>
    <cellStyle name="60% - Accent1 40" xfId="935"/>
    <cellStyle name="60% - Accent1 41" xfId="936"/>
    <cellStyle name="60% - Accent1 42" xfId="937"/>
    <cellStyle name="60% - Accent1 43" xfId="938"/>
    <cellStyle name="60% - Accent1 44" xfId="939"/>
    <cellStyle name="60% - Accent1 45" xfId="940"/>
    <cellStyle name="60% - Accent1 46" xfId="941"/>
    <cellStyle name="60% - Accent1 47" xfId="942"/>
    <cellStyle name="60% - Accent1 48" xfId="943"/>
    <cellStyle name="60% - Accent1 49" xfId="944"/>
    <cellStyle name="60% - Accent1 5" xfId="945"/>
    <cellStyle name="60% - Accent1 50" xfId="946"/>
    <cellStyle name="60% - Accent1 51" xfId="947"/>
    <cellStyle name="60% - Accent1 52" xfId="948"/>
    <cellStyle name="60% - Accent1 53" xfId="949"/>
    <cellStyle name="60% - Accent1 54" xfId="950"/>
    <cellStyle name="60% - Accent1 55" xfId="951"/>
    <cellStyle name="60% - Accent1 56" xfId="952"/>
    <cellStyle name="60% - Accent1 57" xfId="953"/>
    <cellStyle name="60% - Accent1 58" xfId="954"/>
    <cellStyle name="60% - Accent1 59" xfId="955"/>
    <cellStyle name="60% - Accent1 6" xfId="956"/>
    <cellStyle name="60% - Accent1 60" xfId="957"/>
    <cellStyle name="60% - Accent1 61" xfId="958"/>
    <cellStyle name="60% - Accent1 62" xfId="959"/>
    <cellStyle name="60% - Accent1 63" xfId="960"/>
    <cellStyle name="60% - Accent1 64" xfId="961"/>
    <cellStyle name="60% - Accent1 65" xfId="962"/>
    <cellStyle name="60% - Accent1 66" xfId="963"/>
    <cellStyle name="60% - Accent1 67" xfId="964"/>
    <cellStyle name="60% - Accent1 68" xfId="965"/>
    <cellStyle name="60% - Accent1 69" xfId="966"/>
    <cellStyle name="60% - Accent1 7" xfId="967"/>
    <cellStyle name="60% - Accent1 70" xfId="968"/>
    <cellStyle name="60% - Accent1 71" xfId="969"/>
    <cellStyle name="60% - Accent1 72" xfId="970"/>
    <cellStyle name="60% - Accent1 8" xfId="971"/>
    <cellStyle name="60% - Accent1 9" xfId="972"/>
    <cellStyle name="60% - Accent2 10" xfId="973"/>
    <cellStyle name="60% - Accent2 11" xfId="974"/>
    <cellStyle name="60% - Accent2 12" xfId="975"/>
    <cellStyle name="60% - Accent2 13" xfId="976"/>
    <cellStyle name="60% - Accent2 14" xfId="977"/>
    <cellStyle name="60% - Accent2 15" xfId="978"/>
    <cellStyle name="60% - Accent2 16" xfId="979"/>
    <cellStyle name="60% - Accent2 17" xfId="980"/>
    <cellStyle name="60% - Accent2 18" xfId="981"/>
    <cellStyle name="60% - Accent2 19" xfId="982"/>
    <cellStyle name="60% - Accent2 2" xfId="983"/>
    <cellStyle name="60% - Accent2 20" xfId="984"/>
    <cellStyle name="60% - Accent2 21" xfId="985"/>
    <cellStyle name="60% - Accent2 22" xfId="986"/>
    <cellStyle name="60% - Accent2 23" xfId="987"/>
    <cellStyle name="60% - Accent2 24" xfId="988"/>
    <cellStyle name="60% - Accent2 25" xfId="989"/>
    <cellStyle name="60% - Accent2 26" xfId="990"/>
    <cellStyle name="60% - Accent2 27" xfId="991"/>
    <cellStyle name="60% - Accent2 28" xfId="992"/>
    <cellStyle name="60% - Accent2 29" xfId="993"/>
    <cellStyle name="60% - Accent2 3" xfId="994"/>
    <cellStyle name="60% - Accent2 30" xfId="995"/>
    <cellStyle name="60% - Accent2 31" xfId="996"/>
    <cellStyle name="60% - Accent2 32" xfId="997"/>
    <cellStyle name="60% - Accent2 33" xfId="998"/>
    <cellStyle name="60% - Accent2 34" xfId="999"/>
    <cellStyle name="60% - Accent2 35" xfId="1000"/>
    <cellStyle name="60% - Accent2 36" xfId="1001"/>
    <cellStyle name="60% - Accent2 37" xfId="1002"/>
    <cellStyle name="60% - Accent2 38" xfId="1003"/>
    <cellStyle name="60% - Accent2 39" xfId="1004"/>
    <cellStyle name="60% - Accent2 4" xfId="1005"/>
    <cellStyle name="60% - Accent2 40" xfId="1006"/>
    <cellStyle name="60% - Accent2 41" xfId="1007"/>
    <cellStyle name="60% - Accent2 42" xfId="1008"/>
    <cellStyle name="60% - Accent2 43" xfId="1009"/>
    <cellStyle name="60% - Accent2 44" xfId="1010"/>
    <cellStyle name="60% - Accent2 45" xfId="1011"/>
    <cellStyle name="60% - Accent2 46" xfId="1012"/>
    <cellStyle name="60% - Accent2 47" xfId="1013"/>
    <cellStyle name="60% - Accent2 48" xfId="1014"/>
    <cellStyle name="60% - Accent2 49" xfId="1015"/>
    <cellStyle name="60% - Accent2 5" xfId="1016"/>
    <cellStyle name="60% - Accent2 50" xfId="1017"/>
    <cellStyle name="60% - Accent2 51" xfId="1018"/>
    <cellStyle name="60% - Accent2 52" xfId="1019"/>
    <cellStyle name="60% - Accent2 53" xfId="1020"/>
    <cellStyle name="60% - Accent2 54" xfId="1021"/>
    <cellStyle name="60% - Accent2 55" xfId="1022"/>
    <cellStyle name="60% - Accent2 56" xfId="1023"/>
    <cellStyle name="60% - Accent2 57" xfId="1024"/>
    <cellStyle name="60% - Accent2 58" xfId="1025"/>
    <cellStyle name="60% - Accent2 59" xfId="1026"/>
    <cellStyle name="60% - Accent2 6" xfId="1027"/>
    <cellStyle name="60% - Accent2 60" xfId="1028"/>
    <cellStyle name="60% - Accent2 61" xfId="1029"/>
    <cellStyle name="60% - Accent2 62" xfId="1030"/>
    <cellStyle name="60% - Accent2 63" xfId="1031"/>
    <cellStyle name="60% - Accent2 64" xfId="1032"/>
    <cellStyle name="60% - Accent2 65" xfId="1033"/>
    <cellStyle name="60% - Accent2 66" xfId="1034"/>
    <cellStyle name="60% - Accent2 67" xfId="1035"/>
    <cellStyle name="60% - Accent2 68" xfId="1036"/>
    <cellStyle name="60% - Accent2 69" xfId="1037"/>
    <cellStyle name="60% - Accent2 7" xfId="1038"/>
    <cellStyle name="60% - Accent2 70" xfId="1039"/>
    <cellStyle name="60% - Accent2 71" xfId="1040"/>
    <cellStyle name="60% - Accent2 72" xfId="1041"/>
    <cellStyle name="60% - Accent2 8" xfId="1042"/>
    <cellStyle name="60% - Accent2 9" xfId="1043"/>
    <cellStyle name="60% - Accent3 10" xfId="1044"/>
    <cellStyle name="60% - Accent3 11" xfId="1045"/>
    <cellStyle name="60% - Accent3 12" xfId="1046"/>
    <cellStyle name="60% - Accent3 13" xfId="1047"/>
    <cellStyle name="60% - Accent3 14" xfId="1048"/>
    <cellStyle name="60% - Accent3 15" xfId="1049"/>
    <cellStyle name="60% - Accent3 16" xfId="1050"/>
    <cellStyle name="60% - Accent3 17" xfId="1051"/>
    <cellStyle name="60% - Accent3 18" xfId="1052"/>
    <cellStyle name="60% - Accent3 19" xfId="1053"/>
    <cellStyle name="60% - Accent3 2" xfId="1054"/>
    <cellStyle name="60% - Accent3 20" xfId="1055"/>
    <cellStyle name="60% - Accent3 21" xfId="1056"/>
    <cellStyle name="60% - Accent3 22" xfId="1057"/>
    <cellStyle name="60% - Accent3 23" xfId="1058"/>
    <cellStyle name="60% - Accent3 24" xfId="1059"/>
    <cellStyle name="60% - Accent3 25" xfId="1060"/>
    <cellStyle name="60% - Accent3 26" xfId="1061"/>
    <cellStyle name="60% - Accent3 27" xfId="1062"/>
    <cellStyle name="60% - Accent3 28" xfId="1063"/>
    <cellStyle name="60% - Accent3 29" xfId="1064"/>
    <cellStyle name="60% - Accent3 3" xfId="1065"/>
    <cellStyle name="60% - Accent3 30" xfId="1066"/>
    <cellStyle name="60% - Accent3 31" xfId="1067"/>
    <cellStyle name="60% - Accent3 32" xfId="1068"/>
    <cellStyle name="60% - Accent3 33" xfId="1069"/>
    <cellStyle name="60% - Accent3 34" xfId="1070"/>
    <cellStyle name="60% - Accent3 35" xfId="1071"/>
    <cellStyle name="60% - Accent3 36" xfId="1072"/>
    <cellStyle name="60% - Accent3 37" xfId="1073"/>
    <cellStyle name="60% - Accent3 38" xfId="1074"/>
    <cellStyle name="60% - Accent3 39" xfId="1075"/>
    <cellStyle name="60% - Accent3 4" xfId="1076"/>
    <cellStyle name="60% - Accent3 40" xfId="1077"/>
    <cellStyle name="60% - Accent3 41" xfId="1078"/>
    <cellStyle name="60% - Accent3 42" xfId="1079"/>
    <cellStyle name="60% - Accent3 43" xfId="1080"/>
    <cellStyle name="60% - Accent3 44" xfId="1081"/>
    <cellStyle name="60% - Accent3 45" xfId="1082"/>
    <cellStyle name="60% - Accent3 46" xfId="1083"/>
    <cellStyle name="60% - Accent3 47" xfId="1084"/>
    <cellStyle name="60% - Accent3 48" xfId="1085"/>
    <cellStyle name="60% - Accent3 49" xfId="1086"/>
    <cellStyle name="60% - Accent3 5" xfId="1087"/>
    <cellStyle name="60% - Accent3 50" xfId="1088"/>
    <cellStyle name="60% - Accent3 51" xfId="1089"/>
    <cellStyle name="60% - Accent3 52" xfId="1090"/>
    <cellStyle name="60% - Accent3 53" xfId="1091"/>
    <cellStyle name="60% - Accent3 54" xfId="1092"/>
    <cellStyle name="60% - Accent3 55" xfId="1093"/>
    <cellStyle name="60% - Accent3 56" xfId="1094"/>
    <cellStyle name="60% - Accent3 57" xfId="1095"/>
    <cellStyle name="60% - Accent3 58" xfId="1096"/>
    <cellStyle name="60% - Accent3 59" xfId="1097"/>
    <cellStyle name="60% - Accent3 6" xfId="1098"/>
    <cellStyle name="60% - Accent3 60" xfId="1099"/>
    <cellStyle name="60% - Accent3 61" xfId="1100"/>
    <cellStyle name="60% - Accent3 62" xfId="1101"/>
    <cellStyle name="60% - Accent3 63" xfId="1102"/>
    <cellStyle name="60% - Accent3 64" xfId="1103"/>
    <cellStyle name="60% - Accent3 65" xfId="1104"/>
    <cellStyle name="60% - Accent3 66" xfId="1105"/>
    <cellStyle name="60% - Accent3 67" xfId="1106"/>
    <cellStyle name="60% - Accent3 68" xfId="1107"/>
    <cellStyle name="60% - Accent3 69" xfId="1108"/>
    <cellStyle name="60% - Accent3 7" xfId="1109"/>
    <cellStyle name="60% - Accent3 70" xfId="1110"/>
    <cellStyle name="60% - Accent3 71" xfId="1111"/>
    <cellStyle name="60% - Accent3 72" xfId="1112"/>
    <cellStyle name="60% - Accent3 8" xfId="1113"/>
    <cellStyle name="60% - Accent3 9" xfId="1114"/>
    <cellStyle name="60% - Accent4 10" xfId="1115"/>
    <cellStyle name="60% - Accent4 11" xfId="1116"/>
    <cellStyle name="60% - Accent4 12" xfId="1117"/>
    <cellStyle name="60% - Accent4 13" xfId="1118"/>
    <cellStyle name="60% - Accent4 14" xfId="1119"/>
    <cellStyle name="60% - Accent4 15" xfId="1120"/>
    <cellStyle name="60% - Accent4 16" xfId="1121"/>
    <cellStyle name="60% - Accent4 17" xfId="1122"/>
    <cellStyle name="60% - Accent4 18" xfId="1123"/>
    <cellStyle name="60% - Accent4 19" xfId="1124"/>
    <cellStyle name="60% - Accent4 2" xfId="1125"/>
    <cellStyle name="60% - Accent4 20" xfId="1126"/>
    <cellStyle name="60% - Accent4 21" xfId="1127"/>
    <cellStyle name="60% - Accent4 22" xfId="1128"/>
    <cellStyle name="60% - Accent4 23" xfId="1129"/>
    <cellStyle name="60% - Accent4 24" xfId="1130"/>
    <cellStyle name="60% - Accent4 25" xfId="1131"/>
    <cellStyle name="60% - Accent4 26" xfId="1132"/>
    <cellStyle name="60% - Accent4 27" xfId="1133"/>
    <cellStyle name="60% - Accent4 28" xfId="1134"/>
    <cellStyle name="60% - Accent4 29" xfId="1135"/>
    <cellStyle name="60% - Accent4 3" xfId="1136"/>
    <cellStyle name="60% - Accent4 30" xfId="1137"/>
    <cellStyle name="60% - Accent4 31" xfId="1138"/>
    <cellStyle name="60% - Accent4 32" xfId="1139"/>
    <cellStyle name="60% - Accent4 33" xfId="1140"/>
    <cellStyle name="60% - Accent4 34" xfId="1141"/>
    <cellStyle name="60% - Accent4 35" xfId="1142"/>
    <cellStyle name="60% - Accent4 36" xfId="1143"/>
    <cellStyle name="60% - Accent4 37" xfId="1144"/>
    <cellStyle name="60% - Accent4 38" xfId="1145"/>
    <cellStyle name="60% - Accent4 39" xfId="1146"/>
    <cellStyle name="60% - Accent4 4" xfId="1147"/>
    <cellStyle name="60% - Accent4 40" xfId="1148"/>
    <cellStyle name="60% - Accent4 41" xfId="1149"/>
    <cellStyle name="60% - Accent4 42" xfId="1150"/>
    <cellStyle name="60% - Accent4 43" xfId="1151"/>
    <cellStyle name="60% - Accent4 44" xfId="1152"/>
    <cellStyle name="60% - Accent4 45" xfId="1153"/>
    <cellStyle name="60% - Accent4 46" xfId="1154"/>
    <cellStyle name="60% - Accent4 47" xfId="1155"/>
    <cellStyle name="60% - Accent4 48" xfId="1156"/>
    <cellStyle name="60% - Accent4 49" xfId="1157"/>
    <cellStyle name="60% - Accent4 5" xfId="1158"/>
    <cellStyle name="60% - Accent4 50" xfId="1159"/>
    <cellStyle name="60% - Accent4 51" xfId="1160"/>
    <cellStyle name="60% - Accent4 52" xfId="1161"/>
    <cellStyle name="60% - Accent4 53" xfId="1162"/>
    <cellStyle name="60% - Accent4 54" xfId="1163"/>
    <cellStyle name="60% - Accent4 55" xfId="1164"/>
    <cellStyle name="60% - Accent4 56" xfId="1165"/>
    <cellStyle name="60% - Accent4 57" xfId="1166"/>
    <cellStyle name="60% - Accent4 58" xfId="1167"/>
    <cellStyle name="60% - Accent4 59" xfId="1168"/>
    <cellStyle name="60% - Accent4 6" xfId="1169"/>
    <cellStyle name="60% - Accent4 60" xfId="1170"/>
    <cellStyle name="60% - Accent4 61" xfId="1171"/>
    <cellStyle name="60% - Accent4 62" xfId="1172"/>
    <cellStyle name="60% - Accent4 63" xfId="1173"/>
    <cellStyle name="60% - Accent4 64" xfId="1174"/>
    <cellStyle name="60% - Accent4 65" xfId="1175"/>
    <cellStyle name="60% - Accent4 66" xfId="1176"/>
    <cellStyle name="60% - Accent4 67" xfId="1177"/>
    <cellStyle name="60% - Accent4 68" xfId="1178"/>
    <cellStyle name="60% - Accent4 69" xfId="1179"/>
    <cellStyle name="60% - Accent4 7" xfId="1180"/>
    <cellStyle name="60% - Accent4 70" xfId="1181"/>
    <cellStyle name="60% - Accent4 71" xfId="1182"/>
    <cellStyle name="60% - Accent4 72" xfId="1183"/>
    <cellStyle name="60% - Accent4 8" xfId="1184"/>
    <cellStyle name="60% - Accent4 9" xfId="1185"/>
    <cellStyle name="60% - Accent5 10" xfId="1186"/>
    <cellStyle name="60% - Accent5 11" xfId="1187"/>
    <cellStyle name="60% - Accent5 12" xfId="1188"/>
    <cellStyle name="60% - Accent5 13" xfId="1189"/>
    <cellStyle name="60% - Accent5 14" xfId="1190"/>
    <cellStyle name="60% - Accent5 15" xfId="1191"/>
    <cellStyle name="60% - Accent5 16" xfId="1192"/>
    <cellStyle name="60% - Accent5 17" xfId="1193"/>
    <cellStyle name="60% - Accent5 18" xfId="1194"/>
    <cellStyle name="60% - Accent5 19" xfId="1195"/>
    <cellStyle name="60% - Accent5 2" xfId="1196"/>
    <cellStyle name="60% - Accent5 20" xfId="1197"/>
    <cellStyle name="60% - Accent5 21" xfId="1198"/>
    <cellStyle name="60% - Accent5 22" xfId="1199"/>
    <cellStyle name="60% - Accent5 23" xfId="1200"/>
    <cellStyle name="60% - Accent5 24" xfId="1201"/>
    <cellStyle name="60% - Accent5 25" xfId="1202"/>
    <cellStyle name="60% - Accent5 26" xfId="1203"/>
    <cellStyle name="60% - Accent5 27" xfId="1204"/>
    <cellStyle name="60% - Accent5 28" xfId="1205"/>
    <cellStyle name="60% - Accent5 29" xfId="1206"/>
    <cellStyle name="60% - Accent5 3" xfId="1207"/>
    <cellStyle name="60% - Accent5 30" xfId="1208"/>
    <cellStyle name="60% - Accent5 31" xfId="1209"/>
    <cellStyle name="60% - Accent5 32" xfId="1210"/>
    <cellStyle name="60% - Accent5 33" xfId="1211"/>
    <cellStyle name="60% - Accent5 34" xfId="1212"/>
    <cellStyle name="60% - Accent5 35" xfId="1213"/>
    <cellStyle name="60% - Accent5 36" xfId="1214"/>
    <cellStyle name="60% - Accent5 37" xfId="1215"/>
    <cellStyle name="60% - Accent5 38" xfId="1216"/>
    <cellStyle name="60% - Accent5 39" xfId="1217"/>
    <cellStyle name="60% - Accent5 4" xfId="1218"/>
    <cellStyle name="60% - Accent5 40" xfId="1219"/>
    <cellStyle name="60% - Accent5 41" xfId="1220"/>
    <cellStyle name="60% - Accent5 42" xfId="1221"/>
    <cellStyle name="60% - Accent5 43" xfId="1222"/>
    <cellStyle name="60% - Accent5 44" xfId="1223"/>
    <cellStyle name="60% - Accent5 45" xfId="1224"/>
    <cellStyle name="60% - Accent5 46" xfId="1225"/>
    <cellStyle name="60% - Accent5 47" xfId="1226"/>
    <cellStyle name="60% - Accent5 48" xfId="1227"/>
    <cellStyle name="60% - Accent5 49" xfId="1228"/>
    <cellStyle name="60% - Accent5 5" xfId="1229"/>
    <cellStyle name="60% - Accent5 50" xfId="1230"/>
    <cellStyle name="60% - Accent5 51" xfId="1231"/>
    <cellStyle name="60% - Accent5 52" xfId="1232"/>
    <cellStyle name="60% - Accent5 53" xfId="1233"/>
    <cellStyle name="60% - Accent5 54" xfId="1234"/>
    <cellStyle name="60% - Accent5 55" xfId="1235"/>
    <cellStyle name="60% - Accent5 56" xfId="1236"/>
    <cellStyle name="60% - Accent5 57" xfId="1237"/>
    <cellStyle name="60% - Accent5 58" xfId="1238"/>
    <cellStyle name="60% - Accent5 59" xfId="1239"/>
    <cellStyle name="60% - Accent5 6" xfId="1240"/>
    <cellStyle name="60% - Accent5 60" xfId="1241"/>
    <cellStyle name="60% - Accent5 61" xfId="1242"/>
    <cellStyle name="60% - Accent5 62" xfId="1243"/>
    <cellStyle name="60% - Accent5 63" xfId="1244"/>
    <cellStyle name="60% - Accent5 64" xfId="1245"/>
    <cellStyle name="60% - Accent5 65" xfId="1246"/>
    <cellStyle name="60% - Accent5 66" xfId="1247"/>
    <cellStyle name="60% - Accent5 67" xfId="1248"/>
    <cellStyle name="60% - Accent5 68" xfId="1249"/>
    <cellStyle name="60% - Accent5 69" xfId="1250"/>
    <cellStyle name="60% - Accent5 7" xfId="1251"/>
    <cellStyle name="60% - Accent5 70" xfId="1252"/>
    <cellStyle name="60% - Accent5 71" xfId="1253"/>
    <cellStyle name="60% - Accent5 72" xfId="1254"/>
    <cellStyle name="60% - Accent5 8" xfId="1255"/>
    <cellStyle name="60% - Accent5 9" xfId="1256"/>
    <cellStyle name="60% - Accent6 10" xfId="1257"/>
    <cellStyle name="60% - Accent6 11" xfId="1258"/>
    <cellStyle name="60% - Accent6 12" xfId="1259"/>
    <cellStyle name="60% - Accent6 13" xfId="1260"/>
    <cellStyle name="60% - Accent6 14" xfId="1261"/>
    <cellStyle name="60% - Accent6 15" xfId="1262"/>
    <cellStyle name="60% - Accent6 16" xfId="1263"/>
    <cellStyle name="60% - Accent6 17" xfId="1264"/>
    <cellStyle name="60% - Accent6 18" xfId="1265"/>
    <cellStyle name="60% - Accent6 19" xfId="1266"/>
    <cellStyle name="60% - Accent6 2" xfId="1267"/>
    <cellStyle name="60% - Accent6 20" xfId="1268"/>
    <cellStyle name="60% - Accent6 21" xfId="1269"/>
    <cellStyle name="60% - Accent6 22" xfId="1270"/>
    <cellStyle name="60% - Accent6 23" xfId="1271"/>
    <cellStyle name="60% - Accent6 24" xfId="1272"/>
    <cellStyle name="60% - Accent6 25" xfId="1273"/>
    <cellStyle name="60% - Accent6 26" xfId="1274"/>
    <cellStyle name="60% - Accent6 27" xfId="1275"/>
    <cellStyle name="60% - Accent6 28" xfId="1276"/>
    <cellStyle name="60% - Accent6 29" xfId="1277"/>
    <cellStyle name="60% - Accent6 3" xfId="1278"/>
    <cellStyle name="60% - Accent6 30" xfId="1279"/>
    <cellStyle name="60% - Accent6 31" xfId="1280"/>
    <cellStyle name="60% - Accent6 32" xfId="1281"/>
    <cellStyle name="60% - Accent6 33" xfId="1282"/>
    <cellStyle name="60% - Accent6 34" xfId="1283"/>
    <cellStyle name="60% - Accent6 35" xfId="1284"/>
    <cellStyle name="60% - Accent6 36" xfId="1285"/>
    <cellStyle name="60% - Accent6 37" xfId="1286"/>
    <cellStyle name="60% - Accent6 38" xfId="1287"/>
    <cellStyle name="60% - Accent6 39" xfId="1288"/>
    <cellStyle name="60% - Accent6 4" xfId="1289"/>
    <cellStyle name="60% - Accent6 40" xfId="1290"/>
    <cellStyle name="60% - Accent6 41" xfId="1291"/>
    <cellStyle name="60% - Accent6 42" xfId="1292"/>
    <cellStyle name="60% - Accent6 43" xfId="1293"/>
    <cellStyle name="60% - Accent6 44" xfId="1294"/>
    <cellStyle name="60% - Accent6 45" xfId="1295"/>
    <cellStyle name="60% - Accent6 46" xfId="1296"/>
    <cellStyle name="60% - Accent6 47" xfId="1297"/>
    <cellStyle name="60% - Accent6 48" xfId="1298"/>
    <cellStyle name="60% - Accent6 49" xfId="1299"/>
    <cellStyle name="60% - Accent6 5" xfId="1300"/>
    <cellStyle name="60% - Accent6 50" xfId="1301"/>
    <cellStyle name="60% - Accent6 51" xfId="1302"/>
    <cellStyle name="60% - Accent6 52" xfId="1303"/>
    <cellStyle name="60% - Accent6 53" xfId="1304"/>
    <cellStyle name="60% - Accent6 54" xfId="1305"/>
    <cellStyle name="60% - Accent6 55" xfId="1306"/>
    <cellStyle name="60% - Accent6 56" xfId="1307"/>
    <cellStyle name="60% - Accent6 57" xfId="1308"/>
    <cellStyle name="60% - Accent6 58" xfId="1309"/>
    <cellStyle name="60% - Accent6 59" xfId="1310"/>
    <cellStyle name="60% - Accent6 6" xfId="1311"/>
    <cellStyle name="60% - Accent6 60" xfId="1312"/>
    <cellStyle name="60% - Accent6 61" xfId="1313"/>
    <cellStyle name="60% - Accent6 62" xfId="1314"/>
    <cellStyle name="60% - Accent6 63" xfId="1315"/>
    <cellStyle name="60% - Accent6 64" xfId="1316"/>
    <cellStyle name="60% - Accent6 65" xfId="1317"/>
    <cellStyle name="60% - Accent6 66" xfId="1318"/>
    <cellStyle name="60% - Accent6 67" xfId="1319"/>
    <cellStyle name="60% - Accent6 68" xfId="1320"/>
    <cellStyle name="60% - Accent6 69" xfId="1321"/>
    <cellStyle name="60% - Accent6 7" xfId="1322"/>
    <cellStyle name="60% - Accent6 70" xfId="1323"/>
    <cellStyle name="60% - Accent6 71" xfId="1324"/>
    <cellStyle name="60% - Accent6 72" xfId="1325"/>
    <cellStyle name="60% - Accent6 8" xfId="1326"/>
    <cellStyle name="60% - Accent6 9" xfId="1327"/>
    <cellStyle name="Accent1 10" xfId="1328"/>
    <cellStyle name="Accent1 11" xfId="1329"/>
    <cellStyle name="Accent1 12" xfId="1330"/>
    <cellStyle name="Accent1 13" xfId="1331"/>
    <cellStyle name="Accent1 14" xfId="1332"/>
    <cellStyle name="Accent1 15" xfId="1333"/>
    <cellStyle name="Accent1 16" xfId="1334"/>
    <cellStyle name="Accent1 17" xfId="1335"/>
    <cellStyle name="Accent1 18" xfId="1336"/>
    <cellStyle name="Accent1 19" xfId="1337"/>
    <cellStyle name="Accent1 2" xfId="1338"/>
    <cellStyle name="Accent1 20" xfId="1339"/>
    <cellStyle name="Accent1 21" xfId="1340"/>
    <cellStyle name="Accent1 22" xfId="1341"/>
    <cellStyle name="Accent1 23" xfId="1342"/>
    <cellStyle name="Accent1 24" xfId="1343"/>
    <cellStyle name="Accent1 25" xfId="1344"/>
    <cellStyle name="Accent1 26" xfId="1345"/>
    <cellStyle name="Accent1 27" xfId="1346"/>
    <cellStyle name="Accent1 28" xfId="1347"/>
    <cellStyle name="Accent1 29" xfId="1348"/>
    <cellStyle name="Accent1 3" xfId="1349"/>
    <cellStyle name="Accent1 30" xfId="1350"/>
    <cellStyle name="Accent1 31" xfId="1351"/>
    <cellStyle name="Accent1 32" xfId="1352"/>
    <cellStyle name="Accent1 33" xfId="1353"/>
    <cellStyle name="Accent1 34" xfId="1354"/>
    <cellStyle name="Accent1 35" xfId="1355"/>
    <cellStyle name="Accent1 36" xfId="1356"/>
    <cellStyle name="Accent1 37" xfId="1357"/>
    <cellStyle name="Accent1 38" xfId="1358"/>
    <cellStyle name="Accent1 39" xfId="1359"/>
    <cellStyle name="Accent1 4" xfId="1360"/>
    <cellStyle name="Accent1 40" xfId="1361"/>
    <cellStyle name="Accent1 41" xfId="1362"/>
    <cellStyle name="Accent1 42" xfId="1363"/>
    <cellStyle name="Accent1 43" xfId="1364"/>
    <cellStyle name="Accent1 44" xfId="1365"/>
    <cellStyle name="Accent1 45" xfId="1366"/>
    <cellStyle name="Accent1 46" xfId="1367"/>
    <cellStyle name="Accent1 47" xfId="1368"/>
    <cellStyle name="Accent1 48" xfId="1369"/>
    <cellStyle name="Accent1 49" xfId="1370"/>
    <cellStyle name="Accent1 5" xfId="1371"/>
    <cellStyle name="Accent1 50" xfId="1372"/>
    <cellStyle name="Accent1 51" xfId="1373"/>
    <cellStyle name="Accent1 52" xfId="1374"/>
    <cellStyle name="Accent1 53" xfId="1375"/>
    <cellStyle name="Accent1 54" xfId="1376"/>
    <cellStyle name="Accent1 55" xfId="1377"/>
    <cellStyle name="Accent1 56" xfId="1378"/>
    <cellStyle name="Accent1 57" xfId="1379"/>
    <cellStyle name="Accent1 58" xfId="1380"/>
    <cellStyle name="Accent1 59" xfId="1381"/>
    <cellStyle name="Accent1 6" xfId="1382"/>
    <cellStyle name="Accent1 60" xfId="1383"/>
    <cellStyle name="Accent1 61" xfId="1384"/>
    <cellStyle name="Accent1 62" xfId="1385"/>
    <cellStyle name="Accent1 63" xfId="1386"/>
    <cellStyle name="Accent1 64" xfId="1387"/>
    <cellStyle name="Accent1 65" xfId="1388"/>
    <cellStyle name="Accent1 66" xfId="1389"/>
    <cellStyle name="Accent1 67" xfId="1390"/>
    <cellStyle name="Accent1 68" xfId="1391"/>
    <cellStyle name="Accent1 69" xfId="1392"/>
    <cellStyle name="Accent1 7" xfId="1393"/>
    <cellStyle name="Accent1 70" xfId="1394"/>
    <cellStyle name="Accent1 71" xfId="1395"/>
    <cellStyle name="Accent1 72" xfId="1396"/>
    <cellStyle name="Accent1 8" xfId="1397"/>
    <cellStyle name="Accent1 9" xfId="1398"/>
    <cellStyle name="Accent2 10" xfId="1399"/>
    <cellStyle name="Accent2 11" xfId="1400"/>
    <cellStyle name="Accent2 12" xfId="1401"/>
    <cellStyle name="Accent2 13" xfId="1402"/>
    <cellStyle name="Accent2 14" xfId="1403"/>
    <cellStyle name="Accent2 15" xfId="1404"/>
    <cellStyle name="Accent2 16" xfId="1405"/>
    <cellStyle name="Accent2 17" xfId="1406"/>
    <cellStyle name="Accent2 18" xfId="1407"/>
    <cellStyle name="Accent2 19" xfId="1408"/>
    <cellStyle name="Accent2 2" xfId="1409"/>
    <cellStyle name="Accent2 20" xfId="1410"/>
    <cellStyle name="Accent2 21" xfId="1411"/>
    <cellStyle name="Accent2 22" xfId="1412"/>
    <cellStyle name="Accent2 23" xfId="1413"/>
    <cellStyle name="Accent2 24" xfId="1414"/>
    <cellStyle name="Accent2 25" xfId="1415"/>
    <cellStyle name="Accent2 26" xfId="1416"/>
    <cellStyle name="Accent2 27" xfId="1417"/>
    <cellStyle name="Accent2 28" xfId="1418"/>
    <cellStyle name="Accent2 29" xfId="1419"/>
    <cellStyle name="Accent2 3" xfId="1420"/>
    <cellStyle name="Accent2 30" xfId="1421"/>
    <cellStyle name="Accent2 31" xfId="1422"/>
    <cellStyle name="Accent2 32" xfId="1423"/>
    <cellStyle name="Accent2 33" xfId="1424"/>
    <cellStyle name="Accent2 34" xfId="1425"/>
    <cellStyle name="Accent2 35" xfId="1426"/>
    <cellStyle name="Accent2 36" xfId="1427"/>
    <cellStyle name="Accent2 37" xfId="1428"/>
    <cellStyle name="Accent2 38" xfId="1429"/>
    <cellStyle name="Accent2 39" xfId="1430"/>
    <cellStyle name="Accent2 4" xfId="1431"/>
    <cellStyle name="Accent2 40" xfId="1432"/>
    <cellStyle name="Accent2 41" xfId="1433"/>
    <cellStyle name="Accent2 42" xfId="1434"/>
    <cellStyle name="Accent2 43" xfId="1435"/>
    <cellStyle name="Accent2 44" xfId="1436"/>
    <cellStyle name="Accent2 45" xfId="1437"/>
    <cellStyle name="Accent2 46" xfId="1438"/>
    <cellStyle name="Accent2 47" xfId="1439"/>
    <cellStyle name="Accent2 48" xfId="1440"/>
    <cellStyle name="Accent2 49" xfId="1441"/>
    <cellStyle name="Accent2 5" xfId="1442"/>
    <cellStyle name="Accent2 50" xfId="1443"/>
    <cellStyle name="Accent2 51" xfId="1444"/>
    <cellStyle name="Accent2 52" xfId="1445"/>
    <cellStyle name="Accent2 53" xfId="1446"/>
    <cellStyle name="Accent2 54" xfId="1447"/>
    <cellStyle name="Accent2 55" xfId="1448"/>
    <cellStyle name="Accent2 56" xfId="1449"/>
    <cellStyle name="Accent2 57" xfId="1450"/>
    <cellStyle name="Accent2 58" xfId="1451"/>
    <cellStyle name="Accent2 59" xfId="1452"/>
    <cellStyle name="Accent2 6" xfId="1453"/>
    <cellStyle name="Accent2 60" xfId="1454"/>
    <cellStyle name="Accent2 61" xfId="1455"/>
    <cellStyle name="Accent2 62" xfId="1456"/>
    <cellStyle name="Accent2 63" xfId="1457"/>
    <cellStyle name="Accent2 64" xfId="1458"/>
    <cellStyle name="Accent2 65" xfId="1459"/>
    <cellStyle name="Accent2 66" xfId="1460"/>
    <cellStyle name="Accent2 67" xfId="1461"/>
    <cellStyle name="Accent2 68" xfId="1462"/>
    <cellStyle name="Accent2 69" xfId="1463"/>
    <cellStyle name="Accent2 7" xfId="1464"/>
    <cellStyle name="Accent2 70" xfId="1465"/>
    <cellStyle name="Accent2 71" xfId="1466"/>
    <cellStyle name="Accent2 72" xfId="1467"/>
    <cellStyle name="Accent2 8" xfId="1468"/>
    <cellStyle name="Accent2 9" xfId="1469"/>
    <cellStyle name="Accent3 10" xfId="1470"/>
    <cellStyle name="Accent3 11" xfId="1471"/>
    <cellStyle name="Accent3 12" xfId="1472"/>
    <cellStyle name="Accent3 13" xfId="1473"/>
    <cellStyle name="Accent3 14" xfId="1474"/>
    <cellStyle name="Accent3 15" xfId="1475"/>
    <cellStyle name="Accent3 16" xfId="1476"/>
    <cellStyle name="Accent3 17" xfId="1477"/>
    <cellStyle name="Accent3 18" xfId="1478"/>
    <cellStyle name="Accent3 19" xfId="1479"/>
    <cellStyle name="Accent3 2" xfId="1480"/>
    <cellStyle name="Accent3 20" xfId="1481"/>
    <cellStyle name="Accent3 21" xfId="1482"/>
    <cellStyle name="Accent3 22" xfId="1483"/>
    <cellStyle name="Accent3 23" xfId="1484"/>
    <cellStyle name="Accent3 24" xfId="1485"/>
    <cellStyle name="Accent3 25" xfId="1486"/>
    <cellStyle name="Accent3 26" xfId="1487"/>
    <cellStyle name="Accent3 27" xfId="1488"/>
    <cellStyle name="Accent3 28" xfId="1489"/>
    <cellStyle name="Accent3 29" xfId="1490"/>
    <cellStyle name="Accent3 3" xfId="1491"/>
    <cellStyle name="Accent3 30" xfId="1492"/>
    <cellStyle name="Accent3 31" xfId="1493"/>
    <cellStyle name="Accent3 32" xfId="1494"/>
    <cellStyle name="Accent3 33" xfId="1495"/>
    <cellStyle name="Accent3 34" xfId="1496"/>
    <cellStyle name="Accent3 35" xfId="1497"/>
    <cellStyle name="Accent3 36" xfId="1498"/>
    <cellStyle name="Accent3 37" xfId="1499"/>
    <cellStyle name="Accent3 38" xfId="1500"/>
    <cellStyle name="Accent3 39" xfId="1501"/>
    <cellStyle name="Accent3 4" xfId="1502"/>
    <cellStyle name="Accent3 40" xfId="1503"/>
    <cellStyle name="Accent3 41" xfId="1504"/>
    <cellStyle name="Accent3 42" xfId="1505"/>
    <cellStyle name="Accent3 43" xfId="1506"/>
    <cellStyle name="Accent3 44" xfId="1507"/>
    <cellStyle name="Accent3 45" xfId="1508"/>
    <cellStyle name="Accent3 46" xfId="1509"/>
    <cellStyle name="Accent3 47" xfId="1510"/>
    <cellStyle name="Accent3 48" xfId="1511"/>
    <cellStyle name="Accent3 49" xfId="1512"/>
    <cellStyle name="Accent3 5" xfId="1513"/>
    <cellStyle name="Accent3 50" xfId="1514"/>
    <cellStyle name="Accent3 51" xfId="1515"/>
    <cellStyle name="Accent3 52" xfId="1516"/>
    <cellStyle name="Accent3 53" xfId="1517"/>
    <cellStyle name="Accent3 54" xfId="1518"/>
    <cellStyle name="Accent3 55" xfId="1519"/>
    <cellStyle name="Accent3 56" xfId="1520"/>
    <cellStyle name="Accent3 57" xfId="1521"/>
    <cellStyle name="Accent3 58" xfId="1522"/>
    <cellStyle name="Accent3 59" xfId="1523"/>
    <cellStyle name="Accent3 6" xfId="1524"/>
    <cellStyle name="Accent3 60" xfId="1525"/>
    <cellStyle name="Accent3 61" xfId="1526"/>
    <cellStyle name="Accent3 62" xfId="1527"/>
    <cellStyle name="Accent3 63" xfId="1528"/>
    <cellStyle name="Accent3 64" xfId="1529"/>
    <cellStyle name="Accent3 65" xfId="1530"/>
    <cellStyle name="Accent3 66" xfId="1531"/>
    <cellStyle name="Accent3 67" xfId="1532"/>
    <cellStyle name="Accent3 68" xfId="1533"/>
    <cellStyle name="Accent3 69" xfId="1534"/>
    <cellStyle name="Accent3 7" xfId="1535"/>
    <cellStyle name="Accent3 70" xfId="1536"/>
    <cellStyle name="Accent3 71" xfId="1537"/>
    <cellStyle name="Accent3 72" xfId="1538"/>
    <cellStyle name="Accent3 8" xfId="1539"/>
    <cellStyle name="Accent3 9" xfId="1540"/>
    <cellStyle name="Accent4 10" xfId="1541"/>
    <cellStyle name="Accent4 11" xfId="1542"/>
    <cellStyle name="Accent4 12" xfId="1543"/>
    <cellStyle name="Accent4 13" xfId="1544"/>
    <cellStyle name="Accent4 14" xfId="1545"/>
    <cellStyle name="Accent4 15" xfId="1546"/>
    <cellStyle name="Accent4 16" xfId="1547"/>
    <cellStyle name="Accent4 17" xfId="1548"/>
    <cellStyle name="Accent4 18" xfId="1549"/>
    <cellStyle name="Accent4 19" xfId="1550"/>
    <cellStyle name="Accent4 2" xfId="1551"/>
    <cellStyle name="Accent4 20" xfId="1552"/>
    <cellStyle name="Accent4 21" xfId="1553"/>
    <cellStyle name="Accent4 22" xfId="1554"/>
    <cellStyle name="Accent4 23" xfId="1555"/>
    <cellStyle name="Accent4 24" xfId="1556"/>
    <cellStyle name="Accent4 25" xfId="1557"/>
    <cellStyle name="Accent4 26" xfId="1558"/>
    <cellStyle name="Accent4 27" xfId="1559"/>
    <cellStyle name="Accent4 28" xfId="1560"/>
    <cellStyle name="Accent4 29" xfId="1561"/>
    <cellStyle name="Accent4 3" xfId="1562"/>
    <cellStyle name="Accent4 30" xfId="1563"/>
    <cellStyle name="Accent4 31" xfId="1564"/>
    <cellStyle name="Accent4 32" xfId="1565"/>
    <cellStyle name="Accent4 33" xfId="1566"/>
    <cellStyle name="Accent4 34" xfId="1567"/>
    <cellStyle name="Accent4 35" xfId="1568"/>
    <cellStyle name="Accent4 36" xfId="1569"/>
    <cellStyle name="Accent4 37" xfId="1570"/>
    <cellStyle name="Accent4 38" xfId="1571"/>
    <cellStyle name="Accent4 39" xfId="1572"/>
    <cellStyle name="Accent4 4" xfId="1573"/>
    <cellStyle name="Accent4 40" xfId="1574"/>
    <cellStyle name="Accent4 41" xfId="1575"/>
    <cellStyle name="Accent4 42" xfId="1576"/>
    <cellStyle name="Accent4 43" xfId="1577"/>
    <cellStyle name="Accent4 44" xfId="1578"/>
    <cellStyle name="Accent4 45" xfId="1579"/>
    <cellStyle name="Accent4 46" xfId="1580"/>
    <cellStyle name="Accent4 47" xfId="1581"/>
    <cellStyle name="Accent4 48" xfId="1582"/>
    <cellStyle name="Accent4 49" xfId="1583"/>
    <cellStyle name="Accent4 5" xfId="1584"/>
    <cellStyle name="Accent4 50" xfId="1585"/>
    <cellStyle name="Accent4 51" xfId="1586"/>
    <cellStyle name="Accent4 52" xfId="1587"/>
    <cellStyle name="Accent4 53" xfId="1588"/>
    <cellStyle name="Accent4 54" xfId="1589"/>
    <cellStyle name="Accent4 55" xfId="1590"/>
    <cellStyle name="Accent4 56" xfId="1591"/>
    <cellStyle name="Accent4 57" xfId="1592"/>
    <cellStyle name="Accent4 58" xfId="1593"/>
    <cellStyle name="Accent4 59" xfId="1594"/>
    <cellStyle name="Accent4 6" xfId="1595"/>
    <cellStyle name="Accent4 60" xfId="1596"/>
    <cellStyle name="Accent4 61" xfId="1597"/>
    <cellStyle name="Accent4 62" xfId="1598"/>
    <cellStyle name="Accent4 63" xfId="1599"/>
    <cellStyle name="Accent4 64" xfId="1600"/>
    <cellStyle name="Accent4 65" xfId="1601"/>
    <cellStyle name="Accent4 66" xfId="1602"/>
    <cellStyle name="Accent4 67" xfId="1603"/>
    <cellStyle name="Accent4 68" xfId="1604"/>
    <cellStyle name="Accent4 69" xfId="1605"/>
    <cellStyle name="Accent4 7" xfId="1606"/>
    <cellStyle name="Accent4 70" xfId="1607"/>
    <cellStyle name="Accent4 71" xfId="1608"/>
    <cellStyle name="Accent4 72" xfId="1609"/>
    <cellStyle name="Accent4 8" xfId="1610"/>
    <cellStyle name="Accent4 9" xfId="1611"/>
    <cellStyle name="Accent5 10" xfId="1612"/>
    <cellStyle name="Accent5 11" xfId="1613"/>
    <cellStyle name="Accent5 12" xfId="1614"/>
    <cellStyle name="Accent5 13" xfId="1615"/>
    <cellStyle name="Accent5 14" xfId="1616"/>
    <cellStyle name="Accent5 15" xfId="1617"/>
    <cellStyle name="Accent5 16" xfId="1618"/>
    <cellStyle name="Accent5 17" xfId="1619"/>
    <cellStyle name="Accent5 18" xfId="1620"/>
    <cellStyle name="Accent5 19" xfId="1621"/>
    <cellStyle name="Accent5 2" xfId="1622"/>
    <cellStyle name="Accent5 20" xfId="1623"/>
    <cellStyle name="Accent5 21" xfId="1624"/>
    <cellStyle name="Accent5 22" xfId="1625"/>
    <cellStyle name="Accent5 23" xfId="1626"/>
    <cellStyle name="Accent5 24" xfId="1627"/>
    <cellStyle name="Accent5 25" xfId="1628"/>
    <cellStyle name="Accent5 26" xfId="1629"/>
    <cellStyle name="Accent5 27" xfId="1630"/>
    <cellStyle name="Accent5 28" xfId="1631"/>
    <cellStyle name="Accent5 29" xfId="1632"/>
    <cellStyle name="Accent5 3" xfId="1633"/>
    <cellStyle name="Accent5 30" xfId="1634"/>
    <cellStyle name="Accent5 31" xfId="1635"/>
    <cellStyle name="Accent5 32" xfId="1636"/>
    <cellStyle name="Accent5 33" xfId="1637"/>
    <cellStyle name="Accent5 34" xfId="1638"/>
    <cellStyle name="Accent5 35" xfId="1639"/>
    <cellStyle name="Accent5 36" xfId="1640"/>
    <cellStyle name="Accent5 37" xfId="1641"/>
    <cellStyle name="Accent5 38" xfId="1642"/>
    <cellStyle name="Accent5 39" xfId="1643"/>
    <cellStyle name="Accent5 4" xfId="1644"/>
    <cellStyle name="Accent5 40" xfId="1645"/>
    <cellStyle name="Accent5 41" xfId="1646"/>
    <cellStyle name="Accent5 42" xfId="1647"/>
    <cellStyle name="Accent5 43" xfId="1648"/>
    <cellStyle name="Accent5 44" xfId="1649"/>
    <cellStyle name="Accent5 45" xfId="1650"/>
    <cellStyle name="Accent5 46" xfId="1651"/>
    <cellStyle name="Accent5 47" xfId="1652"/>
    <cellStyle name="Accent5 48" xfId="1653"/>
    <cellStyle name="Accent5 49" xfId="1654"/>
    <cellStyle name="Accent5 5" xfId="1655"/>
    <cellStyle name="Accent5 50" xfId="1656"/>
    <cellStyle name="Accent5 51" xfId="1657"/>
    <cellStyle name="Accent5 52" xfId="1658"/>
    <cellStyle name="Accent5 53" xfId="1659"/>
    <cellStyle name="Accent5 54" xfId="1660"/>
    <cellStyle name="Accent5 55" xfId="1661"/>
    <cellStyle name="Accent5 56" xfId="1662"/>
    <cellStyle name="Accent5 57" xfId="1663"/>
    <cellStyle name="Accent5 58" xfId="1664"/>
    <cellStyle name="Accent5 59" xfId="1665"/>
    <cellStyle name="Accent5 6" xfId="1666"/>
    <cellStyle name="Accent5 60" xfId="1667"/>
    <cellStyle name="Accent5 61" xfId="1668"/>
    <cellStyle name="Accent5 62" xfId="1669"/>
    <cellStyle name="Accent5 63" xfId="1670"/>
    <cellStyle name="Accent5 64" xfId="1671"/>
    <cellStyle name="Accent5 65" xfId="1672"/>
    <cellStyle name="Accent5 66" xfId="1673"/>
    <cellStyle name="Accent5 67" xfId="1674"/>
    <cellStyle name="Accent5 68" xfId="1675"/>
    <cellStyle name="Accent5 69" xfId="1676"/>
    <cellStyle name="Accent5 7" xfId="1677"/>
    <cellStyle name="Accent5 70" xfId="1678"/>
    <cellStyle name="Accent5 71" xfId="1679"/>
    <cellStyle name="Accent5 72" xfId="1680"/>
    <cellStyle name="Accent5 8" xfId="1681"/>
    <cellStyle name="Accent5 9" xfId="1682"/>
    <cellStyle name="Accent6 10" xfId="1683"/>
    <cellStyle name="Accent6 11" xfId="1684"/>
    <cellStyle name="Accent6 12" xfId="1685"/>
    <cellStyle name="Accent6 13" xfId="1686"/>
    <cellStyle name="Accent6 14" xfId="1687"/>
    <cellStyle name="Accent6 15" xfId="1688"/>
    <cellStyle name="Accent6 16" xfId="1689"/>
    <cellStyle name="Accent6 17" xfId="1690"/>
    <cellStyle name="Accent6 18" xfId="1691"/>
    <cellStyle name="Accent6 19" xfId="1692"/>
    <cellStyle name="Accent6 2" xfId="1693"/>
    <cellStyle name="Accent6 20" xfId="1694"/>
    <cellStyle name="Accent6 21" xfId="1695"/>
    <cellStyle name="Accent6 22" xfId="1696"/>
    <cellStyle name="Accent6 23" xfId="1697"/>
    <cellStyle name="Accent6 24" xfId="1698"/>
    <cellStyle name="Accent6 25" xfId="1699"/>
    <cellStyle name="Accent6 26" xfId="1700"/>
    <cellStyle name="Accent6 27" xfId="1701"/>
    <cellStyle name="Accent6 28" xfId="1702"/>
    <cellStyle name="Accent6 29" xfId="1703"/>
    <cellStyle name="Accent6 3" xfId="1704"/>
    <cellStyle name="Accent6 30" xfId="1705"/>
    <cellStyle name="Accent6 31" xfId="1706"/>
    <cellStyle name="Accent6 32" xfId="1707"/>
    <cellStyle name="Accent6 33" xfId="1708"/>
    <cellStyle name="Accent6 34" xfId="1709"/>
    <cellStyle name="Accent6 35" xfId="1710"/>
    <cellStyle name="Accent6 36" xfId="1711"/>
    <cellStyle name="Accent6 37" xfId="1712"/>
    <cellStyle name="Accent6 38" xfId="1713"/>
    <cellStyle name="Accent6 39" xfId="1714"/>
    <cellStyle name="Accent6 4" xfId="1715"/>
    <cellStyle name="Accent6 40" xfId="1716"/>
    <cellStyle name="Accent6 41" xfId="1717"/>
    <cellStyle name="Accent6 42" xfId="1718"/>
    <cellStyle name="Accent6 43" xfId="1719"/>
    <cellStyle name="Accent6 44" xfId="1720"/>
    <cellStyle name="Accent6 45" xfId="1721"/>
    <cellStyle name="Accent6 46" xfId="1722"/>
    <cellStyle name="Accent6 47" xfId="1723"/>
    <cellStyle name="Accent6 48" xfId="1724"/>
    <cellStyle name="Accent6 49" xfId="1725"/>
    <cellStyle name="Accent6 5" xfId="1726"/>
    <cellStyle name="Accent6 50" xfId="1727"/>
    <cellStyle name="Accent6 51" xfId="1728"/>
    <cellStyle name="Accent6 52" xfId="1729"/>
    <cellStyle name="Accent6 53" xfId="1730"/>
    <cellStyle name="Accent6 54" xfId="1731"/>
    <cellStyle name="Accent6 55" xfId="1732"/>
    <cellStyle name="Accent6 56" xfId="1733"/>
    <cellStyle name="Accent6 57" xfId="1734"/>
    <cellStyle name="Accent6 58" xfId="1735"/>
    <cellStyle name="Accent6 59" xfId="1736"/>
    <cellStyle name="Accent6 6" xfId="1737"/>
    <cellStyle name="Accent6 60" xfId="1738"/>
    <cellStyle name="Accent6 61" xfId="1739"/>
    <cellStyle name="Accent6 62" xfId="1740"/>
    <cellStyle name="Accent6 63" xfId="1741"/>
    <cellStyle name="Accent6 64" xfId="1742"/>
    <cellStyle name="Accent6 65" xfId="1743"/>
    <cellStyle name="Accent6 66" xfId="1744"/>
    <cellStyle name="Accent6 67" xfId="1745"/>
    <cellStyle name="Accent6 68" xfId="1746"/>
    <cellStyle name="Accent6 69" xfId="1747"/>
    <cellStyle name="Accent6 7" xfId="1748"/>
    <cellStyle name="Accent6 70" xfId="1749"/>
    <cellStyle name="Accent6 71" xfId="1750"/>
    <cellStyle name="Accent6 72" xfId="1751"/>
    <cellStyle name="Accent6 8" xfId="1752"/>
    <cellStyle name="Accent6 9" xfId="1753"/>
    <cellStyle name="Bad 10" xfId="1754"/>
    <cellStyle name="Bad 11" xfId="1755"/>
    <cellStyle name="Bad 12" xfId="1756"/>
    <cellStyle name="Bad 13" xfId="1757"/>
    <cellStyle name="Bad 14" xfId="1758"/>
    <cellStyle name="Bad 15" xfId="1759"/>
    <cellStyle name="Bad 16" xfId="1760"/>
    <cellStyle name="Bad 17" xfId="1761"/>
    <cellStyle name="Bad 18" xfId="1762"/>
    <cellStyle name="Bad 19" xfId="1763"/>
    <cellStyle name="Bad 2" xfId="1764"/>
    <cellStyle name="Bad 20" xfId="1765"/>
    <cellStyle name="Bad 21" xfId="1766"/>
    <cellStyle name="Bad 22" xfId="1767"/>
    <cellStyle name="Bad 23" xfId="1768"/>
    <cellStyle name="Bad 24" xfId="1769"/>
    <cellStyle name="Bad 25" xfId="1770"/>
    <cellStyle name="Bad 26" xfId="1771"/>
    <cellStyle name="Bad 27" xfId="1772"/>
    <cellStyle name="Bad 28" xfId="1773"/>
    <cellStyle name="Bad 29" xfId="1774"/>
    <cellStyle name="Bad 3" xfId="1775"/>
    <cellStyle name="Bad 30" xfId="1776"/>
    <cellStyle name="Bad 31" xfId="1777"/>
    <cellStyle name="Bad 32" xfId="1778"/>
    <cellStyle name="Bad 33" xfId="1779"/>
    <cellStyle name="Bad 34" xfId="1780"/>
    <cellStyle name="Bad 35" xfId="1781"/>
    <cellStyle name="Bad 36" xfId="1782"/>
    <cellStyle name="Bad 37" xfId="1783"/>
    <cellStyle name="Bad 38" xfId="1784"/>
    <cellStyle name="Bad 39" xfId="1785"/>
    <cellStyle name="Bad 4" xfId="1786"/>
    <cellStyle name="Bad 40" xfId="1787"/>
    <cellStyle name="Bad 41" xfId="1788"/>
    <cellStyle name="Bad 42" xfId="1789"/>
    <cellStyle name="Bad 43" xfId="1790"/>
    <cellStyle name="Bad 44" xfId="1791"/>
    <cellStyle name="Bad 45" xfId="1792"/>
    <cellStyle name="Bad 46" xfId="1793"/>
    <cellStyle name="Bad 47" xfId="1794"/>
    <cellStyle name="Bad 48" xfId="1795"/>
    <cellStyle name="Bad 49" xfId="1796"/>
    <cellStyle name="Bad 5" xfId="1797"/>
    <cellStyle name="Bad 50" xfId="1798"/>
    <cellStyle name="Bad 51" xfId="1799"/>
    <cellStyle name="Bad 52" xfId="1800"/>
    <cellStyle name="Bad 53" xfId="1801"/>
    <cellStyle name="Bad 54" xfId="1802"/>
    <cellStyle name="Bad 55" xfId="1803"/>
    <cellStyle name="Bad 56" xfId="1804"/>
    <cellStyle name="Bad 57" xfId="1805"/>
    <cellStyle name="Bad 58" xfId="1806"/>
    <cellStyle name="Bad 59" xfId="1807"/>
    <cellStyle name="Bad 6" xfId="1808"/>
    <cellStyle name="Bad 60" xfId="1809"/>
    <cellStyle name="Bad 61" xfId="1810"/>
    <cellStyle name="Bad 62" xfId="1811"/>
    <cellStyle name="Bad 63" xfId="1812"/>
    <cellStyle name="Bad 64" xfId="1813"/>
    <cellStyle name="Bad 65" xfId="1814"/>
    <cellStyle name="Bad 66" xfId="1815"/>
    <cellStyle name="Bad 67" xfId="1816"/>
    <cellStyle name="Bad 68" xfId="1817"/>
    <cellStyle name="Bad 69" xfId="1818"/>
    <cellStyle name="Bad 7" xfId="1819"/>
    <cellStyle name="Bad 70" xfId="1820"/>
    <cellStyle name="Bad 71" xfId="1821"/>
    <cellStyle name="Bad 72" xfId="1822"/>
    <cellStyle name="Bad 8" xfId="1823"/>
    <cellStyle name="Bad 9" xfId="1824"/>
    <cellStyle name="Calculation 10" xfId="1825"/>
    <cellStyle name="Calculation 11" xfId="1826"/>
    <cellStyle name="Calculation 12" xfId="1827"/>
    <cellStyle name="Calculation 13" xfId="1828"/>
    <cellStyle name="Calculation 14" xfId="1829"/>
    <cellStyle name="Calculation 15" xfId="1830"/>
    <cellStyle name="Calculation 16" xfId="1831"/>
    <cellStyle name="Calculation 17" xfId="1832"/>
    <cellStyle name="Calculation 18" xfId="1833"/>
    <cellStyle name="Calculation 19" xfId="1834"/>
    <cellStyle name="Calculation 2" xfId="1835"/>
    <cellStyle name="Calculation 20" xfId="1836"/>
    <cellStyle name="Calculation 21" xfId="1837"/>
    <cellStyle name="Calculation 22" xfId="1838"/>
    <cellStyle name="Calculation 23" xfId="1839"/>
    <cellStyle name="Calculation 24" xfId="1840"/>
    <cellStyle name="Calculation 25" xfId="1841"/>
    <cellStyle name="Calculation 26" xfId="1842"/>
    <cellStyle name="Calculation 27" xfId="1843"/>
    <cellStyle name="Calculation 28" xfId="1844"/>
    <cellStyle name="Calculation 29" xfId="1845"/>
    <cellStyle name="Calculation 3" xfId="1846"/>
    <cellStyle name="Calculation 30" xfId="1847"/>
    <cellStyle name="Calculation 31" xfId="1848"/>
    <cellStyle name="Calculation 32" xfId="1849"/>
    <cellStyle name="Calculation 33" xfId="1850"/>
    <cellStyle name="Calculation 34" xfId="1851"/>
    <cellStyle name="Calculation 35" xfId="1852"/>
    <cellStyle name="Calculation 36" xfId="1853"/>
    <cellStyle name="Calculation 37" xfId="1854"/>
    <cellStyle name="Calculation 38" xfId="1855"/>
    <cellStyle name="Calculation 39" xfId="1856"/>
    <cellStyle name="Calculation 4" xfId="1857"/>
    <cellStyle name="Calculation 40" xfId="1858"/>
    <cellStyle name="Calculation 41" xfId="1859"/>
    <cellStyle name="Calculation 42" xfId="1860"/>
    <cellStyle name="Calculation 43" xfId="1861"/>
    <cellStyle name="Calculation 44" xfId="1862"/>
    <cellStyle name="Calculation 45" xfId="1863"/>
    <cellStyle name="Calculation 46" xfId="1864"/>
    <cellStyle name="Calculation 47" xfId="1865"/>
    <cellStyle name="Calculation 48" xfId="1866"/>
    <cellStyle name="Calculation 49" xfId="1867"/>
    <cellStyle name="Calculation 5" xfId="1868"/>
    <cellStyle name="Calculation 50" xfId="1869"/>
    <cellStyle name="Calculation 51" xfId="1870"/>
    <cellStyle name="Calculation 52" xfId="1871"/>
    <cellStyle name="Calculation 53" xfId="1872"/>
    <cellStyle name="Calculation 54" xfId="1873"/>
    <cellStyle name="Calculation 55" xfId="1874"/>
    <cellStyle name="Calculation 56" xfId="1875"/>
    <cellStyle name="Calculation 57" xfId="1876"/>
    <cellStyle name="Calculation 58" xfId="1877"/>
    <cellStyle name="Calculation 59" xfId="1878"/>
    <cellStyle name="Calculation 6" xfId="1879"/>
    <cellStyle name="Calculation 60" xfId="1880"/>
    <cellStyle name="Calculation 61" xfId="1881"/>
    <cellStyle name="Calculation 62" xfId="1882"/>
    <cellStyle name="Calculation 63" xfId="1883"/>
    <cellStyle name="Calculation 64" xfId="1884"/>
    <cellStyle name="Calculation 65" xfId="1885"/>
    <cellStyle name="Calculation 66" xfId="1886"/>
    <cellStyle name="Calculation 67" xfId="1887"/>
    <cellStyle name="Calculation 68" xfId="1888"/>
    <cellStyle name="Calculation 69" xfId="1889"/>
    <cellStyle name="Calculation 7" xfId="1890"/>
    <cellStyle name="Calculation 70" xfId="1891"/>
    <cellStyle name="Calculation 71" xfId="1892"/>
    <cellStyle name="Calculation 72" xfId="1893"/>
    <cellStyle name="Calculation 8" xfId="1894"/>
    <cellStyle name="Calculation 9" xfId="1895"/>
    <cellStyle name="Check Cell 10" xfId="1896"/>
    <cellStyle name="Check Cell 11" xfId="1897"/>
    <cellStyle name="Check Cell 12" xfId="1898"/>
    <cellStyle name="Check Cell 13" xfId="1899"/>
    <cellStyle name="Check Cell 14" xfId="1900"/>
    <cellStyle name="Check Cell 15" xfId="1901"/>
    <cellStyle name="Check Cell 16" xfId="1902"/>
    <cellStyle name="Check Cell 17" xfId="1903"/>
    <cellStyle name="Check Cell 18" xfId="1904"/>
    <cellStyle name="Check Cell 19" xfId="1905"/>
    <cellStyle name="Check Cell 2" xfId="1906"/>
    <cellStyle name="Check Cell 20" xfId="1907"/>
    <cellStyle name="Check Cell 21" xfId="1908"/>
    <cellStyle name="Check Cell 22" xfId="1909"/>
    <cellStyle name="Check Cell 23" xfId="1910"/>
    <cellStyle name="Check Cell 24" xfId="1911"/>
    <cellStyle name="Check Cell 25" xfId="1912"/>
    <cellStyle name="Check Cell 26" xfId="1913"/>
    <cellStyle name="Check Cell 27" xfId="1914"/>
    <cellStyle name="Check Cell 28" xfId="1915"/>
    <cellStyle name="Check Cell 29" xfId="1916"/>
    <cellStyle name="Check Cell 3" xfId="1917"/>
    <cellStyle name="Check Cell 30" xfId="1918"/>
    <cellStyle name="Check Cell 31" xfId="1919"/>
    <cellStyle name="Check Cell 32" xfId="1920"/>
    <cellStyle name="Check Cell 33" xfId="1921"/>
    <cellStyle name="Check Cell 34" xfId="1922"/>
    <cellStyle name="Check Cell 35" xfId="1923"/>
    <cellStyle name="Check Cell 36" xfId="1924"/>
    <cellStyle name="Check Cell 37" xfId="1925"/>
    <cellStyle name="Check Cell 38" xfId="1926"/>
    <cellStyle name="Check Cell 39" xfId="1927"/>
    <cellStyle name="Check Cell 4" xfId="1928"/>
    <cellStyle name="Check Cell 40" xfId="1929"/>
    <cellStyle name="Check Cell 41" xfId="1930"/>
    <cellStyle name="Check Cell 42" xfId="1931"/>
    <cellStyle name="Check Cell 43" xfId="1932"/>
    <cellStyle name="Check Cell 44" xfId="1933"/>
    <cellStyle name="Check Cell 45" xfId="1934"/>
    <cellStyle name="Check Cell 46" xfId="1935"/>
    <cellStyle name="Check Cell 47" xfId="1936"/>
    <cellStyle name="Check Cell 48" xfId="1937"/>
    <cellStyle name="Check Cell 49" xfId="1938"/>
    <cellStyle name="Check Cell 5" xfId="1939"/>
    <cellStyle name="Check Cell 50" xfId="1940"/>
    <cellStyle name="Check Cell 51" xfId="1941"/>
    <cellStyle name="Check Cell 52" xfId="1942"/>
    <cellStyle name="Check Cell 53" xfId="1943"/>
    <cellStyle name="Check Cell 54" xfId="1944"/>
    <cellStyle name="Check Cell 55" xfId="1945"/>
    <cellStyle name="Check Cell 56" xfId="1946"/>
    <cellStyle name="Check Cell 57" xfId="1947"/>
    <cellStyle name="Check Cell 58" xfId="1948"/>
    <cellStyle name="Check Cell 59" xfId="1949"/>
    <cellStyle name="Check Cell 6" xfId="1950"/>
    <cellStyle name="Check Cell 60" xfId="1951"/>
    <cellStyle name="Check Cell 61" xfId="1952"/>
    <cellStyle name="Check Cell 62" xfId="1953"/>
    <cellStyle name="Check Cell 63" xfId="1954"/>
    <cellStyle name="Check Cell 64" xfId="1955"/>
    <cellStyle name="Check Cell 65" xfId="1956"/>
    <cellStyle name="Check Cell 66" xfId="1957"/>
    <cellStyle name="Check Cell 67" xfId="1958"/>
    <cellStyle name="Check Cell 68" xfId="1959"/>
    <cellStyle name="Check Cell 69" xfId="1960"/>
    <cellStyle name="Check Cell 7" xfId="1961"/>
    <cellStyle name="Check Cell 70" xfId="1962"/>
    <cellStyle name="Check Cell 71" xfId="1963"/>
    <cellStyle name="Check Cell 72" xfId="1964"/>
    <cellStyle name="Check Cell 8" xfId="1965"/>
    <cellStyle name="Check Cell 9" xfId="1966"/>
    <cellStyle name="ColumnAttributeAbovePrompt" xfId="1967"/>
    <cellStyle name="ColumnAttributePrompt" xfId="1968"/>
    <cellStyle name="ColumnAttributeValue" xfId="1969"/>
    <cellStyle name="ColumnHeadingPrompt" xfId="1970"/>
    <cellStyle name="ColumnHeadingValue" xfId="1971"/>
    <cellStyle name="Comma" xfId="1" builtinId="3"/>
    <cellStyle name="Comma [0] 2" xfId="2"/>
    <cellStyle name="Comma 10" xfId="1972"/>
    <cellStyle name="Comma 10 2" xfId="3012"/>
    <cellStyle name="Comma 11" xfId="3013"/>
    <cellStyle name="Comma 11 2" xfId="3014"/>
    <cellStyle name="Comma 12" xfId="3023"/>
    <cellStyle name="Comma 13" xfId="3027"/>
    <cellStyle name="Comma 2" xfId="3"/>
    <cellStyle name="Comma 2 2" xfId="4"/>
    <cellStyle name="Comma 2 3" xfId="1973"/>
    <cellStyle name="Comma 2 3 2" xfId="3016"/>
    <cellStyle name="Comma 3" xfId="5"/>
    <cellStyle name="Comma 3 2" xfId="1974"/>
    <cellStyle name="Comma 4" xfId="6"/>
    <cellStyle name="Comma 4 2" xfId="7"/>
    <cellStyle name="Comma 5" xfId="8"/>
    <cellStyle name="Comma 6" xfId="9"/>
    <cellStyle name="Comma 7" xfId="47"/>
    <cellStyle name="Comma 8" xfId="1975"/>
    <cellStyle name="Comma 9" xfId="1976"/>
    <cellStyle name="Currency" xfId="10" builtinId="4"/>
    <cellStyle name="Currency [0] 2" xfId="1977"/>
    <cellStyle name="Currency 2" xfId="11"/>
    <cellStyle name="Currency 2 2" xfId="12"/>
    <cellStyle name="Currency 2 3" xfId="1978"/>
    <cellStyle name="Currency 3" xfId="13"/>
    <cellStyle name="Currency 4" xfId="1979"/>
    <cellStyle name="Currency 5" xfId="1980"/>
    <cellStyle name="Currency 6" xfId="1981"/>
    <cellStyle name="Currency 7" xfId="3024"/>
    <cellStyle name="Currency0" xfId="1982"/>
    <cellStyle name="Currency0nospace" xfId="1983"/>
    <cellStyle name="Currency2" xfId="1984"/>
    <cellStyle name="Explanatory Text 10" xfId="1985"/>
    <cellStyle name="Explanatory Text 11" xfId="1986"/>
    <cellStyle name="Explanatory Text 12" xfId="1987"/>
    <cellStyle name="Explanatory Text 13" xfId="1988"/>
    <cellStyle name="Explanatory Text 14" xfId="1989"/>
    <cellStyle name="Explanatory Text 15" xfId="1990"/>
    <cellStyle name="Explanatory Text 16" xfId="1991"/>
    <cellStyle name="Explanatory Text 17" xfId="1992"/>
    <cellStyle name="Explanatory Text 18" xfId="1993"/>
    <cellStyle name="Explanatory Text 19" xfId="1994"/>
    <cellStyle name="Explanatory Text 2" xfId="1995"/>
    <cellStyle name="Explanatory Text 20" xfId="1996"/>
    <cellStyle name="Explanatory Text 21" xfId="1997"/>
    <cellStyle name="Explanatory Text 22" xfId="1998"/>
    <cellStyle name="Explanatory Text 23" xfId="1999"/>
    <cellStyle name="Explanatory Text 24" xfId="2000"/>
    <cellStyle name="Explanatory Text 25" xfId="2001"/>
    <cellStyle name="Explanatory Text 26" xfId="2002"/>
    <cellStyle name="Explanatory Text 27" xfId="2003"/>
    <cellStyle name="Explanatory Text 28" xfId="2004"/>
    <cellStyle name="Explanatory Text 29" xfId="2005"/>
    <cellStyle name="Explanatory Text 3" xfId="2006"/>
    <cellStyle name="Explanatory Text 30" xfId="2007"/>
    <cellStyle name="Explanatory Text 31" xfId="2008"/>
    <cellStyle name="Explanatory Text 32" xfId="2009"/>
    <cellStyle name="Explanatory Text 33" xfId="2010"/>
    <cellStyle name="Explanatory Text 34" xfId="2011"/>
    <cellStyle name="Explanatory Text 35" xfId="2012"/>
    <cellStyle name="Explanatory Text 36" xfId="2013"/>
    <cellStyle name="Explanatory Text 37" xfId="2014"/>
    <cellStyle name="Explanatory Text 38" xfId="2015"/>
    <cellStyle name="Explanatory Text 39" xfId="2016"/>
    <cellStyle name="Explanatory Text 4" xfId="2017"/>
    <cellStyle name="Explanatory Text 40" xfId="2018"/>
    <cellStyle name="Explanatory Text 41" xfId="2019"/>
    <cellStyle name="Explanatory Text 42" xfId="2020"/>
    <cellStyle name="Explanatory Text 43" xfId="2021"/>
    <cellStyle name="Explanatory Text 44" xfId="2022"/>
    <cellStyle name="Explanatory Text 45" xfId="2023"/>
    <cellStyle name="Explanatory Text 46" xfId="2024"/>
    <cellStyle name="Explanatory Text 47" xfId="2025"/>
    <cellStyle name="Explanatory Text 48" xfId="2026"/>
    <cellStyle name="Explanatory Text 49" xfId="2027"/>
    <cellStyle name="Explanatory Text 5" xfId="2028"/>
    <cellStyle name="Explanatory Text 50" xfId="2029"/>
    <cellStyle name="Explanatory Text 51" xfId="2030"/>
    <cellStyle name="Explanatory Text 52" xfId="2031"/>
    <cellStyle name="Explanatory Text 53" xfId="2032"/>
    <cellStyle name="Explanatory Text 54" xfId="2033"/>
    <cellStyle name="Explanatory Text 55" xfId="2034"/>
    <cellStyle name="Explanatory Text 56" xfId="2035"/>
    <cellStyle name="Explanatory Text 57" xfId="2036"/>
    <cellStyle name="Explanatory Text 58" xfId="2037"/>
    <cellStyle name="Explanatory Text 59" xfId="2038"/>
    <cellStyle name="Explanatory Text 6" xfId="2039"/>
    <cellStyle name="Explanatory Text 60" xfId="2040"/>
    <cellStyle name="Explanatory Text 61" xfId="2041"/>
    <cellStyle name="Explanatory Text 62" xfId="2042"/>
    <cellStyle name="Explanatory Text 63" xfId="2043"/>
    <cellStyle name="Explanatory Text 64" xfId="2044"/>
    <cellStyle name="Explanatory Text 65" xfId="2045"/>
    <cellStyle name="Explanatory Text 66" xfId="2046"/>
    <cellStyle name="Explanatory Text 67" xfId="2047"/>
    <cellStyle name="Explanatory Text 68" xfId="2048"/>
    <cellStyle name="Explanatory Text 69" xfId="2049"/>
    <cellStyle name="Explanatory Text 7" xfId="2050"/>
    <cellStyle name="Explanatory Text 70" xfId="2051"/>
    <cellStyle name="Explanatory Text 71" xfId="2052"/>
    <cellStyle name="Explanatory Text 72" xfId="2053"/>
    <cellStyle name="Explanatory Text 8" xfId="2054"/>
    <cellStyle name="Explanatory Text 9" xfId="2055"/>
    <cellStyle name="Followed Hyperlink 2" xfId="14"/>
    <cellStyle name="Good 10" xfId="2056"/>
    <cellStyle name="Good 11" xfId="2057"/>
    <cellStyle name="Good 12" xfId="2058"/>
    <cellStyle name="Good 13" xfId="2059"/>
    <cellStyle name="Good 14" xfId="2060"/>
    <cellStyle name="Good 15" xfId="2061"/>
    <cellStyle name="Good 16" xfId="2062"/>
    <cellStyle name="Good 17" xfId="2063"/>
    <cellStyle name="Good 18" xfId="2064"/>
    <cellStyle name="Good 19" xfId="2065"/>
    <cellStyle name="Good 2" xfId="2066"/>
    <cellStyle name="Good 20" xfId="2067"/>
    <cellStyle name="Good 21" xfId="2068"/>
    <cellStyle name="Good 22" xfId="2069"/>
    <cellStyle name="Good 23" xfId="2070"/>
    <cellStyle name="Good 24" xfId="2071"/>
    <cellStyle name="Good 25" xfId="2072"/>
    <cellStyle name="Good 26" xfId="2073"/>
    <cellStyle name="Good 27" xfId="2074"/>
    <cellStyle name="Good 28" xfId="2075"/>
    <cellStyle name="Good 29" xfId="2076"/>
    <cellStyle name="Good 3" xfId="2077"/>
    <cellStyle name="Good 30" xfId="2078"/>
    <cellStyle name="Good 31" xfId="2079"/>
    <cellStyle name="Good 32" xfId="2080"/>
    <cellStyle name="Good 33" xfId="2081"/>
    <cellStyle name="Good 34" xfId="2082"/>
    <cellStyle name="Good 35" xfId="2083"/>
    <cellStyle name="Good 36" xfId="2084"/>
    <cellStyle name="Good 37" xfId="2085"/>
    <cellStyle name="Good 38" xfId="2086"/>
    <cellStyle name="Good 39" xfId="2087"/>
    <cellStyle name="Good 4" xfId="2088"/>
    <cellStyle name="Good 40" xfId="2089"/>
    <cellStyle name="Good 41" xfId="2090"/>
    <cellStyle name="Good 42" xfId="2091"/>
    <cellStyle name="Good 43" xfId="2092"/>
    <cellStyle name="Good 44" xfId="2093"/>
    <cellStyle name="Good 45" xfId="2094"/>
    <cellStyle name="Good 46" xfId="2095"/>
    <cellStyle name="Good 47" xfId="2096"/>
    <cellStyle name="Good 48" xfId="2097"/>
    <cellStyle name="Good 49" xfId="2098"/>
    <cellStyle name="Good 5" xfId="2099"/>
    <cellStyle name="Good 50" xfId="2100"/>
    <cellStyle name="Good 51" xfId="2101"/>
    <cellStyle name="Good 52" xfId="2102"/>
    <cellStyle name="Good 53" xfId="2103"/>
    <cellStyle name="Good 54" xfId="2104"/>
    <cellStyle name="Good 55" xfId="2105"/>
    <cellStyle name="Good 56" xfId="2106"/>
    <cellStyle name="Good 57" xfId="2107"/>
    <cellStyle name="Good 58" xfId="2108"/>
    <cellStyle name="Good 59" xfId="2109"/>
    <cellStyle name="Good 6" xfId="2110"/>
    <cellStyle name="Good 60" xfId="2111"/>
    <cellStyle name="Good 61" xfId="2112"/>
    <cellStyle name="Good 62" xfId="2113"/>
    <cellStyle name="Good 63" xfId="2114"/>
    <cellStyle name="Good 64" xfId="2115"/>
    <cellStyle name="Good 65" xfId="2116"/>
    <cellStyle name="Good 66" xfId="2117"/>
    <cellStyle name="Good 67" xfId="2118"/>
    <cellStyle name="Good 68" xfId="2119"/>
    <cellStyle name="Good 69" xfId="2120"/>
    <cellStyle name="Good 7" xfId="2121"/>
    <cellStyle name="Good 70" xfId="2122"/>
    <cellStyle name="Good 71" xfId="2123"/>
    <cellStyle name="Good 72" xfId="2124"/>
    <cellStyle name="Good 8" xfId="2125"/>
    <cellStyle name="Good 9" xfId="2126"/>
    <cellStyle name="Heading 1 10" xfId="2127"/>
    <cellStyle name="Heading 1 11" xfId="2128"/>
    <cellStyle name="Heading 1 12" xfId="2129"/>
    <cellStyle name="Heading 1 13" xfId="2130"/>
    <cellStyle name="Heading 1 14" xfId="2131"/>
    <cellStyle name="Heading 1 15" xfId="2132"/>
    <cellStyle name="Heading 1 16" xfId="2133"/>
    <cellStyle name="Heading 1 17" xfId="2134"/>
    <cellStyle name="Heading 1 18" xfId="2135"/>
    <cellStyle name="Heading 1 19" xfId="2136"/>
    <cellStyle name="Heading 1 2" xfId="2137"/>
    <cellStyle name="Heading 1 20" xfId="2138"/>
    <cellStyle name="Heading 1 21" xfId="2139"/>
    <cellStyle name="Heading 1 22" xfId="2140"/>
    <cellStyle name="Heading 1 23" xfId="2141"/>
    <cellStyle name="Heading 1 24" xfId="2142"/>
    <cellStyle name="Heading 1 25" xfId="2143"/>
    <cellStyle name="Heading 1 26" xfId="2144"/>
    <cellStyle name="Heading 1 27" xfId="2145"/>
    <cellStyle name="Heading 1 28" xfId="2146"/>
    <cellStyle name="Heading 1 29" xfId="2147"/>
    <cellStyle name="Heading 1 3" xfId="2148"/>
    <cellStyle name="Heading 1 30" xfId="2149"/>
    <cellStyle name="Heading 1 31" xfId="2150"/>
    <cellStyle name="Heading 1 32" xfId="2151"/>
    <cellStyle name="Heading 1 33" xfId="2152"/>
    <cellStyle name="Heading 1 34" xfId="2153"/>
    <cellStyle name="Heading 1 35" xfId="2154"/>
    <cellStyle name="Heading 1 36" xfId="2155"/>
    <cellStyle name="Heading 1 37" xfId="2156"/>
    <cellStyle name="Heading 1 38" xfId="2157"/>
    <cellStyle name="Heading 1 39" xfId="2158"/>
    <cellStyle name="Heading 1 4" xfId="2159"/>
    <cellStyle name="Heading 1 40" xfId="2160"/>
    <cellStyle name="Heading 1 41" xfId="2161"/>
    <cellStyle name="Heading 1 42" xfId="2162"/>
    <cellStyle name="Heading 1 43" xfId="2163"/>
    <cellStyle name="Heading 1 44" xfId="2164"/>
    <cellStyle name="Heading 1 45" xfId="2165"/>
    <cellStyle name="Heading 1 46" xfId="2166"/>
    <cellStyle name="Heading 1 47" xfId="2167"/>
    <cellStyle name="Heading 1 48" xfId="2168"/>
    <cellStyle name="Heading 1 49" xfId="2169"/>
    <cellStyle name="Heading 1 5" xfId="2170"/>
    <cellStyle name="Heading 1 50" xfId="2171"/>
    <cellStyle name="Heading 1 51" xfId="2172"/>
    <cellStyle name="Heading 1 52" xfId="2173"/>
    <cellStyle name="Heading 1 53" xfId="2174"/>
    <cellStyle name="Heading 1 54" xfId="2175"/>
    <cellStyle name="Heading 1 55" xfId="2176"/>
    <cellStyle name="Heading 1 56" xfId="2177"/>
    <cellStyle name="Heading 1 57" xfId="2178"/>
    <cellStyle name="Heading 1 58" xfId="2179"/>
    <cellStyle name="Heading 1 59" xfId="2180"/>
    <cellStyle name="Heading 1 6" xfId="2181"/>
    <cellStyle name="Heading 1 60" xfId="2182"/>
    <cellStyle name="Heading 1 61" xfId="2183"/>
    <cellStyle name="Heading 1 62" xfId="2184"/>
    <cellStyle name="Heading 1 63" xfId="2185"/>
    <cellStyle name="Heading 1 64" xfId="2186"/>
    <cellStyle name="Heading 1 65" xfId="2187"/>
    <cellStyle name="Heading 1 66" xfId="2188"/>
    <cellStyle name="Heading 1 67" xfId="2189"/>
    <cellStyle name="Heading 1 68" xfId="2190"/>
    <cellStyle name="Heading 1 69" xfId="2191"/>
    <cellStyle name="Heading 1 7" xfId="2192"/>
    <cellStyle name="Heading 1 70" xfId="2193"/>
    <cellStyle name="Heading 1 71" xfId="2194"/>
    <cellStyle name="Heading 1 72" xfId="2195"/>
    <cellStyle name="Heading 1 8" xfId="2196"/>
    <cellStyle name="Heading 1 9" xfId="2197"/>
    <cellStyle name="Heading 2 10" xfId="2198"/>
    <cellStyle name="Heading 2 11" xfId="2199"/>
    <cellStyle name="Heading 2 12" xfId="2200"/>
    <cellStyle name="Heading 2 13" xfId="2201"/>
    <cellStyle name="Heading 2 14" xfId="2202"/>
    <cellStyle name="Heading 2 15" xfId="2203"/>
    <cellStyle name="Heading 2 16" xfId="2204"/>
    <cellStyle name="Heading 2 17" xfId="2205"/>
    <cellStyle name="Heading 2 18" xfId="2206"/>
    <cellStyle name="Heading 2 19" xfId="2207"/>
    <cellStyle name="Heading 2 2" xfId="2208"/>
    <cellStyle name="Heading 2 20" xfId="2209"/>
    <cellStyle name="Heading 2 21" xfId="2210"/>
    <cellStyle name="Heading 2 22" xfId="2211"/>
    <cellStyle name="Heading 2 23" xfId="2212"/>
    <cellStyle name="Heading 2 24" xfId="2213"/>
    <cellStyle name="Heading 2 25" xfId="2214"/>
    <cellStyle name="Heading 2 26" xfId="2215"/>
    <cellStyle name="Heading 2 27" xfId="2216"/>
    <cellStyle name="Heading 2 28" xfId="2217"/>
    <cellStyle name="Heading 2 29" xfId="2218"/>
    <cellStyle name="Heading 2 3" xfId="2219"/>
    <cellStyle name="Heading 2 30" xfId="2220"/>
    <cellStyle name="Heading 2 31" xfId="2221"/>
    <cellStyle name="Heading 2 32" xfId="2222"/>
    <cellStyle name="Heading 2 33" xfId="2223"/>
    <cellStyle name="Heading 2 34" xfId="2224"/>
    <cellStyle name="Heading 2 35" xfId="2225"/>
    <cellStyle name="Heading 2 36" xfId="2226"/>
    <cellStyle name="Heading 2 37" xfId="2227"/>
    <cellStyle name="Heading 2 38" xfId="2228"/>
    <cellStyle name="Heading 2 39" xfId="2229"/>
    <cellStyle name="Heading 2 4" xfId="2230"/>
    <cellStyle name="Heading 2 40" xfId="2231"/>
    <cellStyle name="Heading 2 41" xfId="2232"/>
    <cellStyle name="Heading 2 42" xfId="2233"/>
    <cellStyle name="Heading 2 43" xfId="2234"/>
    <cellStyle name="Heading 2 44" xfId="2235"/>
    <cellStyle name="Heading 2 45" xfId="2236"/>
    <cellStyle name="Heading 2 46" xfId="2237"/>
    <cellStyle name="Heading 2 47" xfId="2238"/>
    <cellStyle name="Heading 2 48" xfId="2239"/>
    <cellStyle name="Heading 2 49" xfId="2240"/>
    <cellStyle name="Heading 2 5" xfId="2241"/>
    <cellStyle name="Heading 2 50" xfId="2242"/>
    <cellStyle name="Heading 2 51" xfId="2243"/>
    <cellStyle name="Heading 2 52" xfId="2244"/>
    <cellStyle name="Heading 2 53" xfId="2245"/>
    <cellStyle name="Heading 2 54" xfId="2246"/>
    <cellStyle name="Heading 2 55" xfId="2247"/>
    <cellStyle name="Heading 2 56" xfId="2248"/>
    <cellStyle name="Heading 2 57" xfId="2249"/>
    <cellStyle name="Heading 2 58" xfId="2250"/>
    <cellStyle name="Heading 2 59" xfId="2251"/>
    <cellStyle name="Heading 2 6" xfId="2252"/>
    <cellStyle name="Heading 2 60" xfId="2253"/>
    <cellStyle name="Heading 2 61" xfId="2254"/>
    <cellStyle name="Heading 2 62" xfId="2255"/>
    <cellStyle name="Heading 2 63" xfId="2256"/>
    <cellStyle name="Heading 2 64" xfId="2257"/>
    <cellStyle name="Heading 2 65" xfId="2258"/>
    <cellStyle name="Heading 2 66" xfId="2259"/>
    <cellStyle name="Heading 2 67" xfId="2260"/>
    <cellStyle name="Heading 2 68" xfId="2261"/>
    <cellStyle name="Heading 2 69" xfId="2262"/>
    <cellStyle name="Heading 2 7" xfId="2263"/>
    <cellStyle name="Heading 2 70" xfId="2264"/>
    <cellStyle name="Heading 2 71" xfId="2265"/>
    <cellStyle name="Heading 2 72" xfId="2266"/>
    <cellStyle name="Heading 2 8" xfId="2267"/>
    <cellStyle name="Heading 2 9" xfId="2268"/>
    <cellStyle name="Heading 3 10" xfId="2269"/>
    <cellStyle name="Heading 3 11" xfId="2270"/>
    <cellStyle name="Heading 3 12" xfId="2271"/>
    <cellStyle name="Heading 3 13" xfId="2272"/>
    <cellStyle name="Heading 3 14" xfId="2273"/>
    <cellStyle name="Heading 3 15" xfId="2274"/>
    <cellStyle name="Heading 3 16" xfId="2275"/>
    <cellStyle name="Heading 3 17" xfId="2276"/>
    <cellStyle name="Heading 3 18" xfId="2277"/>
    <cellStyle name="Heading 3 19" xfId="2278"/>
    <cellStyle name="Heading 3 2" xfId="2279"/>
    <cellStyle name="Heading 3 20" xfId="2280"/>
    <cellStyle name="Heading 3 21" xfId="2281"/>
    <cellStyle name="Heading 3 22" xfId="2282"/>
    <cellStyle name="Heading 3 23" xfId="2283"/>
    <cellStyle name="Heading 3 24" xfId="2284"/>
    <cellStyle name="Heading 3 25" xfId="2285"/>
    <cellStyle name="Heading 3 26" xfId="2286"/>
    <cellStyle name="Heading 3 27" xfId="2287"/>
    <cellStyle name="Heading 3 28" xfId="2288"/>
    <cellStyle name="Heading 3 29" xfId="2289"/>
    <cellStyle name="Heading 3 3" xfId="2290"/>
    <cellStyle name="Heading 3 30" xfId="2291"/>
    <cellStyle name="Heading 3 31" xfId="2292"/>
    <cellStyle name="Heading 3 32" xfId="2293"/>
    <cellStyle name="Heading 3 33" xfId="2294"/>
    <cellStyle name="Heading 3 34" xfId="2295"/>
    <cellStyle name="Heading 3 35" xfId="2296"/>
    <cellStyle name="Heading 3 36" xfId="2297"/>
    <cellStyle name="Heading 3 37" xfId="2298"/>
    <cellStyle name="Heading 3 38" xfId="2299"/>
    <cellStyle name="Heading 3 39" xfId="2300"/>
    <cellStyle name="Heading 3 4" xfId="2301"/>
    <cellStyle name="Heading 3 40" xfId="2302"/>
    <cellStyle name="Heading 3 41" xfId="2303"/>
    <cellStyle name="Heading 3 42" xfId="2304"/>
    <cellStyle name="Heading 3 43" xfId="2305"/>
    <cellStyle name="Heading 3 44" xfId="2306"/>
    <cellStyle name="Heading 3 45" xfId="2307"/>
    <cellStyle name="Heading 3 46" xfId="2308"/>
    <cellStyle name="Heading 3 47" xfId="2309"/>
    <cellStyle name="Heading 3 48" xfId="2310"/>
    <cellStyle name="Heading 3 49" xfId="2311"/>
    <cellStyle name="Heading 3 5" xfId="2312"/>
    <cellStyle name="Heading 3 50" xfId="2313"/>
    <cellStyle name="Heading 3 51" xfId="2314"/>
    <cellStyle name="Heading 3 52" xfId="2315"/>
    <cellStyle name="Heading 3 53" xfId="2316"/>
    <cellStyle name="Heading 3 54" xfId="2317"/>
    <cellStyle name="Heading 3 55" xfId="2318"/>
    <cellStyle name="Heading 3 56" xfId="2319"/>
    <cellStyle name="Heading 3 57" xfId="2320"/>
    <cellStyle name="Heading 3 58" xfId="2321"/>
    <cellStyle name="Heading 3 59" xfId="2322"/>
    <cellStyle name="Heading 3 6" xfId="2323"/>
    <cellStyle name="Heading 3 60" xfId="2324"/>
    <cellStyle name="Heading 3 61" xfId="2325"/>
    <cellStyle name="Heading 3 62" xfId="2326"/>
    <cellStyle name="Heading 3 63" xfId="2327"/>
    <cellStyle name="Heading 3 64" xfId="2328"/>
    <cellStyle name="Heading 3 65" xfId="2329"/>
    <cellStyle name="Heading 3 66" xfId="2330"/>
    <cellStyle name="Heading 3 67" xfId="2331"/>
    <cellStyle name="Heading 3 68" xfId="2332"/>
    <cellStyle name="Heading 3 69" xfId="2333"/>
    <cellStyle name="Heading 3 7" xfId="2334"/>
    <cellStyle name="Heading 3 70" xfId="2335"/>
    <cellStyle name="Heading 3 71" xfId="2336"/>
    <cellStyle name="Heading 3 72" xfId="2337"/>
    <cellStyle name="Heading 3 8" xfId="2338"/>
    <cellStyle name="Heading 3 9" xfId="2339"/>
    <cellStyle name="Heading 4 10" xfId="2340"/>
    <cellStyle name="Heading 4 11" xfId="2341"/>
    <cellStyle name="Heading 4 12" xfId="2342"/>
    <cellStyle name="Heading 4 13" xfId="2343"/>
    <cellStyle name="Heading 4 14" xfId="2344"/>
    <cellStyle name="Heading 4 15" xfId="2345"/>
    <cellStyle name="Heading 4 16" xfId="2346"/>
    <cellStyle name="Heading 4 17" xfId="2347"/>
    <cellStyle name="Heading 4 18" xfId="2348"/>
    <cellStyle name="Heading 4 19" xfId="2349"/>
    <cellStyle name="Heading 4 2" xfId="2350"/>
    <cellStyle name="Heading 4 20" xfId="2351"/>
    <cellStyle name="Heading 4 21" xfId="2352"/>
    <cellStyle name="Heading 4 22" xfId="2353"/>
    <cellStyle name="Heading 4 23" xfId="2354"/>
    <cellStyle name="Heading 4 24" xfId="2355"/>
    <cellStyle name="Heading 4 25" xfId="2356"/>
    <cellStyle name="Heading 4 26" xfId="2357"/>
    <cellStyle name="Heading 4 27" xfId="2358"/>
    <cellStyle name="Heading 4 28" xfId="2359"/>
    <cellStyle name="Heading 4 29" xfId="2360"/>
    <cellStyle name="Heading 4 3" xfId="2361"/>
    <cellStyle name="Heading 4 30" xfId="2362"/>
    <cellStyle name="Heading 4 31" xfId="2363"/>
    <cellStyle name="Heading 4 32" xfId="2364"/>
    <cellStyle name="Heading 4 33" xfId="2365"/>
    <cellStyle name="Heading 4 34" xfId="2366"/>
    <cellStyle name="Heading 4 35" xfId="2367"/>
    <cellStyle name="Heading 4 36" xfId="2368"/>
    <cellStyle name="Heading 4 37" xfId="2369"/>
    <cellStyle name="Heading 4 38" xfId="2370"/>
    <cellStyle name="Heading 4 39" xfId="2371"/>
    <cellStyle name="Heading 4 4" xfId="2372"/>
    <cellStyle name="Heading 4 40" xfId="2373"/>
    <cellStyle name="Heading 4 41" xfId="2374"/>
    <cellStyle name="Heading 4 42" xfId="2375"/>
    <cellStyle name="Heading 4 43" xfId="2376"/>
    <cellStyle name="Heading 4 44" xfId="2377"/>
    <cellStyle name="Heading 4 45" xfId="2378"/>
    <cellStyle name="Heading 4 46" xfId="2379"/>
    <cellStyle name="Heading 4 47" xfId="2380"/>
    <cellStyle name="Heading 4 48" xfId="2381"/>
    <cellStyle name="Heading 4 49" xfId="2382"/>
    <cellStyle name="Heading 4 5" xfId="2383"/>
    <cellStyle name="Heading 4 50" xfId="2384"/>
    <cellStyle name="Heading 4 51" xfId="2385"/>
    <cellStyle name="Heading 4 52" xfId="2386"/>
    <cellStyle name="Heading 4 53" xfId="2387"/>
    <cellStyle name="Heading 4 54" xfId="2388"/>
    <cellStyle name="Heading 4 55" xfId="2389"/>
    <cellStyle name="Heading 4 56" xfId="2390"/>
    <cellStyle name="Heading 4 57" xfId="2391"/>
    <cellStyle name="Heading 4 58" xfId="2392"/>
    <cellStyle name="Heading 4 59" xfId="2393"/>
    <cellStyle name="Heading 4 6" xfId="2394"/>
    <cellStyle name="Heading 4 60" xfId="2395"/>
    <cellStyle name="Heading 4 61" xfId="2396"/>
    <cellStyle name="Heading 4 62" xfId="2397"/>
    <cellStyle name="Heading 4 63" xfId="2398"/>
    <cellStyle name="Heading 4 64" xfId="2399"/>
    <cellStyle name="Heading 4 65" xfId="2400"/>
    <cellStyle name="Heading 4 66" xfId="2401"/>
    <cellStyle name="Heading 4 67" xfId="2402"/>
    <cellStyle name="Heading 4 68" xfId="2403"/>
    <cellStyle name="Heading 4 69" xfId="2404"/>
    <cellStyle name="Heading 4 7" xfId="2405"/>
    <cellStyle name="Heading 4 70" xfId="2406"/>
    <cellStyle name="Heading 4 71" xfId="2407"/>
    <cellStyle name="Heading 4 72" xfId="2408"/>
    <cellStyle name="Heading 4 8" xfId="2409"/>
    <cellStyle name="Heading 4 9" xfId="2410"/>
    <cellStyle name="Hyperlink 2" xfId="15"/>
    <cellStyle name="Hyperlink 3" xfId="16"/>
    <cellStyle name="Input 10" xfId="2411"/>
    <cellStyle name="Input 11" xfId="2412"/>
    <cellStyle name="Input 12" xfId="2413"/>
    <cellStyle name="Input 13" xfId="2414"/>
    <cellStyle name="Input 14" xfId="2415"/>
    <cellStyle name="Input 15" xfId="2416"/>
    <cellStyle name="Input 16" xfId="2417"/>
    <cellStyle name="Input 17" xfId="2418"/>
    <cellStyle name="Input 18" xfId="2419"/>
    <cellStyle name="Input 19" xfId="2420"/>
    <cellStyle name="Input 2" xfId="2421"/>
    <cellStyle name="Input 20" xfId="2422"/>
    <cellStyle name="Input 21" xfId="2423"/>
    <cellStyle name="Input 22" xfId="2424"/>
    <cellStyle name="Input 23" xfId="2425"/>
    <cellStyle name="Input 24" xfId="2426"/>
    <cellStyle name="Input 25" xfId="2427"/>
    <cellStyle name="Input 26" xfId="2428"/>
    <cellStyle name="Input 27" xfId="2429"/>
    <cellStyle name="Input 28" xfId="2430"/>
    <cellStyle name="Input 29" xfId="2431"/>
    <cellStyle name="Input 3" xfId="2432"/>
    <cellStyle name="Input 30" xfId="2433"/>
    <cellStyle name="Input 31" xfId="2434"/>
    <cellStyle name="Input 32" xfId="2435"/>
    <cellStyle name="Input 33" xfId="2436"/>
    <cellStyle name="Input 34" xfId="2437"/>
    <cellStyle name="Input 35" xfId="2438"/>
    <cellStyle name="Input 36" xfId="2439"/>
    <cellStyle name="Input 37" xfId="2440"/>
    <cellStyle name="Input 38" xfId="2441"/>
    <cellStyle name="Input 39" xfId="2442"/>
    <cellStyle name="Input 4" xfId="2443"/>
    <cellStyle name="Input 40" xfId="2444"/>
    <cellStyle name="Input 41" xfId="2445"/>
    <cellStyle name="Input 42" xfId="2446"/>
    <cellStyle name="Input 43" xfId="2447"/>
    <cellStyle name="Input 44" xfId="2448"/>
    <cellStyle name="Input 45" xfId="2449"/>
    <cellStyle name="Input 46" xfId="2450"/>
    <cellStyle name="Input 47" xfId="2451"/>
    <cellStyle name="Input 48" xfId="2452"/>
    <cellStyle name="Input 49" xfId="2453"/>
    <cellStyle name="Input 5" xfId="2454"/>
    <cellStyle name="Input 50" xfId="2455"/>
    <cellStyle name="Input 51" xfId="2456"/>
    <cellStyle name="Input 52" xfId="2457"/>
    <cellStyle name="Input 53" xfId="2458"/>
    <cellStyle name="Input 54" xfId="2459"/>
    <cellStyle name="Input 55" xfId="2460"/>
    <cellStyle name="Input 56" xfId="2461"/>
    <cellStyle name="Input 57" xfId="2462"/>
    <cellStyle name="Input 58" xfId="2463"/>
    <cellStyle name="Input 59" xfId="2464"/>
    <cellStyle name="Input 6" xfId="2465"/>
    <cellStyle name="Input 60" xfId="2466"/>
    <cellStyle name="Input 61" xfId="2467"/>
    <cellStyle name="Input 62" xfId="2468"/>
    <cellStyle name="Input 63" xfId="2469"/>
    <cellStyle name="Input 64" xfId="2470"/>
    <cellStyle name="Input 65" xfId="2471"/>
    <cellStyle name="Input 66" xfId="2472"/>
    <cellStyle name="Input 67" xfId="2473"/>
    <cellStyle name="Input 68" xfId="2474"/>
    <cellStyle name="Input 69" xfId="2475"/>
    <cellStyle name="Input 7" xfId="2476"/>
    <cellStyle name="Input 70" xfId="2477"/>
    <cellStyle name="Input 71" xfId="2478"/>
    <cellStyle name="Input 72" xfId="2479"/>
    <cellStyle name="Input 8" xfId="2480"/>
    <cellStyle name="Input 9" xfId="2481"/>
    <cellStyle name="LabelWithTotals" xfId="2482"/>
    <cellStyle name="LineItemPrompt" xfId="2483"/>
    <cellStyle name="LineItemValue" xfId="2484"/>
    <cellStyle name="Linked Cell 10" xfId="2485"/>
    <cellStyle name="Linked Cell 11" xfId="2486"/>
    <cellStyle name="Linked Cell 12" xfId="2487"/>
    <cellStyle name="Linked Cell 13" xfId="2488"/>
    <cellStyle name="Linked Cell 14" xfId="2489"/>
    <cellStyle name="Linked Cell 15" xfId="2490"/>
    <cellStyle name="Linked Cell 16" xfId="2491"/>
    <cellStyle name="Linked Cell 17" xfId="2492"/>
    <cellStyle name="Linked Cell 18" xfId="2493"/>
    <cellStyle name="Linked Cell 19" xfId="2494"/>
    <cellStyle name="Linked Cell 2" xfId="2495"/>
    <cellStyle name="Linked Cell 20" xfId="2496"/>
    <cellStyle name="Linked Cell 21" xfId="2497"/>
    <cellStyle name="Linked Cell 22" xfId="2498"/>
    <cellStyle name="Linked Cell 23" xfId="2499"/>
    <cellStyle name="Linked Cell 24" xfId="2500"/>
    <cellStyle name="Linked Cell 25" xfId="2501"/>
    <cellStyle name="Linked Cell 26" xfId="2502"/>
    <cellStyle name="Linked Cell 27" xfId="2503"/>
    <cellStyle name="Linked Cell 28" xfId="2504"/>
    <cellStyle name="Linked Cell 29" xfId="2505"/>
    <cellStyle name="Linked Cell 3" xfId="2506"/>
    <cellStyle name="Linked Cell 30" xfId="2507"/>
    <cellStyle name="Linked Cell 31" xfId="2508"/>
    <cellStyle name="Linked Cell 32" xfId="2509"/>
    <cellStyle name="Linked Cell 33" xfId="2510"/>
    <cellStyle name="Linked Cell 34" xfId="2511"/>
    <cellStyle name="Linked Cell 35" xfId="2512"/>
    <cellStyle name="Linked Cell 36" xfId="2513"/>
    <cellStyle name="Linked Cell 37" xfId="2514"/>
    <cellStyle name="Linked Cell 38" xfId="2515"/>
    <cellStyle name="Linked Cell 39" xfId="2516"/>
    <cellStyle name="Linked Cell 4" xfId="2517"/>
    <cellStyle name="Linked Cell 40" xfId="2518"/>
    <cellStyle name="Linked Cell 41" xfId="2519"/>
    <cellStyle name="Linked Cell 42" xfId="2520"/>
    <cellStyle name="Linked Cell 43" xfId="2521"/>
    <cellStyle name="Linked Cell 44" xfId="2522"/>
    <cellStyle name="Linked Cell 45" xfId="2523"/>
    <cellStyle name="Linked Cell 46" xfId="2524"/>
    <cellStyle name="Linked Cell 47" xfId="2525"/>
    <cellStyle name="Linked Cell 48" xfId="2526"/>
    <cellStyle name="Linked Cell 49" xfId="2527"/>
    <cellStyle name="Linked Cell 5" xfId="2528"/>
    <cellStyle name="Linked Cell 50" xfId="2529"/>
    <cellStyle name="Linked Cell 51" xfId="2530"/>
    <cellStyle name="Linked Cell 52" xfId="2531"/>
    <cellStyle name="Linked Cell 53" xfId="2532"/>
    <cellStyle name="Linked Cell 54" xfId="2533"/>
    <cellStyle name="Linked Cell 55" xfId="2534"/>
    <cellStyle name="Linked Cell 56" xfId="2535"/>
    <cellStyle name="Linked Cell 57" xfId="2536"/>
    <cellStyle name="Linked Cell 58" xfId="2537"/>
    <cellStyle name="Linked Cell 59" xfId="2538"/>
    <cellStyle name="Linked Cell 6" xfId="2539"/>
    <cellStyle name="Linked Cell 60" xfId="2540"/>
    <cellStyle name="Linked Cell 61" xfId="2541"/>
    <cellStyle name="Linked Cell 62" xfId="2542"/>
    <cellStyle name="Linked Cell 63" xfId="2543"/>
    <cellStyle name="Linked Cell 64" xfId="2544"/>
    <cellStyle name="Linked Cell 65" xfId="2545"/>
    <cellStyle name="Linked Cell 66" xfId="2546"/>
    <cellStyle name="Linked Cell 67" xfId="2547"/>
    <cellStyle name="Linked Cell 68" xfId="2548"/>
    <cellStyle name="Linked Cell 69" xfId="2549"/>
    <cellStyle name="Linked Cell 7" xfId="2550"/>
    <cellStyle name="Linked Cell 70" xfId="2551"/>
    <cellStyle name="Linked Cell 71" xfId="2552"/>
    <cellStyle name="Linked Cell 72" xfId="2553"/>
    <cellStyle name="Linked Cell 8" xfId="2554"/>
    <cellStyle name="Linked Cell 9" xfId="2555"/>
    <cellStyle name="Manual Input" xfId="2556"/>
    <cellStyle name="Manual-Input" xfId="17"/>
    <cellStyle name="MonthHeader" xfId="2557"/>
    <cellStyle name="Neutral 10" xfId="2558"/>
    <cellStyle name="Neutral 11" xfId="2559"/>
    <cellStyle name="Neutral 12" xfId="2560"/>
    <cellStyle name="Neutral 13" xfId="2561"/>
    <cellStyle name="Neutral 14" xfId="2562"/>
    <cellStyle name="Neutral 15" xfId="2563"/>
    <cellStyle name="Neutral 16" xfId="2564"/>
    <cellStyle name="Neutral 17" xfId="2565"/>
    <cellStyle name="Neutral 18" xfId="2566"/>
    <cellStyle name="Neutral 19" xfId="2567"/>
    <cellStyle name="Neutral 2" xfId="2568"/>
    <cellStyle name="Neutral 20" xfId="2569"/>
    <cellStyle name="Neutral 21" xfId="2570"/>
    <cellStyle name="Neutral 22" xfId="2571"/>
    <cellStyle name="Neutral 23" xfId="2572"/>
    <cellStyle name="Neutral 24" xfId="2573"/>
    <cellStyle name="Neutral 25" xfId="2574"/>
    <cellStyle name="Neutral 26" xfId="2575"/>
    <cellStyle name="Neutral 27" xfId="2576"/>
    <cellStyle name="Neutral 28" xfId="2577"/>
    <cellStyle name="Neutral 29" xfId="2578"/>
    <cellStyle name="Neutral 3" xfId="2579"/>
    <cellStyle name="Neutral 30" xfId="2580"/>
    <cellStyle name="Neutral 31" xfId="2581"/>
    <cellStyle name="Neutral 32" xfId="2582"/>
    <cellStyle name="Neutral 33" xfId="2583"/>
    <cellStyle name="Neutral 34" xfId="2584"/>
    <cellStyle name="Neutral 35" xfId="2585"/>
    <cellStyle name="Neutral 36" xfId="2586"/>
    <cellStyle name="Neutral 37" xfId="2587"/>
    <cellStyle name="Neutral 38" xfId="2588"/>
    <cellStyle name="Neutral 39" xfId="2589"/>
    <cellStyle name="Neutral 4" xfId="2590"/>
    <cellStyle name="Neutral 40" xfId="2591"/>
    <cellStyle name="Neutral 41" xfId="2592"/>
    <cellStyle name="Neutral 42" xfId="2593"/>
    <cellStyle name="Neutral 43" xfId="2594"/>
    <cellStyle name="Neutral 44" xfId="2595"/>
    <cellStyle name="Neutral 45" xfId="2596"/>
    <cellStyle name="Neutral 46" xfId="2597"/>
    <cellStyle name="Neutral 47" xfId="2598"/>
    <cellStyle name="Neutral 48" xfId="2599"/>
    <cellStyle name="Neutral 49" xfId="2600"/>
    <cellStyle name="Neutral 5" xfId="2601"/>
    <cellStyle name="Neutral 50" xfId="2602"/>
    <cellStyle name="Neutral 51" xfId="2603"/>
    <cellStyle name="Neutral 52" xfId="2604"/>
    <cellStyle name="Neutral 53" xfId="2605"/>
    <cellStyle name="Neutral 54" xfId="2606"/>
    <cellStyle name="Neutral 55" xfId="2607"/>
    <cellStyle name="Neutral 56" xfId="2608"/>
    <cellStyle name="Neutral 57" xfId="2609"/>
    <cellStyle name="Neutral 58" xfId="2610"/>
    <cellStyle name="Neutral 59" xfId="2611"/>
    <cellStyle name="Neutral 6" xfId="2612"/>
    <cellStyle name="Neutral 60" xfId="2613"/>
    <cellStyle name="Neutral 61" xfId="2614"/>
    <cellStyle name="Neutral 62" xfId="2615"/>
    <cellStyle name="Neutral 63" xfId="2616"/>
    <cellStyle name="Neutral 64" xfId="2617"/>
    <cellStyle name="Neutral 65" xfId="2618"/>
    <cellStyle name="Neutral 66" xfId="2619"/>
    <cellStyle name="Neutral 67" xfId="2620"/>
    <cellStyle name="Neutral 68" xfId="2621"/>
    <cellStyle name="Neutral 69" xfId="2622"/>
    <cellStyle name="Neutral 7" xfId="2623"/>
    <cellStyle name="Neutral 70" xfId="2624"/>
    <cellStyle name="Neutral 71" xfId="2625"/>
    <cellStyle name="Neutral 72" xfId="2626"/>
    <cellStyle name="Neutral 8" xfId="2627"/>
    <cellStyle name="Neutral 9" xfId="2628"/>
    <cellStyle name="Normal" xfId="0" builtinId="0"/>
    <cellStyle name="Normal 10" xfId="18"/>
    <cellStyle name="Normal 11" xfId="19"/>
    <cellStyle name="Normal 12" xfId="46"/>
    <cellStyle name="Normal 13" xfId="2629"/>
    <cellStyle name="Normal 14" xfId="2630"/>
    <cellStyle name="Normal 15" xfId="2631"/>
    <cellStyle name="Normal 16" xfId="2632"/>
    <cellStyle name="Normal 17" xfId="2633"/>
    <cellStyle name="Normal 18" xfId="2634"/>
    <cellStyle name="Normal 19" xfId="2635"/>
    <cellStyle name="Normal 2" xfId="20"/>
    <cellStyle name="Normal 2 2" xfId="21"/>
    <cellStyle name="Normal 2 3" xfId="22"/>
    <cellStyle name="Normal 2 3 2" xfId="2636"/>
    <cellStyle name="Normal 2 4" xfId="2637"/>
    <cellStyle name="Normal 2 5" xfId="2638"/>
    <cellStyle name="Normal 2_Gas CBR Summary" xfId="23"/>
    <cellStyle name="Normal 20" xfId="2639"/>
    <cellStyle name="Normal 21" xfId="2640"/>
    <cellStyle name="Normal 22" xfId="2641"/>
    <cellStyle name="Normal 23" xfId="2642"/>
    <cellStyle name="Normal 24" xfId="2643"/>
    <cellStyle name="Normal 25" xfId="2644"/>
    <cellStyle name="Normal 26" xfId="2645"/>
    <cellStyle name="Normal 27" xfId="2646"/>
    <cellStyle name="Normal 28" xfId="2647"/>
    <cellStyle name="Normal 29" xfId="2648"/>
    <cellStyle name="Normal 3" xfId="24"/>
    <cellStyle name="Normal 3 2" xfId="25"/>
    <cellStyle name="Normal 3 3" xfId="3011"/>
    <cellStyle name="Normal 3_Gas CBR Summary" xfId="26"/>
    <cellStyle name="Normal 30" xfId="2649"/>
    <cellStyle name="Normal 31" xfId="2650"/>
    <cellStyle name="Normal 32" xfId="2651"/>
    <cellStyle name="Normal 33" xfId="2652"/>
    <cellStyle name="Normal 34" xfId="2653"/>
    <cellStyle name="Normal 35" xfId="2654"/>
    <cellStyle name="Normal 36" xfId="2655"/>
    <cellStyle name="Normal 37" xfId="2656"/>
    <cellStyle name="Normal 38" xfId="2657"/>
    <cellStyle name="Normal 39" xfId="2658"/>
    <cellStyle name="Normal 4" xfId="27"/>
    <cellStyle name="Normal 4 2" xfId="2659"/>
    <cellStyle name="Normal 40" xfId="2660"/>
    <cellStyle name="Normal 40 2" xfId="2661"/>
    <cellStyle name="Normal 41" xfId="2662"/>
    <cellStyle name="Normal 42" xfId="2663"/>
    <cellStyle name="Normal 43" xfId="2664"/>
    <cellStyle name="Normal 44" xfId="2665"/>
    <cellStyle name="Normal 45" xfId="2666"/>
    <cellStyle name="Normal 46" xfId="2667"/>
    <cellStyle name="Normal 47" xfId="2668"/>
    <cellStyle name="Normal 48" xfId="2669"/>
    <cellStyle name="Normal 49" xfId="2670"/>
    <cellStyle name="Normal 5" xfId="28"/>
    <cellStyle name="Normal 5 2" xfId="29"/>
    <cellStyle name="Normal 5 2 2" xfId="30"/>
    <cellStyle name="Normal 5 2 2 2" xfId="2671"/>
    <cellStyle name="Normal 50" xfId="2672"/>
    <cellStyle name="Normal 50 2" xfId="2673"/>
    <cellStyle name="Normal 51" xfId="2674"/>
    <cellStyle name="Normal 52" xfId="2675"/>
    <cellStyle name="Normal 53" xfId="2676"/>
    <cellStyle name="Normal 54" xfId="2677"/>
    <cellStyle name="Normal 55" xfId="2678"/>
    <cellStyle name="Normal 56" xfId="2679"/>
    <cellStyle name="Normal 57" xfId="2680"/>
    <cellStyle name="Normal 58" xfId="2681"/>
    <cellStyle name="Normal 59" xfId="2682"/>
    <cellStyle name="Normal 6" xfId="31"/>
    <cellStyle name="Normal 60" xfId="2683"/>
    <cellStyle name="Normal 60 2" xfId="2684"/>
    <cellStyle name="Normal 61" xfId="2685"/>
    <cellStyle name="Normal 62" xfId="2686"/>
    <cellStyle name="Normal 63" xfId="2687"/>
    <cellStyle name="Normal 64" xfId="2688"/>
    <cellStyle name="Normal 65" xfId="2689"/>
    <cellStyle name="Normal 66" xfId="2690"/>
    <cellStyle name="Normal 66 2" xfId="2691"/>
    <cellStyle name="Normal 67" xfId="2692"/>
    <cellStyle name="Normal 68" xfId="2693"/>
    <cellStyle name="Normal 69" xfId="2694"/>
    <cellStyle name="Normal 7" xfId="32"/>
    <cellStyle name="Normal 7 2" xfId="33"/>
    <cellStyle name="Normal 7 2 2" xfId="34"/>
    <cellStyle name="Normal 70" xfId="2695"/>
    <cellStyle name="Normal 71" xfId="2696"/>
    <cellStyle name="Normal 72" xfId="2697"/>
    <cellStyle name="Normal 73" xfId="2698"/>
    <cellStyle name="Normal 74" xfId="2699"/>
    <cellStyle name="Normal 75" xfId="2700"/>
    <cellStyle name="Normal 76" xfId="2701"/>
    <cellStyle name="Normal 77" xfId="2702"/>
    <cellStyle name="Normal 77 2" xfId="3028"/>
    <cellStyle name="Normal 78" xfId="3017"/>
    <cellStyle name="Normal 79" xfId="3021"/>
    <cellStyle name="Normal 8" xfId="35"/>
    <cellStyle name="Normal 80" xfId="3022"/>
    <cellStyle name="Normal 81" xfId="3026"/>
    <cellStyle name="Normal 9" xfId="36"/>
    <cellStyle name="Normal_WAGas6_97" xfId="3019"/>
    <cellStyle name="Note 10" xfId="2703"/>
    <cellStyle name="Note 11" xfId="2704"/>
    <cellStyle name="Note 12" xfId="2705"/>
    <cellStyle name="Note 13" xfId="2706"/>
    <cellStyle name="Note 14" xfId="2707"/>
    <cellStyle name="Note 15" xfId="2708"/>
    <cellStyle name="Note 16" xfId="2709"/>
    <cellStyle name="Note 17" xfId="2710"/>
    <cellStyle name="Note 18" xfId="2711"/>
    <cellStyle name="Note 19" xfId="2712"/>
    <cellStyle name="Note 2" xfId="2713"/>
    <cellStyle name="Note 20" xfId="2714"/>
    <cellStyle name="Note 21" xfId="2715"/>
    <cellStyle name="Note 22" xfId="2716"/>
    <cellStyle name="Note 23" xfId="2717"/>
    <cellStyle name="Note 24" xfId="2718"/>
    <cellStyle name="Note 25" xfId="2719"/>
    <cellStyle name="Note 26" xfId="2720"/>
    <cellStyle name="Note 27" xfId="2721"/>
    <cellStyle name="Note 28" xfId="2722"/>
    <cellStyle name="Note 29" xfId="2723"/>
    <cellStyle name="Note 3" xfId="2724"/>
    <cellStyle name="Note 30" xfId="2725"/>
    <cellStyle name="Note 31" xfId="2726"/>
    <cellStyle name="Note 32" xfId="2727"/>
    <cellStyle name="Note 33" xfId="2728"/>
    <cellStyle name="Note 34" xfId="2729"/>
    <cellStyle name="Note 35" xfId="2730"/>
    <cellStyle name="Note 36" xfId="2731"/>
    <cellStyle name="Note 37" xfId="2732"/>
    <cellStyle name="Note 38" xfId="2733"/>
    <cellStyle name="Note 39" xfId="2734"/>
    <cellStyle name="Note 4" xfId="2735"/>
    <cellStyle name="Note 40" xfId="2736"/>
    <cellStyle name="Note 41" xfId="2737"/>
    <cellStyle name="Note 42" xfId="2738"/>
    <cellStyle name="Note 43" xfId="2739"/>
    <cellStyle name="Note 44" xfId="2740"/>
    <cellStyle name="Note 45" xfId="2741"/>
    <cellStyle name="Note 46" xfId="2742"/>
    <cellStyle name="Note 47" xfId="2743"/>
    <cellStyle name="Note 48" xfId="2744"/>
    <cellStyle name="Note 49" xfId="2745"/>
    <cellStyle name="Note 5" xfId="2746"/>
    <cellStyle name="Note 50" xfId="2747"/>
    <cellStyle name="Note 51" xfId="2748"/>
    <cellStyle name="Note 52" xfId="2749"/>
    <cellStyle name="Note 53" xfId="2750"/>
    <cellStyle name="Note 54" xfId="2751"/>
    <cellStyle name="Note 55" xfId="2752"/>
    <cellStyle name="Note 56" xfId="2753"/>
    <cellStyle name="Note 57" xfId="2754"/>
    <cellStyle name="Note 58" xfId="2755"/>
    <cellStyle name="Note 59" xfId="2756"/>
    <cellStyle name="Note 6" xfId="2757"/>
    <cellStyle name="Note 60" xfId="2758"/>
    <cellStyle name="Note 61" xfId="2759"/>
    <cellStyle name="Note 62" xfId="2760"/>
    <cellStyle name="Note 63" xfId="2761"/>
    <cellStyle name="Note 64" xfId="2762"/>
    <cellStyle name="Note 65" xfId="2763"/>
    <cellStyle name="Note 66" xfId="2764"/>
    <cellStyle name="Note 67" xfId="2765"/>
    <cellStyle name="Note 68" xfId="2766"/>
    <cellStyle name="Note 69" xfId="2767"/>
    <cellStyle name="Note 7" xfId="2768"/>
    <cellStyle name="Note 70" xfId="2769"/>
    <cellStyle name="Note 71" xfId="2770"/>
    <cellStyle name="Note 72" xfId="2771"/>
    <cellStyle name="Note 8" xfId="2772"/>
    <cellStyle name="Note 9" xfId="2773"/>
    <cellStyle name="Output 10" xfId="2774"/>
    <cellStyle name="Output 11" xfId="2775"/>
    <cellStyle name="Output 12" xfId="2776"/>
    <cellStyle name="Output 13" xfId="2777"/>
    <cellStyle name="Output 14" xfId="2778"/>
    <cellStyle name="Output 15" xfId="2779"/>
    <cellStyle name="Output 16" xfId="2780"/>
    <cellStyle name="Output 17" xfId="2781"/>
    <cellStyle name="Output 18" xfId="2782"/>
    <cellStyle name="Output 19" xfId="2783"/>
    <cellStyle name="Output 2" xfId="2784"/>
    <cellStyle name="Output 20" xfId="2785"/>
    <cellStyle name="Output 21" xfId="2786"/>
    <cellStyle name="Output 22" xfId="2787"/>
    <cellStyle name="Output 23" xfId="2788"/>
    <cellStyle name="Output 24" xfId="2789"/>
    <cellStyle name="Output 25" xfId="2790"/>
    <cellStyle name="Output 26" xfId="2791"/>
    <cellStyle name="Output 27" xfId="2792"/>
    <cellStyle name="Output 28" xfId="2793"/>
    <cellStyle name="Output 29" xfId="2794"/>
    <cellStyle name="Output 3" xfId="2795"/>
    <cellStyle name="Output 30" xfId="2796"/>
    <cellStyle name="Output 31" xfId="2797"/>
    <cellStyle name="Output 32" xfId="2798"/>
    <cellStyle name="Output 33" xfId="2799"/>
    <cellStyle name="Output 34" xfId="2800"/>
    <cellStyle name="Output 35" xfId="2801"/>
    <cellStyle name="Output 36" xfId="2802"/>
    <cellStyle name="Output 37" xfId="2803"/>
    <cellStyle name="Output 38" xfId="2804"/>
    <cellStyle name="Output 39" xfId="2805"/>
    <cellStyle name="Output 4" xfId="2806"/>
    <cellStyle name="Output 40" xfId="2807"/>
    <cellStyle name="Output 41" xfId="2808"/>
    <cellStyle name="Output 42" xfId="2809"/>
    <cellStyle name="Output 43" xfId="2810"/>
    <cellStyle name="Output 44" xfId="2811"/>
    <cellStyle name="Output 45" xfId="2812"/>
    <cellStyle name="Output 46" xfId="2813"/>
    <cellStyle name="Output 47" xfId="2814"/>
    <cellStyle name="Output 48" xfId="2815"/>
    <cellStyle name="Output 49" xfId="2816"/>
    <cellStyle name="Output 5" xfId="2817"/>
    <cellStyle name="Output 50" xfId="2818"/>
    <cellStyle name="Output 51" xfId="2819"/>
    <cellStyle name="Output 52" xfId="2820"/>
    <cellStyle name="Output 53" xfId="2821"/>
    <cellStyle name="Output 54" xfId="2822"/>
    <cellStyle name="Output 55" xfId="2823"/>
    <cellStyle name="Output 56" xfId="2824"/>
    <cellStyle name="Output 57" xfId="2825"/>
    <cellStyle name="Output 58" xfId="2826"/>
    <cellStyle name="Output 59" xfId="2827"/>
    <cellStyle name="Output 6" xfId="2828"/>
    <cellStyle name="Output 60" xfId="2829"/>
    <cellStyle name="Output 61" xfId="2830"/>
    <cellStyle name="Output 62" xfId="2831"/>
    <cellStyle name="Output 63" xfId="2832"/>
    <cellStyle name="Output 64" xfId="2833"/>
    <cellStyle name="Output 65" xfId="2834"/>
    <cellStyle name="Output 66" xfId="2835"/>
    <cellStyle name="Output 67" xfId="2836"/>
    <cellStyle name="Output 68" xfId="2837"/>
    <cellStyle name="Output 69" xfId="2838"/>
    <cellStyle name="Output 7" xfId="2839"/>
    <cellStyle name="Output 70" xfId="2840"/>
    <cellStyle name="Output 71" xfId="2841"/>
    <cellStyle name="Output 72" xfId="2842"/>
    <cellStyle name="Output 8" xfId="2843"/>
    <cellStyle name="Output 9" xfId="2844"/>
    <cellStyle name="Output Amounts" xfId="2845"/>
    <cellStyle name="OUTPUT AMOUNTS 2" xfId="2846"/>
    <cellStyle name="Output Column Headings" xfId="2847"/>
    <cellStyle name="Output Line Items" xfId="2848"/>
    <cellStyle name="Output Report Heading" xfId="2849"/>
    <cellStyle name="Output Report Title" xfId="2850"/>
    <cellStyle name="Percent" xfId="37" builtinId="5"/>
    <cellStyle name="Percent 10" xfId="3018"/>
    <cellStyle name="Percent 11" xfId="3020"/>
    <cellStyle name="Percent 12" xfId="3025"/>
    <cellStyle name="Percent 2" xfId="38"/>
    <cellStyle name="Percent 2 2" xfId="39"/>
    <cellStyle name="Percent 3" xfId="40"/>
    <cellStyle name="Percent 3 2" xfId="3015"/>
    <cellStyle name="Percent 4" xfId="41"/>
    <cellStyle name="Percent 5" xfId="42"/>
    <cellStyle name="Percent 6" xfId="43"/>
    <cellStyle name="Percent 7" xfId="44"/>
    <cellStyle name="Percent 8" xfId="45"/>
    <cellStyle name="Percent 9" xfId="48"/>
    <cellStyle name="QtrHeader" xfId="2851"/>
    <cellStyle name="ReportTitlePrompt" xfId="2852"/>
    <cellStyle name="ReportTitleValue" xfId="2853"/>
    <cellStyle name="RowAcctAbovePrompt" xfId="2854"/>
    <cellStyle name="RowAcctSOBAbovePrompt" xfId="2855"/>
    <cellStyle name="RowAcctSOBValue" xfId="2856"/>
    <cellStyle name="RowAcctValue" xfId="2857"/>
    <cellStyle name="RowAttrAbovePrompt" xfId="2858"/>
    <cellStyle name="RowAttrValue" xfId="2859"/>
    <cellStyle name="RowColSetAbovePrompt" xfId="2860"/>
    <cellStyle name="RowColSetLeftPrompt" xfId="2861"/>
    <cellStyle name="RowColSetValue" xfId="2862"/>
    <cellStyle name="RowLeftPrompt" xfId="2863"/>
    <cellStyle name="SampleUsingFormatMask" xfId="2864"/>
    <cellStyle name="SampleWithNoFormatMask" xfId="2865"/>
    <cellStyle name="Thousands" xfId="2866"/>
    <cellStyle name="Total 10" xfId="2867"/>
    <cellStyle name="Total 11" xfId="2868"/>
    <cellStyle name="Total 12" xfId="2869"/>
    <cellStyle name="Total 13" xfId="2870"/>
    <cellStyle name="Total 14" xfId="2871"/>
    <cellStyle name="Total 15" xfId="2872"/>
    <cellStyle name="Total 16" xfId="2873"/>
    <cellStyle name="Total 17" xfId="2874"/>
    <cellStyle name="Total 18" xfId="2875"/>
    <cellStyle name="Total 19" xfId="2876"/>
    <cellStyle name="Total 2" xfId="2877"/>
    <cellStyle name="Total 20" xfId="2878"/>
    <cellStyle name="Total 21" xfId="2879"/>
    <cellStyle name="Total 22" xfId="2880"/>
    <cellStyle name="Total 23" xfId="2881"/>
    <cellStyle name="Total 24" xfId="2882"/>
    <cellStyle name="Total 25" xfId="2883"/>
    <cellStyle name="Total 26" xfId="2884"/>
    <cellStyle name="Total 27" xfId="2885"/>
    <cellStyle name="Total 28" xfId="2886"/>
    <cellStyle name="Total 29" xfId="2887"/>
    <cellStyle name="Total 3" xfId="2888"/>
    <cellStyle name="Total 30" xfId="2889"/>
    <cellStyle name="Total 31" xfId="2890"/>
    <cellStyle name="Total 32" xfId="2891"/>
    <cellStyle name="Total 33" xfId="2892"/>
    <cellStyle name="Total 34" xfId="2893"/>
    <cellStyle name="Total 35" xfId="2894"/>
    <cellStyle name="Total 36" xfId="2895"/>
    <cellStyle name="Total 37" xfId="2896"/>
    <cellStyle name="Total 38" xfId="2897"/>
    <cellStyle name="Total 39" xfId="2898"/>
    <cellStyle name="Total 4" xfId="2899"/>
    <cellStyle name="Total 40" xfId="2900"/>
    <cellStyle name="Total 41" xfId="2901"/>
    <cellStyle name="Total 42" xfId="2902"/>
    <cellStyle name="Total 43" xfId="2903"/>
    <cellStyle name="Total 44" xfId="2904"/>
    <cellStyle name="Total 45" xfId="2905"/>
    <cellStyle name="Total 46" xfId="2906"/>
    <cellStyle name="Total 47" xfId="2907"/>
    <cellStyle name="Total 48" xfId="2908"/>
    <cellStyle name="Total 49" xfId="2909"/>
    <cellStyle name="Total 5" xfId="2910"/>
    <cellStyle name="Total 50" xfId="2911"/>
    <cellStyle name="Total 51" xfId="2912"/>
    <cellStyle name="Total 52" xfId="2913"/>
    <cellStyle name="Total 53" xfId="2914"/>
    <cellStyle name="Total 54" xfId="2915"/>
    <cellStyle name="Total 55" xfId="2916"/>
    <cellStyle name="Total 56" xfId="2917"/>
    <cellStyle name="Total 57" xfId="2918"/>
    <cellStyle name="Total 58" xfId="2919"/>
    <cellStyle name="Total 59" xfId="2920"/>
    <cellStyle name="Total 6" xfId="2921"/>
    <cellStyle name="Total 60" xfId="2922"/>
    <cellStyle name="Total 61" xfId="2923"/>
    <cellStyle name="Total 62" xfId="2924"/>
    <cellStyle name="Total 63" xfId="2925"/>
    <cellStyle name="Total 64" xfId="2926"/>
    <cellStyle name="Total 65" xfId="2927"/>
    <cellStyle name="Total 66" xfId="2928"/>
    <cellStyle name="Total 67" xfId="2929"/>
    <cellStyle name="Total 68" xfId="2930"/>
    <cellStyle name="Total 69" xfId="2931"/>
    <cellStyle name="Total 7" xfId="2932"/>
    <cellStyle name="Total 70" xfId="2933"/>
    <cellStyle name="Total 71" xfId="2934"/>
    <cellStyle name="Total 72" xfId="2935"/>
    <cellStyle name="Total 8" xfId="2936"/>
    <cellStyle name="Total 9" xfId="2937"/>
    <cellStyle name="UploadThisRowValue" xfId="2938"/>
    <cellStyle name="Warning Text 10" xfId="2939"/>
    <cellStyle name="Warning Text 11" xfId="2940"/>
    <cellStyle name="Warning Text 12" xfId="2941"/>
    <cellStyle name="Warning Text 13" xfId="2942"/>
    <cellStyle name="Warning Text 14" xfId="2943"/>
    <cellStyle name="Warning Text 15" xfId="2944"/>
    <cellStyle name="Warning Text 16" xfId="2945"/>
    <cellStyle name="Warning Text 17" xfId="2946"/>
    <cellStyle name="Warning Text 18" xfId="2947"/>
    <cellStyle name="Warning Text 19" xfId="2948"/>
    <cellStyle name="Warning Text 2" xfId="2949"/>
    <cellStyle name="Warning Text 20" xfId="2950"/>
    <cellStyle name="Warning Text 21" xfId="2951"/>
    <cellStyle name="Warning Text 22" xfId="2952"/>
    <cellStyle name="Warning Text 23" xfId="2953"/>
    <cellStyle name="Warning Text 24" xfId="2954"/>
    <cellStyle name="Warning Text 25" xfId="2955"/>
    <cellStyle name="Warning Text 26" xfId="2956"/>
    <cellStyle name="Warning Text 27" xfId="2957"/>
    <cellStyle name="Warning Text 28" xfId="2958"/>
    <cellStyle name="Warning Text 29" xfId="2959"/>
    <cellStyle name="Warning Text 3" xfId="2960"/>
    <cellStyle name="Warning Text 30" xfId="2961"/>
    <cellStyle name="Warning Text 31" xfId="2962"/>
    <cellStyle name="Warning Text 32" xfId="2963"/>
    <cellStyle name="Warning Text 33" xfId="2964"/>
    <cellStyle name="Warning Text 34" xfId="2965"/>
    <cellStyle name="Warning Text 35" xfId="2966"/>
    <cellStyle name="Warning Text 36" xfId="2967"/>
    <cellStyle name="Warning Text 37" xfId="2968"/>
    <cellStyle name="Warning Text 38" xfId="2969"/>
    <cellStyle name="Warning Text 39" xfId="2970"/>
    <cellStyle name="Warning Text 4" xfId="2971"/>
    <cellStyle name="Warning Text 40" xfId="2972"/>
    <cellStyle name="Warning Text 41" xfId="2973"/>
    <cellStyle name="Warning Text 42" xfId="2974"/>
    <cellStyle name="Warning Text 43" xfId="2975"/>
    <cellStyle name="Warning Text 44" xfId="2976"/>
    <cellStyle name="Warning Text 45" xfId="2977"/>
    <cellStyle name="Warning Text 46" xfId="2978"/>
    <cellStyle name="Warning Text 47" xfId="2979"/>
    <cellStyle name="Warning Text 48" xfId="2980"/>
    <cellStyle name="Warning Text 49" xfId="2981"/>
    <cellStyle name="Warning Text 5" xfId="2982"/>
    <cellStyle name="Warning Text 50" xfId="2983"/>
    <cellStyle name="Warning Text 51" xfId="2984"/>
    <cellStyle name="Warning Text 52" xfId="2985"/>
    <cellStyle name="Warning Text 53" xfId="2986"/>
    <cellStyle name="Warning Text 54" xfId="2987"/>
    <cellStyle name="Warning Text 55" xfId="2988"/>
    <cellStyle name="Warning Text 56" xfId="2989"/>
    <cellStyle name="Warning Text 57" xfId="2990"/>
    <cellStyle name="Warning Text 58" xfId="2991"/>
    <cellStyle name="Warning Text 59" xfId="2992"/>
    <cellStyle name="Warning Text 6" xfId="2993"/>
    <cellStyle name="Warning Text 60" xfId="2994"/>
    <cellStyle name="Warning Text 61" xfId="2995"/>
    <cellStyle name="Warning Text 62" xfId="2996"/>
    <cellStyle name="Warning Text 63" xfId="2997"/>
    <cellStyle name="Warning Text 64" xfId="2998"/>
    <cellStyle name="Warning Text 65" xfId="2999"/>
    <cellStyle name="Warning Text 66" xfId="3000"/>
    <cellStyle name="Warning Text 67" xfId="3001"/>
    <cellStyle name="Warning Text 68" xfId="3002"/>
    <cellStyle name="Warning Text 69" xfId="3003"/>
    <cellStyle name="Warning Text 7" xfId="3004"/>
    <cellStyle name="Warning Text 70" xfId="3005"/>
    <cellStyle name="Warning Text 71" xfId="3006"/>
    <cellStyle name="Warning Text 72" xfId="3007"/>
    <cellStyle name="Warning Text 8" xfId="3008"/>
    <cellStyle name="Warning Text 9" xfId="3009"/>
    <cellStyle name="YrHeader" xfId="30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6</xdr:row>
      <xdr:rowOff>76199</xdr:rowOff>
    </xdr:from>
    <xdr:ext cx="1381124" cy="45719"/>
    <xdr:sp macro="" textlink="">
      <xdr:nvSpPr>
        <xdr:cNvPr id="2" name="TextBox 1"/>
        <xdr:cNvSpPr txBox="1"/>
      </xdr:nvSpPr>
      <xdr:spPr>
        <a:xfrm flipV="1">
          <a:off x="809625" y="600074"/>
          <a:ext cx="1381124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4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breda/Documents/Avista%20GRC%20UE-120436/My%20Testimony/Attrition%20Adjustment/2009Combined_El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 Total System"/>
      <sheetName val="PPL - WA ONLY"/>
      <sheetName val="AVISTA - WA ONLY"/>
      <sheetName val="COMBINED"/>
      <sheetName val="PSE Gen Plants"/>
      <sheetName val="Char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6"/>
  <sheetViews>
    <sheetView tabSelected="1" zoomScaleNormal="100" workbookViewId="0">
      <selection activeCell="A6" sqref="A6"/>
    </sheetView>
  </sheetViews>
  <sheetFormatPr defaultRowHeight="15.75"/>
  <cols>
    <col min="1" max="1" width="3.85546875" style="234" customWidth="1"/>
    <col min="2" max="2" width="5" style="234" customWidth="1"/>
    <col min="3" max="3" width="50.5703125" style="234" customWidth="1"/>
    <col min="4" max="4" width="12.85546875" style="234" customWidth="1"/>
    <col min="5" max="5" width="15.42578125" style="234" customWidth="1"/>
    <col min="6" max="6" width="12" style="234" customWidth="1"/>
    <col min="7" max="7" width="14.7109375" style="234" customWidth="1"/>
    <col min="8" max="16384" width="9.140625" style="234"/>
  </cols>
  <sheetData>
    <row r="1" spans="1:11">
      <c r="A1" s="105" t="s">
        <v>175</v>
      </c>
    </row>
    <row r="2" spans="1:11">
      <c r="A2" s="105" t="s">
        <v>146</v>
      </c>
    </row>
    <row r="3" spans="1:11">
      <c r="A3" s="105" t="s">
        <v>147</v>
      </c>
    </row>
    <row r="4" spans="1:11">
      <c r="A4" s="105" t="s">
        <v>148</v>
      </c>
    </row>
    <row r="5" spans="1:11" ht="16.5" thickBot="1">
      <c r="A5" s="105" t="s">
        <v>149</v>
      </c>
    </row>
    <row r="6" spans="1:11" ht="25.5" customHeight="1" thickBot="1">
      <c r="C6" s="300" t="s">
        <v>153</v>
      </c>
      <c r="D6" s="301"/>
      <c r="E6" s="301"/>
      <c r="F6" s="301"/>
      <c r="G6" s="302"/>
      <c r="H6" s="236"/>
      <c r="I6" s="236"/>
      <c r="J6" s="236"/>
      <c r="K6" s="236"/>
    </row>
    <row r="7" spans="1:11">
      <c r="E7" s="243" t="s">
        <v>161</v>
      </c>
      <c r="F7" s="243"/>
      <c r="G7" s="243" t="s">
        <v>129</v>
      </c>
    </row>
    <row r="8" spans="1:11">
      <c r="E8" s="243" t="s">
        <v>128</v>
      </c>
      <c r="F8" s="243"/>
      <c r="G8" s="243" t="s">
        <v>163</v>
      </c>
    </row>
    <row r="9" spans="1:11">
      <c r="E9" s="243" t="s">
        <v>162</v>
      </c>
      <c r="F9" s="243" t="s">
        <v>178</v>
      </c>
      <c r="G9" s="243" t="s">
        <v>127</v>
      </c>
    </row>
    <row r="10" spans="1:11">
      <c r="E10" s="252" t="s">
        <v>135</v>
      </c>
      <c r="F10" s="252" t="s">
        <v>136</v>
      </c>
      <c r="G10" s="252" t="s">
        <v>137</v>
      </c>
    </row>
    <row r="11" spans="1:11">
      <c r="E11" s="236"/>
      <c r="G11" s="236"/>
    </row>
    <row r="12" spans="1:11">
      <c r="B12" s="234">
        <v>1</v>
      </c>
      <c r="C12" s="234" t="s">
        <v>154</v>
      </c>
      <c r="E12" s="238">
        <v>523083</v>
      </c>
      <c r="F12" s="239">
        <f>+G12-E12</f>
        <v>4392.0999999999767</v>
      </c>
      <c r="G12" s="238">
        <f>+'Attrition 2011 to 2013'!U14</f>
        <v>527475.1</v>
      </c>
      <c r="I12" s="240"/>
    </row>
    <row r="13" spans="1:11">
      <c r="B13" s="234">
        <f>1+B12</f>
        <v>2</v>
      </c>
      <c r="C13" s="234" t="s">
        <v>155</v>
      </c>
      <c r="D13" s="235"/>
      <c r="E13" s="237">
        <v>399768</v>
      </c>
      <c r="F13" s="250">
        <f>+G13-E13</f>
        <v>14682.016799999983</v>
      </c>
      <c r="G13" s="245">
        <f>+'Attrition 2011 to 2013'!U40</f>
        <v>414450.01679999998</v>
      </c>
      <c r="I13" s="240"/>
    </row>
    <row r="14" spans="1:11">
      <c r="B14" s="234">
        <f t="shared" ref="B14:B16" si="0">1+B13</f>
        <v>3</v>
      </c>
      <c r="C14" s="234" t="s">
        <v>157</v>
      </c>
      <c r="D14" s="235" t="s">
        <v>166</v>
      </c>
      <c r="E14" s="242">
        <f>+E12-E13</f>
        <v>123315</v>
      </c>
      <c r="F14" s="242">
        <f>+F12-F13</f>
        <v>-10289.916800000006</v>
      </c>
      <c r="G14" s="242">
        <f>+G12-G13</f>
        <v>113025.08319999999</v>
      </c>
    </row>
    <row r="15" spans="1:11" ht="15.75" customHeight="1">
      <c r="B15" s="234">
        <f t="shared" si="0"/>
        <v>4</v>
      </c>
      <c r="C15" s="234" t="s">
        <v>3</v>
      </c>
      <c r="D15" s="235"/>
      <c r="E15" s="237">
        <v>29419</v>
      </c>
      <c r="F15" s="237">
        <f>+G15-E15</f>
        <v>-4505</v>
      </c>
      <c r="G15" s="245">
        <f>+'Attrition 2011 to 2013'!U44+'Attrition 2011 to 2013'!U45+'Attrition 2011 to 2013'!U46+'Attrition 2011 to 2013'!U47</f>
        <v>24914</v>
      </c>
    </row>
    <row r="16" spans="1:11" ht="15.75" customHeight="1" thickBot="1">
      <c r="B16" s="234">
        <f t="shared" si="0"/>
        <v>5</v>
      </c>
      <c r="C16" s="234" t="s">
        <v>156</v>
      </c>
      <c r="D16" s="235" t="s">
        <v>167</v>
      </c>
      <c r="E16" s="241">
        <f>+E14-E15</f>
        <v>93896</v>
      </c>
      <c r="F16" s="241">
        <f>+F14-F15</f>
        <v>-5784.9168000000063</v>
      </c>
      <c r="G16" s="241">
        <f>+G14-G15</f>
        <v>88111.083199999994</v>
      </c>
    </row>
    <row r="17" spans="2:7" ht="15.75" customHeight="1" thickTop="1">
      <c r="D17" s="235"/>
    </row>
    <row r="18" spans="2:7" ht="15.75" customHeight="1">
      <c r="B18" s="234">
        <f>1+B16</f>
        <v>6</v>
      </c>
      <c r="C18" s="234" t="s">
        <v>158</v>
      </c>
      <c r="D18" s="235"/>
      <c r="E18" s="248">
        <v>1125273</v>
      </c>
      <c r="F18" s="251">
        <f>+G18-E18</f>
        <v>83722.088613865199</v>
      </c>
      <c r="G18" s="248">
        <f>+'Attrition 2011 to 2013'!U74</f>
        <v>1208995.0886138652</v>
      </c>
    </row>
    <row r="19" spans="2:7" ht="15.75" customHeight="1">
      <c r="D19" s="235"/>
    </row>
    <row r="20" spans="2:7" ht="15.75" customHeight="1">
      <c r="B20" s="234">
        <f>1+B18</f>
        <v>7</v>
      </c>
      <c r="C20" s="234" t="s">
        <v>159</v>
      </c>
      <c r="D20" s="235" t="s">
        <v>168</v>
      </c>
      <c r="E20" s="247">
        <f>+E16/E18</f>
        <v>8.3442862309857257E-2</v>
      </c>
      <c r="G20" s="247">
        <f>+G16/G18</f>
        <v>7.2879603920493127E-2</v>
      </c>
    </row>
    <row r="21" spans="2:7" ht="15.75" customHeight="1">
      <c r="D21" s="235"/>
    </row>
    <row r="22" spans="2:7" ht="15.75" customHeight="1">
      <c r="B22" s="234">
        <f>1+B20</f>
        <v>8</v>
      </c>
      <c r="C22" s="234" t="s">
        <v>101</v>
      </c>
      <c r="D22" s="235"/>
      <c r="E22" s="240">
        <v>7.22E-2</v>
      </c>
      <c r="G22" s="240">
        <v>7.22E-2</v>
      </c>
    </row>
    <row r="23" spans="2:7" ht="15.75" customHeight="1">
      <c r="D23" s="235"/>
    </row>
    <row r="24" spans="2:7" ht="15.75" customHeight="1">
      <c r="B24" s="234">
        <f>1+B22</f>
        <v>9</v>
      </c>
      <c r="C24" s="234" t="s">
        <v>164</v>
      </c>
      <c r="D24" s="235" t="s">
        <v>169</v>
      </c>
      <c r="E24" s="238">
        <f>ROUND(+E18*E22,0)</f>
        <v>81245</v>
      </c>
      <c r="F24" s="239"/>
      <c r="G24" s="238">
        <f>ROUND(+G18*G22,0)</f>
        <v>87289</v>
      </c>
    </row>
    <row r="25" spans="2:7" ht="21" customHeight="1">
      <c r="B25" s="234">
        <f>1+B24</f>
        <v>10</v>
      </c>
      <c r="C25" s="234" t="s">
        <v>165</v>
      </c>
      <c r="D25" s="235" t="s">
        <v>170</v>
      </c>
      <c r="E25" s="239">
        <f>ROUND(+E24-E16,0)</f>
        <v>-12651</v>
      </c>
      <c r="F25" s="239"/>
      <c r="G25" s="239">
        <f>+G24-G16</f>
        <v>-822.08319999999367</v>
      </c>
    </row>
    <row r="26" spans="2:7" ht="19.5" customHeight="1">
      <c r="B26" s="234">
        <f t="shared" ref="B26" si="1">1+B25</f>
        <v>11</v>
      </c>
      <c r="C26" s="234" t="s">
        <v>171</v>
      </c>
      <c r="E26" s="246">
        <v>0.62081500000000001</v>
      </c>
      <c r="G26" s="246">
        <f>+E26</f>
        <v>0.62081500000000001</v>
      </c>
    </row>
    <row r="27" spans="2:7" ht="15.75" customHeight="1">
      <c r="C27" s="244"/>
      <c r="E27" s="246"/>
      <c r="G27" s="246"/>
    </row>
    <row r="28" spans="2:7" ht="15.75" customHeight="1">
      <c r="B28" s="234">
        <f>1+B26</f>
        <v>12</v>
      </c>
      <c r="C28" s="244" t="s">
        <v>13</v>
      </c>
      <c r="D28" s="298" t="s">
        <v>172</v>
      </c>
      <c r="E28" s="249">
        <f>ROUND(+E25/E26,0)</f>
        <v>-20378</v>
      </c>
      <c r="G28" s="249">
        <f>ROUND(+G25/G26,0)</f>
        <v>-1324</v>
      </c>
    </row>
    <row r="29" spans="2:7" ht="15.75" customHeight="1">
      <c r="B29" s="234">
        <f>1+B28</f>
        <v>13</v>
      </c>
      <c r="C29" s="244" t="s">
        <v>179</v>
      </c>
      <c r="D29" s="235"/>
      <c r="E29" s="295"/>
      <c r="G29" s="296">
        <f>+'Attrition 2011 to 2013'!U84</f>
        <v>1.0093158185920246</v>
      </c>
    </row>
    <row r="30" spans="2:7" ht="15.75" customHeight="1" thickBot="1"/>
    <row r="31" spans="2:7" s="254" customFormat="1" ht="24.75" customHeight="1" thickBot="1">
      <c r="B31" s="255">
        <f>1+B29</f>
        <v>14</v>
      </c>
      <c r="C31" s="256" t="s">
        <v>105</v>
      </c>
      <c r="D31" s="263" t="s">
        <v>173</v>
      </c>
      <c r="E31" s="256"/>
      <c r="F31" s="256"/>
      <c r="G31" s="297">
        <f>+G28/G29</f>
        <v>-1311.7796982979555</v>
      </c>
    </row>
    <row r="32" spans="2:7" ht="15.75" customHeight="1">
      <c r="C32" s="244"/>
    </row>
    <row r="34" spans="2:8" ht="15.75" customHeight="1">
      <c r="C34" s="244"/>
      <c r="F34" s="260"/>
      <c r="G34" s="260"/>
      <c r="H34" s="260"/>
    </row>
    <row r="35" spans="2:8" ht="15.75" customHeight="1">
      <c r="B35" s="257">
        <f>1+B31</f>
        <v>15</v>
      </c>
      <c r="C35" s="257" t="s">
        <v>145</v>
      </c>
      <c r="D35" s="258" t="s">
        <v>181</v>
      </c>
      <c r="E35" s="259">
        <f>+G31-E28</f>
        <v>19066.220301702044</v>
      </c>
      <c r="F35" s="260"/>
      <c r="G35" s="260"/>
      <c r="H35" s="260"/>
    </row>
    <row r="36" spans="2:8">
      <c r="F36" s="260"/>
      <c r="G36" s="260"/>
      <c r="H36" s="260"/>
    </row>
  </sheetData>
  <mergeCells count="1">
    <mergeCell ref="C6:G6"/>
  </mergeCells>
  <pageMargins left="1" right="0.75" top="0.75" bottom="0.5" header="0.5" footer="0.3"/>
  <pageSetup scale="75" orientation="portrait" r:id="rId1"/>
  <headerFooter alignWithMargins="0">
    <oddHeader>&amp;R&amp;"Times New Roman,Regular"&amp;12Exhibit No.___(KHB-9C) Redacted
Page &amp;P</oddHeader>
    <oddFooter>&amp;L&amp;"Times New Roman,Regular"&amp;12&amp;F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X260"/>
  <sheetViews>
    <sheetView topLeftCell="C1" zoomScale="90" zoomScaleNormal="90" workbookViewId="0">
      <pane xSplit="3" ySplit="7" topLeftCell="N36" activePane="bottomRight" state="frozen"/>
      <selection activeCell="C6" sqref="C6:G6"/>
      <selection pane="topRight" activeCell="C6" sqref="C6:G6"/>
      <selection pane="bottomLeft" activeCell="C6" sqref="C6:G6"/>
      <selection pane="bottomRight" activeCell="C6" sqref="C6:G6"/>
    </sheetView>
  </sheetViews>
  <sheetFormatPr defaultColWidth="12.42578125" defaultRowHeight="11.1" customHeight="1"/>
  <cols>
    <col min="1" max="1" width="6.5703125" style="6" customWidth="1"/>
    <col min="2" max="2" width="2.42578125" style="6" customWidth="1"/>
    <col min="3" max="3" width="37.42578125" style="33" customWidth="1"/>
    <col min="4" max="4" width="2" style="3" customWidth="1"/>
    <col min="5" max="5" width="8.7109375" style="3" customWidth="1"/>
    <col min="6" max="6" width="14.85546875" style="32" customWidth="1"/>
    <col min="7" max="7" width="13.140625" style="35" customWidth="1"/>
    <col min="8" max="8" width="11" style="35" hidden="1" customWidth="1"/>
    <col min="9" max="9" width="15" style="36" customWidth="1"/>
    <col min="10" max="10" width="0.85546875" style="36" customWidth="1"/>
    <col min="11" max="11" width="9.140625" style="36" hidden="1" customWidth="1"/>
    <col min="12" max="12" width="10.140625" style="34" hidden="1" customWidth="1"/>
    <col min="13" max="13" width="10.140625" style="34" customWidth="1"/>
    <col min="14" max="14" width="0.85546875" style="34" customWidth="1"/>
    <col min="15" max="15" width="14" style="34" customWidth="1"/>
    <col min="16" max="16" width="14.28515625" style="33" customWidth="1"/>
    <col min="17" max="17" width="0.85546875" style="33" customWidth="1"/>
    <col min="18" max="18" width="14.140625" style="33" customWidth="1"/>
    <col min="19" max="19" width="12.28515625" style="33" customWidth="1"/>
    <col min="20" max="20" width="10.85546875" style="33" customWidth="1"/>
    <col min="21" max="21" width="13.7109375" style="33" customWidth="1"/>
    <col min="22" max="16384" width="12.42578125" style="6"/>
  </cols>
  <sheetData>
    <row r="1" spans="1:24" ht="19.5" customHeight="1">
      <c r="A1" s="105" t="s">
        <v>175</v>
      </c>
      <c r="C1" s="6"/>
      <c r="F1" s="3"/>
      <c r="G1" s="18"/>
      <c r="H1" s="18"/>
      <c r="I1" s="4"/>
      <c r="J1" s="4"/>
      <c r="K1" s="4"/>
      <c r="L1" s="5"/>
      <c r="M1" s="5"/>
      <c r="N1" s="5"/>
      <c r="O1" s="5"/>
      <c r="P1" s="6"/>
      <c r="Q1" s="6"/>
      <c r="R1" s="6"/>
      <c r="S1" s="6"/>
      <c r="T1" s="6"/>
      <c r="U1" s="6"/>
    </row>
    <row r="2" spans="1:24" ht="19.5" customHeight="1">
      <c r="A2" s="105" t="s">
        <v>146</v>
      </c>
      <c r="C2" s="6"/>
      <c r="F2" s="3"/>
      <c r="G2" s="18"/>
      <c r="H2" s="18"/>
      <c r="I2" s="4"/>
      <c r="J2" s="4"/>
      <c r="K2" s="4"/>
      <c r="L2" s="5"/>
      <c r="M2" s="5"/>
      <c r="N2" s="5"/>
      <c r="O2" s="5"/>
      <c r="P2" s="6"/>
      <c r="Q2" s="6"/>
      <c r="R2" s="6"/>
      <c r="S2" s="6"/>
      <c r="T2" s="6"/>
      <c r="U2" s="6"/>
    </row>
    <row r="3" spans="1:24" ht="18" customHeight="1">
      <c r="A3" s="105" t="s">
        <v>147</v>
      </c>
      <c r="C3" s="6"/>
      <c r="F3" s="3"/>
      <c r="G3" s="18"/>
      <c r="H3" s="18"/>
      <c r="I3" s="4"/>
      <c r="J3" s="4"/>
      <c r="K3" s="4"/>
      <c r="L3" s="5"/>
      <c r="M3" s="5"/>
      <c r="N3" s="5"/>
      <c r="O3" s="5"/>
      <c r="P3" s="6"/>
      <c r="Q3" s="6"/>
      <c r="R3" s="6"/>
      <c r="S3" s="6"/>
      <c r="T3" s="6"/>
      <c r="U3" s="6"/>
    </row>
    <row r="4" spans="1:24" s="17" customFormat="1" ht="20.25">
      <c r="A4" s="105" t="s">
        <v>148</v>
      </c>
      <c r="B4" s="19"/>
      <c r="C4" s="19"/>
      <c r="D4" s="19"/>
      <c r="E4" s="26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4" s="17" customFormat="1" ht="20.25">
      <c r="A5" s="105" t="s">
        <v>149</v>
      </c>
      <c r="B5" s="20"/>
      <c r="C5" s="19"/>
      <c r="D5" s="19"/>
      <c r="E5" s="262"/>
      <c r="F5" s="303"/>
      <c r="G5" s="303"/>
      <c r="H5" s="303"/>
      <c r="I5" s="303"/>
      <c r="J5" s="31"/>
      <c r="K5" s="303"/>
      <c r="L5" s="303"/>
      <c r="M5" s="303"/>
      <c r="N5" s="31"/>
      <c r="O5" s="126"/>
      <c r="P5" s="30"/>
      <c r="Q5" s="30"/>
      <c r="R5" s="303"/>
      <c r="S5" s="303"/>
      <c r="T5" s="31"/>
      <c r="U5" s="24"/>
      <c r="X5" s="78"/>
    </row>
    <row r="6" spans="1:24" s="5" customFormat="1" ht="72" customHeight="1">
      <c r="A6" s="72"/>
      <c r="B6" s="7"/>
      <c r="D6" s="74"/>
      <c r="E6" s="74"/>
      <c r="F6" s="130" t="s">
        <v>109</v>
      </c>
      <c r="G6" s="127" t="s">
        <v>125</v>
      </c>
      <c r="H6" s="127"/>
      <c r="I6" s="128" t="s">
        <v>110</v>
      </c>
      <c r="J6" s="128"/>
      <c r="K6" s="128" t="s">
        <v>102</v>
      </c>
      <c r="L6" s="128" t="s">
        <v>82</v>
      </c>
      <c r="M6" s="128" t="s">
        <v>92</v>
      </c>
      <c r="N6" s="128"/>
      <c r="O6" s="128" t="s">
        <v>93</v>
      </c>
      <c r="P6" s="129" t="s">
        <v>130</v>
      </c>
      <c r="Q6" s="129"/>
      <c r="R6" s="127" t="s">
        <v>125</v>
      </c>
      <c r="S6" s="129" t="s">
        <v>126</v>
      </c>
      <c r="T6" s="129" t="s">
        <v>160</v>
      </c>
      <c r="U6" s="131" t="s">
        <v>81</v>
      </c>
    </row>
    <row r="7" spans="1:24" s="5" customFormat="1" ht="18.75" customHeight="1">
      <c r="A7" s="72"/>
      <c r="B7" s="7"/>
      <c r="D7" s="74"/>
      <c r="E7" s="74"/>
      <c r="F7" s="132" t="s">
        <v>135</v>
      </c>
      <c r="G7" s="120" t="s">
        <v>136</v>
      </c>
      <c r="H7" s="121"/>
      <c r="I7" s="122" t="s">
        <v>137</v>
      </c>
      <c r="J7" s="123"/>
      <c r="K7" s="123"/>
      <c r="L7" s="123"/>
      <c r="M7" s="122" t="s">
        <v>138</v>
      </c>
      <c r="N7" s="123"/>
      <c r="O7" s="122" t="s">
        <v>139</v>
      </c>
      <c r="P7" s="124" t="s">
        <v>140</v>
      </c>
      <c r="Q7" s="125"/>
      <c r="R7" s="121" t="s">
        <v>141</v>
      </c>
      <c r="S7" s="124" t="s">
        <v>142</v>
      </c>
      <c r="T7" s="124" t="s">
        <v>143</v>
      </c>
      <c r="U7" s="133" t="s">
        <v>151</v>
      </c>
    </row>
    <row r="8" spans="1:24" ht="15.75" customHeight="1">
      <c r="A8" s="27"/>
      <c r="B8" s="28" t="s">
        <v>0</v>
      </c>
      <c r="C8" s="27"/>
      <c r="D8" s="10"/>
      <c r="E8" s="10"/>
      <c r="F8" s="37"/>
      <c r="G8" s="38"/>
      <c r="H8" s="38"/>
      <c r="I8" s="26"/>
      <c r="J8" s="26"/>
      <c r="K8" s="26"/>
      <c r="L8" s="28"/>
      <c r="M8" s="28"/>
      <c r="N8" s="28"/>
      <c r="O8" s="28"/>
      <c r="P8" s="27"/>
      <c r="Q8" s="27"/>
      <c r="R8" s="27"/>
      <c r="S8" s="27"/>
      <c r="T8" s="27"/>
      <c r="U8" s="27"/>
    </row>
    <row r="9" spans="1:24" ht="15.75" customHeight="1">
      <c r="A9" s="22">
        <v>1</v>
      </c>
      <c r="B9" s="28" t="s">
        <v>39</v>
      </c>
      <c r="C9" s="28"/>
      <c r="D9" s="10"/>
      <c r="E9" s="10"/>
      <c r="F9" s="39">
        <v>454285</v>
      </c>
      <c r="G9" s="39"/>
      <c r="H9" s="39">
        <v>0</v>
      </c>
      <c r="I9" s="147">
        <f>+F9-G9</f>
        <v>454285</v>
      </c>
      <c r="J9" s="40"/>
      <c r="K9" s="41"/>
      <c r="L9" s="41">
        <f>EXP(+'Billing Determinant Index 2013'!P34)</f>
        <v>1.0093158185920246</v>
      </c>
      <c r="M9" s="42">
        <f>L9-1</f>
        <v>9.3158185920245717E-3</v>
      </c>
      <c r="N9" s="42"/>
      <c r="O9" s="40"/>
      <c r="P9" s="43"/>
      <c r="Q9" s="43"/>
      <c r="R9" s="39"/>
      <c r="S9" s="39">
        <f>ROUND(M9*I9,0)</f>
        <v>4232</v>
      </c>
      <c r="T9" s="39"/>
      <c r="U9" s="43">
        <f>I9+S9</f>
        <v>458517</v>
      </c>
    </row>
    <row r="10" spans="1:24" ht="15.75" customHeight="1">
      <c r="A10" s="22">
        <v>2</v>
      </c>
      <c r="B10" s="28" t="s">
        <v>38</v>
      </c>
      <c r="C10" s="28"/>
      <c r="D10" s="10"/>
      <c r="E10" s="10"/>
      <c r="F10" s="39">
        <v>820</v>
      </c>
      <c r="G10" s="39"/>
      <c r="H10" s="39"/>
      <c r="I10" s="147">
        <f>+F10-G10</f>
        <v>820</v>
      </c>
      <c r="J10" s="40"/>
      <c r="K10" s="41"/>
      <c r="L10" s="41">
        <v>1</v>
      </c>
      <c r="M10" s="42"/>
      <c r="N10" s="42"/>
      <c r="O10" s="40"/>
      <c r="P10" s="43"/>
      <c r="Q10" s="43"/>
      <c r="R10" s="43"/>
      <c r="S10" s="39"/>
      <c r="T10" s="39"/>
      <c r="U10" s="43">
        <f>I10+S10</f>
        <v>820</v>
      </c>
    </row>
    <row r="11" spans="1:24" ht="15.75" customHeight="1">
      <c r="A11" s="22">
        <v>3</v>
      </c>
      <c r="B11" s="28" t="s">
        <v>37</v>
      </c>
      <c r="C11" s="28"/>
      <c r="D11" s="10"/>
      <c r="E11" s="10"/>
      <c r="F11" s="44">
        <v>55442</v>
      </c>
      <c r="G11" s="44">
        <v>55442.1</v>
      </c>
      <c r="H11" s="44"/>
      <c r="I11" s="228">
        <f>+F11-G11</f>
        <v>-9.9999999998544808E-2</v>
      </c>
      <c r="J11" s="45"/>
      <c r="K11" s="45"/>
      <c r="L11" s="46"/>
      <c r="M11" s="47"/>
      <c r="N11" s="47"/>
      <c r="O11" s="46"/>
      <c r="P11" s="44"/>
      <c r="Q11" s="44"/>
      <c r="R11" s="44">
        <f>+G11</f>
        <v>55442.1</v>
      </c>
      <c r="S11" s="44"/>
      <c r="T11" s="44"/>
      <c r="U11" s="44">
        <f>R11</f>
        <v>55442.1</v>
      </c>
    </row>
    <row r="12" spans="1:24" ht="15.75" customHeight="1">
      <c r="A12" s="22">
        <v>4</v>
      </c>
      <c r="B12" s="28" t="s">
        <v>94</v>
      </c>
      <c r="C12" s="28"/>
      <c r="D12" s="10"/>
      <c r="E12" s="10"/>
      <c r="F12" s="39">
        <f>SUM(F9:F11)</f>
        <v>510547</v>
      </c>
      <c r="G12" s="40">
        <f>G11+G10+G9</f>
        <v>55442.1</v>
      </c>
      <c r="H12" s="40">
        <f>H11+H10+H9</f>
        <v>0</v>
      </c>
      <c r="I12" s="40">
        <f>I11+I10+I9</f>
        <v>455104.9</v>
      </c>
      <c r="J12" s="40"/>
      <c r="K12" s="40"/>
      <c r="L12" s="41"/>
      <c r="M12" s="42"/>
      <c r="N12" s="42"/>
      <c r="O12" s="43"/>
      <c r="P12" s="43"/>
      <c r="Q12" s="43"/>
      <c r="R12" s="43">
        <f>R9+R10+R11</f>
        <v>55442.1</v>
      </c>
      <c r="S12" s="43">
        <f>S9+S10+S11</f>
        <v>4232</v>
      </c>
      <c r="T12" s="43"/>
      <c r="U12" s="43">
        <f>U9+U10+U11</f>
        <v>514779.1</v>
      </c>
    </row>
    <row r="13" spans="1:24" ht="15.75" customHeight="1">
      <c r="A13" s="22">
        <v>5</v>
      </c>
      <c r="B13" s="28" t="s">
        <v>36</v>
      </c>
      <c r="C13" s="28"/>
      <c r="D13" s="10"/>
      <c r="E13" s="10"/>
      <c r="F13" s="44">
        <v>12598</v>
      </c>
      <c r="G13" s="44">
        <v>685.1391999999978</v>
      </c>
      <c r="H13" s="44"/>
      <c r="I13" s="229">
        <f>+F13-G13</f>
        <v>11912.860800000002</v>
      </c>
      <c r="J13" s="45"/>
      <c r="K13" s="79">
        <v>1.0041178866437559</v>
      </c>
      <c r="L13" s="46">
        <f>(K13)^2</f>
        <v>1.0082527302779227</v>
      </c>
      <c r="M13" s="47">
        <f>L13-1</f>
        <v>8.2527302779227263E-3</v>
      </c>
      <c r="N13" s="47"/>
      <c r="O13" s="45"/>
      <c r="P13" s="44"/>
      <c r="Q13" s="44"/>
      <c r="R13" s="44">
        <f>+G13</f>
        <v>685.1391999999978</v>
      </c>
      <c r="S13" s="44">
        <f>ROUND(M13*I13,0)</f>
        <v>98</v>
      </c>
      <c r="T13" s="44"/>
      <c r="U13" s="44">
        <f>I13+R13+S13</f>
        <v>12696</v>
      </c>
    </row>
    <row r="14" spans="1:24" ht="17.25" customHeight="1">
      <c r="A14" s="22">
        <v>6</v>
      </c>
      <c r="B14" s="28" t="s">
        <v>35</v>
      </c>
      <c r="C14" s="28"/>
      <c r="D14" s="14"/>
      <c r="E14" s="14"/>
      <c r="F14" s="39">
        <f>F12+F13</f>
        <v>523145</v>
      </c>
      <c r="G14" s="39">
        <f>G13+G12</f>
        <v>56127.239199999996</v>
      </c>
      <c r="H14" s="39">
        <f>H13+H12</f>
        <v>0</v>
      </c>
      <c r="I14" s="40">
        <f>I12+I13</f>
        <v>467017.76080000005</v>
      </c>
      <c r="J14" s="40"/>
      <c r="K14" s="40"/>
      <c r="L14" s="41"/>
      <c r="M14" s="42"/>
      <c r="N14" s="42"/>
      <c r="O14" s="39"/>
      <c r="P14" s="39"/>
      <c r="Q14" s="39"/>
      <c r="R14" s="39">
        <f>R13+R12</f>
        <v>56127.239199999996</v>
      </c>
      <c r="S14" s="39">
        <f>S13+S12</f>
        <v>4330</v>
      </c>
      <c r="T14" s="39"/>
      <c r="U14" s="39">
        <f>U13+U12</f>
        <v>527475.1</v>
      </c>
    </row>
    <row r="15" spans="1:24" ht="7.5" customHeight="1">
      <c r="A15" s="23"/>
      <c r="B15" s="28"/>
      <c r="C15" s="28"/>
      <c r="D15" s="14"/>
      <c r="E15" s="14"/>
      <c r="F15" s="39"/>
      <c r="G15" s="39"/>
      <c r="H15" s="39"/>
      <c r="I15" s="40"/>
      <c r="J15" s="40"/>
      <c r="K15" s="40"/>
      <c r="L15" s="41"/>
      <c r="M15" s="42"/>
      <c r="N15" s="42"/>
      <c r="O15" s="48"/>
      <c r="P15" s="43"/>
      <c r="Q15" s="43"/>
      <c r="R15" s="39"/>
      <c r="S15" s="39"/>
      <c r="T15" s="39"/>
      <c r="U15" s="43"/>
    </row>
    <row r="16" spans="1:24" ht="15.75" customHeight="1">
      <c r="A16" s="22"/>
      <c r="B16" s="28" t="s">
        <v>34</v>
      </c>
      <c r="C16" s="28"/>
      <c r="D16" s="14"/>
      <c r="E16" s="14"/>
      <c r="F16" s="39"/>
      <c r="G16" s="39"/>
      <c r="H16" s="39"/>
      <c r="I16" s="40"/>
      <c r="J16" s="40"/>
      <c r="K16" s="40"/>
      <c r="L16" s="41"/>
      <c r="M16" s="42"/>
      <c r="N16" s="42"/>
      <c r="O16" s="41"/>
      <c r="P16" s="43"/>
      <c r="Q16" s="43"/>
      <c r="R16" s="39"/>
      <c r="S16" s="39"/>
      <c r="T16" s="39"/>
      <c r="U16" s="43"/>
    </row>
    <row r="17" spans="1:22" ht="15.75" customHeight="1">
      <c r="A17" s="22"/>
      <c r="B17" s="28" t="s">
        <v>33</v>
      </c>
      <c r="C17" s="28"/>
      <c r="D17" s="14"/>
      <c r="E17" s="14"/>
      <c r="F17" s="39"/>
      <c r="G17" s="39"/>
      <c r="H17" s="39"/>
      <c r="I17" s="40"/>
      <c r="J17" s="40"/>
      <c r="K17" s="107"/>
      <c r="L17" s="42"/>
      <c r="M17" s="42"/>
      <c r="N17" s="42"/>
      <c r="O17" s="49"/>
      <c r="P17" s="43"/>
      <c r="Q17" s="43"/>
      <c r="R17" s="39"/>
      <c r="S17" s="39"/>
      <c r="T17" s="39"/>
      <c r="U17" s="43"/>
    </row>
    <row r="18" spans="1:22" ht="15.75" customHeight="1">
      <c r="A18" s="22">
        <v>7</v>
      </c>
      <c r="B18" s="28"/>
      <c r="C18" s="28" t="s">
        <v>27</v>
      </c>
      <c r="D18" s="14"/>
      <c r="E18" s="14"/>
      <c r="F18" s="39">
        <v>142721</v>
      </c>
      <c r="G18" s="39">
        <v>94466.668389010112</v>
      </c>
      <c r="H18" s="39"/>
      <c r="I18" s="40">
        <f>F18+H18-G18</f>
        <v>48254.331610989888</v>
      </c>
      <c r="J18" s="40"/>
      <c r="K18" s="106">
        <v>1.047431336367133</v>
      </c>
      <c r="L18" s="80">
        <f>(K18)^2</f>
        <v>1.0971124044038383</v>
      </c>
      <c r="M18" s="50">
        <f>L18-1</f>
        <v>9.7112404403838282E-2</v>
      </c>
      <c r="N18" s="50"/>
      <c r="O18" s="40">
        <f>ROUND(M18*I18,0)</f>
        <v>4686</v>
      </c>
      <c r="P18" s="43">
        <f>O18+I18</f>
        <v>52940.331610989888</v>
      </c>
      <c r="Q18" s="43"/>
      <c r="R18" s="39">
        <f>+G18</f>
        <v>94466.668389010112</v>
      </c>
      <c r="S18" s="39"/>
      <c r="T18" s="39"/>
      <c r="U18" s="43">
        <f>P18+R18+S18+T18</f>
        <v>147407</v>
      </c>
    </row>
    <row r="19" spans="1:22" ht="15.75" customHeight="1">
      <c r="A19" s="22">
        <v>8</v>
      </c>
      <c r="B19" s="28"/>
      <c r="C19" s="28" t="s">
        <v>32</v>
      </c>
      <c r="D19" s="14"/>
      <c r="E19" s="14"/>
      <c r="F19" s="39">
        <v>85027</v>
      </c>
      <c r="G19" s="39">
        <f>F19</f>
        <v>85027</v>
      </c>
      <c r="H19" s="39"/>
      <c r="I19" s="40">
        <f>F19+H19-G19</f>
        <v>0</v>
      </c>
      <c r="J19" s="40"/>
      <c r="K19" s="60"/>
      <c r="L19" s="41"/>
      <c r="M19" s="42"/>
      <c r="N19" s="42"/>
      <c r="O19" s="40">
        <f>ROUND(M19*I19,0)</f>
        <v>0</v>
      </c>
      <c r="P19" s="43">
        <f>O19+I19</f>
        <v>0</v>
      </c>
      <c r="Q19" s="43"/>
      <c r="R19" s="39">
        <f>+G19</f>
        <v>85027</v>
      </c>
      <c r="S19" s="39">
        <v>1874</v>
      </c>
      <c r="T19" s="39"/>
      <c r="U19" s="43">
        <f t="shared" ref="U19:U22" si="0">P19+R19+S19+T19</f>
        <v>86901</v>
      </c>
    </row>
    <row r="20" spans="1:22" ht="15.75" customHeight="1">
      <c r="A20" s="22">
        <v>9</v>
      </c>
      <c r="B20" s="28"/>
      <c r="C20" s="28" t="s">
        <v>76</v>
      </c>
      <c r="D20" s="14"/>
      <c r="E20" s="14"/>
      <c r="F20" s="39">
        <v>21916</v>
      </c>
      <c r="G20" s="39"/>
      <c r="H20" s="39"/>
      <c r="I20" s="40">
        <f>F20+H20-G20</f>
        <v>21916</v>
      </c>
      <c r="J20" s="40"/>
      <c r="K20" s="106">
        <v>1.0556175858578609</v>
      </c>
      <c r="L20" s="80">
        <f>(K20)^2</f>
        <v>1.1143284875723785</v>
      </c>
      <c r="M20" s="50">
        <f>L20-1</f>
        <v>0.11432848757237846</v>
      </c>
      <c r="N20" s="50"/>
      <c r="O20" s="40">
        <f>ROUND(M20*I20,0)</f>
        <v>2506</v>
      </c>
      <c r="P20" s="43">
        <f>O20+I20</f>
        <v>24422</v>
      </c>
      <c r="Q20" s="43"/>
      <c r="R20" s="39"/>
      <c r="S20" s="39"/>
      <c r="T20" s="39"/>
      <c r="U20" s="43">
        <f t="shared" si="0"/>
        <v>24422</v>
      </c>
      <c r="V20" s="8"/>
    </row>
    <row r="21" spans="1:22" ht="15.75" customHeight="1">
      <c r="A21" s="22">
        <v>10</v>
      </c>
      <c r="B21" s="28"/>
      <c r="C21" s="28" t="s">
        <v>77</v>
      </c>
      <c r="D21" s="14"/>
      <c r="E21" s="14"/>
      <c r="F21" s="39">
        <v>5013</v>
      </c>
      <c r="G21" s="39"/>
      <c r="H21" s="39">
        <v>0</v>
      </c>
      <c r="I21" s="40">
        <f>F21+H21-G21</f>
        <v>5013</v>
      </c>
      <c r="J21" s="40"/>
      <c r="K21" s="81"/>
      <c r="L21" s="41"/>
      <c r="M21" s="50"/>
      <c r="N21" s="50"/>
      <c r="O21" s="40">
        <f t="shared" ref="O21:O22" si="1">ROUND(M21*I21,0)</f>
        <v>0</v>
      </c>
      <c r="P21" s="43">
        <f>O21+I21</f>
        <v>5013</v>
      </c>
      <c r="Q21" s="43"/>
      <c r="R21" s="39"/>
      <c r="S21" s="39"/>
      <c r="T21" s="39"/>
      <c r="U21" s="43">
        <f t="shared" si="0"/>
        <v>5013</v>
      </c>
    </row>
    <row r="22" spans="1:22" ht="15.75" customHeight="1">
      <c r="A22" s="22">
        <v>11</v>
      </c>
      <c r="B22" s="28"/>
      <c r="C22" s="24" t="s">
        <v>26</v>
      </c>
      <c r="D22" s="14"/>
      <c r="E22" s="14"/>
      <c r="F22" s="44">
        <v>11072</v>
      </c>
      <c r="G22" s="44"/>
      <c r="H22" s="44"/>
      <c r="I22" s="45">
        <f>F22+H22-G22</f>
        <v>11072</v>
      </c>
      <c r="J22" s="45"/>
      <c r="K22" s="79">
        <v>1.0412792324819637</v>
      </c>
      <c r="L22" s="46">
        <f>(K22)^2</f>
        <v>1.0842624399982275</v>
      </c>
      <c r="M22" s="47">
        <f>L22-1</f>
        <v>8.4262439998227467E-2</v>
      </c>
      <c r="N22" s="47"/>
      <c r="O22" s="45">
        <f t="shared" si="1"/>
        <v>933</v>
      </c>
      <c r="P22" s="44">
        <f>O22+I22</f>
        <v>12005</v>
      </c>
      <c r="Q22" s="44"/>
      <c r="R22" s="44"/>
      <c r="S22" s="44"/>
      <c r="T22" s="44"/>
      <c r="U22" s="44">
        <f t="shared" si="0"/>
        <v>12005</v>
      </c>
    </row>
    <row r="23" spans="1:22" ht="15.75" customHeight="1">
      <c r="A23" s="22">
        <v>12</v>
      </c>
      <c r="B23" s="28"/>
      <c r="C23" s="24" t="s">
        <v>86</v>
      </c>
      <c r="D23" s="10"/>
      <c r="E23" s="10"/>
      <c r="F23" s="39">
        <f>SUM(F18:F22)</f>
        <v>265749</v>
      </c>
      <c r="G23" s="40">
        <f>G18+G19+G20+G21+G22</f>
        <v>179493.66838901013</v>
      </c>
      <c r="H23" s="40">
        <f>H18+H19+H20+H21+H22</f>
        <v>0</v>
      </c>
      <c r="I23" s="40">
        <f>I18+I19+I20+I21+I22</f>
        <v>86255.331610989888</v>
      </c>
      <c r="J23" s="40"/>
      <c r="K23" s="81"/>
      <c r="L23" s="41"/>
      <c r="M23" s="42"/>
      <c r="N23" s="42"/>
      <c r="O23" s="40">
        <f>O18+O19+O20+O21+O22</f>
        <v>8125</v>
      </c>
      <c r="P23" s="40">
        <f>P18+P19+P20+P21+P22</f>
        <v>94380.331610989888</v>
      </c>
      <c r="Q23" s="40"/>
      <c r="R23" s="40">
        <f>R18+R19+R20+R21+R22</f>
        <v>179493.66838901013</v>
      </c>
      <c r="S23" s="40">
        <f>S18+S19+S20+S21+S22</f>
        <v>1874</v>
      </c>
      <c r="T23" s="40">
        <f>T18+T19+T20+T21+T22</f>
        <v>0</v>
      </c>
      <c r="U23" s="40">
        <f>U18+U19+U20+U21+U22</f>
        <v>275748</v>
      </c>
    </row>
    <row r="24" spans="1:22" ht="6" customHeight="1">
      <c r="A24" s="22"/>
      <c r="B24" s="28"/>
      <c r="C24" s="24"/>
      <c r="D24" s="10"/>
      <c r="E24" s="10"/>
      <c r="F24" s="39"/>
      <c r="G24" s="39"/>
      <c r="H24" s="39"/>
      <c r="I24" s="40"/>
      <c r="J24" s="40"/>
      <c r="K24" s="81"/>
      <c r="L24" s="41"/>
      <c r="M24" s="42"/>
      <c r="N24" s="42"/>
      <c r="O24" s="41"/>
      <c r="P24" s="43"/>
      <c r="Q24" s="43"/>
      <c r="R24" s="39"/>
      <c r="S24" s="39"/>
      <c r="T24" s="39"/>
      <c r="U24" s="43"/>
    </row>
    <row r="25" spans="1:22" ht="15.75" customHeight="1">
      <c r="A25" s="22"/>
      <c r="B25" s="28" t="s">
        <v>17</v>
      </c>
      <c r="C25" s="24"/>
      <c r="D25" s="10"/>
      <c r="E25" s="10"/>
      <c r="F25" s="39"/>
      <c r="G25" s="51"/>
      <c r="H25" s="51"/>
      <c r="I25" s="40"/>
      <c r="J25" s="40"/>
      <c r="K25" s="81"/>
      <c r="L25" s="41"/>
      <c r="M25" s="42"/>
      <c r="N25" s="42"/>
      <c r="O25" s="41"/>
      <c r="P25" s="43"/>
      <c r="Q25" s="43"/>
      <c r="R25" s="39"/>
      <c r="S25" s="39"/>
      <c r="T25" s="39"/>
      <c r="U25" s="43"/>
    </row>
    <row r="26" spans="1:22" ht="15.75" customHeight="1">
      <c r="A26" s="22">
        <v>13</v>
      </c>
      <c r="B26" s="28"/>
      <c r="C26" s="24" t="s">
        <v>27</v>
      </c>
      <c r="D26" s="10"/>
      <c r="E26" s="10"/>
      <c r="F26" s="39">
        <v>17863</v>
      </c>
      <c r="G26" s="51"/>
      <c r="H26" s="51"/>
      <c r="I26" s="40">
        <f>F26+H26-G26</f>
        <v>17863</v>
      </c>
      <c r="J26" s="40"/>
      <c r="K26" s="106">
        <v>1.047431336367133</v>
      </c>
      <c r="L26" s="41">
        <f>L18</f>
        <v>1.0971124044038383</v>
      </c>
      <c r="M26" s="42">
        <f>L26-1</f>
        <v>9.7112404403838282E-2</v>
      </c>
      <c r="N26" s="42"/>
      <c r="O26" s="40">
        <f t="shared" ref="O26:O28" si="2">ROUND(M26*I26,0)</f>
        <v>1735</v>
      </c>
      <c r="P26" s="43">
        <f>O26+I26</f>
        <v>19598</v>
      </c>
      <c r="Q26" s="43"/>
      <c r="R26" s="39"/>
      <c r="S26" s="39"/>
      <c r="T26" s="39"/>
      <c r="U26" s="43">
        <f t="shared" ref="U26:U28" si="3">P26+R26+S26+T26</f>
        <v>19598</v>
      </c>
    </row>
    <row r="27" spans="1:22" ht="15.75" customHeight="1">
      <c r="A27" s="22">
        <v>14</v>
      </c>
      <c r="B27" s="28"/>
      <c r="C27" s="24" t="s">
        <v>78</v>
      </c>
      <c r="D27" s="10"/>
      <c r="E27" s="10"/>
      <c r="F27" s="39">
        <v>19708</v>
      </c>
      <c r="G27" s="51"/>
      <c r="H27" s="51"/>
      <c r="I27" s="40">
        <f>F27+H27-G27</f>
        <v>19708</v>
      </c>
      <c r="J27" s="40"/>
      <c r="K27" s="106">
        <v>1.0556175858578609</v>
      </c>
      <c r="L27" s="80">
        <f>(K27)^2</f>
        <v>1.1143284875723785</v>
      </c>
      <c r="M27" s="42">
        <f>L27-1</f>
        <v>0.11432848757237846</v>
      </c>
      <c r="N27" s="42"/>
      <c r="O27" s="40">
        <f t="shared" si="2"/>
        <v>2253</v>
      </c>
      <c r="P27" s="43">
        <f>O27+I27</f>
        <v>21961</v>
      </c>
      <c r="Q27" s="43"/>
      <c r="R27" s="39"/>
      <c r="S27" s="39"/>
      <c r="T27" s="39"/>
      <c r="U27" s="43">
        <f t="shared" si="3"/>
        <v>21961</v>
      </c>
    </row>
    <row r="28" spans="1:22" ht="15.75" customHeight="1">
      <c r="A28" s="22">
        <v>15</v>
      </c>
      <c r="B28" s="28"/>
      <c r="C28" s="24" t="s">
        <v>26</v>
      </c>
      <c r="D28" s="10"/>
      <c r="E28" s="10"/>
      <c r="F28" s="44">
        <v>22196</v>
      </c>
      <c r="G28" s="52"/>
      <c r="H28" s="44">
        <v>0</v>
      </c>
      <c r="I28" s="45">
        <f>F28+H28-G28</f>
        <v>22196</v>
      </c>
      <c r="J28" s="45"/>
      <c r="K28" s="79">
        <v>1.0412792324819637</v>
      </c>
      <c r="L28" s="46">
        <f>L22</f>
        <v>1.0842624399982275</v>
      </c>
      <c r="M28" s="47">
        <f>L28-1</f>
        <v>8.4262439998227467E-2</v>
      </c>
      <c r="N28" s="47"/>
      <c r="O28" s="45">
        <f t="shared" si="2"/>
        <v>1870</v>
      </c>
      <c r="P28" s="44">
        <f>O28+I28</f>
        <v>24066</v>
      </c>
      <c r="Q28" s="44"/>
      <c r="R28" s="44"/>
      <c r="S28" s="44">
        <v>163.19438399999999</v>
      </c>
      <c r="T28" s="44"/>
      <c r="U28" s="44">
        <f t="shared" si="3"/>
        <v>24229.194383999999</v>
      </c>
    </row>
    <row r="29" spans="1:22" ht="15.75" customHeight="1">
      <c r="A29" s="22">
        <v>16</v>
      </c>
      <c r="B29" s="28"/>
      <c r="C29" s="24" t="s">
        <v>87</v>
      </c>
      <c r="D29" s="10"/>
      <c r="E29" s="10"/>
      <c r="F29" s="39">
        <f>SUM(F26:F28)</f>
        <v>59767</v>
      </c>
      <c r="G29" s="53"/>
      <c r="H29" s="40">
        <f>H26+H27+H28</f>
        <v>0</v>
      </c>
      <c r="I29" s="40">
        <f>SUM(I26:I28)</f>
        <v>59767</v>
      </c>
      <c r="J29" s="40"/>
      <c r="K29" s="81"/>
      <c r="L29" s="41"/>
      <c r="M29" s="42"/>
      <c r="N29" s="42"/>
      <c r="O29" s="40">
        <f>O26+O27+O28</f>
        <v>5858</v>
      </c>
      <c r="P29" s="40">
        <f>P26+P27+P28</f>
        <v>65625</v>
      </c>
      <c r="Q29" s="40"/>
      <c r="R29" s="40">
        <f>R26+R27+R28</f>
        <v>0</v>
      </c>
      <c r="S29" s="40">
        <f>S26+S27+S28</f>
        <v>163.19438399999999</v>
      </c>
      <c r="T29" s="40">
        <f>T26+T27+T28</f>
        <v>0</v>
      </c>
      <c r="U29" s="40">
        <f>U26+U27+U28</f>
        <v>65788.194384000002</v>
      </c>
    </row>
    <row r="30" spans="1:22" ht="5.25" customHeight="1">
      <c r="A30" s="22"/>
      <c r="B30" s="28"/>
      <c r="C30" s="24"/>
      <c r="D30" s="10"/>
      <c r="E30" s="10"/>
      <c r="F30" s="39"/>
      <c r="G30" s="54"/>
      <c r="H30" s="54"/>
      <c r="I30" s="40"/>
      <c r="J30" s="40"/>
      <c r="K30" s="81"/>
      <c r="L30" s="41"/>
      <c r="M30" s="42"/>
      <c r="N30" s="42"/>
      <c r="O30" s="41"/>
      <c r="P30" s="43"/>
      <c r="Q30" s="43"/>
      <c r="R30" s="39"/>
      <c r="S30" s="39"/>
      <c r="T30" s="39"/>
      <c r="U30" s="43"/>
    </row>
    <row r="31" spans="1:22" ht="15.75" customHeight="1">
      <c r="A31" s="22">
        <v>17</v>
      </c>
      <c r="B31" s="28" t="s">
        <v>31</v>
      </c>
      <c r="C31" s="24"/>
      <c r="D31" s="10"/>
      <c r="E31" s="10"/>
      <c r="F31" s="39">
        <v>10279</v>
      </c>
      <c r="G31" s="39"/>
      <c r="H31" s="39">
        <v>0</v>
      </c>
      <c r="I31" s="40">
        <f>F31+H31-G31</f>
        <v>10279</v>
      </c>
      <c r="J31" s="40"/>
      <c r="K31" s="81">
        <v>1.047431336367133</v>
      </c>
      <c r="L31" s="41">
        <f>L18</f>
        <v>1.0971124044038383</v>
      </c>
      <c r="M31" s="42">
        <f>L31-1</f>
        <v>9.7112404403838282E-2</v>
      </c>
      <c r="N31" s="42"/>
      <c r="O31" s="40">
        <f t="shared" ref="O31:O33" si="4">ROUND(M31*I31,0)</f>
        <v>998</v>
      </c>
      <c r="P31" s="43">
        <f>O31+I31</f>
        <v>11277</v>
      </c>
      <c r="Q31" s="43"/>
      <c r="R31" s="39"/>
      <c r="S31" s="39">
        <v>18.358415999999998</v>
      </c>
      <c r="T31" s="39"/>
      <c r="U31" s="43">
        <f t="shared" ref="U31:U33" si="5">P31+R31+S31+T31</f>
        <v>11295.358415999999</v>
      </c>
    </row>
    <row r="32" spans="1:22" ht="15.75" customHeight="1">
      <c r="A32" s="22">
        <v>18</v>
      </c>
      <c r="B32" s="28" t="s">
        <v>30</v>
      </c>
      <c r="C32" s="24"/>
      <c r="D32" s="10"/>
      <c r="E32" s="10"/>
      <c r="F32" s="39">
        <v>1189</v>
      </c>
      <c r="G32" s="39"/>
      <c r="H32" s="39">
        <v>0</v>
      </c>
      <c r="I32" s="40">
        <f t="shared" ref="I32:I33" si="6">F32+H32-G32</f>
        <v>1189</v>
      </c>
      <c r="J32" s="40"/>
      <c r="K32" s="81">
        <v>1.047431336367133</v>
      </c>
      <c r="L32" s="41">
        <f>L31</f>
        <v>1.0971124044038383</v>
      </c>
      <c r="M32" s="42">
        <f>L32-1</f>
        <v>9.7112404403838282E-2</v>
      </c>
      <c r="N32" s="42"/>
      <c r="O32" s="40">
        <f t="shared" si="4"/>
        <v>115</v>
      </c>
      <c r="P32" s="43">
        <f>O32+I32</f>
        <v>1304</v>
      </c>
      <c r="Q32" s="43"/>
      <c r="R32" s="39"/>
      <c r="S32" s="39"/>
      <c r="T32" s="39"/>
      <c r="U32" s="43">
        <f t="shared" si="5"/>
        <v>1304</v>
      </c>
    </row>
    <row r="33" spans="1:22" ht="15.75" customHeight="1">
      <c r="A33" s="22">
        <v>19</v>
      </c>
      <c r="B33" s="28" t="s">
        <v>29</v>
      </c>
      <c r="C33" s="24"/>
      <c r="D33" s="10"/>
      <c r="E33" s="10"/>
      <c r="F33" s="39">
        <v>4</v>
      </c>
      <c r="G33" s="39"/>
      <c r="H33" s="39"/>
      <c r="I33" s="40">
        <f t="shared" si="6"/>
        <v>4</v>
      </c>
      <c r="J33" s="40"/>
      <c r="K33" s="81">
        <v>1.047431336367133</v>
      </c>
      <c r="L33" s="41">
        <f>L18</f>
        <v>1.0971124044038383</v>
      </c>
      <c r="M33" s="42">
        <f>L33-1</f>
        <v>9.7112404403838282E-2</v>
      </c>
      <c r="N33" s="42"/>
      <c r="O33" s="40">
        <f t="shared" si="4"/>
        <v>0</v>
      </c>
      <c r="P33" s="43">
        <f>O33+I33</f>
        <v>4</v>
      </c>
      <c r="Q33" s="43"/>
      <c r="R33" s="39"/>
      <c r="S33" s="39"/>
      <c r="T33" s="39"/>
      <c r="U33" s="43">
        <f t="shared" si="5"/>
        <v>4</v>
      </c>
    </row>
    <row r="34" spans="1:22" ht="9" customHeight="1">
      <c r="A34" s="22"/>
      <c r="B34" s="28"/>
      <c r="C34" s="24"/>
      <c r="D34" s="10"/>
      <c r="E34" s="10"/>
      <c r="F34" s="39"/>
      <c r="G34" s="39"/>
      <c r="H34" s="39"/>
      <c r="I34" s="40"/>
      <c r="J34" s="40"/>
      <c r="K34" s="81"/>
      <c r="L34" s="41"/>
      <c r="M34" s="42"/>
      <c r="N34" s="42"/>
      <c r="O34" s="41"/>
      <c r="P34" s="43"/>
      <c r="Q34" s="43"/>
      <c r="R34" s="39"/>
      <c r="S34" s="39"/>
      <c r="T34" s="39"/>
      <c r="U34" s="43"/>
    </row>
    <row r="35" spans="1:22" ht="15.75" customHeight="1">
      <c r="A35" s="22"/>
      <c r="B35" s="28" t="s">
        <v>28</v>
      </c>
      <c r="C35" s="24"/>
      <c r="D35" s="10"/>
      <c r="E35" s="10"/>
      <c r="F35" s="39"/>
      <c r="G35" s="39"/>
      <c r="H35" s="39"/>
      <c r="I35" s="40"/>
      <c r="J35" s="40"/>
      <c r="K35" s="81"/>
      <c r="L35" s="41"/>
      <c r="M35" s="42"/>
      <c r="N35" s="42"/>
      <c r="O35" s="41"/>
      <c r="P35" s="43"/>
      <c r="Q35" s="43"/>
      <c r="R35" s="39"/>
      <c r="S35" s="39"/>
      <c r="T35" s="39"/>
      <c r="U35" s="43"/>
    </row>
    <row r="36" spans="1:22" ht="15.75" customHeight="1">
      <c r="A36" s="22">
        <v>20</v>
      </c>
      <c r="B36" s="28"/>
      <c r="C36" s="24" t="s">
        <v>27</v>
      </c>
      <c r="D36" s="10"/>
      <c r="E36" s="10"/>
      <c r="F36" s="39">
        <v>43162</v>
      </c>
      <c r="G36" s="39"/>
      <c r="H36" s="39">
        <v>0</v>
      </c>
      <c r="I36" s="40">
        <f t="shared" ref="I36:I37" si="7">F36+H36-G36</f>
        <v>43162</v>
      </c>
      <c r="J36" s="40"/>
      <c r="K36" s="106">
        <v>1.047431336367133</v>
      </c>
      <c r="L36" s="41">
        <f>L18</f>
        <v>1.0971124044038383</v>
      </c>
      <c r="M36" s="42">
        <f>L36-1</f>
        <v>9.7112404403838282E-2</v>
      </c>
      <c r="N36" s="42"/>
      <c r="O36" s="40">
        <f t="shared" ref="O36:O38" si="8">ROUND(M36*I36,0)</f>
        <v>4192</v>
      </c>
      <c r="P36" s="43">
        <f>O36+I36</f>
        <v>47354</v>
      </c>
      <c r="Q36" s="43"/>
      <c r="R36" s="39"/>
      <c r="S36" s="39">
        <v>8.4640000000000004</v>
      </c>
      <c r="T36" s="39"/>
      <c r="U36" s="43">
        <f t="shared" ref="U36:U38" si="9">P36+R36+S36+T36</f>
        <v>47362.464</v>
      </c>
    </row>
    <row r="37" spans="1:22" ht="15.75" customHeight="1">
      <c r="A37" s="22">
        <v>21</v>
      </c>
      <c r="B37" s="28"/>
      <c r="C37" s="24" t="s">
        <v>78</v>
      </c>
      <c r="D37" s="10"/>
      <c r="E37" s="10"/>
      <c r="F37" s="39">
        <v>11620</v>
      </c>
      <c r="G37" s="39"/>
      <c r="H37" s="39"/>
      <c r="I37" s="40">
        <f t="shared" si="7"/>
        <v>11620</v>
      </c>
      <c r="J37" s="40"/>
      <c r="K37" s="106">
        <v>1.0556175858578609</v>
      </c>
      <c r="L37" s="80">
        <f>(K37)^2</f>
        <v>1.1143284875723785</v>
      </c>
      <c r="M37" s="42">
        <f>L37-1</f>
        <v>0.11432848757237846</v>
      </c>
      <c r="N37" s="42"/>
      <c r="O37" s="40">
        <f t="shared" si="8"/>
        <v>1328</v>
      </c>
      <c r="P37" s="43">
        <f>O37+I37</f>
        <v>12948</v>
      </c>
      <c r="Q37" s="43"/>
      <c r="R37" s="39"/>
      <c r="S37" s="39"/>
      <c r="T37" s="39"/>
      <c r="U37" s="43">
        <f t="shared" si="9"/>
        <v>12948</v>
      </c>
    </row>
    <row r="38" spans="1:22" ht="15.75" customHeight="1">
      <c r="A38" s="22">
        <v>22</v>
      </c>
      <c r="B38" s="28"/>
      <c r="C38" s="24" t="s">
        <v>26</v>
      </c>
      <c r="D38" s="10"/>
      <c r="E38" s="10"/>
      <c r="F38" s="44">
        <v>0</v>
      </c>
      <c r="G38" s="44"/>
      <c r="H38" s="44"/>
      <c r="I38" s="45">
        <f>F38+H38-G38</f>
        <v>0</v>
      </c>
      <c r="J38" s="45"/>
      <c r="K38" s="79">
        <v>1.0412792324819637</v>
      </c>
      <c r="L38" s="46">
        <f>L22</f>
        <v>1.0842624399982275</v>
      </c>
      <c r="M38" s="47">
        <f>L38-1</f>
        <v>8.4262439998227467E-2</v>
      </c>
      <c r="N38" s="47"/>
      <c r="O38" s="45">
        <f t="shared" si="8"/>
        <v>0</v>
      </c>
      <c r="P38" s="44">
        <f>O38+I38</f>
        <v>0</v>
      </c>
      <c r="Q38" s="44"/>
      <c r="R38" s="44"/>
      <c r="S38" s="44"/>
      <c r="T38" s="44"/>
      <c r="U38" s="44">
        <f t="shared" si="9"/>
        <v>0</v>
      </c>
    </row>
    <row r="39" spans="1:22" ht="15.75" customHeight="1">
      <c r="A39" s="22">
        <v>23</v>
      </c>
      <c r="B39" s="28"/>
      <c r="C39" s="24" t="s">
        <v>88</v>
      </c>
      <c r="D39" s="10"/>
      <c r="E39" s="10"/>
      <c r="F39" s="39">
        <f>SUM(F36:F38)</f>
        <v>54782</v>
      </c>
      <c r="G39" s="40">
        <f>G36+G37+G38</f>
        <v>0</v>
      </c>
      <c r="H39" s="40">
        <f>H36+H37+H38</f>
        <v>0</v>
      </c>
      <c r="I39" s="40">
        <f>I36+I37+I38</f>
        <v>54782</v>
      </c>
      <c r="J39" s="40"/>
      <c r="K39" s="40"/>
      <c r="L39" s="41"/>
      <c r="M39" s="42"/>
      <c r="N39" s="42"/>
      <c r="O39" s="40">
        <f>O36+O37+O38</f>
        <v>5520</v>
      </c>
      <c r="P39" s="40">
        <f>P36+P37+P38</f>
        <v>60302</v>
      </c>
      <c r="Q39" s="40"/>
      <c r="R39" s="40">
        <f>R36+R37+R38</f>
        <v>0</v>
      </c>
      <c r="S39" s="40">
        <f>S36+S37+S38</f>
        <v>8.4640000000000004</v>
      </c>
      <c r="T39" s="40">
        <f>T36+T37+T38</f>
        <v>0</v>
      </c>
      <c r="U39" s="40">
        <f>U36+U37+U38</f>
        <v>60310.464</v>
      </c>
    </row>
    <row r="40" spans="1:22" ht="15.75" customHeight="1">
      <c r="A40" s="22">
        <v>24</v>
      </c>
      <c r="B40" s="28" t="s">
        <v>25</v>
      </c>
      <c r="C40" s="24"/>
      <c r="D40" s="10"/>
      <c r="E40" s="10"/>
      <c r="F40" s="44">
        <f>F23+F29+F31+F32+F33+F39</f>
        <v>391770</v>
      </c>
      <c r="G40" s="44">
        <f>G23+G29+G31+G32+G33+G39</f>
        <v>179493.66838901013</v>
      </c>
      <c r="H40" s="44">
        <f>H23+H29+H31+H32+H33+H39</f>
        <v>0</v>
      </c>
      <c r="I40" s="44">
        <f>I23+I29+I31+I32+I33+I39</f>
        <v>212276.33161098987</v>
      </c>
      <c r="J40" s="44"/>
      <c r="K40" s="44"/>
      <c r="L40" s="46"/>
      <c r="M40" s="47"/>
      <c r="N40" s="47"/>
      <c r="O40" s="44">
        <f>O23+O29+O31+O32+O33+O39</f>
        <v>20616</v>
      </c>
      <c r="P40" s="44">
        <f>P23+P29+P31+P32+P33+P39</f>
        <v>232892.33161098987</v>
      </c>
      <c r="Q40" s="44"/>
      <c r="R40" s="44">
        <f>R23+R29+R31+R32+R33+R39</f>
        <v>179493.66838901013</v>
      </c>
      <c r="S40" s="44">
        <f>S23+S29+S31+S32+S33+S39</f>
        <v>2064.0167999999999</v>
      </c>
      <c r="T40" s="44">
        <f>T23+T29+T31+T32+T33+T39</f>
        <v>0</v>
      </c>
      <c r="U40" s="44">
        <f>U23+U29+U31+U32+U33+U39</f>
        <v>414450.01679999998</v>
      </c>
    </row>
    <row r="41" spans="1:22" ht="15.75" customHeight="1">
      <c r="A41" s="22">
        <v>25</v>
      </c>
      <c r="B41" s="28" t="s">
        <v>24</v>
      </c>
      <c r="C41" s="28"/>
      <c r="D41" s="10"/>
      <c r="E41" s="10"/>
      <c r="F41" s="44">
        <f>F14-F40</f>
        <v>131375</v>
      </c>
      <c r="G41" s="44">
        <f>G14-G40</f>
        <v>-123366.42918901013</v>
      </c>
      <c r="H41" s="44">
        <f>H14-H40</f>
        <v>0</v>
      </c>
      <c r="I41" s="44">
        <f>I14-I40</f>
        <v>254741.42918901017</v>
      </c>
      <c r="J41" s="44"/>
      <c r="K41" s="44"/>
      <c r="L41" s="46"/>
      <c r="M41" s="47"/>
      <c r="N41" s="44"/>
      <c r="O41" s="44">
        <f t="shared" ref="O41:U41" si="10">O14-O40</f>
        <v>-20616</v>
      </c>
      <c r="P41" s="44">
        <f t="shared" si="10"/>
        <v>-232892.33161098987</v>
      </c>
      <c r="Q41" s="44">
        <f t="shared" si="10"/>
        <v>0</v>
      </c>
      <c r="R41" s="44">
        <f t="shared" si="10"/>
        <v>-123366.42918901013</v>
      </c>
      <c r="S41" s="44">
        <f t="shared" si="10"/>
        <v>2265.9832000000001</v>
      </c>
      <c r="T41" s="44">
        <f t="shared" si="10"/>
        <v>0</v>
      </c>
      <c r="U41" s="44">
        <f t="shared" si="10"/>
        <v>113025.08319999999</v>
      </c>
    </row>
    <row r="42" spans="1:22" ht="15.75">
      <c r="B42" s="2"/>
      <c r="C42" s="2"/>
      <c r="D42" s="10"/>
      <c r="E42" s="10"/>
      <c r="F42" s="75"/>
      <c r="G42" s="76"/>
      <c r="H42" s="76"/>
      <c r="I42" s="64"/>
      <c r="J42" s="64"/>
      <c r="K42" s="64"/>
      <c r="L42" s="24"/>
      <c r="M42" s="73"/>
      <c r="N42" s="73"/>
      <c r="O42" s="73"/>
      <c r="P42" s="77"/>
      <c r="Q42" s="77"/>
      <c r="R42" s="77"/>
      <c r="S42" s="77"/>
      <c r="T42" s="77"/>
      <c r="U42" s="77"/>
    </row>
    <row r="43" spans="1:22" ht="15.75" customHeight="1">
      <c r="A43" s="22"/>
      <c r="B43" s="28" t="s">
        <v>3</v>
      </c>
      <c r="C43" s="28"/>
      <c r="D43" s="10"/>
      <c r="E43" s="10"/>
      <c r="F43" s="39"/>
      <c r="G43" s="39"/>
      <c r="H43" s="39"/>
      <c r="I43" s="40"/>
      <c r="J43" s="40"/>
      <c r="K43" s="40"/>
      <c r="L43" s="41"/>
      <c r="M43" s="42"/>
      <c r="N43" s="42"/>
      <c r="O43" s="41"/>
      <c r="P43" s="55"/>
      <c r="Q43" s="55"/>
      <c r="R43" s="39"/>
      <c r="S43" s="39"/>
      <c r="T43" s="39"/>
      <c r="U43" s="56"/>
    </row>
    <row r="44" spans="1:22" ht="15.75" customHeight="1">
      <c r="A44" s="22">
        <v>26</v>
      </c>
      <c r="B44" s="27"/>
      <c r="C44" s="28" t="s">
        <v>79</v>
      </c>
      <c r="D44" s="10"/>
      <c r="E44" s="10"/>
      <c r="F44" s="39">
        <v>18038</v>
      </c>
      <c r="G44" s="82">
        <f>ROUND(G41*0.35,0)</f>
        <v>-43178</v>
      </c>
      <c r="H44" s="39">
        <v>0</v>
      </c>
      <c r="I44" s="40">
        <f>F44-G44+H44</f>
        <v>61216</v>
      </c>
      <c r="J44" s="40"/>
      <c r="K44" s="40"/>
      <c r="L44" s="41"/>
      <c r="M44" s="42"/>
      <c r="N44" s="42"/>
      <c r="O44" s="82">
        <f>ROUND(O41*0.35,0)</f>
        <v>-7216</v>
      </c>
      <c r="P44" s="57">
        <f>I44+O44</f>
        <v>54000</v>
      </c>
      <c r="Q44" s="57"/>
      <c r="R44" s="82">
        <f>ROUND(R41*0.35,0)</f>
        <v>-43178</v>
      </c>
      <c r="S44" s="58">
        <f>ROUND(0.35*S41,0)</f>
        <v>793</v>
      </c>
      <c r="T44" s="58">
        <f>ROUND(0.35*T41,0)</f>
        <v>0</v>
      </c>
      <c r="U44" s="43">
        <f t="shared" ref="U44:U47" si="11">P44+R44+S44+T44</f>
        <v>11615</v>
      </c>
      <c r="V44" s="8"/>
    </row>
    <row r="45" spans="1:22" ht="15.75" customHeight="1">
      <c r="A45" s="22">
        <v>27</v>
      </c>
      <c r="B45" s="27"/>
      <c r="C45" s="28" t="s">
        <v>80</v>
      </c>
      <c r="D45" s="10"/>
      <c r="E45" s="10"/>
      <c r="F45" s="39">
        <v>-517</v>
      </c>
      <c r="G45" s="39"/>
      <c r="H45" s="39"/>
      <c r="I45" s="40">
        <f>F45-G45-H45</f>
        <v>-517</v>
      </c>
      <c r="J45" s="40"/>
      <c r="K45" s="40"/>
      <c r="L45" s="41"/>
      <c r="M45" s="42"/>
      <c r="N45" s="42"/>
      <c r="O45" s="82">
        <f>ROUND((0.0308*O74*-0.35),0)</f>
        <v>-998</v>
      </c>
      <c r="P45" s="57">
        <f>I45+O45</f>
        <v>-1515</v>
      </c>
      <c r="Q45" s="57"/>
      <c r="R45" s="58"/>
      <c r="S45" s="58"/>
      <c r="T45" s="82">
        <v>40</v>
      </c>
      <c r="U45" s="43">
        <f t="shared" si="11"/>
        <v>-1475</v>
      </c>
    </row>
    <row r="46" spans="1:22" ht="15.75" customHeight="1">
      <c r="A46" s="22">
        <v>28</v>
      </c>
      <c r="B46" s="27"/>
      <c r="C46" s="28" t="s">
        <v>23</v>
      </c>
      <c r="D46" s="10"/>
      <c r="E46" s="10"/>
      <c r="F46" s="39">
        <v>14888</v>
      </c>
      <c r="G46" s="39"/>
      <c r="H46" s="39"/>
      <c r="I46" s="40">
        <f>F46-G46-H46</f>
        <v>14888</v>
      </c>
      <c r="J46" s="40"/>
      <c r="K46" s="41"/>
      <c r="L46" s="41"/>
      <c r="M46" s="42"/>
      <c r="N46" s="42"/>
      <c r="O46" s="40">
        <f>M46*I46</f>
        <v>0</v>
      </c>
      <c r="P46" s="43">
        <f>O46+I46</f>
        <v>14888</v>
      </c>
      <c r="Q46" s="43"/>
      <c r="R46" s="39"/>
      <c r="S46" s="39"/>
      <c r="T46" s="39"/>
      <c r="U46" s="43">
        <f t="shared" si="11"/>
        <v>14888</v>
      </c>
    </row>
    <row r="47" spans="1:22" ht="15.75" customHeight="1">
      <c r="A47" s="22">
        <v>29</v>
      </c>
      <c r="B47" s="27"/>
      <c r="C47" s="28" t="s">
        <v>22</v>
      </c>
      <c r="D47" s="10"/>
      <c r="E47" s="10"/>
      <c r="F47" s="39">
        <v>-114</v>
      </c>
      <c r="G47" s="39"/>
      <c r="H47" s="39"/>
      <c r="I47" s="40">
        <f>F47-G47-H47</f>
        <v>-114</v>
      </c>
      <c r="J47" s="40"/>
      <c r="K47" s="41"/>
      <c r="L47" s="41"/>
      <c r="M47" s="42"/>
      <c r="N47" s="42"/>
      <c r="O47" s="40">
        <f>M47*I47</f>
        <v>0</v>
      </c>
      <c r="P47" s="43">
        <f>O47+I47</f>
        <v>-114</v>
      </c>
      <c r="Q47" s="43"/>
      <c r="R47" s="39"/>
      <c r="S47" s="39"/>
      <c r="T47" s="39"/>
      <c r="U47" s="43">
        <f t="shared" si="11"/>
        <v>-114</v>
      </c>
      <c r="V47" s="8"/>
    </row>
    <row r="48" spans="1:22" ht="15.75" customHeight="1">
      <c r="A48" s="22"/>
      <c r="B48" s="28"/>
      <c r="C48" s="59"/>
      <c r="D48" s="10"/>
      <c r="E48" s="10"/>
      <c r="F48" s="39"/>
      <c r="G48" s="39"/>
      <c r="H48" s="39"/>
      <c r="I48" s="40"/>
      <c r="J48" s="40"/>
      <c r="K48" s="40"/>
      <c r="L48" s="41"/>
      <c r="M48" s="42"/>
      <c r="N48" s="42"/>
      <c r="O48" s="41"/>
      <c r="P48" s="43"/>
      <c r="Q48" s="43"/>
      <c r="R48" s="39"/>
      <c r="S48" s="39"/>
      <c r="T48" s="39"/>
      <c r="U48" s="43"/>
      <c r="V48" s="84"/>
    </row>
    <row r="49" spans="1:21" ht="15.75" customHeight="1">
      <c r="A49" s="22">
        <v>30</v>
      </c>
      <c r="B49" s="28" t="s">
        <v>21</v>
      </c>
      <c r="C49" s="28"/>
      <c r="D49" s="10"/>
      <c r="E49" s="10"/>
      <c r="F49" s="44">
        <f>F41-F44-F45-F46-F47</f>
        <v>99080</v>
      </c>
      <c r="G49" s="44">
        <f>G41-G44</f>
        <v>-80188.42918901013</v>
      </c>
      <c r="H49" s="44">
        <f>H41-H44</f>
        <v>0</v>
      </c>
      <c r="I49" s="44">
        <f>I41-I44-I45-I46-I47</f>
        <v>179268.42918901017</v>
      </c>
      <c r="J49" s="44"/>
      <c r="K49" s="44"/>
      <c r="L49" s="46"/>
      <c r="M49" s="47"/>
      <c r="N49" s="47"/>
      <c r="O49" s="44">
        <f>O41-O44-O45-O46-O47</f>
        <v>-12402</v>
      </c>
      <c r="P49" s="44">
        <f>P41-P44-P45-P46-P47</f>
        <v>-300151.33161098987</v>
      </c>
      <c r="Q49" s="44"/>
      <c r="R49" s="44">
        <f>R41-R44-R45-R46-R47</f>
        <v>-80188.42918901013</v>
      </c>
      <c r="S49" s="44">
        <f>S41-S44-S45-S46-S47</f>
        <v>1472.9832000000001</v>
      </c>
      <c r="T49" s="44">
        <f>T41-T44-T45-T46-T47</f>
        <v>-40</v>
      </c>
      <c r="U49" s="44">
        <f>U41-U44-U45-U46-U47</f>
        <v>88111.083199999994</v>
      </c>
    </row>
    <row r="50" spans="1:21" ht="6.75" customHeight="1">
      <c r="A50" s="22"/>
      <c r="B50" s="28"/>
      <c r="C50" s="28"/>
      <c r="D50" s="10"/>
      <c r="E50" s="10"/>
      <c r="F50" s="39"/>
      <c r="G50" s="39"/>
      <c r="H50" s="39"/>
      <c r="I50" s="40"/>
      <c r="J50" s="40"/>
      <c r="K50" s="40"/>
      <c r="L50" s="41"/>
      <c r="M50" s="42"/>
      <c r="N50" s="42"/>
      <c r="O50" s="41"/>
      <c r="P50" s="59"/>
      <c r="Q50" s="59"/>
      <c r="R50" s="39"/>
      <c r="S50" s="39"/>
      <c r="T50" s="39"/>
      <c r="U50" s="39"/>
    </row>
    <row r="51" spans="1:21" ht="15.75" customHeight="1">
      <c r="A51" s="22"/>
      <c r="B51" s="28" t="s">
        <v>144</v>
      </c>
      <c r="C51" s="28"/>
      <c r="D51" s="10"/>
      <c r="E51" s="10"/>
      <c r="F51" s="61"/>
      <c r="G51" s="39"/>
      <c r="H51" s="39"/>
      <c r="I51" s="40"/>
      <c r="J51" s="40"/>
      <c r="K51" s="40"/>
      <c r="L51" s="41"/>
      <c r="M51" s="42"/>
      <c r="N51" s="42"/>
      <c r="O51" s="41"/>
      <c r="P51" s="43"/>
      <c r="Q51" s="43"/>
      <c r="R51" s="39"/>
      <c r="S51" s="39"/>
      <c r="T51" s="39"/>
      <c r="U51" s="61"/>
    </row>
    <row r="52" spans="1:21" ht="15.75" customHeight="1">
      <c r="A52" s="22"/>
      <c r="B52" s="28" t="s">
        <v>85</v>
      </c>
      <c r="C52" s="28"/>
      <c r="D52" s="10"/>
      <c r="E52" s="10"/>
      <c r="F52" s="109"/>
      <c r="G52" s="39"/>
      <c r="H52" s="39"/>
      <c r="I52" s="40"/>
      <c r="J52" s="40"/>
      <c r="K52" s="40"/>
      <c r="L52" s="41"/>
      <c r="M52" s="42"/>
      <c r="N52" s="42"/>
      <c r="O52" s="41"/>
      <c r="P52" s="43"/>
      <c r="Q52" s="43"/>
      <c r="R52" s="39"/>
      <c r="S52" s="39"/>
      <c r="T52" s="39"/>
      <c r="U52" s="43"/>
    </row>
    <row r="53" spans="1:21" ht="15.75" customHeight="1">
      <c r="A53" s="22">
        <v>31</v>
      </c>
      <c r="B53" s="28"/>
      <c r="C53" s="28" t="s">
        <v>20</v>
      </c>
      <c r="D53" s="10"/>
      <c r="E53" s="10"/>
      <c r="F53" s="39">
        <v>84081</v>
      </c>
      <c r="G53" s="39"/>
      <c r="H53" s="39"/>
      <c r="I53" s="60">
        <f>F53</f>
        <v>84081</v>
      </c>
      <c r="J53" s="40"/>
      <c r="K53" s="42"/>
      <c r="L53" s="41"/>
      <c r="M53" s="42"/>
      <c r="N53" s="42"/>
      <c r="O53" s="40">
        <f>+P53-I53</f>
        <v>22721</v>
      </c>
      <c r="P53" s="43">
        <v>106802</v>
      </c>
      <c r="Q53" s="43"/>
      <c r="R53" s="39"/>
      <c r="S53" s="39"/>
      <c r="T53" s="39"/>
      <c r="U53" s="43">
        <f t="shared" ref="U53:U57" si="12">P53+R53+S53+T53</f>
        <v>106802</v>
      </c>
    </row>
    <row r="54" spans="1:21" ht="15.75" customHeight="1">
      <c r="A54" s="22">
        <v>32</v>
      </c>
      <c r="B54" s="28"/>
      <c r="C54" s="28" t="s">
        <v>19</v>
      </c>
      <c r="D54" s="10"/>
      <c r="E54" s="10"/>
      <c r="F54" s="39">
        <v>706894</v>
      </c>
      <c r="G54" s="39"/>
      <c r="H54" s="39"/>
      <c r="I54" s="60">
        <f>F54</f>
        <v>706894</v>
      </c>
      <c r="J54" s="40"/>
      <c r="K54" s="42"/>
      <c r="L54" s="41"/>
      <c r="M54" s="42"/>
      <c r="N54" s="42"/>
      <c r="O54" s="40">
        <f t="shared" ref="O54:O57" si="13">+P54-I54</f>
        <v>38875</v>
      </c>
      <c r="P54" s="43">
        <v>745769</v>
      </c>
      <c r="Q54" s="43"/>
      <c r="R54" s="39"/>
      <c r="S54" s="39"/>
      <c r="T54" s="39"/>
      <c r="U54" s="43">
        <f t="shared" si="12"/>
        <v>745769</v>
      </c>
    </row>
    <row r="55" spans="1:21" ht="15.75" customHeight="1">
      <c r="A55" s="22">
        <v>33</v>
      </c>
      <c r="B55" s="28"/>
      <c r="C55" s="28" t="s">
        <v>18</v>
      </c>
      <c r="D55" s="10"/>
      <c r="E55" s="10"/>
      <c r="F55" s="39">
        <v>328012</v>
      </c>
      <c r="G55" s="39"/>
      <c r="H55" s="39"/>
      <c r="I55" s="60">
        <f>F55</f>
        <v>328012</v>
      </c>
      <c r="J55" s="40"/>
      <c r="K55" s="42"/>
      <c r="L55" s="41"/>
      <c r="M55" s="42"/>
      <c r="N55" s="42"/>
      <c r="O55" s="40">
        <f t="shared" si="13"/>
        <v>33814</v>
      </c>
      <c r="P55" s="43">
        <v>361826</v>
      </c>
      <c r="Q55" s="43"/>
      <c r="R55" s="39"/>
      <c r="S55" s="39"/>
      <c r="T55" s="39"/>
      <c r="U55" s="43">
        <f t="shared" si="12"/>
        <v>361826</v>
      </c>
    </row>
    <row r="56" spans="1:21" ht="15.75" customHeight="1">
      <c r="A56" s="22">
        <v>34</v>
      </c>
      <c r="B56" s="28"/>
      <c r="C56" s="28" t="s">
        <v>17</v>
      </c>
      <c r="D56" s="10"/>
      <c r="E56" s="10"/>
      <c r="F56" s="39">
        <v>695186</v>
      </c>
      <c r="G56" s="39"/>
      <c r="H56" s="39"/>
      <c r="I56" s="60">
        <f>F56</f>
        <v>695186</v>
      </c>
      <c r="J56" s="40"/>
      <c r="K56" s="42"/>
      <c r="L56" s="41"/>
      <c r="M56" s="42"/>
      <c r="N56" s="42"/>
      <c r="O56" s="40">
        <f t="shared" si="13"/>
        <v>90580</v>
      </c>
      <c r="P56" s="43">
        <v>785766</v>
      </c>
      <c r="Q56" s="43"/>
      <c r="R56" s="39"/>
      <c r="S56" s="39"/>
      <c r="T56" s="39">
        <v>-4165.3680880503143</v>
      </c>
      <c r="U56" s="43">
        <f t="shared" si="12"/>
        <v>781600.63191194972</v>
      </c>
    </row>
    <row r="57" spans="1:21" ht="15.75" customHeight="1">
      <c r="A57" s="22">
        <v>35</v>
      </c>
      <c r="B57" s="28"/>
      <c r="C57" s="28" t="s">
        <v>16</v>
      </c>
      <c r="D57" s="10"/>
      <c r="E57" s="10"/>
      <c r="F57" s="44">
        <v>140218</v>
      </c>
      <c r="G57" s="44"/>
      <c r="H57" s="44"/>
      <c r="I57" s="45">
        <f>F57</f>
        <v>140218</v>
      </c>
      <c r="J57" s="45"/>
      <c r="K57" s="47"/>
      <c r="L57" s="46"/>
      <c r="M57" s="47"/>
      <c r="N57" s="47"/>
      <c r="O57" s="45">
        <f t="shared" si="13"/>
        <v>28970</v>
      </c>
      <c r="P57" s="44">
        <v>169188</v>
      </c>
      <c r="Q57" s="44"/>
      <c r="R57" s="44"/>
      <c r="S57" s="44"/>
      <c r="T57" s="44"/>
      <c r="U57" s="44">
        <f t="shared" si="12"/>
        <v>169188</v>
      </c>
    </row>
    <row r="58" spans="1:21" ht="15.75" customHeight="1">
      <c r="A58" s="22">
        <v>36</v>
      </c>
      <c r="B58" s="28"/>
      <c r="C58" s="28" t="s">
        <v>95</v>
      </c>
      <c r="D58" s="10"/>
      <c r="E58" s="10"/>
      <c r="F58" s="39">
        <f>SUM(F53:F57)</f>
        <v>1954391</v>
      </c>
      <c r="G58" s="39"/>
      <c r="H58" s="39"/>
      <c r="I58" s="40">
        <f>SUM(I53:I57)</f>
        <v>1954391</v>
      </c>
      <c r="J58" s="40"/>
      <c r="K58" s="42"/>
      <c r="L58" s="41"/>
      <c r="M58" s="42"/>
      <c r="N58" s="42"/>
      <c r="O58" s="40">
        <f>SUM(O53:O57)</f>
        <v>214960</v>
      </c>
      <c r="P58" s="40">
        <f>SUM(P53:P57)</f>
        <v>2169351</v>
      </c>
      <c r="Q58" s="40">
        <f t="shared" ref="Q58:T58" si="14">SUM(Q53:Q57)</f>
        <v>0</v>
      </c>
      <c r="R58" s="40">
        <f t="shared" si="14"/>
        <v>0</v>
      </c>
      <c r="S58" s="40">
        <f t="shared" si="14"/>
        <v>0</v>
      </c>
      <c r="T58" s="40">
        <f t="shared" si="14"/>
        <v>-4165.3680880503143</v>
      </c>
      <c r="U58" s="40">
        <f>SUM(U53:U57)</f>
        <v>2165185.6319119497</v>
      </c>
    </row>
    <row r="59" spans="1:21" ht="15.75" customHeight="1">
      <c r="A59" s="22"/>
      <c r="B59" s="28" t="s">
        <v>89</v>
      </c>
      <c r="C59" s="28"/>
      <c r="D59" s="10"/>
      <c r="E59" s="10"/>
      <c r="F59" s="39"/>
      <c r="G59" s="39"/>
      <c r="H59" s="39"/>
      <c r="I59" s="40"/>
      <c r="J59" s="40"/>
      <c r="K59" s="42"/>
      <c r="L59" s="41"/>
      <c r="M59" s="42"/>
      <c r="N59" s="42"/>
      <c r="O59" s="41"/>
      <c r="P59" s="43"/>
      <c r="Q59" s="43"/>
      <c r="R59" s="39"/>
      <c r="S59" s="39"/>
      <c r="T59" s="39"/>
      <c r="U59" s="43"/>
    </row>
    <row r="60" spans="1:21" ht="15.75" customHeight="1">
      <c r="A60" s="22">
        <v>37</v>
      </c>
      <c r="B60" s="28"/>
      <c r="C60" s="28" t="s">
        <v>20</v>
      </c>
      <c r="D60" s="14"/>
      <c r="E60" s="14"/>
      <c r="F60" s="39">
        <v>3744</v>
      </c>
      <c r="G60" s="39"/>
      <c r="H60" s="39"/>
      <c r="I60" s="60">
        <f>F60</f>
        <v>3744</v>
      </c>
      <c r="J60" s="40"/>
      <c r="K60" s="106"/>
      <c r="L60" s="80"/>
      <c r="M60" s="42"/>
      <c r="N60" s="42"/>
      <c r="O60" s="40">
        <f t="shared" ref="O60:O64" si="15">+P60-I60</f>
        <v>9822</v>
      </c>
      <c r="P60" s="43">
        <v>13566</v>
      </c>
      <c r="Q60" s="43"/>
      <c r="R60" s="39"/>
      <c r="S60" s="39"/>
      <c r="T60" s="39"/>
      <c r="U60" s="43">
        <f t="shared" ref="U60:U64" si="16">P60+R60+S60+T60</f>
        <v>13566</v>
      </c>
    </row>
    <row r="61" spans="1:21" ht="15.75" customHeight="1">
      <c r="A61" s="22">
        <v>38</v>
      </c>
      <c r="B61" s="28"/>
      <c r="C61" s="28" t="s">
        <v>19</v>
      </c>
      <c r="D61" s="10"/>
      <c r="E61" s="10"/>
      <c r="F61" s="39">
        <v>286300</v>
      </c>
      <c r="G61" s="39"/>
      <c r="H61" s="39"/>
      <c r="I61" s="60">
        <f>F61</f>
        <v>286300</v>
      </c>
      <c r="J61" s="40"/>
      <c r="K61" s="106"/>
      <c r="L61" s="80"/>
      <c r="M61" s="42"/>
      <c r="N61" s="42"/>
      <c r="O61" s="40">
        <f t="shared" si="15"/>
        <v>33069</v>
      </c>
      <c r="P61" s="43">
        <v>319369</v>
      </c>
      <c r="Q61" s="43"/>
      <c r="R61" s="39"/>
      <c r="S61" s="39"/>
      <c r="T61" s="39"/>
      <c r="U61" s="43">
        <f t="shared" si="16"/>
        <v>319369</v>
      </c>
    </row>
    <row r="62" spans="1:21" ht="15.75" customHeight="1">
      <c r="A62" s="22">
        <v>39</v>
      </c>
      <c r="B62" s="28"/>
      <c r="C62" s="28" t="s">
        <v>18</v>
      </c>
      <c r="D62" s="10"/>
      <c r="E62" s="10"/>
      <c r="F62" s="39">
        <v>111144</v>
      </c>
      <c r="G62" s="39"/>
      <c r="H62" s="39"/>
      <c r="I62" s="60">
        <f>F62</f>
        <v>111144</v>
      </c>
      <c r="J62" s="40"/>
      <c r="K62" s="106"/>
      <c r="L62" s="80"/>
      <c r="M62" s="42"/>
      <c r="N62" s="42"/>
      <c r="O62" s="40">
        <f t="shared" si="15"/>
        <v>12765</v>
      </c>
      <c r="P62" s="43">
        <v>123909</v>
      </c>
      <c r="Q62" s="43"/>
      <c r="R62" s="39"/>
      <c r="S62" s="39"/>
      <c r="T62" s="39"/>
      <c r="U62" s="43">
        <f t="shared" si="16"/>
        <v>123909</v>
      </c>
    </row>
    <row r="63" spans="1:21" ht="15.75" customHeight="1">
      <c r="A63" s="22">
        <v>40</v>
      </c>
      <c r="B63" s="28"/>
      <c r="C63" s="28" t="s">
        <v>17</v>
      </c>
      <c r="D63" s="10"/>
      <c r="E63" s="10"/>
      <c r="F63" s="39">
        <v>209013</v>
      </c>
      <c r="G63" s="39"/>
      <c r="H63" s="39"/>
      <c r="I63" s="60">
        <f>F63</f>
        <v>209013</v>
      </c>
      <c r="J63" s="40"/>
      <c r="K63" s="106"/>
      <c r="L63" s="80"/>
      <c r="M63" s="42"/>
      <c r="N63" s="42"/>
      <c r="O63" s="40">
        <f t="shared" si="15"/>
        <v>36335</v>
      </c>
      <c r="P63" s="43">
        <v>245348</v>
      </c>
      <c r="Q63" s="43"/>
      <c r="R63" s="39"/>
      <c r="S63" s="39"/>
      <c r="T63" s="39">
        <v>-507.77941063207544</v>
      </c>
      <c r="U63" s="43">
        <f t="shared" si="16"/>
        <v>244840.22058936793</v>
      </c>
    </row>
    <row r="64" spans="1:21" ht="15.75" customHeight="1">
      <c r="A64" s="22">
        <v>41</v>
      </c>
      <c r="B64" s="28"/>
      <c r="C64" s="28" t="s">
        <v>16</v>
      </c>
      <c r="D64" s="10"/>
      <c r="E64" s="10"/>
      <c r="F64" s="44">
        <v>56694</v>
      </c>
      <c r="G64" s="45"/>
      <c r="H64" s="45"/>
      <c r="I64" s="45">
        <f>F64</f>
        <v>56694</v>
      </c>
      <c r="J64" s="45"/>
      <c r="K64" s="79"/>
      <c r="L64" s="46"/>
      <c r="M64" s="47"/>
      <c r="N64" s="47"/>
      <c r="O64" s="45">
        <f t="shared" si="15"/>
        <v>13208</v>
      </c>
      <c r="P64" s="44">
        <v>69902</v>
      </c>
      <c r="Q64" s="44"/>
      <c r="R64" s="44"/>
      <c r="S64" s="44"/>
      <c r="T64" s="44"/>
      <c r="U64" s="44">
        <f t="shared" si="16"/>
        <v>69902</v>
      </c>
    </row>
    <row r="65" spans="1:21" ht="30.75" customHeight="1">
      <c r="A65" s="22">
        <f>1+A64</f>
        <v>42</v>
      </c>
      <c r="B65" s="28"/>
      <c r="C65" s="25" t="s">
        <v>106</v>
      </c>
      <c r="D65" s="15"/>
      <c r="E65" s="15"/>
      <c r="F65" s="39">
        <f>SUM(F60:F64)</f>
        <v>666895</v>
      </c>
      <c r="G65" s="60"/>
      <c r="H65" s="60"/>
      <c r="I65" s="60">
        <f>SUM(I60:I64)</f>
        <v>666895</v>
      </c>
      <c r="J65" s="40"/>
      <c r="K65" s="106"/>
      <c r="L65" s="80"/>
      <c r="M65" s="42"/>
      <c r="N65" s="42"/>
      <c r="O65" s="60">
        <f>SUM(O60:O64)</f>
        <v>105199</v>
      </c>
      <c r="P65" s="60">
        <f>SUM(P60:P64)</f>
        <v>772094</v>
      </c>
      <c r="Q65" s="43"/>
      <c r="R65" s="60">
        <f t="shared" ref="R65:T65" si="17">SUM(R60:R64)</f>
        <v>0</v>
      </c>
      <c r="S65" s="60">
        <f t="shared" si="17"/>
        <v>0</v>
      </c>
      <c r="T65" s="60">
        <f t="shared" si="17"/>
        <v>-507.77941063207544</v>
      </c>
      <c r="U65" s="43">
        <f>SUM(U60:U64)</f>
        <v>771586.22058936791</v>
      </c>
    </row>
    <row r="66" spans="1:21" ht="13.5" customHeight="1">
      <c r="A66" s="22"/>
      <c r="B66" s="28"/>
      <c r="C66" s="25"/>
      <c r="D66" s="15"/>
      <c r="E66" s="15"/>
      <c r="F66" s="39"/>
      <c r="G66" s="60"/>
      <c r="H66" s="60"/>
      <c r="I66" s="40"/>
      <c r="J66" s="40"/>
      <c r="K66" s="42"/>
      <c r="L66" s="41"/>
      <c r="M66" s="42"/>
      <c r="N66" s="42"/>
      <c r="O66" s="40"/>
      <c r="P66" s="43"/>
      <c r="Q66" s="43"/>
      <c r="R66" s="43"/>
      <c r="S66" s="43"/>
      <c r="T66" s="43"/>
      <c r="U66" s="43"/>
    </row>
    <row r="67" spans="1:21" ht="15.75" customHeight="1">
      <c r="A67" s="22">
        <f>1+A65</f>
        <v>43</v>
      </c>
      <c r="B67" s="28" t="s">
        <v>84</v>
      </c>
      <c r="C67" s="28"/>
      <c r="D67" s="10"/>
      <c r="E67" s="10"/>
      <c r="F67" s="39">
        <f>+F58-F65</f>
        <v>1287496</v>
      </c>
      <c r="G67" s="60"/>
      <c r="H67" s="60"/>
      <c r="I67" s="40">
        <f>I58-I65</f>
        <v>1287496</v>
      </c>
      <c r="J67" s="40"/>
      <c r="K67" s="42"/>
      <c r="L67" s="41"/>
      <c r="M67" s="42"/>
      <c r="N67" s="42"/>
      <c r="O67" s="40">
        <f>O58-O65</f>
        <v>109761</v>
      </c>
      <c r="P67" s="43">
        <f>P58-P65</f>
        <v>1397257</v>
      </c>
      <c r="Q67" s="43"/>
      <c r="R67" s="43">
        <f t="shared" ref="R67:T67" si="18">R58-R65</f>
        <v>0</v>
      </c>
      <c r="S67" s="43">
        <f t="shared" si="18"/>
        <v>0</v>
      </c>
      <c r="T67" s="43">
        <f t="shared" si="18"/>
        <v>-3657.5886774182391</v>
      </c>
      <c r="U67" s="43">
        <f>U58-U65</f>
        <v>1393599.4113225818</v>
      </c>
    </row>
    <row r="68" spans="1:21" ht="12.75" customHeight="1">
      <c r="A68" s="22"/>
      <c r="B68" s="28"/>
      <c r="C68" s="28"/>
      <c r="D68" s="10"/>
      <c r="E68" s="10"/>
      <c r="F68" s="39"/>
      <c r="G68" s="60"/>
      <c r="H68" s="60"/>
      <c r="I68" s="40"/>
      <c r="J68" s="40"/>
      <c r="K68" s="42"/>
      <c r="L68" s="41"/>
      <c r="M68" s="42"/>
      <c r="N68" s="42"/>
      <c r="O68" s="41"/>
      <c r="P68" s="43"/>
      <c r="Q68" s="43"/>
      <c r="R68" s="39"/>
      <c r="S68" s="39"/>
      <c r="T68" s="39"/>
      <c r="U68" s="43"/>
    </row>
    <row r="69" spans="1:21" ht="16.5" customHeight="1">
      <c r="A69" s="22">
        <f>1+A67</f>
        <v>44</v>
      </c>
      <c r="B69" s="28" t="s">
        <v>90</v>
      </c>
      <c r="C69" s="28"/>
      <c r="D69" s="10"/>
      <c r="E69" s="10"/>
      <c r="F69" s="44">
        <v>-201182</v>
      </c>
      <c r="G69" s="44"/>
      <c r="H69" s="44"/>
      <c r="I69" s="45">
        <f>F69</f>
        <v>-201182</v>
      </c>
      <c r="J69" s="45"/>
      <c r="K69" s="79"/>
      <c r="L69" s="46"/>
      <c r="M69" s="47"/>
      <c r="N69" s="47"/>
      <c r="O69" s="40">
        <f t="shared" ref="O69" si="19">+P69-I69</f>
        <v>-17181</v>
      </c>
      <c r="P69" s="44">
        <v>-218363</v>
      </c>
      <c r="Q69" s="44"/>
      <c r="R69" s="44"/>
      <c r="S69" s="44"/>
      <c r="T69" s="44">
        <v>-27.322708716619477</v>
      </c>
      <c r="U69" s="44">
        <f>P69+R69+S69+T69</f>
        <v>-218390.32270871662</v>
      </c>
    </row>
    <row r="70" spans="1:21" ht="15.75" customHeight="1">
      <c r="A70" s="22">
        <f>1+A69</f>
        <v>45</v>
      </c>
      <c r="B70" s="28"/>
      <c r="C70" s="28" t="s">
        <v>107</v>
      </c>
      <c r="D70" s="14"/>
      <c r="E70" s="14"/>
      <c r="F70" s="39">
        <f>+F67+F69</f>
        <v>1086314</v>
      </c>
      <c r="G70" s="60"/>
      <c r="H70" s="60"/>
      <c r="I70" s="40">
        <f>F70</f>
        <v>1086314</v>
      </c>
      <c r="J70" s="40"/>
      <c r="K70" s="42"/>
      <c r="L70" s="41"/>
      <c r="M70" s="42"/>
      <c r="N70" s="42"/>
      <c r="O70" s="40"/>
      <c r="P70" s="43">
        <f>P69+P67</f>
        <v>1178894</v>
      </c>
      <c r="Q70" s="43"/>
      <c r="R70" s="43">
        <f>R69+R67</f>
        <v>0</v>
      </c>
      <c r="S70" s="43">
        <f t="shared" ref="S70:T70" si="20">S69+S67</f>
        <v>0</v>
      </c>
      <c r="T70" s="43">
        <f t="shared" si="20"/>
        <v>-3684.9113861348587</v>
      </c>
      <c r="U70" s="43">
        <f>+U69+U67</f>
        <v>1175209.0886138652</v>
      </c>
    </row>
    <row r="71" spans="1:21" ht="15.75" customHeight="1">
      <c r="A71" s="22">
        <f t="shared" ref="A71:A72" si="21">1+A70</f>
        <v>46</v>
      </c>
      <c r="B71" s="28" t="s">
        <v>91</v>
      </c>
      <c r="C71" s="28"/>
      <c r="D71" s="10"/>
      <c r="E71" s="10"/>
      <c r="F71" s="39">
        <v>11854</v>
      </c>
      <c r="G71" s="71"/>
      <c r="H71" s="39"/>
      <c r="I71" s="40">
        <f>F71</f>
        <v>11854</v>
      </c>
      <c r="J71" s="40"/>
      <c r="K71" s="42"/>
      <c r="L71" s="41"/>
      <c r="M71" s="42"/>
      <c r="N71" s="42"/>
      <c r="O71" s="40">
        <f>M71*I71</f>
        <v>0</v>
      </c>
      <c r="P71" s="43">
        <f>O71+I71</f>
        <v>11854</v>
      </c>
      <c r="Q71" s="43"/>
      <c r="R71" s="39"/>
      <c r="S71" s="39"/>
      <c r="T71" s="39"/>
      <c r="U71" s="43">
        <f t="shared" ref="U71:U72" si="22">P71+R71+S71+T71</f>
        <v>11854</v>
      </c>
    </row>
    <row r="72" spans="1:21" ht="15.75" customHeight="1">
      <c r="A72" s="22">
        <f t="shared" si="21"/>
        <v>47</v>
      </c>
      <c r="B72" s="28" t="s">
        <v>59</v>
      </c>
      <c r="C72" s="28"/>
      <c r="D72" s="10"/>
      <c r="E72" s="10"/>
      <c r="F72" s="44">
        <v>21932</v>
      </c>
      <c r="G72" s="44"/>
      <c r="H72" s="44"/>
      <c r="I72" s="45">
        <f>F72</f>
        <v>21932</v>
      </c>
      <c r="J72" s="45"/>
      <c r="K72" s="47"/>
      <c r="L72" s="46"/>
      <c r="M72" s="47"/>
      <c r="N72" s="47"/>
      <c r="O72" s="45">
        <f>M72*I72</f>
        <v>0</v>
      </c>
      <c r="P72" s="44">
        <f>O72+I72</f>
        <v>21932</v>
      </c>
      <c r="Q72" s="44"/>
      <c r="R72" s="44"/>
      <c r="S72" s="44"/>
      <c r="T72" s="44"/>
      <c r="U72" s="44">
        <f t="shared" si="22"/>
        <v>21932</v>
      </c>
    </row>
    <row r="73" spans="1:21" ht="6.75" customHeight="1">
      <c r="A73" s="22"/>
      <c r="B73" s="28"/>
      <c r="C73" s="28"/>
      <c r="D73" s="10"/>
      <c r="E73" s="10"/>
      <c r="F73" s="39"/>
      <c r="G73" s="39"/>
      <c r="H73" s="39"/>
      <c r="I73" s="40"/>
      <c r="J73" s="40"/>
      <c r="K73" s="60"/>
      <c r="L73" s="41"/>
      <c r="M73" s="42"/>
      <c r="N73" s="42"/>
      <c r="O73" s="41"/>
      <c r="P73" s="43"/>
      <c r="Q73" s="43"/>
      <c r="R73" s="39"/>
      <c r="S73" s="39"/>
      <c r="T73" s="39"/>
      <c r="U73" s="43"/>
    </row>
    <row r="74" spans="1:21" ht="15.75" customHeight="1">
      <c r="A74" s="22">
        <f>1+A72</f>
        <v>48</v>
      </c>
      <c r="B74" s="28" t="s">
        <v>15</v>
      </c>
      <c r="C74" s="28"/>
      <c r="D74" s="10"/>
      <c r="E74" s="10"/>
      <c r="F74" s="44">
        <f>+F70+F71+F72</f>
        <v>1120100</v>
      </c>
      <c r="G74" s="226"/>
      <c r="H74" s="44"/>
      <c r="I74" s="45">
        <f>I67+I69+I71+I72</f>
        <v>1120100</v>
      </c>
      <c r="J74" s="45"/>
      <c r="K74" s="47"/>
      <c r="L74" s="46"/>
      <c r="M74" s="47"/>
      <c r="N74" s="47"/>
      <c r="O74" s="45">
        <f>O67+O69+O71+O72</f>
        <v>92580</v>
      </c>
      <c r="P74" s="45">
        <f>P67+P69+P71+P72</f>
        <v>1212680</v>
      </c>
      <c r="Q74" s="44"/>
      <c r="R74" s="45">
        <f>R67+R69+R71+R72</f>
        <v>0</v>
      </c>
      <c r="S74" s="45">
        <f>S67+S69+S71+S72</f>
        <v>0</v>
      </c>
      <c r="T74" s="45">
        <f>T67+T69+T71+T72</f>
        <v>-3684.9113861348587</v>
      </c>
      <c r="U74" s="45">
        <f>U67+U69+U71+U72</f>
        <v>1208995.0886138652</v>
      </c>
    </row>
    <row r="75" spans="1:21" ht="5.25" customHeight="1">
      <c r="A75" s="22"/>
      <c r="B75" s="28"/>
      <c r="C75" s="28"/>
      <c r="D75" s="10"/>
      <c r="E75" s="10"/>
      <c r="F75" s="39"/>
      <c r="G75" s="39"/>
      <c r="H75" s="39"/>
      <c r="I75" s="40"/>
      <c r="J75" s="40"/>
      <c r="K75" s="80"/>
      <c r="L75" s="41"/>
      <c r="M75" s="42"/>
      <c r="N75" s="42"/>
      <c r="O75" s="40"/>
      <c r="P75" s="43"/>
      <c r="Q75" s="43"/>
      <c r="R75" s="39"/>
      <c r="S75" s="39"/>
      <c r="T75" s="39"/>
      <c r="U75" s="43"/>
    </row>
    <row r="76" spans="1:21" ht="15.75" customHeight="1">
      <c r="A76" s="22">
        <f>1+A74</f>
        <v>49</v>
      </c>
      <c r="B76" s="28" t="s">
        <v>14</v>
      </c>
      <c r="C76" s="28"/>
      <c r="D76" s="10"/>
      <c r="E76" s="10"/>
      <c r="F76" s="148">
        <f>F49/F74</f>
        <v>8.8456387822515845E-2</v>
      </c>
      <c r="G76" s="230"/>
      <c r="H76" s="148"/>
      <c r="I76" s="231"/>
      <c r="J76" s="231"/>
      <c r="K76" s="148"/>
      <c r="L76" s="232"/>
      <c r="M76" s="232"/>
      <c r="N76" s="232"/>
      <c r="O76" s="232"/>
      <c r="P76" s="233"/>
      <c r="Q76" s="233"/>
      <c r="R76" s="148"/>
      <c r="S76" s="148"/>
      <c r="T76" s="148"/>
      <c r="U76" s="148">
        <f>U49/U74</f>
        <v>7.2879603920493127E-2</v>
      </c>
    </row>
    <row r="77" spans="1:21" s="4" customFormat="1" ht="12.75" customHeight="1">
      <c r="A77" s="26"/>
      <c r="B77" s="28"/>
      <c r="C77" s="27"/>
      <c r="D77" s="3"/>
      <c r="E77" s="3"/>
      <c r="F77" s="61"/>
      <c r="G77" s="56"/>
      <c r="H77" s="56"/>
      <c r="I77" s="26"/>
      <c r="J77" s="26"/>
      <c r="K77" s="26"/>
      <c r="L77" s="28"/>
      <c r="M77" s="62"/>
      <c r="N77" s="62"/>
      <c r="O77" s="28"/>
      <c r="P77" s="63"/>
      <c r="Q77" s="63"/>
      <c r="R77" s="43"/>
      <c r="S77" s="43"/>
      <c r="T77" s="43"/>
      <c r="U77" s="27"/>
    </row>
    <row r="78" spans="1:21" s="4" customFormat="1" ht="15.75" customHeight="1">
      <c r="A78" s="26"/>
      <c r="B78" s="134" t="s">
        <v>103</v>
      </c>
      <c r="C78" s="135"/>
      <c r="D78" s="136"/>
      <c r="E78" s="136"/>
      <c r="F78" s="137"/>
      <c r="G78" s="138"/>
      <c r="H78" s="138"/>
      <c r="I78" s="139"/>
      <c r="J78" s="139"/>
      <c r="K78" s="139"/>
      <c r="L78" s="140"/>
      <c r="M78" s="140"/>
      <c r="N78" s="140"/>
      <c r="O78" s="140"/>
      <c r="P78" s="135"/>
      <c r="Q78" s="135"/>
      <c r="R78" s="141"/>
      <c r="S78" s="141"/>
      <c r="T78" s="141"/>
      <c r="U78" s="142"/>
    </row>
    <row r="79" spans="1:21" s="21" customFormat="1" ht="15.75" customHeight="1">
      <c r="A79" s="22">
        <f>1+A76</f>
        <v>50</v>
      </c>
      <c r="B79" s="143" t="s">
        <v>101</v>
      </c>
      <c r="C79" s="29"/>
      <c r="D79" s="12"/>
      <c r="E79" s="12"/>
      <c r="F79" s="148">
        <v>7.22E-2</v>
      </c>
      <c r="G79" s="64"/>
      <c r="H79" s="64"/>
      <c r="I79" s="65"/>
      <c r="J79" s="65"/>
      <c r="K79" s="65"/>
      <c r="L79" s="50"/>
      <c r="M79" s="50"/>
      <c r="N79" s="50"/>
      <c r="O79" s="50"/>
      <c r="P79" s="54"/>
      <c r="Q79" s="54"/>
      <c r="R79" s="39"/>
      <c r="S79" s="39"/>
      <c r="T79" s="39"/>
      <c r="U79" s="144">
        <v>7.22E-2</v>
      </c>
    </row>
    <row r="80" spans="1:21" s="21" customFormat="1" ht="15.75" customHeight="1">
      <c r="A80" s="22">
        <f>1+A79</f>
        <v>51</v>
      </c>
      <c r="B80" s="143" t="s">
        <v>108</v>
      </c>
      <c r="C80" s="29"/>
      <c r="D80" s="12"/>
      <c r="E80" s="12"/>
      <c r="F80" s="149">
        <f>F79*F74</f>
        <v>80871.22</v>
      </c>
      <c r="G80" s="66"/>
      <c r="H80" s="66"/>
      <c r="I80" s="65"/>
      <c r="J80" s="65"/>
      <c r="K80" s="65"/>
      <c r="L80" s="66"/>
      <c r="M80" s="66"/>
      <c r="N80" s="66"/>
      <c r="O80" s="66"/>
      <c r="P80" s="54"/>
      <c r="Q80" s="54"/>
      <c r="R80" s="39"/>
      <c r="S80" s="39"/>
      <c r="T80" s="39"/>
      <c r="U80" s="145">
        <f>ROUND(U79*U74,0)</f>
        <v>87289</v>
      </c>
    </row>
    <row r="81" spans="1:21" s="21" customFormat="1" ht="15.75" customHeight="1">
      <c r="A81" s="22">
        <f t="shared" ref="A81:A90" si="23">1+A80</f>
        <v>52</v>
      </c>
      <c r="B81" s="143" t="s">
        <v>104</v>
      </c>
      <c r="C81" s="29"/>
      <c r="D81" s="11"/>
      <c r="E81" s="11"/>
      <c r="F81" s="150">
        <f>F80-F49</f>
        <v>-18208.78</v>
      </c>
      <c r="G81" s="67"/>
      <c r="H81" s="67"/>
      <c r="I81" s="65"/>
      <c r="J81" s="65"/>
      <c r="K81" s="65"/>
      <c r="L81" s="67"/>
      <c r="M81" s="67"/>
      <c r="N81" s="67"/>
      <c r="O81" s="67"/>
      <c r="P81" s="68"/>
      <c r="Q81" s="68"/>
      <c r="R81" s="68"/>
      <c r="S81" s="68"/>
      <c r="T81" s="54"/>
      <c r="U81" s="145">
        <f>U80-U49</f>
        <v>-822.08319999999367</v>
      </c>
    </row>
    <row r="82" spans="1:21" s="21" customFormat="1" ht="15.75" customHeight="1">
      <c r="A82" s="22">
        <f t="shared" si="23"/>
        <v>53</v>
      </c>
      <c r="B82" s="143" t="s">
        <v>41</v>
      </c>
      <c r="C82" s="29"/>
      <c r="D82" s="11"/>
      <c r="E82" s="11"/>
      <c r="F82" s="299">
        <f>U82</f>
        <v>0.62081500000000001</v>
      </c>
      <c r="G82" s="64"/>
      <c r="H82" s="64"/>
      <c r="I82" s="65"/>
      <c r="J82" s="65"/>
      <c r="K82" s="65"/>
      <c r="L82" s="69"/>
      <c r="M82" s="69"/>
      <c r="N82" s="69"/>
      <c r="O82" s="69"/>
      <c r="P82" s="68"/>
      <c r="Q82" s="68"/>
      <c r="R82" s="68"/>
      <c r="S82" s="68"/>
      <c r="T82" s="54"/>
      <c r="U82" s="146">
        <v>0.62081500000000001</v>
      </c>
    </row>
    <row r="83" spans="1:21" s="21" customFormat="1" ht="15.75" customHeight="1">
      <c r="A83" s="22">
        <f t="shared" si="23"/>
        <v>54</v>
      </c>
      <c r="B83" s="143" t="s">
        <v>13</v>
      </c>
      <c r="C83" s="29"/>
      <c r="D83" s="11"/>
      <c r="E83" s="11"/>
      <c r="F83" s="150">
        <f>F81/F82</f>
        <v>-29330.444657426124</v>
      </c>
      <c r="G83" s="70"/>
      <c r="H83" s="70"/>
      <c r="I83" s="70"/>
      <c r="J83" s="65"/>
      <c r="K83" s="65"/>
      <c r="L83" s="67"/>
      <c r="M83" s="67"/>
      <c r="N83" s="67"/>
      <c r="O83" s="67"/>
      <c r="P83" s="68"/>
      <c r="Q83" s="68"/>
      <c r="R83" s="68"/>
      <c r="S83" s="68"/>
      <c r="T83" s="54"/>
      <c r="U83" s="267">
        <f>ROUND(U81/U82,0)</f>
        <v>-1324</v>
      </c>
    </row>
    <row r="84" spans="1:21" s="2" customFormat="1" ht="15.75" customHeight="1">
      <c r="A84" s="22">
        <f t="shared" si="23"/>
        <v>55</v>
      </c>
      <c r="B84" s="143" t="s">
        <v>179</v>
      </c>
      <c r="C84" s="29"/>
      <c r="D84" s="11"/>
      <c r="E84" s="11"/>
      <c r="F84" s="264"/>
      <c r="G84" s="70"/>
      <c r="H84" s="70"/>
      <c r="I84" s="70"/>
      <c r="J84" s="65"/>
      <c r="K84" s="65"/>
      <c r="L84" s="265"/>
      <c r="M84" s="265"/>
      <c r="N84" s="265"/>
      <c r="O84" s="265"/>
      <c r="P84" s="68"/>
      <c r="Q84" s="68"/>
      <c r="R84" s="68"/>
      <c r="S84" s="68"/>
      <c r="T84" s="54"/>
      <c r="U84" s="266">
        <f>L9</f>
        <v>1.0093158185920246</v>
      </c>
    </row>
    <row r="85" spans="1:21" s="2" customFormat="1" ht="15.75" customHeight="1" thickBot="1">
      <c r="A85" s="22"/>
      <c r="B85" s="143"/>
      <c r="C85" s="29"/>
      <c r="D85" s="11"/>
      <c r="E85" s="11"/>
      <c r="F85" s="264"/>
      <c r="G85" s="70"/>
      <c r="H85" s="70"/>
      <c r="I85" s="70"/>
      <c r="J85" s="65"/>
      <c r="K85" s="65"/>
      <c r="L85" s="265"/>
      <c r="M85" s="265"/>
      <c r="N85" s="265"/>
      <c r="O85" s="265"/>
      <c r="P85" s="68"/>
      <c r="Q85" s="68"/>
      <c r="R85" s="68"/>
      <c r="S85" s="68"/>
      <c r="T85" s="54"/>
      <c r="U85" s="266"/>
    </row>
    <row r="86" spans="1:21" s="2" customFormat="1" ht="22.5" customHeight="1">
      <c r="A86" s="268">
        <f>1+A84</f>
        <v>56</v>
      </c>
      <c r="B86" s="287" t="s">
        <v>105</v>
      </c>
      <c r="C86" s="288"/>
      <c r="D86" s="288"/>
      <c r="E86" s="288"/>
      <c r="F86" s="289"/>
      <c r="G86" s="288"/>
      <c r="H86" s="288"/>
      <c r="I86" s="288"/>
      <c r="J86" s="290"/>
      <c r="K86" s="290"/>
      <c r="L86" s="291"/>
      <c r="M86" s="291"/>
      <c r="N86" s="291"/>
      <c r="O86" s="291"/>
      <c r="P86" s="292"/>
      <c r="Q86" s="292"/>
      <c r="R86" s="292"/>
      <c r="S86" s="292"/>
      <c r="T86" s="293"/>
      <c r="U86" s="294">
        <f>U83/U84</f>
        <v>-1311.7796982979555</v>
      </c>
    </row>
    <row r="87" spans="1:21" s="10" customFormat="1" ht="14.25" customHeight="1">
      <c r="A87" s="275"/>
      <c r="B87" s="269"/>
      <c r="C87" s="269"/>
      <c r="D87" s="269"/>
      <c r="E87" s="269"/>
      <c r="F87" s="270"/>
      <c r="G87" s="269"/>
      <c r="H87" s="269"/>
      <c r="I87" s="269"/>
      <c r="J87" s="271"/>
      <c r="K87" s="271"/>
      <c r="L87" s="272"/>
      <c r="M87" s="272"/>
      <c r="N87" s="272"/>
      <c r="O87" s="272"/>
      <c r="P87" s="273"/>
      <c r="Q87" s="273"/>
      <c r="R87" s="273"/>
      <c r="S87" s="273"/>
      <c r="T87" s="274"/>
      <c r="U87" s="276"/>
    </row>
    <row r="88" spans="1:21" s="10" customFormat="1" ht="9.75" customHeight="1">
      <c r="A88" s="279"/>
      <c r="B88" s="280"/>
      <c r="C88" s="280"/>
      <c r="D88" s="280"/>
      <c r="E88" s="280"/>
      <c r="F88" s="281"/>
      <c r="G88" s="280"/>
      <c r="H88" s="280"/>
      <c r="I88" s="280"/>
      <c r="J88" s="282"/>
      <c r="K88" s="282"/>
      <c r="L88" s="283"/>
      <c r="M88" s="283"/>
      <c r="N88" s="283"/>
      <c r="O88" s="283"/>
      <c r="P88" s="284"/>
      <c r="Q88" s="284"/>
      <c r="R88" s="284"/>
      <c r="S88" s="284"/>
      <c r="T88" s="285"/>
      <c r="U88" s="286"/>
    </row>
    <row r="89" spans="1:21" s="10" customFormat="1" ht="15.75" customHeight="1">
      <c r="A89" s="261">
        <f>1+A86</f>
        <v>57</v>
      </c>
      <c r="B89" s="277" t="s">
        <v>180</v>
      </c>
      <c r="C89" s="29"/>
      <c r="D89" s="11"/>
      <c r="E89" s="11"/>
      <c r="F89" s="264"/>
      <c r="G89" s="70"/>
      <c r="H89" s="70"/>
      <c r="I89" s="70"/>
      <c r="J89" s="65"/>
      <c r="K89" s="65"/>
      <c r="L89" s="265"/>
      <c r="M89" s="265"/>
      <c r="N89" s="265"/>
      <c r="O89" s="265"/>
      <c r="P89" s="68"/>
      <c r="Q89" s="68"/>
      <c r="R89" s="68"/>
      <c r="S89" s="68"/>
      <c r="T89" s="54"/>
      <c r="U89" s="147">
        <v>-20378</v>
      </c>
    </row>
    <row r="90" spans="1:21" s="10" customFormat="1" ht="15.75" customHeight="1">
      <c r="A90" s="261">
        <f t="shared" si="23"/>
        <v>58</v>
      </c>
      <c r="B90" s="277" t="s">
        <v>145</v>
      </c>
      <c r="C90" s="29"/>
      <c r="D90" s="11"/>
      <c r="E90" s="11"/>
      <c r="F90" s="264"/>
      <c r="G90" s="70"/>
      <c r="H90" s="70"/>
      <c r="I90" s="70"/>
      <c r="J90" s="65"/>
      <c r="K90" s="65"/>
      <c r="L90" s="265"/>
      <c r="M90" s="265"/>
      <c r="N90" s="265"/>
      <c r="O90" s="265"/>
      <c r="P90" s="68"/>
      <c r="Q90" s="68"/>
      <c r="R90" s="68"/>
      <c r="S90" s="68"/>
      <c r="T90" s="54"/>
      <c r="U90" s="278">
        <f>+U86-U89</f>
        <v>19066.220301702044</v>
      </c>
    </row>
    <row r="91" spans="1:21" s="3" customFormat="1" ht="16.5" customHeight="1">
      <c r="B91" s="1"/>
      <c r="C91" s="108" t="s">
        <v>152</v>
      </c>
      <c r="D91" s="1"/>
      <c r="E91" s="1"/>
      <c r="F91" s="1"/>
      <c r="G91" s="9"/>
      <c r="H91" s="9"/>
      <c r="I91" s="16"/>
      <c r="J91" s="16"/>
      <c r="K91" s="16"/>
      <c r="L91" s="9"/>
      <c r="M91" s="9"/>
      <c r="N91" s="9"/>
      <c r="O91" s="9"/>
    </row>
    <row r="92" spans="1:21" s="3" customFormat="1" ht="32.25" customHeight="1">
      <c r="I92" s="16"/>
      <c r="J92" s="16"/>
      <c r="K92" s="16"/>
      <c r="U92" s="66"/>
    </row>
    <row r="93" spans="1:21" s="3" customFormat="1" ht="11.1" customHeight="1">
      <c r="I93" s="16"/>
      <c r="J93" s="16"/>
      <c r="K93" s="16"/>
    </row>
    <row r="94" spans="1:21" s="3" customFormat="1" ht="11.1" customHeight="1">
      <c r="I94" s="16"/>
      <c r="J94" s="16"/>
      <c r="K94" s="16"/>
    </row>
    <row r="95" spans="1:21" s="3" customFormat="1" ht="11.1" customHeight="1">
      <c r="I95" s="16"/>
      <c r="J95" s="16"/>
      <c r="K95" s="16"/>
    </row>
    <row r="96" spans="1:21" s="3" customFormat="1" ht="11.1" customHeight="1">
      <c r="I96" s="16"/>
      <c r="J96" s="16"/>
      <c r="K96" s="16"/>
    </row>
    <row r="97" spans="3:21" ht="11.1" customHeight="1">
      <c r="C97" s="6"/>
      <c r="F97" s="3"/>
      <c r="G97" s="6"/>
      <c r="H97" s="6"/>
      <c r="I97" s="13"/>
      <c r="J97" s="13"/>
      <c r="K97" s="13"/>
      <c r="L97" s="3"/>
      <c r="M97" s="3"/>
      <c r="N97" s="3"/>
      <c r="O97" s="3"/>
      <c r="P97" s="6"/>
      <c r="Q97" s="6"/>
      <c r="R97" s="6"/>
      <c r="S97" s="6"/>
      <c r="T97" s="6"/>
      <c r="U97" s="6"/>
    </row>
    <row r="98" spans="3:21" ht="11.1" customHeight="1">
      <c r="C98" s="6"/>
      <c r="F98" s="3"/>
      <c r="G98" s="6"/>
      <c r="H98" s="6"/>
      <c r="I98" s="13"/>
      <c r="J98" s="13"/>
      <c r="K98" s="13"/>
      <c r="L98" s="3"/>
      <c r="M98" s="3"/>
      <c r="N98" s="3"/>
      <c r="O98" s="3"/>
      <c r="P98" s="6"/>
      <c r="Q98" s="6"/>
      <c r="R98" s="6"/>
      <c r="S98" s="6"/>
      <c r="T98" s="6"/>
      <c r="U98" s="6"/>
    </row>
    <row r="99" spans="3:21" ht="11.1" customHeight="1">
      <c r="C99" s="6"/>
      <c r="F99" s="3"/>
      <c r="G99" s="6"/>
      <c r="H99" s="6"/>
      <c r="I99" s="13"/>
      <c r="J99" s="13"/>
      <c r="K99" s="13"/>
      <c r="L99" s="3"/>
      <c r="M99" s="3"/>
      <c r="N99" s="3"/>
      <c r="O99" s="3"/>
      <c r="P99" s="6"/>
      <c r="Q99" s="6"/>
      <c r="R99" s="6"/>
      <c r="S99" s="6"/>
      <c r="T99" s="6"/>
      <c r="U99" s="6"/>
    </row>
    <row r="100" spans="3:21" ht="11.1" customHeight="1">
      <c r="C100" s="6"/>
      <c r="F100" s="3"/>
      <c r="G100" s="6"/>
      <c r="H100" s="6"/>
      <c r="I100" s="13"/>
      <c r="J100" s="13"/>
      <c r="K100" s="13"/>
      <c r="L100" s="3"/>
      <c r="M100" s="3"/>
      <c r="N100" s="3"/>
      <c r="O100" s="3"/>
      <c r="P100" s="6"/>
      <c r="Q100" s="6"/>
      <c r="R100" s="6"/>
      <c r="S100" s="6"/>
      <c r="T100" s="6"/>
      <c r="U100" s="6"/>
    </row>
    <row r="101" spans="3:21" ht="11.1" customHeight="1">
      <c r="C101" s="6"/>
      <c r="F101" s="3"/>
      <c r="G101" s="6"/>
      <c r="H101" s="6"/>
      <c r="I101" s="13"/>
      <c r="J101" s="13"/>
      <c r="K101" s="13"/>
      <c r="L101" s="3"/>
      <c r="M101" s="3"/>
      <c r="N101" s="3"/>
      <c r="O101" s="3"/>
      <c r="P101" s="6"/>
      <c r="Q101" s="6"/>
      <c r="R101" s="6"/>
      <c r="S101" s="6"/>
      <c r="T101" s="6"/>
      <c r="U101" s="6"/>
    </row>
    <row r="102" spans="3:21" ht="11.1" customHeight="1">
      <c r="C102" s="6"/>
      <c r="F102" s="3"/>
      <c r="G102" s="6"/>
      <c r="H102" s="6"/>
      <c r="I102" s="13"/>
      <c r="J102" s="13"/>
      <c r="K102" s="13"/>
      <c r="L102" s="3"/>
      <c r="M102" s="3"/>
      <c r="N102" s="3"/>
      <c r="O102" s="3"/>
      <c r="P102" s="6"/>
      <c r="Q102" s="6"/>
      <c r="R102" s="6"/>
      <c r="S102" s="6"/>
      <c r="T102" s="6"/>
      <c r="U102" s="6"/>
    </row>
    <row r="103" spans="3:21" ht="11.1" customHeight="1">
      <c r="C103" s="6"/>
      <c r="F103" s="3"/>
      <c r="G103" s="18"/>
      <c r="H103" s="18"/>
      <c r="I103" s="4"/>
      <c r="J103" s="4"/>
      <c r="K103" s="4"/>
      <c r="L103" s="5"/>
      <c r="M103" s="5"/>
      <c r="N103" s="5"/>
      <c r="O103" s="5"/>
      <c r="P103" s="6"/>
      <c r="Q103" s="6"/>
      <c r="R103" s="6"/>
      <c r="S103" s="6"/>
      <c r="T103" s="6"/>
      <c r="U103" s="6"/>
    </row>
    <row r="104" spans="3:21" ht="11.1" customHeight="1">
      <c r="C104" s="6"/>
      <c r="F104" s="3"/>
      <c r="G104" s="18"/>
      <c r="H104" s="18"/>
      <c r="I104" s="4"/>
      <c r="J104" s="4"/>
      <c r="K104" s="4"/>
      <c r="L104" s="5"/>
      <c r="M104" s="5"/>
      <c r="N104" s="5"/>
      <c r="O104" s="5"/>
      <c r="P104" s="6"/>
      <c r="Q104" s="6"/>
      <c r="R104" s="6"/>
      <c r="S104" s="6"/>
      <c r="T104" s="6"/>
      <c r="U104" s="6"/>
    </row>
    <row r="105" spans="3:21" ht="11.1" customHeight="1">
      <c r="C105" s="6"/>
      <c r="F105" s="3"/>
      <c r="G105" s="18"/>
      <c r="H105" s="18"/>
      <c r="I105" s="4"/>
      <c r="J105" s="4"/>
      <c r="K105" s="4"/>
      <c r="L105" s="5"/>
      <c r="M105" s="5"/>
      <c r="N105" s="5"/>
      <c r="O105" s="5"/>
      <c r="P105" s="6"/>
      <c r="Q105" s="6"/>
      <c r="R105" s="6"/>
      <c r="S105" s="6"/>
      <c r="T105" s="6"/>
      <c r="U105" s="6"/>
    </row>
    <row r="106" spans="3:21" ht="11.1" customHeight="1">
      <c r="C106" s="6"/>
      <c r="F106" s="3"/>
      <c r="G106" s="18"/>
      <c r="H106" s="18"/>
      <c r="I106" s="4"/>
      <c r="J106" s="4"/>
      <c r="K106" s="4"/>
      <c r="L106" s="5"/>
      <c r="M106" s="5"/>
      <c r="N106" s="5"/>
      <c r="O106" s="5"/>
      <c r="P106" s="6"/>
      <c r="Q106" s="6"/>
      <c r="R106" s="6"/>
      <c r="S106" s="6"/>
      <c r="T106" s="6"/>
      <c r="U106" s="6"/>
    </row>
    <row r="107" spans="3:21" ht="11.1" customHeight="1">
      <c r="C107" s="6"/>
      <c r="F107" s="3"/>
      <c r="G107" s="18"/>
      <c r="H107" s="18"/>
      <c r="I107" s="4"/>
      <c r="J107" s="4"/>
      <c r="K107" s="4"/>
      <c r="L107" s="5"/>
      <c r="M107" s="5"/>
      <c r="N107" s="5"/>
      <c r="O107" s="5"/>
      <c r="P107" s="6"/>
      <c r="Q107" s="6"/>
      <c r="R107" s="6"/>
      <c r="S107" s="6"/>
      <c r="T107" s="6"/>
      <c r="U107" s="6"/>
    </row>
    <row r="108" spans="3:21" ht="11.1" customHeight="1">
      <c r="C108" s="6"/>
      <c r="F108" s="3"/>
      <c r="G108" s="18"/>
      <c r="H108" s="18"/>
      <c r="I108" s="4"/>
      <c r="J108" s="4"/>
      <c r="K108" s="4"/>
      <c r="L108" s="5"/>
      <c r="M108" s="5"/>
      <c r="N108" s="5"/>
      <c r="O108" s="5"/>
      <c r="P108" s="6"/>
      <c r="Q108" s="6"/>
      <c r="R108" s="6"/>
      <c r="S108" s="6"/>
      <c r="T108" s="6"/>
      <c r="U108" s="6"/>
    </row>
    <row r="109" spans="3:21" ht="11.1" customHeight="1">
      <c r="C109" s="6"/>
      <c r="F109" s="3"/>
      <c r="G109" s="18"/>
      <c r="H109" s="18"/>
      <c r="I109" s="4"/>
      <c r="J109" s="4"/>
      <c r="K109" s="4"/>
      <c r="L109" s="5"/>
      <c r="M109" s="5"/>
      <c r="N109" s="5"/>
      <c r="O109" s="5"/>
      <c r="P109" s="6"/>
      <c r="Q109" s="6"/>
      <c r="R109" s="6"/>
      <c r="S109" s="6"/>
      <c r="T109" s="6"/>
      <c r="U109" s="6"/>
    </row>
    <row r="110" spans="3:21" ht="11.1" customHeight="1">
      <c r="C110" s="6"/>
      <c r="F110" s="3"/>
      <c r="G110" s="18"/>
      <c r="H110" s="18"/>
      <c r="I110" s="4"/>
      <c r="J110" s="4"/>
      <c r="K110" s="4"/>
      <c r="L110" s="5"/>
      <c r="M110" s="5"/>
      <c r="N110" s="5"/>
      <c r="O110" s="5"/>
      <c r="P110" s="6"/>
      <c r="Q110" s="6"/>
      <c r="R110" s="6"/>
      <c r="S110" s="6"/>
      <c r="T110" s="6"/>
      <c r="U110" s="6"/>
    </row>
    <row r="111" spans="3:21" ht="11.1" customHeight="1">
      <c r="C111" s="6"/>
      <c r="F111" s="3"/>
      <c r="G111" s="18"/>
      <c r="H111" s="18"/>
      <c r="I111" s="4"/>
      <c r="J111" s="4"/>
      <c r="K111" s="4"/>
      <c r="L111" s="5"/>
      <c r="M111" s="5"/>
      <c r="N111" s="5"/>
      <c r="O111" s="5"/>
      <c r="P111" s="6"/>
      <c r="Q111" s="6"/>
      <c r="R111" s="6"/>
      <c r="S111" s="6"/>
      <c r="T111" s="6"/>
      <c r="U111" s="6"/>
    </row>
    <row r="112" spans="3:21" ht="11.1" customHeight="1">
      <c r="C112" s="6"/>
      <c r="F112" s="3"/>
      <c r="G112" s="18"/>
      <c r="H112" s="18"/>
      <c r="I112" s="4"/>
      <c r="J112" s="4"/>
      <c r="K112" s="4"/>
      <c r="L112" s="5"/>
      <c r="M112" s="5"/>
      <c r="N112" s="5"/>
      <c r="O112" s="5"/>
      <c r="P112" s="6"/>
      <c r="Q112" s="6"/>
      <c r="R112" s="6"/>
      <c r="S112" s="6"/>
      <c r="T112" s="6"/>
      <c r="U112" s="6"/>
    </row>
    <row r="113" spans="3:21" ht="11.1" customHeight="1">
      <c r="C113" s="6"/>
      <c r="F113" s="3"/>
      <c r="G113" s="18"/>
      <c r="H113" s="18"/>
      <c r="I113" s="4"/>
      <c r="J113" s="4"/>
      <c r="K113" s="4"/>
      <c r="L113" s="5"/>
      <c r="M113" s="5"/>
      <c r="N113" s="5"/>
      <c r="O113" s="5"/>
      <c r="P113" s="6"/>
      <c r="Q113" s="6"/>
      <c r="R113" s="6"/>
      <c r="S113" s="6"/>
      <c r="T113" s="6"/>
      <c r="U113" s="6"/>
    </row>
    <row r="114" spans="3:21" ht="11.1" customHeight="1">
      <c r="C114" s="6"/>
      <c r="F114" s="3"/>
      <c r="G114" s="18"/>
      <c r="H114" s="18"/>
      <c r="I114" s="4"/>
      <c r="J114" s="4"/>
      <c r="K114" s="4"/>
      <c r="L114" s="5"/>
      <c r="M114" s="5"/>
      <c r="N114" s="5"/>
      <c r="O114" s="5"/>
      <c r="P114" s="6"/>
      <c r="Q114" s="6"/>
      <c r="R114" s="6"/>
      <c r="S114" s="6"/>
      <c r="T114" s="6"/>
      <c r="U114" s="6"/>
    </row>
    <row r="115" spans="3:21" ht="11.1" customHeight="1">
      <c r="C115" s="6"/>
      <c r="F115" s="3"/>
      <c r="G115" s="18"/>
      <c r="H115" s="18"/>
      <c r="I115" s="4"/>
      <c r="J115" s="4"/>
      <c r="K115" s="4"/>
      <c r="L115" s="5"/>
      <c r="M115" s="5"/>
      <c r="N115" s="5"/>
      <c r="O115" s="5"/>
      <c r="P115" s="6"/>
      <c r="Q115" s="6"/>
      <c r="R115" s="6"/>
      <c r="S115" s="6"/>
      <c r="T115" s="6"/>
      <c r="U115" s="6"/>
    </row>
    <row r="116" spans="3:21" ht="11.1" customHeight="1">
      <c r="C116" s="6"/>
      <c r="F116" s="3"/>
      <c r="G116" s="18"/>
      <c r="H116" s="18"/>
      <c r="I116" s="4"/>
      <c r="J116" s="4"/>
      <c r="K116" s="4"/>
      <c r="L116" s="5"/>
      <c r="M116" s="5"/>
      <c r="N116" s="5"/>
      <c r="O116" s="5"/>
      <c r="P116" s="6"/>
      <c r="Q116" s="6"/>
      <c r="R116" s="6"/>
      <c r="S116" s="6"/>
      <c r="T116" s="6"/>
      <c r="U116" s="6"/>
    </row>
    <row r="117" spans="3:21" ht="11.1" customHeight="1">
      <c r="C117" s="6"/>
      <c r="F117" s="3"/>
      <c r="G117" s="18"/>
      <c r="H117" s="18"/>
      <c r="I117" s="4"/>
      <c r="J117" s="4"/>
      <c r="K117" s="4"/>
      <c r="L117" s="5"/>
      <c r="M117" s="5"/>
      <c r="N117" s="5"/>
      <c r="O117" s="5"/>
      <c r="P117" s="6"/>
      <c r="Q117" s="6"/>
      <c r="R117" s="6"/>
      <c r="S117" s="6"/>
      <c r="T117" s="6"/>
      <c r="U117" s="6"/>
    </row>
    <row r="118" spans="3:21" ht="11.1" customHeight="1">
      <c r="C118" s="6"/>
      <c r="F118" s="3"/>
      <c r="G118" s="18"/>
      <c r="H118" s="18"/>
      <c r="I118" s="4"/>
      <c r="J118" s="4"/>
      <c r="K118" s="4"/>
      <c r="L118" s="5"/>
      <c r="M118" s="5"/>
      <c r="N118" s="5"/>
      <c r="O118" s="5"/>
      <c r="P118" s="6"/>
      <c r="Q118" s="6"/>
      <c r="R118" s="6"/>
      <c r="S118" s="6"/>
      <c r="T118" s="6"/>
      <c r="U118" s="6"/>
    </row>
    <row r="119" spans="3:21" ht="11.1" customHeight="1">
      <c r="C119" s="6"/>
      <c r="F119" s="3"/>
      <c r="G119" s="18"/>
      <c r="H119" s="18"/>
      <c r="I119" s="4"/>
      <c r="J119" s="4"/>
      <c r="K119" s="4"/>
      <c r="L119" s="5"/>
      <c r="M119" s="5"/>
      <c r="N119" s="5"/>
      <c r="O119" s="5"/>
      <c r="P119" s="6"/>
      <c r="Q119" s="6"/>
      <c r="R119" s="6"/>
      <c r="S119" s="6"/>
      <c r="T119" s="6"/>
      <c r="U119" s="6"/>
    </row>
    <row r="120" spans="3:21" ht="11.1" customHeight="1">
      <c r="C120" s="6"/>
      <c r="F120" s="3"/>
      <c r="G120" s="18"/>
      <c r="H120" s="18"/>
      <c r="I120" s="4"/>
      <c r="J120" s="4"/>
      <c r="K120" s="4"/>
      <c r="L120" s="5"/>
      <c r="M120" s="5"/>
      <c r="N120" s="5"/>
      <c r="O120" s="5"/>
      <c r="P120" s="6"/>
      <c r="Q120" s="6"/>
      <c r="R120" s="6"/>
      <c r="S120" s="6"/>
      <c r="T120" s="6"/>
      <c r="U120" s="6"/>
    </row>
    <row r="121" spans="3:21" ht="11.1" customHeight="1">
      <c r="C121" s="6"/>
      <c r="F121" s="3"/>
      <c r="G121" s="18"/>
      <c r="H121" s="18"/>
      <c r="I121" s="4"/>
      <c r="J121" s="4"/>
      <c r="K121" s="4"/>
      <c r="L121" s="5"/>
      <c r="M121" s="5"/>
      <c r="N121" s="5"/>
      <c r="O121" s="5"/>
      <c r="P121" s="6"/>
      <c r="Q121" s="6"/>
      <c r="R121" s="6"/>
      <c r="S121" s="6"/>
      <c r="T121" s="6"/>
      <c r="U121" s="6"/>
    </row>
    <row r="122" spans="3:21" ht="11.1" customHeight="1">
      <c r="C122" s="6"/>
      <c r="F122" s="3"/>
      <c r="G122" s="18"/>
      <c r="H122" s="18"/>
      <c r="I122" s="4"/>
      <c r="J122" s="4"/>
      <c r="K122" s="4"/>
      <c r="L122" s="5"/>
      <c r="M122" s="5"/>
      <c r="N122" s="5"/>
      <c r="O122" s="5"/>
      <c r="P122" s="6"/>
      <c r="Q122" s="6"/>
      <c r="R122" s="6"/>
      <c r="S122" s="6"/>
      <c r="T122" s="6"/>
      <c r="U122" s="6"/>
    </row>
    <row r="123" spans="3:21" ht="11.1" customHeight="1">
      <c r="C123" s="6"/>
      <c r="F123" s="3"/>
      <c r="G123" s="18"/>
      <c r="H123" s="18"/>
      <c r="I123" s="4"/>
      <c r="J123" s="4"/>
      <c r="K123" s="4"/>
      <c r="L123" s="5"/>
      <c r="M123" s="5"/>
      <c r="N123" s="5"/>
      <c r="O123" s="5"/>
      <c r="P123" s="6"/>
      <c r="Q123" s="6"/>
      <c r="R123" s="6"/>
      <c r="S123" s="6"/>
      <c r="T123" s="6"/>
      <c r="U123" s="6"/>
    </row>
    <row r="124" spans="3:21" ht="11.1" customHeight="1">
      <c r="C124" s="6"/>
      <c r="F124" s="3"/>
      <c r="G124" s="18"/>
      <c r="H124" s="18"/>
      <c r="I124" s="4"/>
      <c r="J124" s="4"/>
      <c r="K124" s="4"/>
      <c r="L124" s="5"/>
      <c r="M124" s="5"/>
      <c r="N124" s="5"/>
      <c r="O124" s="5"/>
      <c r="P124" s="6"/>
      <c r="Q124" s="6"/>
      <c r="R124" s="6"/>
      <c r="S124" s="6"/>
      <c r="T124" s="6"/>
      <c r="U124" s="6"/>
    </row>
    <row r="125" spans="3:21" ht="11.1" customHeight="1">
      <c r="C125" s="6"/>
      <c r="F125" s="3"/>
      <c r="G125" s="18"/>
      <c r="H125" s="18"/>
      <c r="I125" s="4"/>
      <c r="J125" s="4"/>
      <c r="K125" s="4"/>
      <c r="L125" s="5"/>
      <c r="M125" s="5"/>
      <c r="N125" s="5"/>
      <c r="O125" s="5"/>
      <c r="P125" s="6"/>
      <c r="Q125" s="6"/>
      <c r="R125" s="6"/>
      <c r="S125" s="6"/>
      <c r="T125" s="6"/>
      <c r="U125" s="6"/>
    </row>
    <row r="126" spans="3:21" ht="11.1" customHeight="1">
      <c r="C126" s="6"/>
      <c r="F126" s="3"/>
      <c r="G126" s="18"/>
      <c r="H126" s="18"/>
      <c r="I126" s="4"/>
      <c r="J126" s="4"/>
      <c r="K126" s="4"/>
      <c r="L126" s="5"/>
      <c r="M126" s="5"/>
      <c r="N126" s="5"/>
      <c r="O126" s="5"/>
      <c r="P126" s="6"/>
      <c r="Q126" s="6"/>
      <c r="R126" s="6"/>
      <c r="S126" s="6"/>
      <c r="T126" s="6"/>
      <c r="U126" s="6"/>
    </row>
    <row r="127" spans="3:21" ht="11.1" customHeight="1">
      <c r="C127" s="6"/>
      <c r="F127" s="3"/>
      <c r="G127" s="18"/>
      <c r="H127" s="18"/>
      <c r="I127" s="4"/>
      <c r="J127" s="4"/>
      <c r="K127" s="4"/>
      <c r="L127" s="5"/>
      <c r="M127" s="5"/>
      <c r="N127" s="5"/>
      <c r="O127" s="5"/>
      <c r="P127" s="6"/>
      <c r="Q127" s="6"/>
      <c r="R127" s="6"/>
      <c r="S127" s="6"/>
      <c r="T127" s="6"/>
      <c r="U127" s="6"/>
    </row>
    <row r="128" spans="3:21" ht="11.1" customHeight="1">
      <c r="C128" s="6"/>
      <c r="F128" s="3"/>
      <c r="G128" s="18"/>
      <c r="H128" s="18"/>
      <c r="I128" s="4"/>
      <c r="J128" s="4"/>
      <c r="K128" s="4"/>
      <c r="L128" s="5"/>
      <c r="M128" s="5"/>
      <c r="N128" s="5"/>
      <c r="O128" s="5"/>
      <c r="P128" s="6"/>
      <c r="Q128" s="6"/>
      <c r="R128" s="6"/>
      <c r="S128" s="6"/>
      <c r="T128" s="6"/>
      <c r="U128" s="6"/>
    </row>
    <row r="129" spans="3:21" ht="11.1" customHeight="1">
      <c r="C129" s="6"/>
      <c r="F129" s="3"/>
      <c r="G129" s="18"/>
      <c r="H129" s="18"/>
      <c r="I129" s="4"/>
      <c r="J129" s="4"/>
      <c r="K129" s="4"/>
      <c r="L129" s="5"/>
      <c r="M129" s="5"/>
      <c r="N129" s="5"/>
      <c r="O129" s="5"/>
      <c r="P129" s="6"/>
      <c r="Q129" s="6"/>
      <c r="R129" s="6"/>
      <c r="S129" s="6"/>
      <c r="T129" s="6"/>
      <c r="U129" s="6"/>
    </row>
    <row r="130" spans="3:21" ht="11.1" customHeight="1">
      <c r="C130" s="6"/>
      <c r="F130" s="3"/>
      <c r="G130" s="18"/>
      <c r="H130" s="18"/>
      <c r="I130" s="4"/>
      <c r="J130" s="4"/>
      <c r="K130" s="4"/>
      <c r="L130" s="5"/>
      <c r="M130" s="5"/>
      <c r="N130" s="5"/>
      <c r="O130" s="5"/>
      <c r="P130" s="6"/>
      <c r="Q130" s="6"/>
      <c r="R130" s="6"/>
      <c r="S130" s="6"/>
      <c r="T130" s="6"/>
      <c r="U130" s="6"/>
    </row>
    <row r="131" spans="3:21" ht="11.1" customHeight="1">
      <c r="C131" s="6"/>
      <c r="F131" s="3"/>
      <c r="G131" s="18"/>
      <c r="H131" s="18"/>
      <c r="I131" s="4"/>
      <c r="J131" s="4"/>
      <c r="K131" s="4"/>
      <c r="L131" s="5"/>
      <c r="M131" s="5"/>
      <c r="N131" s="5"/>
      <c r="O131" s="5"/>
      <c r="P131" s="6"/>
      <c r="Q131" s="6"/>
      <c r="R131" s="6"/>
      <c r="S131" s="6"/>
      <c r="T131" s="6"/>
      <c r="U131" s="6"/>
    </row>
    <row r="132" spans="3:21" ht="11.1" customHeight="1">
      <c r="C132" s="6"/>
      <c r="F132" s="3"/>
      <c r="G132" s="18"/>
      <c r="H132" s="18"/>
      <c r="I132" s="4"/>
      <c r="J132" s="4"/>
      <c r="K132" s="4"/>
      <c r="L132" s="5"/>
      <c r="M132" s="5"/>
      <c r="N132" s="5"/>
      <c r="O132" s="5"/>
      <c r="P132" s="6"/>
      <c r="Q132" s="6"/>
      <c r="R132" s="6"/>
      <c r="S132" s="6"/>
      <c r="T132" s="6"/>
      <c r="U132" s="6"/>
    </row>
    <row r="133" spans="3:21" ht="11.1" customHeight="1">
      <c r="C133" s="6"/>
      <c r="F133" s="3"/>
      <c r="G133" s="18"/>
      <c r="H133" s="18"/>
      <c r="I133" s="4"/>
      <c r="J133" s="4"/>
      <c r="K133" s="4"/>
      <c r="L133" s="5"/>
      <c r="M133" s="5"/>
      <c r="N133" s="5"/>
      <c r="O133" s="5"/>
      <c r="P133" s="6"/>
      <c r="Q133" s="6"/>
      <c r="R133" s="6"/>
      <c r="S133" s="6"/>
      <c r="T133" s="6"/>
      <c r="U133" s="6"/>
    </row>
    <row r="134" spans="3:21" ht="11.1" customHeight="1">
      <c r="C134" s="6"/>
      <c r="F134" s="3"/>
      <c r="G134" s="18"/>
      <c r="H134" s="18"/>
      <c r="I134" s="4"/>
      <c r="J134" s="4"/>
      <c r="K134" s="4"/>
      <c r="L134" s="5"/>
      <c r="M134" s="5"/>
      <c r="N134" s="5"/>
      <c r="O134" s="5"/>
      <c r="P134" s="6"/>
      <c r="Q134" s="6"/>
      <c r="R134" s="6"/>
      <c r="S134" s="6"/>
      <c r="T134" s="6"/>
      <c r="U134" s="6"/>
    </row>
    <row r="135" spans="3:21" ht="11.1" customHeight="1">
      <c r="C135" s="6"/>
      <c r="F135" s="3"/>
      <c r="G135" s="18"/>
      <c r="H135" s="18"/>
      <c r="I135" s="4"/>
      <c r="J135" s="4"/>
      <c r="K135" s="4"/>
      <c r="L135" s="5"/>
      <c r="M135" s="5"/>
      <c r="N135" s="5"/>
      <c r="O135" s="5"/>
      <c r="P135" s="6"/>
      <c r="Q135" s="6"/>
      <c r="R135" s="6"/>
      <c r="S135" s="6"/>
      <c r="T135" s="6"/>
      <c r="U135" s="6"/>
    </row>
    <row r="136" spans="3:21" ht="11.1" customHeight="1">
      <c r="C136" s="6"/>
      <c r="F136" s="3"/>
      <c r="G136" s="18"/>
      <c r="H136" s="18"/>
      <c r="I136" s="4"/>
      <c r="J136" s="4"/>
      <c r="K136" s="4"/>
      <c r="L136" s="5"/>
      <c r="M136" s="5"/>
      <c r="N136" s="5"/>
      <c r="O136" s="5"/>
      <c r="P136" s="6"/>
      <c r="Q136" s="6"/>
      <c r="R136" s="6"/>
      <c r="S136" s="6"/>
      <c r="T136" s="6"/>
      <c r="U136" s="6"/>
    </row>
    <row r="137" spans="3:21" ht="11.1" customHeight="1">
      <c r="C137" s="6"/>
      <c r="F137" s="3"/>
      <c r="G137" s="18"/>
      <c r="H137" s="18"/>
      <c r="I137" s="4"/>
      <c r="J137" s="4"/>
      <c r="K137" s="4"/>
      <c r="L137" s="5"/>
      <c r="M137" s="5"/>
      <c r="N137" s="5"/>
      <c r="O137" s="5"/>
      <c r="P137" s="6"/>
      <c r="Q137" s="6"/>
      <c r="R137" s="6"/>
      <c r="S137" s="6"/>
      <c r="T137" s="6"/>
      <c r="U137" s="6"/>
    </row>
    <row r="138" spans="3:21" ht="11.1" customHeight="1">
      <c r="C138" s="6"/>
      <c r="F138" s="3"/>
      <c r="G138" s="18"/>
      <c r="H138" s="18"/>
      <c r="I138" s="4"/>
      <c r="J138" s="4"/>
      <c r="K138" s="4"/>
      <c r="L138" s="5"/>
      <c r="M138" s="5"/>
      <c r="N138" s="5"/>
      <c r="O138" s="5"/>
      <c r="P138" s="6"/>
      <c r="Q138" s="6"/>
      <c r="R138" s="6"/>
      <c r="S138" s="6"/>
      <c r="T138" s="6"/>
      <c r="U138" s="6"/>
    </row>
    <row r="139" spans="3:21" ht="11.1" customHeight="1">
      <c r="C139" s="6"/>
      <c r="F139" s="3"/>
      <c r="G139" s="18"/>
      <c r="H139" s="18"/>
      <c r="I139" s="4"/>
      <c r="J139" s="4"/>
      <c r="K139" s="4"/>
      <c r="L139" s="5"/>
      <c r="M139" s="5"/>
      <c r="N139" s="5"/>
      <c r="O139" s="5"/>
      <c r="P139" s="6"/>
      <c r="Q139" s="6"/>
      <c r="R139" s="6"/>
      <c r="S139" s="6"/>
      <c r="T139" s="6"/>
      <c r="U139" s="6"/>
    </row>
    <row r="140" spans="3:21" ht="11.1" customHeight="1">
      <c r="C140" s="6"/>
      <c r="F140" s="3"/>
      <c r="G140" s="18"/>
      <c r="H140" s="18"/>
      <c r="I140" s="4"/>
      <c r="J140" s="4"/>
      <c r="K140" s="4"/>
      <c r="L140" s="5"/>
      <c r="M140" s="5"/>
      <c r="N140" s="5"/>
      <c r="O140" s="5"/>
      <c r="P140" s="6"/>
      <c r="Q140" s="6"/>
      <c r="R140" s="6"/>
      <c r="S140" s="6"/>
      <c r="T140" s="6"/>
      <c r="U140" s="6"/>
    </row>
    <row r="141" spans="3:21" ht="11.1" customHeight="1">
      <c r="C141" s="6"/>
      <c r="F141" s="3"/>
      <c r="G141" s="18"/>
      <c r="H141" s="18"/>
      <c r="I141" s="4"/>
      <c r="J141" s="4"/>
      <c r="K141" s="4"/>
      <c r="L141" s="5"/>
      <c r="M141" s="5"/>
      <c r="N141" s="5"/>
      <c r="O141" s="5"/>
      <c r="P141" s="6"/>
      <c r="Q141" s="6"/>
      <c r="R141" s="6"/>
      <c r="S141" s="6"/>
      <c r="T141" s="6"/>
      <c r="U141" s="6"/>
    </row>
    <row r="142" spans="3:21" ht="11.1" customHeight="1">
      <c r="C142" s="6"/>
      <c r="F142" s="3"/>
      <c r="G142" s="18"/>
      <c r="H142" s="18"/>
      <c r="I142" s="4"/>
      <c r="J142" s="4"/>
      <c r="K142" s="4"/>
      <c r="L142" s="5"/>
      <c r="M142" s="5"/>
      <c r="N142" s="5"/>
      <c r="O142" s="5"/>
      <c r="P142" s="6"/>
      <c r="Q142" s="6"/>
      <c r="R142" s="6"/>
      <c r="S142" s="6"/>
      <c r="T142" s="6"/>
      <c r="U142" s="6"/>
    </row>
    <row r="143" spans="3:21" ht="11.1" customHeight="1">
      <c r="C143" s="6"/>
      <c r="F143" s="3"/>
      <c r="G143" s="18"/>
      <c r="H143" s="18"/>
      <c r="I143" s="4"/>
      <c r="J143" s="4"/>
      <c r="K143" s="4"/>
      <c r="L143" s="5"/>
      <c r="M143" s="5"/>
      <c r="N143" s="5"/>
      <c r="O143" s="5"/>
      <c r="P143" s="6"/>
      <c r="Q143" s="6"/>
      <c r="R143" s="6"/>
      <c r="S143" s="6"/>
      <c r="T143" s="6"/>
      <c r="U143" s="6"/>
    </row>
    <row r="144" spans="3:21" ht="11.1" customHeight="1">
      <c r="C144" s="6"/>
      <c r="F144" s="3"/>
      <c r="G144" s="18"/>
      <c r="H144" s="18"/>
      <c r="I144" s="4"/>
      <c r="J144" s="4"/>
      <c r="K144" s="4"/>
      <c r="L144" s="5"/>
      <c r="M144" s="5"/>
      <c r="N144" s="5"/>
      <c r="O144" s="5"/>
      <c r="P144" s="6"/>
      <c r="Q144" s="6"/>
      <c r="R144" s="6"/>
      <c r="S144" s="6"/>
      <c r="T144" s="6"/>
      <c r="U144" s="6"/>
    </row>
    <row r="145" spans="3:21" ht="11.1" customHeight="1">
      <c r="C145" s="6"/>
      <c r="F145" s="3"/>
      <c r="G145" s="18"/>
      <c r="H145" s="18"/>
      <c r="I145" s="4"/>
      <c r="J145" s="4"/>
      <c r="K145" s="4"/>
      <c r="L145" s="5"/>
      <c r="M145" s="5"/>
      <c r="N145" s="5"/>
      <c r="O145" s="5"/>
      <c r="P145" s="6"/>
      <c r="Q145" s="6"/>
      <c r="R145" s="6"/>
      <c r="S145" s="6"/>
      <c r="T145" s="6"/>
      <c r="U145" s="6"/>
    </row>
    <row r="146" spans="3:21" ht="11.1" customHeight="1">
      <c r="C146" s="6"/>
      <c r="F146" s="3"/>
      <c r="G146" s="18"/>
      <c r="H146" s="18"/>
      <c r="I146" s="4"/>
      <c r="J146" s="4"/>
      <c r="K146" s="4"/>
      <c r="L146" s="5"/>
      <c r="M146" s="5"/>
      <c r="N146" s="5"/>
      <c r="O146" s="5"/>
      <c r="P146" s="6"/>
      <c r="Q146" s="6"/>
      <c r="R146" s="6"/>
      <c r="S146" s="6"/>
      <c r="T146" s="6"/>
      <c r="U146" s="6"/>
    </row>
    <row r="147" spans="3:21" ht="11.1" customHeight="1">
      <c r="C147" s="6"/>
      <c r="F147" s="3"/>
      <c r="G147" s="18"/>
      <c r="H147" s="18"/>
      <c r="I147" s="4"/>
      <c r="J147" s="4"/>
      <c r="K147" s="4"/>
      <c r="L147" s="5"/>
      <c r="M147" s="5"/>
      <c r="N147" s="5"/>
      <c r="O147" s="5"/>
      <c r="P147" s="6"/>
      <c r="Q147" s="6"/>
      <c r="R147" s="6"/>
      <c r="S147" s="6"/>
      <c r="T147" s="6"/>
      <c r="U147" s="6"/>
    </row>
    <row r="148" spans="3:21" ht="11.1" customHeight="1">
      <c r="C148" s="6"/>
      <c r="F148" s="3"/>
      <c r="G148" s="18"/>
      <c r="H148" s="18"/>
      <c r="I148" s="4"/>
      <c r="J148" s="4"/>
      <c r="K148" s="4"/>
      <c r="L148" s="5"/>
      <c r="M148" s="5"/>
      <c r="N148" s="5"/>
      <c r="O148" s="5"/>
      <c r="P148" s="6"/>
      <c r="Q148" s="6"/>
      <c r="R148" s="6"/>
      <c r="S148" s="6"/>
      <c r="T148" s="6"/>
      <c r="U148" s="6"/>
    </row>
    <row r="149" spans="3:21" ht="11.1" customHeight="1">
      <c r="C149" s="6"/>
      <c r="F149" s="3"/>
      <c r="G149" s="18"/>
      <c r="H149" s="18"/>
      <c r="I149" s="4"/>
      <c r="J149" s="4"/>
      <c r="K149" s="4"/>
      <c r="L149" s="5"/>
      <c r="M149" s="5"/>
      <c r="N149" s="5"/>
      <c r="O149" s="5"/>
      <c r="P149" s="6"/>
      <c r="Q149" s="6"/>
      <c r="R149" s="6"/>
      <c r="S149" s="6"/>
      <c r="T149" s="6"/>
      <c r="U149" s="6"/>
    </row>
    <row r="150" spans="3:21" ht="11.1" customHeight="1">
      <c r="C150" s="6"/>
      <c r="F150" s="3"/>
      <c r="G150" s="18"/>
      <c r="H150" s="18"/>
      <c r="I150" s="4"/>
      <c r="J150" s="4"/>
      <c r="K150" s="4"/>
      <c r="L150" s="5"/>
      <c r="M150" s="5"/>
      <c r="N150" s="5"/>
      <c r="O150" s="5"/>
      <c r="P150" s="6"/>
      <c r="Q150" s="6"/>
      <c r="R150" s="6"/>
      <c r="S150" s="6"/>
      <c r="T150" s="6"/>
      <c r="U150" s="6"/>
    </row>
    <row r="151" spans="3:21" ht="11.1" customHeight="1">
      <c r="C151" s="6"/>
      <c r="F151" s="3"/>
      <c r="G151" s="18"/>
      <c r="H151" s="18"/>
      <c r="I151" s="4"/>
      <c r="J151" s="4"/>
      <c r="K151" s="4"/>
      <c r="L151" s="5"/>
      <c r="M151" s="5"/>
      <c r="N151" s="5"/>
      <c r="O151" s="5"/>
      <c r="P151" s="6"/>
      <c r="Q151" s="6"/>
      <c r="R151" s="6"/>
      <c r="S151" s="6"/>
      <c r="T151" s="6"/>
      <c r="U151" s="6"/>
    </row>
    <row r="152" spans="3:21" ht="11.1" customHeight="1">
      <c r="C152" s="6"/>
      <c r="F152" s="3"/>
      <c r="G152" s="18"/>
      <c r="H152" s="18"/>
      <c r="I152" s="4"/>
      <c r="J152" s="4"/>
      <c r="K152" s="4"/>
      <c r="L152" s="5"/>
      <c r="M152" s="5"/>
      <c r="N152" s="5"/>
      <c r="O152" s="5"/>
      <c r="P152" s="6"/>
      <c r="Q152" s="6"/>
      <c r="R152" s="6"/>
      <c r="S152" s="6"/>
      <c r="T152" s="6"/>
      <c r="U152" s="6"/>
    </row>
    <row r="153" spans="3:21" ht="11.1" customHeight="1">
      <c r="C153" s="6"/>
      <c r="F153" s="3"/>
      <c r="G153" s="18"/>
      <c r="H153" s="18"/>
      <c r="I153" s="4"/>
      <c r="J153" s="4"/>
      <c r="K153" s="4"/>
      <c r="L153" s="5"/>
      <c r="M153" s="5"/>
      <c r="N153" s="5"/>
      <c r="O153" s="5"/>
      <c r="P153" s="6"/>
      <c r="Q153" s="6"/>
      <c r="R153" s="6"/>
      <c r="S153" s="6"/>
      <c r="T153" s="6"/>
      <c r="U153" s="6"/>
    </row>
    <row r="154" spans="3:21" ht="11.1" customHeight="1">
      <c r="C154" s="6"/>
      <c r="F154" s="3"/>
      <c r="G154" s="18"/>
      <c r="H154" s="18"/>
      <c r="I154" s="4"/>
      <c r="J154" s="4"/>
      <c r="K154" s="4"/>
      <c r="L154" s="5"/>
      <c r="M154" s="5"/>
      <c r="N154" s="5"/>
      <c r="O154" s="5"/>
      <c r="P154" s="6"/>
      <c r="Q154" s="6"/>
      <c r="R154" s="6"/>
      <c r="S154" s="6"/>
      <c r="T154" s="6"/>
      <c r="U154" s="6"/>
    </row>
    <row r="155" spans="3:21" ht="11.1" customHeight="1">
      <c r="C155" s="6"/>
      <c r="F155" s="3"/>
      <c r="G155" s="18"/>
      <c r="H155" s="18"/>
      <c r="I155" s="4"/>
      <c r="J155" s="4"/>
      <c r="K155" s="4"/>
      <c r="L155" s="5"/>
      <c r="M155" s="5"/>
      <c r="N155" s="5"/>
      <c r="O155" s="5"/>
      <c r="P155" s="6"/>
      <c r="Q155" s="6"/>
      <c r="R155" s="6"/>
      <c r="S155" s="6"/>
      <c r="T155" s="6"/>
      <c r="U155" s="6"/>
    </row>
    <row r="156" spans="3:21" ht="11.1" customHeight="1">
      <c r="C156" s="6"/>
      <c r="F156" s="3"/>
      <c r="G156" s="18"/>
      <c r="H156" s="18"/>
      <c r="I156" s="4"/>
      <c r="J156" s="4"/>
      <c r="K156" s="4"/>
      <c r="L156" s="5"/>
      <c r="M156" s="5"/>
      <c r="N156" s="5"/>
      <c r="O156" s="5"/>
      <c r="P156" s="6"/>
      <c r="Q156" s="6"/>
      <c r="R156" s="6"/>
      <c r="S156" s="6"/>
      <c r="T156" s="6"/>
      <c r="U156" s="6"/>
    </row>
    <row r="157" spans="3:21" ht="11.1" customHeight="1">
      <c r="C157" s="6"/>
      <c r="F157" s="3"/>
      <c r="G157" s="18"/>
      <c r="H157" s="18"/>
      <c r="I157" s="4"/>
      <c r="J157" s="4"/>
      <c r="K157" s="4"/>
      <c r="L157" s="5"/>
      <c r="M157" s="5"/>
      <c r="N157" s="5"/>
      <c r="O157" s="5"/>
      <c r="P157" s="6"/>
      <c r="Q157" s="6"/>
      <c r="R157" s="6"/>
      <c r="S157" s="6"/>
      <c r="T157" s="6"/>
      <c r="U157" s="6"/>
    </row>
    <row r="158" spans="3:21" ht="11.1" customHeight="1">
      <c r="C158" s="6"/>
      <c r="F158" s="3"/>
      <c r="G158" s="18"/>
      <c r="H158" s="18"/>
      <c r="I158" s="4"/>
      <c r="J158" s="4"/>
      <c r="K158" s="4"/>
      <c r="L158" s="5"/>
      <c r="M158" s="5"/>
      <c r="N158" s="5"/>
      <c r="O158" s="5"/>
      <c r="P158" s="6"/>
      <c r="Q158" s="6"/>
      <c r="R158" s="6"/>
      <c r="S158" s="6"/>
      <c r="T158" s="6"/>
      <c r="U158" s="6"/>
    </row>
    <row r="159" spans="3:21" ht="11.1" customHeight="1">
      <c r="C159" s="6"/>
      <c r="F159" s="3"/>
      <c r="G159" s="18"/>
      <c r="H159" s="18"/>
      <c r="I159" s="4"/>
      <c r="J159" s="4"/>
      <c r="K159" s="4"/>
      <c r="L159" s="5"/>
      <c r="M159" s="5"/>
      <c r="N159" s="5"/>
      <c r="O159" s="5"/>
      <c r="P159" s="6"/>
      <c r="Q159" s="6"/>
      <c r="R159" s="6"/>
      <c r="S159" s="6"/>
      <c r="T159" s="6"/>
      <c r="U159" s="6"/>
    </row>
    <row r="160" spans="3:21" ht="11.1" customHeight="1">
      <c r="C160" s="6"/>
      <c r="F160" s="3"/>
      <c r="G160" s="18"/>
      <c r="H160" s="18"/>
      <c r="I160" s="4"/>
      <c r="J160" s="4"/>
      <c r="K160" s="4"/>
      <c r="L160" s="5"/>
      <c r="M160" s="5"/>
      <c r="N160" s="5"/>
      <c r="O160" s="5"/>
      <c r="P160" s="6"/>
      <c r="Q160" s="6"/>
      <c r="R160" s="6"/>
      <c r="S160" s="6"/>
      <c r="T160" s="6"/>
      <c r="U160" s="6"/>
    </row>
    <row r="161" spans="3:21" ht="11.1" customHeight="1">
      <c r="C161" s="6"/>
      <c r="F161" s="3"/>
      <c r="G161" s="18"/>
      <c r="H161" s="18"/>
      <c r="I161" s="4"/>
      <c r="J161" s="4"/>
      <c r="K161" s="4"/>
      <c r="L161" s="5"/>
      <c r="M161" s="5"/>
      <c r="N161" s="5"/>
      <c r="O161" s="5"/>
      <c r="P161" s="6"/>
      <c r="Q161" s="6"/>
      <c r="R161" s="6"/>
      <c r="S161" s="6"/>
      <c r="T161" s="6"/>
      <c r="U161" s="6"/>
    </row>
    <row r="162" spans="3:21" ht="11.1" customHeight="1">
      <c r="C162" s="6"/>
      <c r="F162" s="3"/>
      <c r="G162" s="18"/>
      <c r="H162" s="18"/>
      <c r="I162" s="4"/>
      <c r="J162" s="4"/>
      <c r="K162" s="4"/>
      <c r="L162" s="5"/>
      <c r="M162" s="5"/>
      <c r="N162" s="5"/>
      <c r="O162" s="5"/>
      <c r="P162" s="6"/>
      <c r="Q162" s="6"/>
      <c r="R162" s="6"/>
      <c r="S162" s="6"/>
      <c r="T162" s="6"/>
      <c r="U162" s="6"/>
    </row>
    <row r="163" spans="3:21" ht="11.1" customHeight="1">
      <c r="C163" s="6"/>
      <c r="F163" s="3"/>
      <c r="G163" s="18"/>
      <c r="H163" s="18"/>
      <c r="I163" s="4"/>
      <c r="J163" s="4"/>
      <c r="K163" s="4"/>
      <c r="L163" s="5"/>
      <c r="M163" s="5"/>
      <c r="N163" s="5"/>
      <c r="O163" s="5"/>
      <c r="P163" s="6"/>
      <c r="Q163" s="6"/>
      <c r="R163" s="6"/>
      <c r="S163" s="6"/>
      <c r="T163" s="6"/>
      <c r="U163" s="6"/>
    </row>
    <row r="164" spans="3:21" ht="11.1" customHeight="1">
      <c r="C164" s="6"/>
      <c r="F164" s="3"/>
      <c r="G164" s="18"/>
      <c r="H164" s="18"/>
      <c r="I164" s="4"/>
      <c r="J164" s="4"/>
      <c r="K164" s="4"/>
      <c r="L164" s="5"/>
      <c r="M164" s="5"/>
      <c r="N164" s="5"/>
      <c r="O164" s="5"/>
      <c r="P164" s="6"/>
      <c r="Q164" s="6"/>
      <c r="R164" s="6"/>
      <c r="S164" s="6"/>
      <c r="T164" s="6"/>
      <c r="U164" s="6"/>
    </row>
    <row r="165" spans="3:21" ht="11.1" customHeight="1">
      <c r="C165" s="6"/>
      <c r="F165" s="3"/>
      <c r="G165" s="18"/>
      <c r="H165" s="18"/>
      <c r="I165" s="4"/>
      <c r="J165" s="4"/>
      <c r="K165" s="4"/>
      <c r="L165" s="5"/>
      <c r="M165" s="5"/>
      <c r="N165" s="5"/>
      <c r="O165" s="5"/>
      <c r="P165" s="6"/>
      <c r="Q165" s="6"/>
      <c r="R165" s="6"/>
      <c r="S165" s="6"/>
      <c r="T165" s="6"/>
      <c r="U165" s="6"/>
    </row>
    <row r="166" spans="3:21" ht="11.1" customHeight="1">
      <c r="C166" s="6"/>
      <c r="F166" s="3"/>
      <c r="G166" s="18"/>
      <c r="H166" s="18"/>
      <c r="I166" s="4"/>
      <c r="J166" s="4"/>
      <c r="K166" s="4"/>
      <c r="L166" s="5"/>
      <c r="M166" s="5"/>
      <c r="N166" s="5"/>
      <c r="O166" s="5"/>
      <c r="P166" s="6"/>
      <c r="Q166" s="6"/>
      <c r="R166" s="6"/>
      <c r="S166" s="6"/>
      <c r="T166" s="6"/>
      <c r="U166" s="6"/>
    </row>
    <row r="167" spans="3:21" ht="11.1" customHeight="1">
      <c r="C167" s="6"/>
      <c r="F167" s="3"/>
      <c r="G167" s="18"/>
      <c r="H167" s="18"/>
      <c r="I167" s="4"/>
      <c r="J167" s="4"/>
      <c r="K167" s="4"/>
      <c r="L167" s="5"/>
      <c r="M167" s="5"/>
      <c r="N167" s="5"/>
      <c r="O167" s="5"/>
      <c r="P167" s="6"/>
      <c r="Q167" s="6"/>
      <c r="R167" s="6"/>
      <c r="S167" s="6"/>
      <c r="T167" s="6"/>
      <c r="U167" s="6"/>
    </row>
    <row r="168" spans="3:21" ht="11.1" customHeight="1">
      <c r="C168" s="6"/>
      <c r="F168" s="3"/>
      <c r="G168" s="18"/>
      <c r="H168" s="18"/>
      <c r="I168" s="4"/>
      <c r="J168" s="4"/>
      <c r="K168" s="4"/>
      <c r="L168" s="5"/>
      <c r="M168" s="5"/>
      <c r="N168" s="5"/>
      <c r="O168" s="5"/>
      <c r="P168" s="6"/>
      <c r="Q168" s="6"/>
      <c r="R168" s="6"/>
      <c r="S168" s="6"/>
      <c r="T168" s="6"/>
      <c r="U168" s="6"/>
    </row>
    <row r="169" spans="3:21" ht="11.1" customHeight="1">
      <c r="C169" s="6"/>
      <c r="F169" s="3"/>
      <c r="G169" s="18"/>
      <c r="H169" s="18"/>
      <c r="I169" s="4"/>
      <c r="J169" s="4"/>
      <c r="K169" s="4"/>
      <c r="L169" s="5"/>
      <c r="M169" s="5"/>
      <c r="N169" s="5"/>
      <c r="O169" s="5"/>
      <c r="P169" s="6"/>
      <c r="Q169" s="6"/>
      <c r="R169" s="6"/>
      <c r="S169" s="6"/>
      <c r="T169" s="6"/>
      <c r="U169" s="6"/>
    </row>
    <row r="170" spans="3:21" ht="11.1" customHeight="1">
      <c r="C170" s="6"/>
      <c r="F170" s="3"/>
      <c r="G170" s="18"/>
      <c r="H170" s="18"/>
      <c r="I170" s="4"/>
      <c r="J170" s="4"/>
      <c r="K170" s="4"/>
      <c r="L170" s="5"/>
      <c r="M170" s="5"/>
      <c r="N170" s="5"/>
      <c r="O170" s="5"/>
      <c r="P170" s="6"/>
      <c r="Q170" s="6"/>
      <c r="R170" s="6"/>
      <c r="S170" s="6"/>
      <c r="T170" s="6"/>
      <c r="U170" s="6"/>
    </row>
    <row r="171" spans="3:21" ht="11.1" customHeight="1">
      <c r="C171" s="6"/>
      <c r="F171" s="3"/>
      <c r="G171" s="18"/>
      <c r="H171" s="18"/>
      <c r="I171" s="4"/>
      <c r="J171" s="4"/>
      <c r="K171" s="4"/>
      <c r="L171" s="5"/>
      <c r="M171" s="5"/>
      <c r="N171" s="5"/>
      <c r="O171" s="5"/>
      <c r="P171" s="6"/>
      <c r="Q171" s="6"/>
      <c r="R171" s="6"/>
      <c r="S171" s="6"/>
      <c r="T171" s="6"/>
      <c r="U171" s="6"/>
    </row>
    <row r="172" spans="3:21" ht="11.1" customHeight="1">
      <c r="C172" s="6"/>
      <c r="F172" s="3"/>
      <c r="G172" s="18"/>
      <c r="H172" s="18"/>
      <c r="I172" s="4"/>
      <c r="J172" s="4"/>
      <c r="K172" s="4"/>
      <c r="L172" s="5"/>
      <c r="M172" s="5"/>
      <c r="N172" s="5"/>
      <c r="O172" s="5"/>
      <c r="P172" s="6"/>
      <c r="Q172" s="6"/>
      <c r="R172" s="6"/>
      <c r="S172" s="6"/>
      <c r="T172" s="6"/>
      <c r="U172" s="6"/>
    </row>
    <row r="173" spans="3:21" ht="11.1" customHeight="1">
      <c r="C173" s="6"/>
      <c r="F173" s="3"/>
      <c r="G173" s="18"/>
      <c r="H173" s="18"/>
      <c r="I173" s="4"/>
      <c r="J173" s="4"/>
      <c r="K173" s="4"/>
      <c r="L173" s="5"/>
      <c r="M173" s="5"/>
      <c r="N173" s="5"/>
      <c r="O173" s="5"/>
      <c r="P173" s="6"/>
      <c r="Q173" s="6"/>
      <c r="R173" s="6"/>
      <c r="S173" s="6"/>
      <c r="T173" s="6"/>
      <c r="U173" s="6"/>
    </row>
    <row r="174" spans="3:21" ht="11.1" customHeight="1">
      <c r="C174" s="6"/>
      <c r="F174" s="3"/>
      <c r="G174" s="18"/>
      <c r="H174" s="18"/>
      <c r="I174" s="4"/>
      <c r="J174" s="4"/>
      <c r="K174" s="4"/>
      <c r="L174" s="5"/>
      <c r="M174" s="5"/>
      <c r="N174" s="5"/>
      <c r="O174" s="5"/>
      <c r="P174" s="6"/>
      <c r="Q174" s="6"/>
      <c r="R174" s="6"/>
      <c r="S174" s="6"/>
      <c r="T174" s="6"/>
      <c r="U174" s="6"/>
    </row>
    <row r="175" spans="3:21" ht="11.1" customHeight="1">
      <c r="C175" s="6"/>
      <c r="F175" s="3"/>
      <c r="G175" s="18"/>
      <c r="H175" s="18"/>
      <c r="I175" s="4"/>
      <c r="J175" s="4"/>
      <c r="K175" s="4"/>
      <c r="L175" s="5"/>
      <c r="M175" s="5"/>
      <c r="N175" s="5"/>
      <c r="O175" s="5"/>
      <c r="P175" s="6"/>
      <c r="Q175" s="6"/>
      <c r="R175" s="6"/>
      <c r="S175" s="6"/>
      <c r="T175" s="6"/>
      <c r="U175" s="6"/>
    </row>
    <row r="176" spans="3:21" ht="11.1" customHeight="1">
      <c r="C176" s="6"/>
      <c r="F176" s="3"/>
      <c r="G176" s="18"/>
      <c r="H176" s="18"/>
      <c r="I176" s="4"/>
      <c r="J176" s="4"/>
      <c r="K176" s="4"/>
      <c r="L176" s="5"/>
      <c r="M176" s="5"/>
      <c r="N176" s="5"/>
      <c r="O176" s="5"/>
      <c r="P176" s="6"/>
      <c r="Q176" s="6"/>
      <c r="R176" s="6"/>
      <c r="S176" s="6"/>
      <c r="T176" s="6"/>
      <c r="U176" s="6"/>
    </row>
    <row r="177" spans="3:21" ht="11.1" customHeight="1">
      <c r="C177" s="6"/>
      <c r="F177" s="3"/>
      <c r="G177" s="18"/>
      <c r="H177" s="18"/>
      <c r="I177" s="4"/>
      <c r="J177" s="4"/>
      <c r="K177" s="4"/>
      <c r="L177" s="5"/>
      <c r="M177" s="5"/>
      <c r="N177" s="5"/>
      <c r="O177" s="5"/>
      <c r="P177" s="6"/>
      <c r="Q177" s="6"/>
      <c r="R177" s="6"/>
      <c r="S177" s="6"/>
      <c r="T177" s="6"/>
      <c r="U177" s="6"/>
    </row>
    <row r="178" spans="3:21" ht="11.1" customHeight="1">
      <c r="C178" s="6"/>
      <c r="F178" s="3"/>
      <c r="G178" s="18"/>
      <c r="H178" s="18"/>
      <c r="I178" s="4"/>
      <c r="J178" s="4"/>
      <c r="K178" s="4"/>
      <c r="L178" s="5"/>
      <c r="M178" s="5"/>
      <c r="N178" s="5"/>
      <c r="O178" s="5"/>
      <c r="P178" s="6"/>
      <c r="Q178" s="6"/>
      <c r="R178" s="6"/>
      <c r="S178" s="6"/>
      <c r="T178" s="6"/>
      <c r="U178" s="6"/>
    </row>
    <row r="179" spans="3:21" ht="11.1" customHeight="1">
      <c r="C179" s="6"/>
      <c r="F179" s="3"/>
      <c r="G179" s="18"/>
      <c r="H179" s="18"/>
      <c r="I179" s="4"/>
      <c r="J179" s="4"/>
      <c r="K179" s="4"/>
      <c r="L179" s="5"/>
      <c r="M179" s="5"/>
      <c r="N179" s="5"/>
      <c r="O179" s="5"/>
      <c r="P179" s="6"/>
      <c r="Q179" s="6"/>
      <c r="R179" s="6"/>
      <c r="S179" s="6"/>
      <c r="T179" s="6"/>
      <c r="U179" s="6"/>
    </row>
    <row r="180" spans="3:21" ht="11.1" customHeight="1">
      <c r="C180" s="6"/>
      <c r="F180" s="3"/>
      <c r="G180" s="18"/>
      <c r="H180" s="18"/>
      <c r="I180" s="4"/>
      <c r="J180" s="4"/>
      <c r="K180" s="4"/>
      <c r="L180" s="5"/>
      <c r="M180" s="5"/>
      <c r="N180" s="5"/>
      <c r="O180" s="5"/>
      <c r="P180" s="6"/>
      <c r="Q180" s="6"/>
      <c r="R180" s="6"/>
      <c r="S180" s="6"/>
      <c r="T180" s="6"/>
      <c r="U180" s="6"/>
    </row>
    <row r="181" spans="3:21" ht="11.1" customHeight="1">
      <c r="C181" s="6"/>
      <c r="F181" s="3"/>
      <c r="G181" s="18"/>
      <c r="H181" s="18"/>
      <c r="I181" s="4"/>
      <c r="J181" s="4"/>
      <c r="K181" s="4"/>
      <c r="L181" s="5"/>
      <c r="M181" s="5"/>
      <c r="N181" s="5"/>
      <c r="O181" s="5"/>
      <c r="P181" s="6"/>
      <c r="Q181" s="6"/>
      <c r="R181" s="6"/>
      <c r="S181" s="6"/>
      <c r="T181" s="6"/>
      <c r="U181" s="6"/>
    </row>
    <row r="182" spans="3:21" ht="11.1" customHeight="1">
      <c r="C182" s="6"/>
      <c r="F182" s="3"/>
      <c r="G182" s="18"/>
      <c r="H182" s="18"/>
      <c r="I182" s="4"/>
      <c r="J182" s="4"/>
      <c r="K182" s="4"/>
      <c r="L182" s="5"/>
      <c r="M182" s="5"/>
      <c r="N182" s="5"/>
      <c r="O182" s="5"/>
      <c r="P182" s="6"/>
      <c r="Q182" s="6"/>
      <c r="R182" s="6"/>
      <c r="S182" s="6"/>
      <c r="T182" s="6"/>
      <c r="U182" s="6"/>
    </row>
    <row r="183" spans="3:21" ht="11.1" customHeight="1">
      <c r="C183" s="6"/>
      <c r="F183" s="3"/>
      <c r="G183" s="18"/>
      <c r="H183" s="18"/>
      <c r="I183" s="4"/>
      <c r="J183" s="4"/>
      <c r="K183" s="4"/>
      <c r="L183" s="5"/>
      <c r="M183" s="5"/>
      <c r="N183" s="5"/>
      <c r="O183" s="5"/>
      <c r="P183" s="6"/>
      <c r="Q183" s="6"/>
      <c r="R183" s="6"/>
      <c r="S183" s="6"/>
      <c r="T183" s="6"/>
      <c r="U183" s="6"/>
    </row>
    <row r="184" spans="3:21" ht="11.1" customHeight="1">
      <c r="C184" s="6"/>
      <c r="F184" s="3"/>
      <c r="G184" s="18"/>
      <c r="H184" s="18"/>
      <c r="I184" s="4"/>
      <c r="J184" s="4"/>
      <c r="K184" s="4"/>
      <c r="L184" s="5"/>
      <c r="M184" s="5"/>
      <c r="N184" s="5"/>
      <c r="O184" s="5"/>
      <c r="P184" s="6"/>
      <c r="Q184" s="6"/>
      <c r="R184" s="6"/>
      <c r="S184" s="6"/>
      <c r="T184" s="6"/>
      <c r="U184" s="6"/>
    </row>
    <row r="185" spans="3:21" ht="11.1" customHeight="1">
      <c r="C185" s="6"/>
      <c r="F185" s="3"/>
      <c r="G185" s="18"/>
      <c r="H185" s="18"/>
      <c r="I185" s="4"/>
      <c r="J185" s="4"/>
      <c r="K185" s="4"/>
      <c r="L185" s="5"/>
      <c r="M185" s="5"/>
      <c r="N185" s="5"/>
      <c r="O185" s="5"/>
      <c r="P185" s="6"/>
      <c r="Q185" s="6"/>
      <c r="R185" s="6"/>
      <c r="S185" s="6"/>
      <c r="T185" s="6"/>
      <c r="U185" s="6"/>
    </row>
    <row r="186" spans="3:21" ht="11.1" customHeight="1">
      <c r="C186" s="6"/>
      <c r="F186" s="3"/>
      <c r="G186" s="18"/>
      <c r="H186" s="18"/>
      <c r="I186" s="4"/>
      <c r="J186" s="4"/>
      <c r="K186" s="4"/>
      <c r="L186" s="5"/>
      <c r="M186" s="5"/>
      <c r="N186" s="5"/>
      <c r="O186" s="5"/>
      <c r="P186" s="6"/>
      <c r="Q186" s="6"/>
      <c r="R186" s="6"/>
      <c r="S186" s="6"/>
      <c r="T186" s="6"/>
      <c r="U186" s="6"/>
    </row>
    <row r="187" spans="3:21" ht="11.1" customHeight="1">
      <c r="C187" s="6"/>
      <c r="F187" s="3"/>
      <c r="G187" s="18"/>
      <c r="H187" s="18"/>
      <c r="I187" s="4"/>
      <c r="J187" s="4"/>
      <c r="K187" s="4"/>
      <c r="L187" s="5"/>
      <c r="M187" s="5"/>
      <c r="N187" s="5"/>
      <c r="O187" s="5"/>
      <c r="P187" s="6"/>
      <c r="Q187" s="6"/>
      <c r="R187" s="6"/>
      <c r="S187" s="6"/>
      <c r="T187" s="6"/>
      <c r="U187" s="6"/>
    </row>
    <row r="188" spans="3:21" ht="11.1" customHeight="1">
      <c r="C188" s="6"/>
      <c r="F188" s="3"/>
      <c r="G188" s="18"/>
      <c r="H188" s="18"/>
      <c r="I188" s="4"/>
      <c r="J188" s="4"/>
      <c r="K188" s="4"/>
      <c r="L188" s="5"/>
      <c r="M188" s="5"/>
      <c r="N188" s="5"/>
      <c r="O188" s="5"/>
      <c r="P188" s="6"/>
      <c r="Q188" s="6"/>
      <c r="R188" s="6"/>
      <c r="S188" s="6"/>
      <c r="T188" s="6"/>
      <c r="U188" s="6"/>
    </row>
    <row r="189" spans="3:21" ht="11.1" customHeight="1">
      <c r="C189" s="6"/>
      <c r="F189" s="3"/>
      <c r="G189" s="18"/>
      <c r="H189" s="18"/>
      <c r="I189" s="4"/>
      <c r="J189" s="4"/>
      <c r="K189" s="4"/>
      <c r="L189" s="5"/>
      <c r="M189" s="5"/>
      <c r="N189" s="5"/>
      <c r="O189" s="5"/>
      <c r="P189" s="6"/>
      <c r="Q189" s="6"/>
      <c r="R189" s="6"/>
      <c r="S189" s="6"/>
      <c r="T189" s="6"/>
      <c r="U189" s="6"/>
    </row>
    <row r="190" spans="3:21" ht="11.1" customHeight="1">
      <c r="C190" s="6"/>
      <c r="F190" s="3"/>
      <c r="G190" s="18"/>
      <c r="H190" s="18"/>
      <c r="I190" s="4"/>
      <c r="J190" s="4"/>
      <c r="K190" s="4"/>
      <c r="L190" s="5"/>
      <c r="M190" s="5"/>
      <c r="N190" s="5"/>
      <c r="O190" s="5"/>
      <c r="P190" s="6"/>
      <c r="Q190" s="6"/>
      <c r="R190" s="6"/>
      <c r="S190" s="6"/>
      <c r="T190" s="6"/>
      <c r="U190" s="6"/>
    </row>
    <row r="191" spans="3:21" ht="11.1" customHeight="1">
      <c r="C191" s="6"/>
      <c r="F191" s="3"/>
      <c r="G191" s="18"/>
      <c r="H191" s="18"/>
      <c r="I191" s="4"/>
      <c r="J191" s="4"/>
      <c r="K191" s="4"/>
      <c r="L191" s="5"/>
      <c r="M191" s="5"/>
      <c r="N191" s="5"/>
      <c r="O191" s="5"/>
      <c r="P191" s="6"/>
      <c r="Q191" s="6"/>
      <c r="R191" s="6"/>
      <c r="S191" s="6"/>
      <c r="T191" s="6"/>
      <c r="U191" s="6"/>
    </row>
    <row r="192" spans="3:21" ht="11.1" customHeight="1">
      <c r="C192" s="6"/>
      <c r="F192" s="3"/>
      <c r="G192" s="18"/>
      <c r="H192" s="18"/>
      <c r="I192" s="4"/>
      <c r="J192" s="4"/>
      <c r="K192" s="4"/>
      <c r="L192" s="5"/>
      <c r="M192" s="5"/>
      <c r="N192" s="5"/>
      <c r="O192" s="5"/>
      <c r="P192" s="6"/>
      <c r="Q192" s="6"/>
      <c r="R192" s="6"/>
      <c r="S192" s="6"/>
      <c r="T192" s="6"/>
      <c r="U192" s="6"/>
    </row>
    <row r="193" spans="3:21" ht="11.1" customHeight="1">
      <c r="C193" s="6"/>
      <c r="F193" s="3"/>
      <c r="G193" s="18"/>
      <c r="H193" s="18"/>
      <c r="I193" s="4"/>
      <c r="J193" s="4"/>
      <c r="K193" s="4"/>
      <c r="L193" s="5"/>
      <c r="M193" s="5"/>
      <c r="N193" s="5"/>
      <c r="O193" s="5"/>
      <c r="P193" s="6"/>
      <c r="Q193" s="6"/>
      <c r="R193" s="6"/>
      <c r="S193" s="6"/>
      <c r="T193" s="6"/>
      <c r="U193" s="6"/>
    </row>
    <row r="194" spans="3:21" ht="11.1" customHeight="1">
      <c r="C194" s="6"/>
      <c r="F194" s="3"/>
      <c r="G194" s="18"/>
      <c r="H194" s="18"/>
      <c r="I194" s="4"/>
      <c r="J194" s="4"/>
      <c r="K194" s="4"/>
      <c r="L194" s="5"/>
      <c r="M194" s="5"/>
      <c r="N194" s="5"/>
      <c r="O194" s="5"/>
      <c r="P194" s="6"/>
      <c r="Q194" s="6"/>
      <c r="R194" s="6"/>
      <c r="S194" s="6"/>
      <c r="T194" s="6"/>
      <c r="U194" s="6"/>
    </row>
    <row r="195" spans="3:21" ht="11.1" customHeight="1">
      <c r="C195" s="6"/>
      <c r="F195" s="3"/>
      <c r="G195" s="18"/>
      <c r="H195" s="18"/>
      <c r="I195" s="4"/>
      <c r="J195" s="4"/>
      <c r="K195" s="4"/>
      <c r="L195" s="5"/>
      <c r="M195" s="5"/>
      <c r="N195" s="5"/>
      <c r="O195" s="5"/>
      <c r="P195" s="6"/>
      <c r="Q195" s="6"/>
      <c r="R195" s="6"/>
      <c r="S195" s="6"/>
      <c r="T195" s="6"/>
      <c r="U195" s="6"/>
    </row>
    <row r="196" spans="3:21" ht="11.1" customHeight="1">
      <c r="C196" s="6"/>
      <c r="F196" s="3"/>
      <c r="G196" s="18"/>
      <c r="H196" s="18"/>
      <c r="I196" s="4"/>
      <c r="J196" s="4"/>
      <c r="K196" s="4"/>
      <c r="L196" s="5"/>
      <c r="M196" s="5"/>
      <c r="N196" s="5"/>
      <c r="O196" s="5"/>
      <c r="P196" s="6"/>
      <c r="Q196" s="6"/>
      <c r="R196" s="6"/>
      <c r="S196" s="6"/>
      <c r="T196" s="6"/>
      <c r="U196" s="6"/>
    </row>
    <row r="197" spans="3:21" ht="11.1" customHeight="1">
      <c r="C197" s="6"/>
      <c r="F197" s="3"/>
      <c r="G197" s="18"/>
      <c r="H197" s="18"/>
      <c r="I197" s="4"/>
      <c r="J197" s="4"/>
      <c r="K197" s="4"/>
      <c r="L197" s="5"/>
      <c r="M197" s="5"/>
      <c r="N197" s="5"/>
      <c r="O197" s="5"/>
      <c r="P197" s="6"/>
      <c r="Q197" s="6"/>
      <c r="R197" s="6"/>
      <c r="S197" s="6"/>
      <c r="T197" s="6"/>
      <c r="U197" s="6"/>
    </row>
    <row r="198" spans="3:21" ht="11.1" customHeight="1">
      <c r="C198" s="6"/>
      <c r="F198" s="3"/>
      <c r="G198" s="18"/>
      <c r="H198" s="18"/>
      <c r="I198" s="4"/>
      <c r="J198" s="4"/>
      <c r="K198" s="4"/>
      <c r="L198" s="5"/>
      <c r="M198" s="5"/>
      <c r="N198" s="5"/>
      <c r="O198" s="5"/>
      <c r="P198" s="6"/>
      <c r="Q198" s="6"/>
      <c r="R198" s="6"/>
      <c r="S198" s="6"/>
      <c r="T198" s="6"/>
      <c r="U198" s="6"/>
    </row>
    <row r="199" spans="3:21" ht="11.1" customHeight="1">
      <c r="C199" s="6"/>
      <c r="F199" s="3"/>
      <c r="G199" s="18"/>
      <c r="H199" s="18"/>
      <c r="I199" s="4"/>
      <c r="J199" s="4"/>
      <c r="K199" s="4"/>
      <c r="L199" s="5"/>
      <c r="M199" s="5"/>
      <c r="N199" s="5"/>
      <c r="O199" s="5"/>
      <c r="P199" s="6"/>
      <c r="Q199" s="6"/>
      <c r="R199" s="6"/>
      <c r="S199" s="6"/>
      <c r="T199" s="6"/>
      <c r="U199" s="6"/>
    </row>
    <row r="200" spans="3:21" ht="11.1" customHeight="1">
      <c r="C200" s="6"/>
      <c r="F200" s="3"/>
      <c r="G200" s="18"/>
      <c r="H200" s="18"/>
      <c r="I200" s="4"/>
      <c r="J200" s="4"/>
      <c r="K200" s="4"/>
      <c r="L200" s="5"/>
      <c r="M200" s="5"/>
      <c r="N200" s="5"/>
      <c r="O200" s="5"/>
      <c r="P200" s="6"/>
      <c r="Q200" s="6"/>
      <c r="R200" s="6"/>
      <c r="S200" s="6"/>
      <c r="T200" s="6"/>
      <c r="U200" s="6"/>
    </row>
    <row r="201" spans="3:21" ht="11.1" customHeight="1">
      <c r="C201" s="6"/>
      <c r="F201" s="3"/>
      <c r="G201" s="18"/>
      <c r="H201" s="18"/>
      <c r="I201" s="4"/>
      <c r="J201" s="4"/>
      <c r="K201" s="4"/>
      <c r="L201" s="5"/>
      <c r="M201" s="5"/>
      <c r="N201" s="5"/>
      <c r="O201" s="5"/>
      <c r="P201" s="6"/>
      <c r="Q201" s="6"/>
      <c r="R201" s="6"/>
      <c r="S201" s="6"/>
      <c r="T201" s="6"/>
      <c r="U201" s="6"/>
    </row>
    <row r="202" spans="3:21" ht="11.1" customHeight="1">
      <c r="C202" s="6"/>
      <c r="F202" s="3"/>
      <c r="G202" s="18"/>
      <c r="H202" s="18"/>
      <c r="I202" s="4"/>
      <c r="J202" s="4"/>
      <c r="K202" s="4"/>
      <c r="L202" s="5"/>
      <c r="M202" s="5"/>
      <c r="N202" s="5"/>
      <c r="O202" s="5"/>
      <c r="P202" s="6"/>
      <c r="Q202" s="6"/>
      <c r="R202" s="6"/>
      <c r="S202" s="6"/>
      <c r="T202" s="6"/>
      <c r="U202" s="6"/>
    </row>
    <row r="203" spans="3:21" ht="11.1" customHeight="1">
      <c r="C203" s="6"/>
      <c r="F203" s="3"/>
      <c r="G203" s="18"/>
      <c r="H203" s="18"/>
      <c r="I203" s="4"/>
      <c r="J203" s="4"/>
      <c r="K203" s="4"/>
      <c r="L203" s="5"/>
      <c r="M203" s="5"/>
      <c r="N203" s="5"/>
      <c r="O203" s="5"/>
      <c r="P203" s="6"/>
      <c r="Q203" s="6"/>
      <c r="R203" s="6"/>
      <c r="S203" s="6"/>
      <c r="T203" s="6"/>
      <c r="U203" s="6"/>
    </row>
    <row r="204" spans="3:21" ht="11.1" customHeight="1">
      <c r="C204" s="6"/>
      <c r="F204" s="3"/>
      <c r="G204" s="18"/>
      <c r="H204" s="18"/>
      <c r="I204" s="4"/>
      <c r="J204" s="4"/>
      <c r="K204" s="4"/>
      <c r="L204" s="5"/>
      <c r="M204" s="5"/>
      <c r="N204" s="5"/>
      <c r="O204" s="5"/>
      <c r="P204" s="6"/>
      <c r="Q204" s="6"/>
      <c r="R204" s="6"/>
      <c r="S204" s="6"/>
      <c r="T204" s="6"/>
      <c r="U204" s="6"/>
    </row>
    <row r="205" spans="3:21" ht="11.1" customHeight="1">
      <c r="C205" s="6"/>
      <c r="F205" s="3"/>
      <c r="G205" s="18"/>
      <c r="H205" s="18"/>
      <c r="I205" s="4"/>
      <c r="J205" s="4"/>
      <c r="K205" s="4"/>
      <c r="L205" s="5"/>
      <c r="M205" s="5"/>
      <c r="N205" s="5"/>
      <c r="O205" s="5"/>
      <c r="P205" s="6"/>
      <c r="Q205" s="6"/>
      <c r="R205" s="6"/>
      <c r="S205" s="6"/>
      <c r="T205" s="6"/>
      <c r="U205" s="6"/>
    </row>
    <row r="206" spans="3:21" ht="11.1" customHeight="1">
      <c r="C206" s="6"/>
      <c r="F206" s="3"/>
      <c r="G206" s="18"/>
      <c r="H206" s="18"/>
      <c r="I206" s="4"/>
      <c r="J206" s="4"/>
      <c r="K206" s="4"/>
      <c r="L206" s="5"/>
      <c r="M206" s="5"/>
      <c r="N206" s="5"/>
      <c r="O206" s="5"/>
      <c r="P206" s="6"/>
      <c r="Q206" s="6"/>
      <c r="R206" s="6"/>
      <c r="S206" s="6"/>
      <c r="T206" s="6"/>
      <c r="U206" s="6"/>
    </row>
    <row r="207" spans="3:21" ht="11.1" customHeight="1">
      <c r="C207" s="6"/>
      <c r="F207" s="3"/>
      <c r="G207" s="18"/>
      <c r="H207" s="18"/>
      <c r="I207" s="4"/>
      <c r="J207" s="4"/>
      <c r="K207" s="4"/>
      <c r="L207" s="5"/>
      <c r="M207" s="5"/>
      <c r="N207" s="5"/>
      <c r="O207" s="5"/>
      <c r="P207" s="6"/>
      <c r="Q207" s="6"/>
      <c r="R207" s="6"/>
      <c r="S207" s="6"/>
      <c r="T207" s="6"/>
      <c r="U207" s="6"/>
    </row>
    <row r="208" spans="3:21" ht="11.1" customHeight="1">
      <c r="C208" s="6"/>
      <c r="F208" s="3"/>
      <c r="G208" s="18"/>
      <c r="H208" s="18"/>
      <c r="I208" s="4"/>
      <c r="J208" s="4"/>
      <c r="K208" s="4"/>
      <c r="L208" s="5"/>
      <c r="M208" s="5"/>
      <c r="N208" s="5"/>
      <c r="O208" s="5"/>
      <c r="P208" s="6"/>
      <c r="Q208" s="6"/>
      <c r="R208" s="6"/>
      <c r="S208" s="6"/>
      <c r="T208" s="6"/>
      <c r="U208" s="6"/>
    </row>
    <row r="209" spans="3:21" ht="11.1" customHeight="1">
      <c r="C209" s="6"/>
      <c r="F209" s="3"/>
      <c r="G209" s="18"/>
      <c r="H209" s="18"/>
      <c r="I209" s="4"/>
      <c r="J209" s="4"/>
      <c r="K209" s="4"/>
      <c r="L209" s="5"/>
      <c r="M209" s="5"/>
      <c r="N209" s="5"/>
      <c r="O209" s="5"/>
      <c r="P209" s="6"/>
      <c r="Q209" s="6"/>
      <c r="R209" s="6"/>
      <c r="S209" s="6"/>
      <c r="T209" s="6"/>
      <c r="U209" s="6"/>
    </row>
    <row r="210" spans="3:21" ht="11.1" customHeight="1">
      <c r="C210" s="6"/>
      <c r="F210" s="3"/>
      <c r="G210" s="18"/>
      <c r="H210" s="18"/>
      <c r="I210" s="4"/>
      <c r="J210" s="4"/>
      <c r="K210" s="4"/>
      <c r="L210" s="5"/>
      <c r="M210" s="5"/>
      <c r="N210" s="5"/>
      <c r="O210" s="5"/>
      <c r="P210" s="6"/>
      <c r="Q210" s="6"/>
      <c r="R210" s="6"/>
      <c r="S210" s="6"/>
      <c r="T210" s="6"/>
      <c r="U210" s="6"/>
    </row>
    <row r="211" spans="3:21" ht="11.1" customHeight="1">
      <c r="C211" s="6"/>
      <c r="F211" s="3"/>
      <c r="G211" s="18"/>
      <c r="H211" s="18"/>
      <c r="I211" s="4"/>
      <c r="J211" s="4"/>
      <c r="K211" s="4"/>
      <c r="L211" s="5"/>
      <c r="M211" s="5"/>
      <c r="N211" s="5"/>
      <c r="O211" s="5"/>
      <c r="P211" s="6"/>
      <c r="Q211" s="6"/>
      <c r="R211" s="6"/>
      <c r="S211" s="6"/>
      <c r="T211" s="6"/>
      <c r="U211" s="6"/>
    </row>
    <row r="212" spans="3:21" ht="11.1" customHeight="1">
      <c r="C212" s="6"/>
      <c r="F212" s="3"/>
      <c r="G212" s="18"/>
      <c r="H212" s="18"/>
      <c r="I212" s="4"/>
      <c r="J212" s="4"/>
      <c r="K212" s="4"/>
      <c r="L212" s="5"/>
      <c r="M212" s="5"/>
      <c r="N212" s="5"/>
      <c r="O212" s="5"/>
      <c r="P212" s="6"/>
      <c r="Q212" s="6"/>
      <c r="R212" s="6"/>
      <c r="S212" s="6"/>
      <c r="T212" s="6"/>
      <c r="U212" s="6"/>
    </row>
    <row r="213" spans="3:21" ht="11.1" customHeight="1">
      <c r="C213" s="6"/>
      <c r="F213" s="3"/>
      <c r="G213" s="18"/>
      <c r="H213" s="18"/>
      <c r="I213" s="4"/>
      <c r="J213" s="4"/>
      <c r="K213" s="4"/>
      <c r="L213" s="5"/>
      <c r="M213" s="5"/>
      <c r="N213" s="5"/>
      <c r="O213" s="5"/>
      <c r="P213" s="6"/>
      <c r="Q213" s="6"/>
      <c r="R213" s="6"/>
      <c r="S213" s="6"/>
      <c r="T213" s="6"/>
      <c r="U213" s="6"/>
    </row>
    <row r="214" spans="3:21" ht="11.1" customHeight="1">
      <c r="C214" s="6"/>
      <c r="F214" s="3"/>
      <c r="G214" s="18"/>
      <c r="H214" s="18"/>
      <c r="I214" s="4"/>
      <c r="J214" s="4"/>
      <c r="K214" s="4"/>
      <c r="L214" s="5"/>
      <c r="M214" s="5"/>
      <c r="N214" s="5"/>
      <c r="O214" s="5"/>
      <c r="P214" s="6"/>
      <c r="Q214" s="6"/>
      <c r="R214" s="6"/>
      <c r="S214" s="6"/>
      <c r="T214" s="6"/>
      <c r="U214" s="6"/>
    </row>
    <row r="215" spans="3:21" ht="11.1" customHeight="1">
      <c r="C215" s="6"/>
      <c r="F215" s="3"/>
      <c r="G215" s="18"/>
      <c r="H215" s="18"/>
      <c r="I215" s="4"/>
      <c r="J215" s="4"/>
      <c r="K215" s="4"/>
      <c r="L215" s="5"/>
      <c r="M215" s="5"/>
      <c r="N215" s="5"/>
      <c r="O215" s="5"/>
      <c r="P215" s="6"/>
      <c r="Q215" s="6"/>
      <c r="R215" s="6"/>
      <c r="S215" s="6"/>
      <c r="T215" s="6"/>
      <c r="U215" s="6"/>
    </row>
    <row r="216" spans="3:21" ht="11.1" customHeight="1">
      <c r="C216" s="6"/>
      <c r="F216" s="3"/>
      <c r="G216" s="18"/>
      <c r="H216" s="18"/>
      <c r="I216" s="4"/>
      <c r="J216" s="4"/>
      <c r="K216" s="4"/>
      <c r="L216" s="5"/>
      <c r="M216" s="5"/>
      <c r="N216" s="5"/>
      <c r="O216" s="5"/>
      <c r="P216" s="6"/>
      <c r="Q216" s="6"/>
      <c r="R216" s="6"/>
      <c r="S216" s="6"/>
      <c r="T216" s="6"/>
      <c r="U216" s="6"/>
    </row>
    <row r="217" spans="3:21" ht="11.1" customHeight="1">
      <c r="C217" s="6"/>
      <c r="F217" s="3"/>
      <c r="G217" s="18"/>
      <c r="H217" s="18"/>
      <c r="I217" s="4"/>
      <c r="J217" s="4"/>
      <c r="K217" s="4"/>
      <c r="L217" s="5"/>
      <c r="M217" s="5"/>
      <c r="N217" s="5"/>
      <c r="O217" s="5"/>
      <c r="P217" s="6"/>
      <c r="Q217" s="6"/>
      <c r="R217" s="6"/>
      <c r="S217" s="6"/>
      <c r="T217" s="6"/>
      <c r="U217" s="6"/>
    </row>
    <row r="218" spans="3:21" ht="11.1" customHeight="1">
      <c r="C218" s="6"/>
      <c r="F218" s="3"/>
      <c r="G218" s="18"/>
      <c r="H218" s="18"/>
      <c r="I218" s="4"/>
      <c r="J218" s="4"/>
      <c r="K218" s="4"/>
      <c r="L218" s="5"/>
      <c r="M218" s="5"/>
      <c r="N218" s="5"/>
      <c r="O218" s="5"/>
      <c r="P218" s="6"/>
      <c r="Q218" s="6"/>
      <c r="R218" s="6"/>
      <c r="S218" s="6"/>
      <c r="T218" s="6"/>
      <c r="U218" s="6"/>
    </row>
    <row r="219" spans="3:21" ht="11.1" customHeight="1">
      <c r="C219" s="6"/>
      <c r="F219" s="3"/>
      <c r="G219" s="18"/>
      <c r="H219" s="18"/>
      <c r="I219" s="4"/>
      <c r="J219" s="4"/>
      <c r="K219" s="4"/>
      <c r="L219" s="5"/>
      <c r="M219" s="5"/>
      <c r="N219" s="5"/>
      <c r="O219" s="5"/>
      <c r="P219" s="6"/>
      <c r="Q219" s="6"/>
      <c r="R219" s="6"/>
      <c r="S219" s="6"/>
      <c r="T219" s="6"/>
      <c r="U219" s="6"/>
    </row>
    <row r="220" spans="3:21" ht="11.1" customHeight="1">
      <c r="C220" s="6"/>
      <c r="F220" s="3"/>
      <c r="G220" s="18"/>
      <c r="H220" s="18"/>
      <c r="I220" s="4"/>
      <c r="J220" s="4"/>
      <c r="K220" s="4"/>
      <c r="L220" s="5"/>
      <c r="M220" s="5"/>
      <c r="N220" s="5"/>
      <c r="O220" s="5"/>
      <c r="P220" s="6"/>
      <c r="Q220" s="6"/>
      <c r="R220" s="6"/>
      <c r="S220" s="6"/>
      <c r="T220" s="6"/>
      <c r="U220" s="6"/>
    </row>
    <row r="221" spans="3:21" ht="11.1" customHeight="1">
      <c r="C221" s="6"/>
      <c r="F221" s="3"/>
      <c r="G221" s="18"/>
      <c r="H221" s="18"/>
      <c r="I221" s="4"/>
      <c r="J221" s="4"/>
      <c r="K221" s="4"/>
      <c r="L221" s="5"/>
      <c r="M221" s="5"/>
      <c r="N221" s="5"/>
      <c r="O221" s="5"/>
      <c r="P221" s="6"/>
      <c r="Q221" s="6"/>
      <c r="R221" s="6"/>
      <c r="S221" s="6"/>
      <c r="T221" s="6"/>
      <c r="U221" s="6"/>
    </row>
    <row r="222" spans="3:21" ht="11.1" customHeight="1">
      <c r="C222" s="6"/>
      <c r="F222" s="3"/>
      <c r="G222" s="18"/>
      <c r="H222" s="18"/>
      <c r="I222" s="4"/>
      <c r="J222" s="4"/>
      <c r="K222" s="4"/>
      <c r="L222" s="5"/>
      <c r="M222" s="5"/>
      <c r="N222" s="5"/>
      <c r="O222" s="5"/>
      <c r="P222" s="6"/>
      <c r="Q222" s="6"/>
      <c r="R222" s="6"/>
      <c r="S222" s="6"/>
      <c r="T222" s="6"/>
      <c r="U222" s="6"/>
    </row>
    <row r="223" spans="3:21" ht="11.1" customHeight="1">
      <c r="C223" s="6"/>
      <c r="F223" s="3"/>
      <c r="G223" s="18"/>
      <c r="H223" s="18"/>
      <c r="I223" s="4"/>
      <c r="J223" s="4"/>
      <c r="K223" s="4"/>
      <c r="L223" s="5"/>
      <c r="M223" s="5"/>
      <c r="N223" s="5"/>
      <c r="O223" s="5"/>
      <c r="P223" s="6"/>
      <c r="Q223" s="6"/>
      <c r="R223" s="6"/>
      <c r="S223" s="6"/>
      <c r="T223" s="6"/>
      <c r="U223" s="6"/>
    </row>
    <row r="224" spans="3:21" ht="11.1" customHeight="1">
      <c r="C224" s="6"/>
      <c r="F224" s="3"/>
      <c r="G224" s="18"/>
      <c r="H224" s="18"/>
      <c r="I224" s="4"/>
      <c r="J224" s="4"/>
      <c r="K224" s="4"/>
      <c r="L224" s="5"/>
      <c r="M224" s="5"/>
      <c r="N224" s="5"/>
      <c r="O224" s="5"/>
      <c r="P224" s="6"/>
      <c r="Q224" s="6"/>
      <c r="R224" s="6"/>
      <c r="S224" s="6"/>
      <c r="T224" s="6"/>
      <c r="U224" s="6"/>
    </row>
    <row r="225" spans="3:21" ht="11.1" customHeight="1">
      <c r="C225" s="6"/>
      <c r="F225" s="3"/>
      <c r="G225" s="18"/>
      <c r="H225" s="18"/>
      <c r="I225" s="4"/>
      <c r="J225" s="4"/>
      <c r="K225" s="4"/>
      <c r="L225" s="5"/>
      <c r="M225" s="5"/>
      <c r="N225" s="5"/>
      <c r="O225" s="5"/>
      <c r="P225" s="6"/>
      <c r="Q225" s="6"/>
      <c r="R225" s="6"/>
      <c r="S225" s="6"/>
      <c r="T225" s="6"/>
      <c r="U225" s="6"/>
    </row>
    <row r="226" spans="3:21" ht="11.1" customHeight="1">
      <c r="C226" s="6"/>
      <c r="F226" s="3"/>
      <c r="G226" s="18"/>
      <c r="H226" s="18"/>
      <c r="I226" s="4"/>
      <c r="J226" s="4"/>
      <c r="K226" s="4"/>
      <c r="L226" s="5"/>
      <c r="M226" s="5"/>
      <c r="N226" s="5"/>
      <c r="O226" s="5"/>
      <c r="P226" s="6"/>
      <c r="Q226" s="6"/>
      <c r="R226" s="6"/>
      <c r="S226" s="6"/>
      <c r="T226" s="6"/>
      <c r="U226" s="6"/>
    </row>
    <row r="227" spans="3:21" ht="11.1" customHeight="1">
      <c r="C227" s="6"/>
      <c r="F227" s="3"/>
      <c r="G227" s="18"/>
      <c r="H227" s="18"/>
      <c r="I227" s="4"/>
      <c r="J227" s="4"/>
      <c r="K227" s="4"/>
      <c r="L227" s="5"/>
      <c r="M227" s="5"/>
      <c r="N227" s="5"/>
      <c r="O227" s="5"/>
      <c r="P227" s="6"/>
      <c r="Q227" s="6"/>
      <c r="R227" s="6"/>
      <c r="S227" s="6"/>
      <c r="T227" s="6"/>
      <c r="U227" s="6"/>
    </row>
    <row r="228" spans="3:21" ht="11.1" customHeight="1">
      <c r="C228" s="6"/>
      <c r="F228" s="3"/>
      <c r="G228" s="18"/>
      <c r="H228" s="18"/>
      <c r="I228" s="4"/>
      <c r="J228" s="4"/>
      <c r="K228" s="4"/>
      <c r="L228" s="5"/>
      <c r="M228" s="5"/>
      <c r="N228" s="5"/>
      <c r="O228" s="5"/>
      <c r="P228" s="6"/>
      <c r="Q228" s="6"/>
      <c r="R228" s="6"/>
      <c r="S228" s="6"/>
      <c r="T228" s="6"/>
      <c r="U228" s="6"/>
    </row>
    <row r="229" spans="3:21" ht="11.1" customHeight="1">
      <c r="C229" s="6"/>
      <c r="F229" s="3"/>
      <c r="G229" s="18"/>
      <c r="H229" s="18"/>
      <c r="I229" s="4"/>
      <c r="J229" s="4"/>
      <c r="K229" s="4"/>
      <c r="L229" s="5"/>
      <c r="M229" s="5"/>
      <c r="N229" s="5"/>
      <c r="O229" s="5"/>
      <c r="P229" s="6"/>
      <c r="Q229" s="6"/>
      <c r="R229" s="6"/>
      <c r="S229" s="6"/>
      <c r="T229" s="6"/>
      <c r="U229" s="6"/>
    </row>
    <row r="230" spans="3:21" ht="11.1" customHeight="1">
      <c r="C230" s="6"/>
      <c r="F230" s="3"/>
      <c r="G230" s="18"/>
      <c r="H230" s="18"/>
      <c r="I230" s="4"/>
      <c r="J230" s="4"/>
      <c r="K230" s="4"/>
      <c r="L230" s="5"/>
      <c r="M230" s="5"/>
      <c r="N230" s="5"/>
      <c r="O230" s="5"/>
      <c r="P230" s="6"/>
      <c r="Q230" s="6"/>
      <c r="R230" s="6"/>
      <c r="S230" s="6"/>
      <c r="T230" s="6"/>
      <c r="U230" s="6"/>
    </row>
    <row r="231" spans="3:21" ht="11.1" customHeight="1">
      <c r="C231" s="6"/>
      <c r="F231" s="3"/>
      <c r="G231" s="18"/>
      <c r="H231" s="18"/>
      <c r="I231" s="4"/>
      <c r="J231" s="4"/>
      <c r="K231" s="4"/>
      <c r="L231" s="5"/>
      <c r="M231" s="5"/>
      <c r="N231" s="5"/>
      <c r="O231" s="5"/>
      <c r="P231" s="6"/>
      <c r="Q231" s="6"/>
      <c r="R231" s="6"/>
      <c r="S231" s="6"/>
      <c r="T231" s="6"/>
      <c r="U231" s="6"/>
    </row>
    <row r="232" spans="3:21" ht="11.1" customHeight="1">
      <c r="C232" s="6"/>
      <c r="F232" s="3"/>
      <c r="G232" s="18"/>
      <c r="H232" s="18"/>
      <c r="I232" s="4"/>
      <c r="J232" s="4"/>
      <c r="K232" s="4"/>
      <c r="L232" s="5"/>
      <c r="M232" s="5"/>
      <c r="N232" s="5"/>
      <c r="O232" s="5"/>
      <c r="P232" s="6"/>
      <c r="Q232" s="6"/>
      <c r="R232" s="6"/>
      <c r="S232" s="6"/>
      <c r="T232" s="6"/>
      <c r="U232" s="6"/>
    </row>
    <row r="233" spans="3:21" ht="11.1" customHeight="1">
      <c r="C233" s="6"/>
      <c r="F233" s="3"/>
      <c r="G233" s="18"/>
      <c r="H233" s="18"/>
      <c r="I233" s="4"/>
      <c r="J233" s="4"/>
      <c r="K233" s="4"/>
      <c r="L233" s="5"/>
      <c r="M233" s="5"/>
      <c r="N233" s="5"/>
      <c r="O233" s="5"/>
      <c r="P233" s="6"/>
      <c r="Q233" s="6"/>
      <c r="R233" s="6"/>
      <c r="S233" s="6"/>
      <c r="T233" s="6"/>
      <c r="U233" s="6"/>
    </row>
    <row r="234" spans="3:21" ht="11.1" customHeight="1">
      <c r="C234" s="6"/>
      <c r="F234" s="3"/>
      <c r="G234" s="18"/>
      <c r="H234" s="18"/>
      <c r="I234" s="4"/>
      <c r="J234" s="4"/>
      <c r="K234" s="4"/>
      <c r="L234" s="5"/>
      <c r="M234" s="5"/>
      <c r="N234" s="5"/>
      <c r="O234" s="5"/>
      <c r="P234" s="6"/>
      <c r="Q234" s="6"/>
      <c r="R234" s="6"/>
      <c r="S234" s="6"/>
      <c r="T234" s="6"/>
      <c r="U234" s="6"/>
    </row>
    <row r="235" spans="3:21" ht="11.1" customHeight="1">
      <c r="C235" s="6"/>
      <c r="F235" s="3"/>
      <c r="G235" s="18"/>
      <c r="H235" s="18"/>
      <c r="I235" s="4"/>
      <c r="J235" s="4"/>
      <c r="K235" s="4"/>
      <c r="L235" s="5"/>
      <c r="M235" s="5"/>
      <c r="N235" s="5"/>
      <c r="O235" s="5"/>
      <c r="P235" s="6"/>
      <c r="Q235" s="6"/>
      <c r="R235" s="6"/>
      <c r="S235" s="6"/>
      <c r="T235" s="6"/>
      <c r="U235" s="6"/>
    </row>
    <row r="236" spans="3:21" ht="11.1" customHeight="1">
      <c r="C236" s="6"/>
      <c r="F236" s="3"/>
      <c r="G236" s="18"/>
      <c r="H236" s="18"/>
      <c r="I236" s="4"/>
      <c r="J236" s="4"/>
      <c r="K236" s="4"/>
      <c r="L236" s="5"/>
      <c r="M236" s="5"/>
      <c r="N236" s="5"/>
      <c r="O236" s="5"/>
      <c r="P236" s="6"/>
      <c r="Q236" s="6"/>
      <c r="R236" s="6"/>
      <c r="S236" s="6"/>
      <c r="T236" s="6"/>
      <c r="U236" s="6"/>
    </row>
    <row r="237" spans="3:21" ht="11.1" customHeight="1">
      <c r="C237" s="6"/>
      <c r="F237" s="3"/>
      <c r="G237" s="18"/>
      <c r="H237" s="18"/>
      <c r="I237" s="4"/>
      <c r="J237" s="4"/>
      <c r="K237" s="4"/>
      <c r="L237" s="5"/>
      <c r="M237" s="5"/>
      <c r="N237" s="5"/>
      <c r="O237" s="5"/>
      <c r="P237" s="6"/>
      <c r="Q237" s="6"/>
      <c r="R237" s="6"/>
      <c r="S237" s="6"/>
      <c r="T237" s="6"/>
      <c r="U237" s="6"/>
    </row>
    <row r="238" spans="3:21" ht="11.1" customHeight="1">
      <c r="C238" s="6"/>
      <c r="F238" s="3"/>
      <c r="G238" s="18"/>
      <c r="H238" s="18"/>
      <c r="I238" s="4"/>
      <c r="J238" s="4"/>
      <c r="K238" s="4"/>
      <c r="L238" s="5"/>
      <c r="M238" s="5"/>
      <c r="N238" s="5"/>
      <c r="O238" s="5"/>
      <c r="P238" s="6"/>
      <c r="Q238" s="6"/>
      <c r="R238" s="6"/>
      <c r="S238" s="6"/>
      <c r="T238" s="6"/>
      <c r="U238" s="6"/>
    </row>
    <row r="239" spans="3:21" ht="11.1" customHeight="1">
      <c r="C239" s="6"/>
      <c r="F239" s="3"/>
      <c r="G239" s="18"/>
      <c r="H239" s="18"/>
      <c r="I239" s="4"/>
      <c r="J239" s="4"/>
      <c r="K239" s="4"/>
      <c r="L239" s="5"/>
      <c r="M239" s="5"/>
      <c r="N239" s="5"/>
      <c r="O239" s="5"/>
      <c r="P239" s="6"/>
      <c r="Q239" s="6"/>
      <c r="R239" s="6"/>
      <c r="S239" s="6"/>
      <c r="T239" s="6"/>
      <c r="U239" s="6"/>
    </row>
    <row r="240" spans="3:21" ht="11.1" customHeight="1">
      <c r="C240" s="6"/>
      <c r="F240" s="3"/>
      <c r="G240" s="18"/>
      <c r="H240" s="18"/>
      <c r="I240" s="4"/>
      <c r="J240" s="4"/>
      <c r="K240" s="4"/>
      <c r="L240" s="5"/>
      <c r="M240" s="5"/>
      <c r="N240" s="5"/>
      <c r="O240" s="5"/>
      <c r="P240" s="6"/>
      <c r="Q240" s="6"/>
      <c r="R240" s="6"/>
      <c r="S240" s="6"/>
      <c r="T240" s="6"/>
      <c r="U240" s="6"/>
    </row>
    <row r="241" spans="3:21" ht="11.1" customHeight="1">
      <c r="C241" s="6"/>
      <c r="F241" s="3"/>
      <c r="G241" s="18"/>
      <c r="H241" s="18"/>
      <c r="I241" s="4"/>
      <c r="J241" s="4"/>
      <c r="K241" s="4"/>
      <c r="L241" s="5"/>
      <c r="M241" s="5"/>
      <c r="N241" s="5"/>
      <c r="O241" s="5"/>
      <c r="P241" s="6"/>
      <c r="Q241" s="6"/>
      <c r="R241" s="6"/>
      <c r="S241" s="6"/>
      <c r="T241" s="6"/>
      <c r="U241" s="6"/>
    </row>
    <row r="242" spans="3:21" ht="11.1" customHeight="1">
      <c r="C242" s="6"/>
      <c r="F242" s="3"/>
      <c r="G242" s="18"/>
      <c r="H242" s="18"/>
      <c r="I242" s="4"/>
      <c r="J242" s="4"/>
      <c r="K242" s="4"/>
      <c r="L242" s="5"/>
      <c r="M242" s="5"/>
      <c r="N242" s="5"/>
      <c r="O242" s="5"/>
      <c r="P242" s="6"/>
      <c r="Q242" s="6"/>
      <c r="R242" s="6"/>
      <c r="S242" s="6"/>
      <c r="T242" s="6"/>
      <c r="U242" s="6"/>
    </row>
    <row r="243" spans="3:21" ht="11.1" customHeight="1">
      <c r="C243" s="6"/>
      <c r="F243" s="3"/>
      <c r="G243" s="18"/>
      <c r="H243" s="18"/>
      <c r="I243" s="4"/>
      <c r="J243" s="4"/>
      <c r="K243" s="4"/>
      <c r="L243" s="5"/>
      <c r="M243" s="5"/>
      <c r="N243" s="5"/>
      <c r="O243" s="5"/>
      <c r="P243" s="6"/>
      <c r="Q243" s="6"/>
      <c r="R243" s="6"/>
      <c r="S243" s="6"/>
      <c r="T243" s="6"/>
      <c r="U243" s="6"/>
    </row>
    <row r="244" spans="3:21" ht="11.1" customHeight="1">
      <c r="C244" s="6"/>
      <c r="F244" s="3"/>
      <c r="G244" s="18"/>
      <c r="H244" s="18"/>
      <c r="I244" s="4"/>
      <c r="J244" s="4"/>
      <c r="K244" s="4"/>
      <c r="L244" s="5"/>
      <c r="M244" s="5"/>
      <c r="N244" s="5"/>
      <c r="O244" s="5"/>
      <c r="P244" s="6"/>
      <c r="Q244" s="6"/>
      <c r="R244" s="6"/>
      <c r="S244" s="6"/>
      <c r="T244" s="6"/>
      <c r="U244" s="6"/>
    </row>
    <row r="245" spans="3:21" ht="11.1" customHeight="1">
      <c r="C245" s="6"/>
      <c r="F245" s="3"/>
      <c r="G245" s="18"/>
      <c r="H245" s="18"/>
      <c r="I245" s="4"/>
      <c r="J245" s="4"/>
      <c r="K245" s="4"/>
      <c r="L245" s="5"/>
      <c r="M245" s="5"/>
      <c r="N245" s="5"/>
      <c r="O245" s="5"/>
      <c r="P245" s="6"/>
      <c r="Q245" s="6"/>
      <c r="R245" s="6"/>
      <c r="S245" s="6"/>
      <c r="T245" s="6"/>
      <c r="U245" s="6"/>
    </row>
    <row r="246" spans="3:21" ht="11.1" customHeight="1">
      <c r="C246" s="6"/>
      <c r="F246" s="3"/>
      <c r="G246" s="18"/>
      <c r="H246" s="18"/>
      <c r="I246" s="4"/>
      <c r="J246" s="4"/>
      <c r="K246" s="4"/>
      <c r="L246" s="5"/>
      <c r="M246" s="5"/>
      <c r="N246" s="5"/>
      <c r="O246" s="5"/>
      <c r="P246" s="6"/>
      <c r="Q246" s="6"/>
      <c r="R246" s="6"/>
      <c r="S246" s="6"/>
      <c r="T246" s="6"/>
      <c r="U246" s="6"/>
    </row>
    <row r="247" spans="3:21" ht="11.1" customHeight="1">
      <c r="C247" s="6"/>
      <c r="F247" s="3"/>
      <c r="G247" s="18"/>
      <c r="H247" s="18"/>
      <c r="I247" s="4"/>
      <c r="J247" s="4"/>
      <c r="K247" s="4"/>
      <c r="L247" s="5"/>
      <c r="M247" s="5"/>
      <c r="N247" s="5"/>
      <c r="O247" s="5"/>
      <c r="P247" s="6"/>
      <c r="Q247" s="6"/>
      <c r="R247" s="6"/>
      <c r="S247" s="6"/>
      <c r="T247" s="6"/>
      <c r="U247" s="6"/>
    </row>
    <row r="248" spans="3:21" ht="11.1" customHeight="1">
      <c r="C248" s="6"/>
      <c r="F248" s="3"/>
      <c r="G248" s="18"/>
      <c r="H248" s="18"/>
      <c r="I248" s="4"/>
      <c r="J248" s="4"/>
      <c r="K248" s="4"/>
      <c r="L248" s="5"/>
      <c r="M248" s="5"/>
      <c r="N248" s="5"/>
      <c r="O248" s="5"/>
      <c r="P248" s="6"/>
      <c r="Q248" s="6"/>
      <c r="R248" s="6"/>
      <c r="S248" s="6"/>
      <c r="T248" s="6"/>
      <c r="U248" s="6"/>
    </row>
    <row r="249" spans="3:21" ht="11.1" customHeight="1">
      <c r="C249" s="6"/>
      <c r="F249" s="3"/>
      <c r="G249" s="18"/>
      <c r="H249" s="18"/>
      <c r="I249" s="4"/>
      <c r="J249" s="4"/>
      <c r="K249" s="4"/>
      <c r="L249" s="5"/>
      <c r="M249" s="5"/>
      <c r="N249" s="5"/>
      <c r="O249" s="5"/>
      <c r="P249" s="6"/>
      <c r="Q249" s="6"/>
      <c r="R249" s="6"/>
      <c r="S249" s="6"/>
      <c r="T249" s="6"/>
      <c r="U249" s="6"/>
    </row>
    <row r="250" spans="3:21" ht="11.1" customHeight="1">
      <c r="C250" s="6"/>
      <c r="F250" s="3"/>
      <c r="G250" s="18"/>
      <c r="H250" s="18"/>
      <c r="I250" s="4"/>
      <c r="J250" s="4"/>
      <c r="K250" s="4"/>
      <c r="L250" s="5"/>
      <c r="M250" s="5"/>
      <c r="N250" s="5"/>
      <c r="O250" s="5"/>
      <c r="P250" s="6"/>
      <c r="Q250" s="6"/>
      <c r="R250" s="6"/>
      <c r="S250" s="6"/>
      <c r="T250" s="6"/>
      <c r="U250" s="6"/>
    </row>
    <row r="251" spans="3:21" ht="11.1" customHeight="1">
      <c r="C251" s="6"/>
      <c r="F251" s="3"/>
      <c r="G251" s="18"/>
      <c r="H251" s="18"/>
      <c r="I251" s="4"/>
      <c r="J251" s="4"/>
      <c r="K251" s="4"/>
      <c r="L251" s="5"/>
      <c r="M251" s="5"/>
      <c r="N251" s="5"/>
      <c r="O251" s="5"/>
      <c r="P251" s="6"/>
      <c r="Q251" s="6"/>
      <c r="R251" s="6"/>
      <c r="S251" s="6"/>
      <c r="T251" s="6"/>
      <c r="U251" s="6"/>
    </row>
    <row r="252" spans="3:21" ht="11.1" customHeight="1">
      <c r="C252" s="6"/>
      <c r="F252" s="3"/>
      <c r="G252" s="18"/>
      <c r="H252" s="18"/>
      <c r="I252" s="4"/>
      <c r="J252" s="4"/>
      <c r="K252" s="4"/>
      <c r="L252" s="5"/>
      <c r="M252" s="5"/>
      <c r="N252" s="5"/>
      <c r="O252" s="5"/>
      <c r="P252" s="6"/>
      <c r="Q252" s="6"/>
      <c r="R252" s="6"/>
      <c r="S252" s="6"/>
      <c r="T252" s="6"/>
      <c r="U252" s="6"/>
    </row>
    <row r="253" spans="3:21" ht="11.1" customHeight="1">
      <c r="C253" s="6"/>
      <c r="F253" s="3"/>
      <c r="G253" s="18"/>
      <c r="H253" s="18"/>
      <c r="I253" s="4"/>
      <c r="J253" s="4"/>
      <c r="K253" s="4"/>
      <c r="L253" s="5"/>
      <c r="M253" s="5"/>
      <c r="N253" s="5"/>
      <c r="O253" s="5"/>
      <c r="P253" s="6"/>
      <c r="Q253" s="6"/>
      <c r="R253" s="6"/>
      <c r="S253" s="6"/>
      <c r="T253" s="6"/>
      <c r="U253" s="6"/>
    </row>
    <row r="254" spans="3:21" ht="11.1" customHeight="1">
      <c r="C254" s="6"/>
      <c r="F254" s="3"/>
      <c r="G254" s="18"/>
      <c r="H254" s="18"/>
      <c r="I254" s="4"/>
      <c r="J254" s="4"/>
      <c r="K254" s="4"/>
      <c r="L254" s="5"/>
      <c r="M254" s="5"/>
      <c r="N254" s="5"/>
      <c r="O254" s="5"/>
      <c r="P254" s="6"/>
      <c r="Q254" s="6"/>
      <c r="R254" s="6"/>
      <c r="S254" s="6"/>
      <c r="T254" s="6"/>
      <c r="U254" s="6"/>
    </row>
    <row r="255" spans="3:21" ht="11.1" customHeight="1">
      <c r="C255" s="6"/>
      <c r="F255" s="3"/>
      <c r="G255" s="18"/>
      <c r="H255" s="18"/>
      <c r="I255" s="4"/>
      <c r="J255" s="4"/>
      <c r="K255" s="4"/>
      <c r="L255" s="5"/>
      <c r="M255" s="5"/>
      <c r="N255" s="5"/>
      <c r="O255" s="5"/>
      <c r="P255" s="6"/>
      <c r="Q255" s="6"/>
      <c r="R255" s="6"/>
      <c r="S255" s="6"/>
      <c r="T255" s="6"/>
      <c r="U255" s="6"/>
    </row>
    <row r="256" spans="3:21" ht="11.1" customHeight="1">
      <c r="C256" s="6"/>
      <c r="F256" s="3"/>
      <c r="G256" s="18"/>
      <c r="H256" s="18"/>
      <c r="I256" s="4"/>
      <c r="J256" s="4"/>
      <c r="K256" s="4"/>
      <c r="L256" s="5"/>
      <c r="M256" s="5"/>
      <c r="N256" s="5"/>
      <c r="O256" s="5"/>
      <c r="P256" s="6"/>
      <c r="Q256" s="6"/>
      <c r="R256" s="6"/>
      <c r="S256" s="6"/>
      <c r="T256" s="6"/>
      <c r="U256" s="6"/>
    </row>
    <row r="257" spans="3:21" ht="11.1" customHeight="1">
      <c r="C257" s="6"/>
      <c r="F257" s="3"/>
      <c r="G257" s="18"/>
      <c r="H257" s="18"/>
      <c r="I257" s="4"/>
      <c r="J257" s="4"/>
      <c r="K257" s="4"/>
      <c r="L257" s="5"/>
      <c r="M257" s="5"/>
      <c r="N257" s="5"/>
      <c r="O257" s="5"/>
      <c r="P257" s="6"/>
      <c r="Q257" s="6"/>
      <c r="R257" s="6"/>
      <c r="S257" s="6"/>
      <c r="T257" s="6"/>
      <c r="U257" s="6"/>
    </row>
    <row r="258" spans="3:21" ht="11.1" customHeight="1">
      <c r="C258" s="6"/>
      <c r="F258" s="3"/>
      <c r="G258" s="18"/>
      <c r="H258" s="18"/>
      <c r="I258" s="4"/>
      <c r="J258" s="4"/>
      <c r="K258" s="4"/>
      <c r="L258" s="5"/>
      <c r="M258" s="5"/>
      <c r="N258" s="5"/>
      <c r="O258" s="5"/>
      <c r="P258" s="6"/>
      <c r="Q258" s="6"/>
      <c r="R258" s="6"/>
      <c r="S258" s="6"/>
      <c r="T258" s="6"/>
      <c r="U258" s="6"/>
    </row>
    <row r="259" spans="3:21" ht="11.1" customHeight="1">
      <c r="C259" s="6"/>
      <c r="F259" s="3"/>
      <c r="G259" s="18"/>
      <c r="H259" s="18"/>
      <c r="I259" s="4"/>
      <c r="J259" s="4"/>
      <c r="K259" s="4"/>
      <c r="L259" s="5"/>
      <c r="M259" s="5"/>
      <c r="N259" s="5"/>
      <c r="O259" s="5"/>
      <c r="P259" s="6"/>
      <c r="Q259" s="6"/>
      <c r="R259" s="6"/>
      <c r="S259" s="6"/>
      <c r="T259" s="6"/>
      <c r="U259" s="6"/>
    </row>
    <row r="260" spans="3:21" ht="11.1" customHeight="1">
      <c r="C260" s="6"/>
      <c r="F260" s="3"/>
      <c r="G260" s="18"/>
      <c r="H260" s="18"/>
      <c r="I260" s="4"/>
      <c r="J260" s="4"/>
      <c r="K260" s="4"/>
      <c r="L260" s="5"/>
      <c r="M260" s="5"/>
      <c r="N260" s="5"/>
      <c r="O260" s="5"/>
      <c r="P260" s="6"/>
      <c r="Q260" s="6"/>
      <c r="R260" s="6"/>
      <c r="S260" s="6"/>
      <c r="T260" s="6"/>
      <c r="U260" s="6"/>
    </row>
  </sheetData>
  <mergeCells count="3">
    <mergeCell ref="F5:I5"/>
    <mergeCell ref="K5:M5"/>
    <mergeCell ref="R5:S5"/>
  </mergeCells>
  <phoneticPr fontId="28" type="noConversion"/>
  <pageMargins left="0.7" right="0.7" top="0.75" bottom="0.5" header="0.55000000000000004" footer="0.3"/>
  <pageSetup scale="65" fitToWidth="2" orientation="landscape" r:id="rId1"/>
  <headerFooter alignWithMargins="0">
    <oddHeader xml:space="preserve">&amp;R&amp;"Times New Roman,Regular"&amp;12Exhibit  No.___(KHB-9C) Redacted
Page &amp;P 
</oddHeader>
    <oddFooter>&amp;L&amp;"Times New Roman,Regular"&amp;12&amp;F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  <pageSetUpPr fitToPage="1"/>
  </sheetPr>
  <dimension ref="A1:AJ40"/>
  <sheetViews>
    <sheetView topLeftCell="D22" workbookViewId="0">
      <selection activeCell="C6" sqref="C6:G6"/>
    </sheetView>
  </sheetViews>
  <sheetFormatPr defaultRowHeight="15.75"/>
  <cols>
    <col min="1" max="1" width="7.28515625" style="151" customWidth="1"/>
    <col min="2" max="2" width="17.7109375" style="151" customWidth="1"/>
    <col min="3" max="3" width="13.140625" style="151" customWidth="1"/>
    <col min="4" max="5" width="16.28515625" style="151" customWidth="1"/>
    <col min="6" max="6" width="15.85546875" style="152" customWidth="1"/>
    <col min="7" max="7" width="15.85546875" style="152" hidden="1" customWidth="1"/>
    <col min="8" max="8" width="10.7109375" style="152" hidden="1" customWidth="1"/>
    <col min="9" max="9" width="18.85546875" style="151" customWidth="1"/>
    <col min="10" max="13" width="12.7109375" style="151" hidden="1" customWidth="1"/>
    <col min="14" max="14" width="15.28515625" style="151" customWidth="1"/>
    <col min="15" max="15" width="19" style="151" customWidth="1"/>
    <col min="16" max="16" width="16.7109375" style="151" customWidth="1"/>
    <col min="17" max="17" width="16.5703125" style="151" hidden="1" customWidth="1"/>
    <col min="18" max="18" width="12.5703125" style="151" hidden="1" customWidth="1"/>
    <col min="19" max="19" width="22.28515625" style="151" hidden="1" customWidth="1"/>
    <col min="20" max="21" width="0" style="151" hidden="1" customWidth="1"/>
    <col min="22" max="22" width="10.28515625" style="151" hidden="1" customWidth="1"/>
    <col min="23" max="25" width="0" style="151" hidden="1" customWidth="1"/>
    <col min="26" max="26" width="9.140625" style="151"/>
    <col min="27" max="27" width="16.85546875" style="151" bestFit="1" customWidth="1"/>
    <col min="28" max="28" width="16.85546875" style="151" customWidth="1"/>
    <col min="29" max="29" width="7.5703125" style="151" customWidth="1"/>
    <col min="30" max="30" width="18.7109375" style="151" customWidth="1"/>
    <col min="31" max="31" width="18.7109375" style="151" hidden="1" customWidth="1"/>
    <col min="32" max="33" width="9.140625" style="151"/>
    <col min="34" max="35" width="17" style="151" customWidth="1"/>
    <col min="36" max="16384" width="9.140625" style="151"/>
  </cols>
  <sheetData>
    <row r="1" spans="1:35">
      <c r="A1" s="151" t="str">
        <f>+'Attrition 2011 to 2013'!A1</f>
        <v>Avista Corporation</v>
      </c>
    </row>
    <row r="2" spans="1:35">
      <c r="A2" s="151" t="str">
        <f>+'Attrition 2011 to 2013'!A2</f>
        <v>Docket UE-120436 and UG-120437</v>
      </c>
    </row>
    <row r="3" spans="1:35">
      <c r="A3" s="151" t="str">
        <f>+'Attrition 2011 to 2013'!A3</f>
        <v>Attrition Study - Electric</v>
      </c>
    </row>
    <row r="4" spans="1:35">
      <c r="A4" s="151" t="str">
        <f>+'Attrition 2011 to 2013'!A4</f>
        <v>Washington State</v>
      </c>
    </row>
    <row r="5" spans="1:35">
      <c r="A5" s="151" t="str">
        <f>+'Attrition 2011 to 2013'!A5</f>
        <v>Dollars in Thousands</v>
      </c>
    </row>
    <row r="6" spans="1:35" ht="16.5" thickBot="1">
      <c r="B6" s="304" t="s">
        <v>71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</row>
    <row r="7" spans="1:35">
      <c r="B7" s="153"/>
      <c r="C7" s="153"/>
      <c r="D7" s="153"/>
      <c r="E7" s="153"/>
      <c r="F7" s="154"/>
      <c r="G7" s="154"/>
      <c r="H7" s="154"/>
      <c r="I7" s="153"/>
      <c r="J7" s="153"/>
      <c r="K7" s="153"/>
      <c r="L7" s="153"/>
      <c r="M7" s="153"/>
      <c r="N7" s="153"/>
      <c r="O7" s="153"/>
      <c r="P7" s="153"/>
    </row>
    <row r="8" spans="1:35">
      <c r="A8" s="155" t="s">
        <v>1</v>
      </c>
      <c r="B8" s="203"/>
      <c r="C8" s="203"/>
      <c r="D8" s="203"/>
      <c r="E8" s="156" t="s">
        <v>83</v>
      </c>
      <c r="F8" s="156" t="s">
        <v>4</v>
      </c>
      <c r="G8" s="156"/>
      <c r="H8" s="156"/>
      <c r="I8" s="157" t="s">
        <v>56</v>
      </c>
      <c r="J8" s="305" t="s">
        <v>12</v>
      </c>
      <c r="K8" s="305"/>
      <c r="L8" s="305"/>
      <c r="M8" s="305"/>
      <c r="N8" s="305"/>
      <c r="O8" s="157" t="s">
        <v>60</v>
      </c>
      <c r="P8" s="157" t="s">
        <v>68</v>
      </c>
      <c r="AA8" s="153"/>
      <c r="AB8" s="153"/>
      <c r="AC8" s="153"/>
    </row>
    <row r="9" spans="1:35">
      <c r="A9" s="155" t="s">
        <v>40</v>
      </c>
      <c r="B9" s="204" t="s">
        <v>42</v>
      </c>
      <c r="C9" s="204"/>
      <c r="D9" s="204" t="s">
        <v>43</v>
      </c>
      <c r="E9" s="156">
        <v>2011</v>
      </c>
      <c r="F9" s="156">
        <v>2013</v>
      </c>
      <c r="G9" s="156"/>
      <c r="H9" s="156">
        <v>2013</v>
      </c>
      <c r="I9" s="156" t="s">
        <v>61</v>
      </c>
      <c r="J9" s="156">
        <v>2006</v>
      </c>
      <c r="K9" s="156">
        <v>2007</v>
      </c>
      <c r="L9" s="156">
        <v>2008</v>
      </c>
      <c r="M9" s="156">
        <v>2009</v>
      </c>
      <c r="N9" s="156">
        <v>2011</v>
      </c>
      <c r="O9" s="156"/>
      <c r="P9" s="157"/>
      <c r="AA9" s="153"/>
      <c r="AB9" s="153"/>
      <c r="AC9" s="153"/>
      <c r="AH9" s="153"/>
    </row>
    <row r="10" spans="1:35">
      <c r="A10" s="155"/>
      <c r="B10" s="205"/>
      <c r="C10" s="205"/>
      <c r="D10" s="205"/>
      <c r="E10" s="206" t="s">
        <v>63</v>
      </c>
      <c r="F10" s="206" t="s">
        <v>64</v>
      </c>
      <c r="G10" s="206"/>
      <c r="H10" s="206"/>
      <c r="I10" s="206" t="s">
        <v>65</v>
      </c>
      <c r="J10" s="206"/>
      <c r="K10" s="206"/>
      <c r="L10" s="206"/>
      <c r="M10" s="206"/>
      <c r="N10" s="206" t="s">
        <v>66</v>
      </c>
      <c r="O10" s="206" t="s">
        <v>67</v>
      </c>
      <c r="P10" s="206" t="s">
        <v>96</v>
      </c>
      <c r="Q10" s="160" t="s">
        <v>99</v>
      </c>
      <c r="R10" s="160" t="s">
        <v>75</v>
      </c>
      <c r="S10" s="161" t="s">
        <v>100</v>
      </c>
      <c r="AA10" s="155"/>
      <c r="AB10" s="155"/>
      <c r="AC10" s="155"/>
      <c r="AD10" s="155"/>
      <c r="AE10" s="155"/>
      <c r="AF10" s="153"/>
    </row>
    <row r="11" spans="1:35">
      <c r="A11" s="155">
        <v>1</v>
      </c>
      <c r="B11" s="162" t="s">
        <v>44</v>
      </c>
      <c r="C11" s="162" t="s">
        <v>62</v>
      </c>
      <c r="D11" s="163" t="s">
        <v>45</v>
      </c>
      <c r="E11" s="164">
        <f>2417371</f>
        <v>2417371</v>
      </c>
      <c r="F11" s="164">
        <v>2451858</v>
      </c>
      <c r="G11" s="164"/>
      <c r="H11" s="164">
        <v>0</v>
      </c>
      <c r="I11" s="165">
        <f>LN(F11/E11)</f>
        <v>1.4165518476822323E-2</v>
      </c>
      <c r="J11" s="164">
        <v>12741948.999999978</v>
      </c>
      <c r="K11" s="164">
        <v>12967416</v>
      </c>
      <c r="L11" s="164">
        <v>13688535.000000011</v>
      </c>
      <c r="M11" s="164">
        <v>14409654.000000022</v>
      </c>
      <c r="N11" s="164">
        <v>14504225.999999978</v>
      </c>
      <c r="O11" s="165">
        <f>N11/$N$29</f>
        <v>3.1870124323518816E-2</v>
      </c>
      <c r="P11" s="165">
        <f>O11*I11</f>
        <v>4.514568349634303E-4</v>
      </c>
      <c r="Q11" s="166">
        <f>E11/$E$30</f>
        <v>0.86771324271064032</v>
      </c>
      <c r="R11" s="167">
        <f>O11-Q11</f>
        <v>-0.83584311838712155</v>
      </c>
      <c r="S11" s="168">
        <f>R11*I11</f>
        <v>-1.1840151137237558E-2</v>
      </c>
      <c r="T11" s="169"/>
      <c r="U11" s="170" t="s">
        <v>97</v>
      </c>
      <c r="V11" s="171" t="s">
        <v>98</v>
      </c>
      <c r="W11" s="169"/>
      <c r="AA11" s="172"/>
      <c r="AB11" s="172"/>
      <c r="AC11" s="172"/>
      <c r="AD11" s="172"/>
      <c r="AE11" s="172"/>
      <c r="AH11" s="172"/>
      <c r="AI11" s="172"/>
    </row>
    <row r="12" spans="1:35">
      <c r="A12" s="155">
        <v>2</v>
      </c>
      <c r="B12" s="162" t="s">
        <v>46</v>
      </c>
      <c r="C12" s="162" t="s">
        <v>62</v>
      </c>
      <c r="D12" s="163" t="s">
        <v>47</v>
      </c>
      <c r="E12" s="164">
        <f>339736</f>
        <v>339736</v>
      </c>
      <c r="F12" s="164">
        <v>351353</v>
      </c>
      <c r="G12" s="164"/>
      <c r="H12" s="164">
        <v>0</v>
      </c>
      <c r="I12" s="165">
        <f>LN(F12/E12)</f>
        <v>3.3622570683585658E-2</v>
      </c>
      <c r="J12" s="164">
        <v>1858313.9999999972</v>
      </c>
      <c r="K12" s="164">
        <v>1902888.0000000021</v>
      </c>
      <c r="L12" s="164">
        <v>2050678.1249999995</v>
      </c>
      <c r="M12" s="164">
        <v>2198468.2499999972</v>
      </c>
      <c r="N12" s="164">
        <v>4076832</v>
      </c>
      <c r="O12" s="165">
        <f>N12/$N$29</f>
        <v>8.9580197306702251E-3</v>
      </c>
      <c r="P12" s="165">
        <f t="shared" ref="P12:P26" si="0">O12*I12</f>
        <v>3.0119165157941458E-4</v>
      </c>
      <c r="Q12" s="166">
        <f>E12/$E$30</f>
        <v>0.12194794519564522</v>
      </c>
      <c r="R12" s="167">
        <f>O12-Q12</f>
        <v>-0.11298992546497499</v>
      </c>
      <c r="S12" s="168">
        <f>R12*I12</f>
        <v>-3.7990117554791967E-3</v>
      </c>
      <c r="T12" s="169"/>
      <c r="U12" s="169"/>
      <c r="V12" s="169"/>
      <c r="AA12" s="172"/>
      <c r="AB12" s="172"/>
      <c r="AC12" s="172"/>
      <c r="AD12" s="172"/>
      <c r="AE12" s="172"/>
      <c r="AH12" s="172"/>
      <c r="AI12" s="172"/>
    </row>
    <row r="13" spans="1:35">
      <c r="A13" s="155">
        <v>3</v>
      </c>
      <c r="B13" s="162" t="s">
        <v>48</v>
      </c>
      <c r="C13" s="162" t="s">
        <v>62</v>
      </c>
      <c r="D13" s="163" t="s">
        <v>49</v>
      </c>
      <c r="E13" s="164"/>
      <c r="F13" s="164"/>
      <c r="G13" s="164"/>
      <c r="H13" s="164">
        <v>0</v>
      </c>
      <c r="I13" s="165"/>
      <c r="J13" s="164"/>
      <c r="K13" s="164"/>
      <c r="L13" s="164"/>
      <c r="M13" s="164"/>
      <c r="N13" s="164"/>
      <c r="O13" s="165"/>
      <c r="P13" s="165"/>
      <c r="Q13" s="166"/>
      <c r="R13" s="169"/>
      <c r="S13" s="169"/>
      <c r="T13" s="169"/>
      <c r="U13" s="169"/>
      <c r="V13" s="169"/>
      <c r="AA13" s="172"/>
      <c r="AB13" s="172"/>
      <c r="AC13" s="172"/>
      <c r="AD13" s="172"/>
      <c r="AE13" s="172"/>
      <c r="AH13" s="172"/>
      <c r="AI13" s="172"/>
    </row>
    <row r="14" spans="1:35">
      <c r="A14" s="155">
        <v>4</v>
      </c>
      <c r="B14" s="162" t="s">
        <v>50</v>
      </c>
      <c r="C14" s="162" t="s">
        <v>62</v>
      </c>
      <c r="D14" s="163" t="s">
        <v>51</v>
      </c>
      <c r="E14" s="164"/>
      <c r="F14" s="164"/>
      <c r="G14" s="164"/>
      <c r="H14" s="164">
        <v>0</v>
      </c>
      <c r="I14" s="165"/>
      <c r="J14" s="164"/>
      <c r="K14" s="164"/>
      <c r="L14" s="164"/>
      <c r="M14" s="164"/>
      <c r="N14" s="164"/>
      <c r="O14" s="165"/>
      <c r="P14" s="165"/>
      <c r="Q14" s="166"/>
      <c r="R14" s="169"/>
      <c r="S14" s="169"/>
      <c r="T14" s="169"/>
      <c r="U14" s="169"/>
      <c r="V14" s="169"/>
      <c r="AA14" s="172"/>
      <c r="AB14" s="172"/>
      <c r="AC14" s="172"/>
      <c r="AD14" s="172"/>
      <c r="AE14" s="172"/>
      <c r="AH14" s="172"/>
      <c r="AI14" s="172"/>
    </row>
    <row r="15" spans="1:35">
      <c r="A15" s="155">
        <v>5</v>
      </c>
      <c r="B15" s="162" t="s">
        <v>52</v>
      </c>
      <c r="C15" s="162" t="s">
        <v>62</v>
      </c>
      <c r="D15" s="163" t="s">
        <v>53</v>
      </c>
      <c r="E15" s="164">
        <v>28803</v>
      </c>
      <c r="F15" s="164">
        <v>29196</v>
      </c>
      <c r="G15" s="164"/>
      <c r="H15" s="164">
        <v>0</v>
      </c>
      <c r="I15" s="165">
        <f>LN(F15/E15)</f>
        <v>1.3552165205789439E-2</v>
      </c>
      <c r="J15" s="164">
        <v>157050.00000000052</v>
      </c>
      <c r="K15" s="164">
        <v>161772</v>
      </c>
      <c r="L15" s="164">
        <v>176496.37499999988</v>
      </c>
      <c r="M15" s="164">
        <v>191220.74999999977</v>
      </c>
      <c r="N15" s="164">
        <v>288030</v>
      </c>
      <c r="O15" s="165">
        <f t="shared" ref="O15:O26" si="1">N15/$N$29</f>
        <v>6.3288809129857316E-4</v>
      </c>
      <c r="P15" s="173">
        <f t="shared" si="0"/>
        <v>8.5770039700550123E-6</v>
      </c>
      <c r="Q15" s="166">
        <f>E15/$E$31</f>
        <v>5.1665906137341298E-6</v>
      </c>
      <c r="R15" s="167">
        <f>O15-Q15</f>
        <v>6.27721500684839E-4</v>
      </c>
      <c r="S15" s="168">
        <f>R15*I15</f>
        <v>8.5069854805070059E-6</v>
      </c>
      <c r="T15" s="174">
        <f>SUM(S11:S15)</f>
        <v>-1.5630655907236248E-2</v>
      </c>
      <c r="U15" s="174">
        <f>SUM(O11:O15)</f>
        <v>4.146103214548761E-2</v>
      </c>
      <c r="V15" s="175">
        <f>T15*U15</f>
        <v>-6.4806312702497793E-4</v>
      </c>
      <c r="AA15" s="172"/>
      <c r="AB15" s="172"/>
      <c r="AC15" s="172"/>
      <c r="AD15" s="172"/>
      <c r="AE15" s="172"/>
      <c r="AH15" s="172"/>
      <c r="AI15" s="172"/>
    </row>
    <row r="16" spans="1:35">
      <c r="A16" s="155">
        <v>6</v>
      </c>
      <c r="B16" s="176" t="s">
        <v>54</v>
      </c>
      <c r="C16" s="176" t="s">
        <v>62</v>
      </c>
      <c r="D16" s="176" t="s">
        <v>55</v>
      </c>
      <c r="E16" s="177"/>
      <c r="F16" s="177"/>
      <c r="G16" s="177"/>
      <c r="H16" s="177">
        <v>0</v>
      </c>
      <c r="I16" s="178"/>
      <c r="J16" s="177"/>
      <c r="K16" s="177"/>
      <c r="L16" s="177"/>
      <c r="M16" s="177"/>
      <c r="N16" s="177"/>
      <c r="O16" s="178"/>
      <c r="P16" s="178"/>
      <c r="Q16" s="169"/>
      <c r="R16" s="169"/>
      <c r="S16" s="169"/>
      <c r="T16" s="169"/>
      <c r="U16" s="169"/>
      <c r="V16" s="169"/>
      <c r="AA16" s="172"/>
      <c r="AB16" s="172"/>
      <c r="AC16" s="172"/>
      <c r="AD16" s="172"/>
      <c r="AE16" s="172"/>
      <c r="AH16" s="172"/>
      <c r="AI16" s="172"/>
    </row>
    <row r="17" spans="1:36">
      <c r="A17" s="155">
        <v>7</v>
      </c>
      <c r="B17" s="162" t="s">
        <v>44</v>
      </c>
      <c r="C17" s="162" t="s">
        <v>57</v>
      </c>
      <c r="D17" s="163" t="s">
        <v>45</v>
      </c>
      <c r="E17" s="164">
        <v>2390086210</v>
      </c>
      <c r="F17" s="164">
        <f>+'Elec Usage and Cust Conf'!F8</f>
        <v>2425230408.6328363</v>
      </c>
      <c r="G17" s="164">
        <v>2411416193</v>
      </c>
      <c r="H17" s="164">
        <v>0</v>
      </c>
      <c r="I17" s="165">
        <f t="shared" ref="I17:I22" si="2">LN(F17/E17)</f>
        <v>1.4597097322546659E-2</v>
      </c>
      <c r="J17" s="164">
        <v>127610115.74999997</v>
      </c>
      <c r="K17" s="164">
        <v>142304349.70000002</v>
      </c>
      <c r="L17" s="164">
        <v>152498818.995</v>
      </c>
      <c r="M17" s="164">
        <v>162693288.29000002</v>
      </c>
      <c r="N17" s="164">
        <f>198458559-N11</f>
        <v>183954333.00000003</v>
      </c>
      <c r="O17" s="165">
        <f t="shared" si="1"/>
        <v>0.40420271047624257</v>
      </c>
      <c r="P17" s="165">
        <f t="shared" si="0"/>
        <v>5.900186302858863E-3</v>
      </c>
      <c r="Q17" s="166">
        <f t="shared" ref="Q17:Q22" si="3">E17/$E$31</f>
        <v>0.42872606945809044</v>
      </c>
      <c r="R17" s="167">
        <f>O17-Q17</f>
        <v>-2.4523358981847876E-2</v>
      </c>
      <c r="S17" s="168">
        <f>R17*I17</f>
        <v>-3.5796985773378219E-4</v>
      </c>
      <c r="T17" s="169"/>
      <c r="U17" s="169"/>
      <c r="V17" s="169"/>
      <c r="AA17" s="172"/>
      <c r="AB17" s="172"/>
      <c r="AC17" s="179"/>
      <c r="AD17" s="172"/>
      <c r="AE17" s="172"/>
      <c r="AF17" s="179"/>
      <c r="AG17" s="179"/>
      <c r="AH17" s="172"/>
      <c r="AI17" s="172"/>
      <c r="AJ17" s="179"/>
    </row>
    <row r="18" spans="1:36">
      <c r="A18" s="155">
        <v>8</v>
      </c>
      <c r="B18" s="162" t="s">
        <v>46</v>
      </c>
      <c r="C18" s="162" t="s">
        <v>57</v>
      </c>
      <c r="D18" s="163" t="s">
        <v>47</v>
      </c>
      <c r="E18" s="164">
        <v>489572183</v>
      </c>
      <c r="F18" s="164">
        <f>+'Elec Usage and Cust Conf'!F9</f>
        <v>500161448.85887676</v>
      </c>
      <c r="G18" s="164">
        <v>497644869</v>
      </c>
      <c r="H18" s="164">
        <v>0</v>
      </c>
      <c r="I18" s="165">
        <f t="shared" si="2"/>
        <v>2.1399030203631084E-2</v>
      </c>
      <c r="J18" s="164">
        <v>31165963.57</v>
      </c>
      <c r="K18" s="164">
        <v>35346660.760000013</v>
      </c>
      <c r="L18" s="164">
        <v>37301077.040000007</v>
      </c>
      <c r="M18" s="164">
        <v>39255493.32</v>
      </c>
      <c r="N18" s="164">
        <f>55514175-N12-N24</f>
        <v>50107078</v>
      </c>
      <c r="O18" s="165">
        <f t="shared" si="1"/>
        <v>0.11010024287736947</v>
      </c>
      <c r="P18" s="165">
        <f t="shared" si="0"/>
        <v>2.3560384227599472E-3</v>
      </c>
      <c r="Q18" s="166">
        <f t="shared" si="3"/>
        <v>8.7817902490474165E-2</v>
      </c>
      <c r="R18" s="167">
        <f t="shared" ref="R18:R26" si="4">O18-Q18</f>
        <v>2.2282340386895305E-2</v>
      </c>
      <c r="S18" s="168">
        <f>R18*I18</f>
        <v>4.7682047494676137E-4</v>
      </c>
      <c r="T18" s="169"/>
      <c r="U18" s="169"/>
      <c r="V18" s="169"/>
      <c r="AA18" s="172"/>
      <c r="AB18" s="172"/>
      <c r="AC18" s="179"/>
      <c r="AD18" s="172"/>
      <c r="AE18" s="172"/>
      <c r="AF18" s="179"/>
      <c r="AG18" s="179"/>
      <c r="AH18" s="172"/>
      <c r="AI18" s="172"/>
      <c r="AJ18" s="179"/>
    </row>
    <row r="19" spans="1:36">
      <c r="A19" s="155">
        <v>9</v>
      </c>
      <c r="B19" s="162" t="s">
        <v>48</v>
      </c>
      <c r="C19" s="162" t="s">
        <v>57</v>
      </c>
      <c r="D19" s="163" t="s">
        <v>49</v>
      </c>
      <c r="E19" s="164">
        <v>1481850559</v>
      </c>
      <c r="F19" s="164">
        <f>+'Elec Usage and Cust Conf'!F10</f>
        <v>1448294391.3660145</v>
      </c>
      <c r="G19" s="164">
        <v>1377746873</v>
      </c>
      <c r="H19" s="164">
        <v>0</v>
      </c>
      <c r="I19" s="165">
        <f t="shared" si="2"/>
        <v>-2.2905102154058381E-2</v>
      </c>
      <c r="J19" s="164">
        <v>80146856.939999983</v>
      </c>
      <c r="K19" s="164">
        <v>89367477.359999999</v>
      </c>
      <c r="L19" s="164">
        <v>93472257.040000007</v>
      </c>
      <c r="M19" s="164">
        <v>97577036.720000014</v>
      </c>
      <c r="N19" s="164">
        <f>126921043-N25</f>
        <v>99986011</v>
      </c>
      <c r="O19" s="165">
        <f t="shared" si="1"/>
        <v>0.21969918292659843</v>
      </c>
      <c r="P19" s="165">
        <f t="shared" si="0"/>
        <v>-5.0322322280968957E-3</v>
      </c>
      <c r="Q19" s="166">
        <f t="shared" si="3"/>
        <v>0.26580964444974736</v>
      </c>
      <c r="R19" s="167">
        <f t="shared" si="4"/>
        <v>-4.6110461523148932E-2</v>
      </c>
      <c r="S19" s="168">
        <f>R19*I19</f>
        <v>1.0561648315585046E-3</v>
      </c>
      <c r="T19" s="169"/>
      <c r="U19" s="169"/>
      <c r="V19" s="169"/>
      <c r="AA19" s="172"/>
      <c r="AB19" s="172"/>
      <c r="AC19" s="179"/>
      <c r="AD19" s="172"/>
      <c r="AE19" s="172"/>
      <c r="AF19" s="179"/>
      <c r="AG19" s="179"/>
      <c r="AH19" s="172"/>
      <c r="AI19" s="172"/>
      <c r="AJ19" s="179"/>
    </row>
    <row r="20" spans="1:36">
      <c r="A20" s="155">
        <v>10</v>
      </c>
      <c r="B20" s="162" t="s">
        <v>50</v>
      </c>
      <c r="C20" s="162" t="s">
        <v>57</v>
      </c>
      <c r="D20" s="163" t="s">
        <v>51</v>
      </c>
      <c r="E20" s="164">
        <v>1063262359</v>
      </c>
      <c r="F20" s="164">
        <f>+'Elec Usage and Cust Conf'!F11</f>
        <v>1111703534.3755827</v>
      </c>
      <c r="G20" s="164">
        <v>1115120406</v>
      </c>
      <c r="H20" s="164">
        <v>0</v>
      </c>
      <c r="I20" s="165">
        <f t="shared" si="2"/>
        <v>4.4551675626380488E-2</v>
      </c>
      <c r="J20" s="164">
        <v>33443701.399999999</v>
      </c>
      <c r="K20" s="164">
        <v>37002534.359999999</v>
      </c>
      <c r="L20" s="164">
        <v>37628679.700000003</v>
      </c>
      <c r="M20" s="164">
        <v>38254825.039999999</v>
      </c>
      <c r="N20" s="164">
        <f>58189488-N26</f>
        <v>50352252</v>
      </c>
      <c r="O20" s="165">
        <f t="shared" si="1"/>
        <v>0.11063896351374775</v>
      </c>
      <c r="P20" s="165">
        <f t="shared" si="0"/>
        <v>4.9291512141034352E-3</v>
      </c>
      <c r="Q20" s="166">
        <f t="shared" si="3"/>
        <v>0.19072462326654196</v>
      </c>
      <c r="R20" s="167">
        <f t="shared" si="4"/>
        <v>-8.0085659752794219E-2</v>
      </c>
      <c r="S20" s="168">
        <f>R20*I20</f>
        <v>-3.5679503356311629E-3</v>
      </c>
      <c r="T20" s="169"/>
      <c r="U20" s="169"/>
      <c r="V20" s="169"/>
      <c r="AA20" s="172"/>
      <c r="AB20" s="172"/>
      <c r="AC20" s="179"/>
      <c r="AD20" s="172"/>
      <c r="AE20" s="172"/>
      <c r="AF20" s="179"/>
      <c r="AG20" s="179"/>
      <c r="AH20" s="172"/>
      <c r="AI20" s="172"/>
      <c r="AJ20" s="179"/>
    </row>
    <row r="21" spans="1:36">
      <c r="A21" s="155">
        <v>11</v>
      </c>
      <c r="B21" s="162" t="s">
        <v>52</v>
      </c>
      <c r="C21" s="162" t="s">
        <v>57</v>
      </c>
      <c r="D21" s="163" t="s">
        <v>53</v>
      </c>
      <c r="E21" s="164">
        <v>124198378</v>
      </c>
      <c r="F21" s="164">
        <f>+'Elec Usage and Cust Conf'!F12</f>
        <v>133129858.48797294</v>
      </c>
      <c r="G21" s="164">
        <v>140537885</v>
      </c>
      <c r="H21" s="164">
        <v>0</v>
      </c>
      <c r="I21" s="165">
        <f t="shared" si="2"/>
        <v>6.9444921649261124E-2</v>
      </c>
      <c r="J21" s="164">
        <v>6646849.9699999988</v>
      </c>
      <c r="K21" s="164">
        <v>7782285.4700000007</v>
      </c>
      <c r="L21" s="164">
        <v>8343335.6849999996</v>
      </c>
      <c r="M21" s="164">
        <v>8904385.8999999985</v>
      </c>
      <c r="N21" s="164">
        <f>9438607-N15</f>
        <v>9150577</v>
      </c>
      <c r="O21" s="165">
        <f>N21/$N$29</f>
        <v>2.0106555608133264E-2</v>
      </c>
      <c r="P21" s="173">
        <f t="shared" si="0"/>
        <v>1.3962981788433265E-3</v>
      </c>
      <c r="Q21" s="166">
        <f t="shared" si="3"/>
        <v>2.2278310384883638E-2</v>
      </c>
      <c r="R21" s="167">
        <f t="shared" si="4"/>
        <v>-2.1717547767503738E-3</v>
      </c>
      <c r="S21" s="168">
        <f t="shared" ref="S21:S26" si="5">R21*I21</f>
        <v>-1.508173403128383E-4</v>
      </c>
      <c r="T21" s="169"/>
      <c r="U21" s="169"/>
      <c r="V21" s="169"/>
      <c r="AA21" s="172"/>
      <c r="AB21" s="172"/>
      <c r="AC21" s="179"/>
      <c r="AD21" s="172"/>
      <c r="AE21" s="172"/>
      <c r="AF21" s="179"/>
      <c r="AG21" s="179"/>
      <c r="AH21" s="172"/>
      <c r="AI21" s="172"/>
      <c r="AJ21" s="179"/>
    </row>
    <row r="22" spans="1:36">
      <c r="A22" s="155">
        <v>12</v>
      </c>
      <c r="B22" s="176" t="s">
        <v>54</v>
      </c>
      <c r="C22" s="176" t="s">
        <v>57</v>
      </c>
      <c r="D22" s="176" t="s">
        <v>55</v>
      </c>
      <c r="E22" s="177">
        <v>25886566</v>
      </c>
      <c r="F22" s="177">
        <f>+'Elec Usage and Cust Conf'!F13</f>
        <v>25733104.079240784</v>
      </c>
      <c r="G22" s="177">
        <v>25614019</v>
      </c>
      <c r="H22" s="177">
        <v>0</v>
      </c>
      <c r="I22" s="178">
        <f t="shared" si="2"/>
        <v>-5.9458873968917438E-3</v>
      </c>
      <c r="J22" s="177">
        <v>4719204.4799999995</v>
      </c>
      <c r="K22" s="177">
        <v>5191773.5999999996</v>
      </c>
      <c r="L22" s="177">
        <v>5529386.7003000006</v>
      </c>
      <c r="M22" s="177">
        <v>5866999.8006000007</v>
      </c>
      <c r="N22" s="177">
        <v>6582283</v>
      </c>
      <c r="O22" s="178">
        <f t="shared" si="1"/>
        <v>1.4463245232291935E-2</v>
      </c>
      <c r="P22" s="178">
        <f t="shared" si="0"/>
        <v>-8.5996827544839222E-5</v>
      </c>
      <c r="Q22" s="166">
        <f t="shared" si="3"/>
        <v>4.6434499502624399E-3</v>
      </c>
      <c r="R22" s="167">
        <f t="shared" si="4"/>
        <v>9.8197952820294962E-3</v>
      </c>
      <c r="S22" s="168">
        <f t="shared" si="5"/>
        <v>-5.8387397007476192E-5</v>
      </c>
      <c r="T22" s="174">
        <f>SUM(S17:S22)</f>
        <v>-2.602139624179994E-3</v>
      </c>
      <c r="U22" s="174">
        <f>SUM(O17:O22)</f>
        <v>0.87921090063438334</v>
      </c>
      <c r="V22" s="175">
        <f>T22*U22</f>
        <v>-2.2878295225517084E-3</v>
      </c>
      <c r="AA22" s="172"/>
      <c r="AB22" s="172"/>
      <c r="AC22" s="179"/>
      <c r="AD22" s="172"/>
      <c r="AE22" s="172"/>
      <c r="AF22" s="179"/>
      <c r="AG22" s="179"/>
      <c r="AH22" s="172"/>
      <c r="AI22" s="172"/>
      <c r="AJ22" s="179"/>
    </row>
    <row r="23" spans="1:36">
      <c r="A23" s="155">
        <v>13</v>
      </c>
      <c r="B23" s="162" t="s">
        <v>44</v>
      </c>
      <c r="C23" s="162" t="s">
        <v>58</v>
      </c>
      <c r="D23" s="163" t="s">
        <v>45</v>
      </c>
      <c r="E23" s="164"/>
      <c r="F23" s="180"/>
      <c r="G23" s="180"/>
      <c r="H23" s="154"/>
      <c r="I23" s="165"/>
      <c r="J23" s="164"/>
      <c r="K23" s="164"/>
      <c r="L23" s="164"/>
      <c r="M23" s="164"/>
      <c r="N23" s="164"/>
      <c r="O23" s="165"/>
      <c r="P23" s="165"/>
      <c r="Q23" s="181"/>
      <c r="R23" s="167"/>
      <c r="S23" s="168"/>
      <c r="T23" s="169"/>
      <c r="U23" s="169"/>
      <c r="V23" s="169"/>
      <c r="AA23" s="172"/>
      <c r="AB23" s="172"/>
      <c r="AC23" s="172"/>
      <c r="AD23" s="172"/>
      <c r="AE23" s="172"/>
      <c r="AF23" s="179"/>
      <c r="AG23" s="179"/>
      <c r="AH23" s="172"/>
      <c r="AI23" s="172"/>
    </row>
    <row r="24" spans="1:36">
      <c r="A24" s="155">
        <v>14</v>
      </c>
      <c r="B24" s="162" t="s">
        <v>46</v>
      </c>
      <c r="C24" s="162" t="s">
        <v>58</v>
      </c>
      <c r="D24" s="163" t="s">
        <v>47</v>
      </c>
      <c r="E24" s="164">
        <v>230655</v>
      </c>
      <c r="F24" s="164">
        <v>261110</v>
      </c>
      <c r="G24" s="164"/>
      <c r="H24" s="164">
        <v>0</v>
      </c>
      <c r="I24" s="165">
        <f>LN(F24/E24)</f>
        <v>0.12401868683801663</v>
      </c>
      <c r="J24" s="164">
        <v>500780</v>
      </c>
      <c r="K24" s="164">
        <v>503681.5</v>
      </c>
      <c r="L24" s="164">
        <v>559740.5</v>
      </c>
      <c r="M24" s="164">
        <v>615799.5</v>
      </c>
      <c r="N24" s="164">
        <f>1326266+3999</f>
        <v>1330265</v>
      </c>
      <c r="O24" s="165">
        <f t="shared" si="1"/>
        <v>2.9229902328621895E-3</v>
      </c>
      <c r="P24" s="165">
        <f t="shared" si="0"/>
        <v>3.625054103199172E-4</v>
      </c>
      <c r="Q24" s="168">
        <f>E24/$E$32</f>
        <v>5.5489745024555455E-2</v>
      </c>
      <c r="R24" s="167">
        <f t="shared" si="4"/>
        <v>-5.2566754791693267E-2</v>
      </c>
      <c r="S24" s="168">
        <f t="shared" si="5"/>
        <v>-6.5192599006018174E-3</v>
      </c>
      <c r="T24" s="169"/>
      <c r="U24" s="169"/>
      <c r="V24" s="169"/>
      <c r="AA24" s="172"/>
      <c r="AB24" s="172"/>
      <c r="AC24" s="172"/>
      <c r="AD24" s="172"/>
      <c r="AE24" s="172"/>
      <c r="AF24" s="179"/>
      <c r="AG24" s="179"/>
      <c r="AH24" s="172"/>
      <c r="AI24" s="172"/>
    </row>
    <row r="25" spans="1:36">
      <c r="A25" s="155">
        <v>15</v>
      </c>
      <c r="B25" s="162" t="s">
        <v>48</v>
      </c>
      <c r="C25" s="162" t="s">
        <v>58</v>
      </c>
      <c r="D25" s="163" t="s">
        <v>49</v>
      </c>
      <c r="E25" s="164">
        <v>2667634</v>
      </c>
      <c r="F25" s="164">
        <v>2621339</v>
      </c>
      <c r="G25" s="164"/>
      <c r="H25" s="164">
        <v>0</v>
      </c>
      <c r="I25" s="165">
        <f>LN(F25/E25)</f>
        <v>-1.750668130968697E-2</v>
      </c>
      <c r="J25" s="164">
        <v>18100030.000000011</v>
      </c>
      <c r="K25" s="164">
        <v>17993985.999999989</v>
      </c>
      <c r="L25" s="164">
        <v>20643197</v>
      </c>
      <c r="M25" s="164">
        <v>23292408.000000015</v>
      </c>
      <c r="N25" s="164">
        <f>12873200+14005079+122118-65365</f>
        <v>26935032</v>
      </c>
      <c r="O25" s="165">
        <f t="shared" si="1"/>
        <v>5.9184324520174948E-2</v>
      </c>
      <c r="P25" s="165">
        <f t="shared" si="0"/>
        <v>-1.0361211079037949E-3</v>
      </c>
      <c r="Q25" s="168">
        <f>E25/$E$32</f>
        <v>0.64176510580232371</v>
      </c>
      <c r="R25" s="167">
        <f t="shared" si="4"/>
        <v>-0.58258078128214874</v>
      </c>
      <c r="S25" s="168">
        <f t="shared" si="5"/>
        <v>1.0199056075055026E-2</v>
      </c>
      <c r="T25" s="169"/>
      <c r="U25" s="169"/>
      <c r="V25" s="169"/>
      <c r="AA25" s="172"/>
      <c r="AB25" s="172"/>
      <c r="AC25" s="172"/>
      <c r="AD25" s="172"/>
      <c r="AE25" s="172"/>
      <c r="AF25" s="179"/>
      <c r="AG25" s="179"/>
      <c r="AH25" s="172"/>
      <c r="AI25" s="172"/>
    </row>
    <row r="26" spans="1:36">
      <c r="A26" s="155">
        <v>16</v>
      </c>
      <c r="B26" s="162" t="s">
        <v>50</v>
      </c>
      <c r="C26" s="162" t="s">
        <v>58</v>
      </c>
      <c r="D26" s="163" t="s">
        <v>51</v>
      </c>
      <c r="E26" s="164">
        <v>1258425</v>
      </c>
      <c r="F26" s="164">
        <v>1238247</v>
      </c>
      <c r="G26" s="164"/>
      <c r="H26" s="164">
        <v>0</v>
      </c>
      <c r="I26" s="165">
        <f>LN(F26/E26)</f>
        <v>-1.6164269352535201E-2</v>
      </c>
      <c r="J26" s="164">
        <v>5570823.5</v>
      </c>
      <c r="K26" s="164">
        <v>5474568</v>
      </c>
      <c r="L26" s="164">
        <v>6078951.5</v>
      </c>
      <c r="M26" s="164">
        <v>6683335</v>
      </c>
      <c r="N26" s="164">
        <f>3696000+5348306-1207070</f>
        <v>7837236</v>
      </c>
      <c r="O26" s="165">
        <f t="shared" si="1"/>
        <v>1.7220752467091847E-2</v>
      </c>
      <c r="P26" s="165">
        <f t="shared" si="0"/>
        <v>-2.7836088133140771E-4</v>
      </c>
      <c r="Q26" s="168">
        <f>E26/$E$32</f>
        <v>0.3027451491731209</v>
      </c>
      <c r="R26" s="167">
        <f t="shared" si="4"/>
        <v>-0.28552439670602903</v>
      </c>
      <c r="S26" s="168">
        <f t="shared" si="5"/>
        <v>4.6152932550763675E-3</v>
      </c>
      <c r="T26" s="174">
        <f>SUM(S24:S26)</f>
        <v>8.2950894295295771E-3</v>
      </c>
      <c r="U26" s="174">
        <f>SUM(O24:O26)</f>
        <v>7.9328067220128987E-2</v>
      </c>
      <c r="V26" s="175">
        <f>T26*U26</f>
        <v>6.580334118627037E-4</v>
      </c>
      <c r="AA26" s="172"/>
      <c r="AB26" s="172"/>
      <c r="AC26" s="172"/>
      <c r="AD26" s="172"/>
      <c r="AE26" s="172"/>
      <c r="AF26" s="179"/>
      <c r="AG26" s="179"/>
      <c r="AH26" s="172"/>
      <c r="AI26" s="172"/>
    </row>
    <row r="27" spans="1:36">
      <c r="A27" s="155">
        <v>17</v>
      </c>
      <c r="B27" s="162" t="s">
        <v>52</v>
      </c>
      <c r="C27" s="162" t="s">
        <v>58</v>
      </c>
      <c r="D27" s="163" t="s">
        <v>53</v>
      </c>
      <c r="E27" s="164"/>
      <c r="F27" s="182"/>
      <c r="G27" s="182"/>
      <c r="H27" s="183"/>
      <c r="I27" s="184"/>
      <c r="J27" s="164"/>
      <c r="K27" s="164"/>
      <c r="L27" s="164"/>
      <c r="M27" s="164"/>
      <c r="N27" s="164"/>
      <c r="O27" s="165"/>
      <c r="P27" s="165"/>
      <c r="T27" s="169"/>
      <c r="U27" s="169"/>
      <c r="V27" s="169"/>
      <c r="AA27" s="172"/>
      <c r="AB27" s="172"/>
      <c r="AC27" s="172"/>
      <c r="AD27" s="172"/>
      <c r="AE27" s="172"/>
      <c r="AF27" s="179"/>
      <c r="AG27" s="179"/>
      <c r="AH27" s="172"/>
      <c r="AI27" s="172"/>
    </row>
    <row r="28" spans="1:36" ht="16.5" thickBot="1">
      <c r="A28" s="155">
        <v>18</v>
      </c>
      <c r="B28" s="185" t="s">
        <v>54</v>
      </c>
      <c r="C28" s="185" t="s">
        <v>58</v>
      </c>
      <c r="D28" s="185" t="s">
        <v>55</v>
      </c>
      <c r="E28" s="186"/>
      <c r="F28" s="187"/>
      <c r="G28" s="187"/>
      <c r="H28" s="188"/>
      <c r="I28" s="189"/>
      <c r="J28" s="186"/>
      <c r="K28" s="186"/>
      <c r="L28" s="186"/>
      <c r="M28" s="186"/>
      <c r="N28" s="186"/>
      <c r="O28" s="190"/>
      <c r="P28" s="190"/>
      <c r="T28" s="169"/>
      <c r="U28" s="174">
        <f>U15+U22+U26</f>
        <v>0.99999999999999989</v>
      </c>
      <c r="V28" s="174">
        <f>V15+V22+V26</f>
        <v>-2.2778592377139827E-3</v>
      </c>
      <c r="AA28" s="172"/>
      <c r="AB28" s="172"/>
      <c r="AC28" s="172"/>
      <c r="AD28" s="172"/>
      <c r="AE28" s="172"/>
      <c r="AF28" s="179"/>
      <c r="AG28" s="179"/>
      <c r="AH28" s="172"/>
      <c r="AI28" s="172"/>
    </row>
    <row r="29" spans="1:36" ht="16.5" thickTop="1">
      <c r="A29" s="155">
        <v>19</v>
      </c>
      <c r="B29" s="153" t="s">
        <v>2</v>
      </c>
      <c r="C29" s="153"/>
      <c r="D29" s="153"/>
      <c r="E29" s="164"/>
      <c r="F29" s="191"/>
      <c r="G29" s="191"/>
      <c r="H29" s="191">
        <f>SUM(H23:H28)</f>
        <v>0</v>
      </c>
      <c r="I29" s="154"/>
      <c r="J29" s="191">
        <f>SUM(J23:J28)</f>
        <v>24171633.500000011</v>
      </c>
      <c r="K29" s="191">
        <f>SUM(K23:K28)</f>
        <v>23972235.499999989</v>
      </c>
      <c r="L29" s="191">
        <f>SUM(L23:L28)</f>
        <v>27281889</v>
      </c>
      <c r="M29" s="191">
        <f>SUM(M23:M28)</f>
        <v>30591542.500000015</v>
      </c>
      <c r="N29" s="192">
        <f>SUM(N11:N28)</f>
        <v>455104155</v>
      </c>
      <c r="O29" s="165">
        <f>SUM(O11:O28)</f>
        <v>1</v>
      </c>
      <c r="P29" s="193">
        <f>SUM(P11:P28)</f>
        <v>9.2726939745214516E-3</v>
      </c>
      <c r="Q29" s="194"/>
      <c r="R29" s="194"/>
      <c r="S29" s="194"/>
      <c r="V29" s="174">
        <f>P29-V28</f>
        <v>1.1550553212235434E-2</v>
      </c>
    </row>
    <row r="30" spans="1:36">
      <c r="A30" s="155">
        <f>1+A29</f>
        <v>20</v>
      </c>
      <c r="B30" s="207" t="s">
        <v>72</v>
      </c>
      <c r="C30" s="208"/>
      <c r="D30" s="208"/>
      <c r="E30" s="209">
        <f>SUM(E11:E16)</f>
        <v>2785910</v>
      </c>
      <c r="F30" s="209">
        <f>SUM(F11:F16)</f>
        <v>2832407</v>
      </c>
      <c r="G30" s="209"/>
      <c r="H30" s="210"/>
      <c r="I30" s="211">
        <f>LN(F30/E30)</f>
        <v>1.6552309737994052E-2</v>
      </c>
      <c r="J30" s="210"/>
      <c r="K30" s="210"/>
      <c r="L30" s="210"/>
      <c r="M30" s="210"/>
      <c r="N30" s="212"/>
      <c r="O30" s="211"/>
      <c r="P30" s="213"/>
    </row>
    <row r="31" spans="1:36">
      <c r="A31" s="155">
        <f t="shared" ref="A31:A35" si="6">1+A30</f>
        <v>21</v>
      </c>
      <c r="B31" s="214" t="s">
        <v>73</v>
      </c>
      <c r="C31" s="158"/>
      <c r="D31" s="158"/>
      <c r="E31" s="215">
        <f>SUM(E17:E22)</f>
        <v>5574856255</v>
      </c>
      <c r="F31" s="215">
        <f>SUM(F17:F22)</f>
        <v>5644252745.8005238</v>
      </c>
      <c r="G31" s="215"/>
      <c r="H31" s="216"/>
      <c r="I31" s="173">
        <f>LN(F31/E31)</f>
        <v>1.2371281156037164E-2</v>
      </c>
      <c r="J31" s="216"/>
      <c r="K31" s="216"/>
      <c r="L31" s="216"/>
      <c r="M31" s="216"/>
      <c r="N31" s="217"/>
      <c r="O31" s="173"/>
      <c r="P31" s="218"/>
    </row>
    <row r="32" spans="1:36">
      <c r="A32" s="155">
        <f t="shared" si="6"/>
        <v>22</v>
      </c>
      <c r="B32" s="219" t="s">
        <v>74</v>
      </c>
      <c r="C32" s="159"/>
      <c r="D32" s="159"/>
      <c r="E32" s="220">
        <f>SUM(E23:E28)</f>
        <v>4156714</v>
      </c>
      <c r="F32" s="220">
        <f>SUM(F23:F28)</f>
        <v>4120696</v>
      </c>
      <c r="G32" s="220"/>
      <c r="H32" s="221"/>
      <c r="I32" s="178">
        <f>LN(F32/E32)</f>
        <v>-8.7027771557313793E-3</v>
      </c>
      <c r="J32" s="221"/>
      <c r="K32" s="221"/>
      <c r="L32" s="221"/>
      <c r="M32" s="221"/>
      <c r="N32" s="177"/>
      <c r="O32" s="178"/>
      <c r="P32" s="222"/>
    </row>
    <row r="33" spans="1:36" ht="16.5" thickBot="1">
      <c r="A33" s="155">
        <f t="shared" si="6"/>
        <v>23</v>
      </c>
      <c r="B33" s="153"/>
      <c r="C33" s="153"/>
      <c r="D33" s="153"/>
      <c r="E33" s="153"/>
      <c r="F33" s="154"/>
      <c r="G33" s="154"/>
      <c r="H33" s="154"/>
      <c r="I33" s="153"/>
      <c r="J33" s="153"/>
      <c r="K33" s="153"/>
      <c r="L33" s="153"/>
      <c r="M33" s="153"/>
      <c r="N33" s="153"/>
      <c r="O33" s="153"/>
      <c r="P33" s="153"/>
    </row>
    <row r="34" spans="1:36">
      <c r="A34" s="155">
        <f t="shared" si="6"/>
        <v>24</v>
      </c>
      <c r="B34" s="153"/>
      <c r="C34" s="153"/>
      <c r="D34" s="153"/>
      <c r="E34" s="153"/>
      <c r="F34" s="154"/>
      <c r="G34" s="154"/>
      <c r="H34" s="154"/>
      <c r="I34" s="153"/>
      <c r="J34" s="153"/>
      <c r="K34" s="153"/>
      <c r="L34" s="153"/>
      <c r="M34" s="153"/>
      <c r="N34" s="195" t="s">
        <v>69</v>
      </c>
      <c r="O34" s="196"/>
      <c r="P34" s="197">
        <f>SUMPRODUCT(I11:I28,O11:O28)</f>
        <v>9.2726939745214516E-3</v>
      </c>
      <c r="AF34" s="198"/>
      <c r="AJ34" s="198"/>
    </row>
    <row r="35" spans="1:36" ht="16.5" thickBot="1">
      <c r="A35" s="155">
        <f t="shared" si="6"/>
        <v>25</v>
      </c>
      <c r="B35" s="153"/>
      <c r="C35" s="153"/>
      <c r="D35" s="153"/>
      <c r="E35" s="199"/>
      <c r="F35" s="153"/>
      <c r="G35" s="83">
        <v>2414024316.1916752</v>
      </c>
      <c r="H35" s="154"/>
      <c r="I35" s="153"/>
      <c r="J35" s="153"/>
      <c r="K35" s="153"/>
      <c r="L35" s="153"/>
      <c r="M35" s="153"/>
      <c r="N35" s="200" t="s">
        <v>70</v>
      </c>
      <c r="O35" s="201"/>
      <c r="P35" s="202"/>
      <c r="AF35" s="198"/>
    </row>
    <row r="36" spans="1:36">
      <c r="G36" s="83">
        <v>482991825.32502353</v>
      </c>
      <c r="P36" s="198"/>
    </row>
    <row r="37" spans="1:36">
      <c r="G37" s="83">
        <v>1434738191.1157134</v>
      </c>
      <c r="P37" s="198"/>
    </row>
    <row r="38" spans="1:36">
      <c r="G38" s="83">
        <v>1116875408.5474858</v>
      </c>
    </row>
    <row r="39" spans="1:36">
      <c r="G39" s="83">
        <v>136640637.05346143</v>
      </c>
    </row>
    <row r="40" spans="1:36">
      <c r="G40" s="83">
        <v>25678849.702920411</v>
      </c>
    </row>
  </sheetData>
  <mergeCells count="2">
    <mergeCell ref="B6:P6"/>
    <mergeCell ref="J8:N8"/>
  </mergeCells>
  <phoneticPr fontId="27" type="noConversion"/>
  <pageMargins left="0.7" right="0.7" top="0.75" bottom="0.75" header="0.5" footer="0.3"/>
  <pageSetup scale="79" orientation="landscape" r:id="rId1"/>
  <headerFooter alignWithMargins="0">
    <oddHeader xml:space="preserve">&amp;R&amp;"Times New Roman,Regular"&amp;12Exhibit  No.___(KHB-9C) Redacted
Page &amp;P 
</oddHeader>
    <oddFooter>&amp;L&amp;12&amp;F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79"/>
  <sheetViews>
    <sheetView topLeftCell="C28" zoomScaleNormal="100" workbookViewId="0">
      <selection activeCell="C6" sqref="C6:G6"/>
    </sheetView>
  </sheetViews>
  <sheetFormatPr defaultRowHeight="15.75"/>
  <cols>
    <col min="1" max="1" width="3" style="85" customWidth="1"/>
    <col min="2" max="2" width="27" style="85" customWidth="1"/>
    <col min="3" max="3" width="3.7109375" style="85" customWidth="1"/>
    <col min="4" max="4" width="15.5703125" style="85" customWidth="1"/>
    <col min="5" max="5" width="18.7109375" style="85" bestFit="1" customWidth="1"/>
    <col min="6" max="8" width="15.7109375" style="85" bestFit="1" customWidth="1"/>
    <col min="9" max="10" width="15.7109375" style="85" customWidth="1"/>
    <col min="11" max="11" width="14.140625" style="110" hidden="1" customWidth="1"/>
    <col min="12" max="12" width="13.7109375" style="110" hidden="1" customWidth="1"/>
    <col min="13" max="13" width="13.7109375" style="110" customWidth="1"/>
    <col min="14" max="14" width="14.5703125" style="110" customWidth="1"/>
    <col min="15" max="15" width="13.7109375" style="110" customWidth="1"/>
    <col min="16" max="16" width="17.28515625" style="110" customWidth="1"/>
    <col min="17" max="17" width="20.28515625" style="110" customWidth="1"/>
    <col min="18" max="18" width="16" style="110" customWidth="1"/>
    <col min="19" max="19" width="17.85546875" style="110" customWidth="1"/>
    <col min="20" max="20" width="18.42578125" style="85" customWidth="1"/>
    <col min="21" max="16384" width="9.140625" style="85"/>
  </cols>
  <sheetData>
    <row r="1" spans="1:15">
      <c r="A1" s="85" t="s">
        <v>175</v>
      </c>
    </row>
    <row r="2" spans="1:15">
      <c r="A2" s="85" t="s">
        <v>176</v>
      </c>
    </row>
    <row r="3" spans="1:15">
      <c r="A3" s="85" t="s">
        <v>177</v>
      </c>
    </row>
    <row r="4" spans="1:15">
      <c r="A4" s="85" t="s">
        <v>111</v>
      </c>
    </row>
    <row r="5" spans="1:15">
      <c r="A5" s="227">
        <v>1</v>
      </c>
      <c r="B5" s="223" t="s">
        <v>122</v>
      </c>
    </row>
    <row r="6" spans="1:15">
      <c r="A6" s="227">
        <f t="shared" ref="A6:A62" si="0">1+A5</f>
        <v>2</v>
      </c>
      <c r="D6" s="306" t="s">
        <v>112</v>
      </c>
      <c r="E6" s="307"/>
      <c r="F6" s="307"/>
      <c r="G6" s="307"/>
      <c r="H6" s="307"/>
      <c r="I6" s="308"/>
    </row>
    <row r="7" spans="1:15">
      <c r="A7" s="227">
        <f t="shared" si="0"/>
        <v>3</v>
      </c>
      <c r="D7" s="87">
        <v>2011</v>
      </c>
      <c r="E7" s="87">
        <v>2012</v>
      </c>
      <c r="F7" s="87">
        <v>2013</v>
      </c>
      <c r="G7" s="87">
        <v>2014</v>
      </c>
      <c r="H7" s="87">
        <v>2015</v>
      </c>
      <c r="I7" s="87">
        <v>2016</v>
      </c>
      <c r="J7" s="225" t="s">
        <v>5</v>
      </c>
    </row>
    <row r="8" spans="1:15">
      <c r="A8" s="227">
        <f t="shared" si="0"/>
        <v>4</v>
      </c>
      <c r="B8" s="85" t="s">
        <v>113</v>
      </c>
      <c r="D8" s="89">
        <f>+'Billing Determinant Index 2013'!E17</f>
        <v>2390086210</v>
      </c>
      <c r="E8" s="309"/>
      <c r="F8" s="324">
        <v>2425230408.6328363</v>
      </c>
      <c r="G8" s="309"/>
      <c r="H8" s="309"/>
      <c r="I8" s="309"/>
      <c r="J8" s="310"/>
      <c r="K8" s="224"/>
      <c r="L8" s="91"/>
      <c r="M8" s="91"/>
      <c r="N8" s="91"/>
      <c r="O8" s="91"/>
    </row>
    <row r="9" spans="1:15">
      <c r="A9" s="227">
        <f t="shared" si="0"/>
        <v>5</v>
      </c>
      <c r="B9" s="85" t="s">
        <v>114</v>
      </c>
      <c r="D9" s="89">
        <f>+'Billing Determinant Index 2013'!E18</f>
        <v>489572183</v>
      </c>
      <c r="E9" s="309"/>
      <c r="F9" s="324">
        <v>500161448.85887676</v>
      </c>
      <c r="G9" s="309"/>
      <c r="H9" s="309"/>
      <c r="I9" s="309"/>
      <c r="J9" s="311"/>
      <c r="L9" s="91"/>
      <c r="M9" s="91"/>
      <c r="N9" s="91"/>
      <c r="O9" s="91"/>
    </row>
    <row r="10" spans="1:15">
      <c r="A10" s="227">
        <f t="shared" si="0"/>
        <v>6</v>
      </c>
      <c r="B10" s="85" t="s">
        <v>115</v>
      </c>
      <c r="D10" s="89">
        <f>+'Billing Determinant Index 2013'!E19</f>
        <v>1481850559</v>
      </c>
      <c r="E10" s="309"/>
      <c r="F10" s="324">
        <v>1448294391.3660145</v>
      </c>
      <c r="G10" s="309"/>
      <c r="H10" s="309"/>
      <c r="I10" s="309"/>
      <c r="J10" s="311"/>
      <c r="L10" s="91"/>
      <c r="M10" s="91"/>
      <c r="N10" s="91"/>
      <c r="O10" s="91"/>
    </row>
    <row r="11" spans="1:15">
      <c r="A11" s="227">
        <f t="shared" si="0"/>
        <v>7</v>
      </c>
      <c r="B11" s="85" t="s">
        <v>116</v>
      </c>
      <c r="D11" s="89">
        <f>+'Billing Determinant Index 2013'!E20</f>
        <v>1063262359</v>
      </c>
      <c r="E11" s="309"/>
      <c r="F11" s="324">
        <v>1111703534.3755827</v>
      </c>
      <c r="G11" s="309"/>
      <c r="H11" s="309"/>
      <c r="I11" s="309"/>
      <c r="J11" s="311"/>
      <c r="L11" s="91"/>
      <c r="M11" s="91"/>
      <c r="N11" s="91"/>
      <c r="O11" s="91"/>
    </row>
    <row r="12" spans="1:15">
      <c r="A12" s="227">
        <f t="shared" si="0"/>
        <v>8</v>
      </c>
      <c r="B12" s="85" t="s">
        <v>117</v>
      </c>
      <c r="D12" s="89">
        <f>+'Billing Determinant Index 2013'!E21</f>
        <v>124198378</v>
      </c>
      <c r="E12" s="309"/>
      <c r="F12" s="324">
        <v>133129858.48797294</v>
      </c>
      <c r="G12" s="309"/>
      <c r="H12" s="309"/>
      <c r="I12" s="309"/>
      <c r="J12" s="311"/>
      <c r="L12" s="91"/>
      <c r="M12" s="91"/>
      <c r="N12" s="91"/>
      <c r="O12" s="91"/>
    </row>
    <row r="13" spans="1:15">
      <c r="A13" s="227">
        <f t="shared" si="0"/>
        <v>9</v>
      </c>
      <c r="B13" s="85" t="s">
        <v>118</v>
      </c>
      <c r="D13" s="89">
        <f>+'Billing Determinant Index 2013'!E22</f>
        <v>25886566</v>
      </c>
      <c r="E13" s="309"/>
      <c r="F13" s="324">
        <v>25733104.079240784</v>
      </c>
      <c r="G13" s="309"/>
      <c r="H13" s="309"/>
      <c r="I13" s="309"/>
      <c r="J13" s="311"/>
      <c r="L13" s="91"/>
      <c r="M13" s="91"/>
      <c r="N13" s="91"/>
      <c r="O13" s="91"/>
    </row>
    <row r="14" spans="1:15">
      <c r="A14" s="227">
        <f t="shared" si="0"/>
        <v>10</v>
      </c>
      <c r="B14" s="85" t="s">
        <v>119</v>
      </c>
      <c r="D14" s="90">
        <f t="shared" ref="D14:H14" si="1">SUM(D8:D13)</f>
        <v>5574856255</v>
      </c>
      <c r="E14" s="312"/>
      <c r="F14" s="325">
        <f t="shared" si="1"/>
        <v>5644252745.8005238</v>
      </c>
      <c r="G14" s="312"/>
      <c r="H14" s="312"/>
      <c r="I14" s="312"/>
      <c r="J14" s="311"/>
    </row>
    <row r="15" spans="1:15">
      <c r="A15" s="227">
        <f t="shared" si="0"/>
        <v>11</v>
      </c>
      <c r="E15" s="313"/>
      <c r="F15" s="313"/>
      <c r="G15" s="313"/>
      <c r="H15" s="313"/>
      <c r="I15" s="313"/>
      <c r="J15" s="314"/>
    </row>
    <row r="16" spans="1:15">
      <c r="A16" s="227">
        <f t="shared" si="0"/>
        <v>12</v>
      </c>
      <c r="E16" s="89"/>
      <c r="F16" s="93">
        <f>(+F14-D14)/D14</f>
        <v>1.2448122001044089E-2</v>
      </c>
      <c r="G16" s="89"/>
      <c r="H16" s="89"/>
      <c r="I16" s="89"/>
    </row>
    <row r="17" spans="1:15">
      <c r="A17" s="227">
        <f t="shared" si="0"/>
        <v>13</v>
      </c>
      <c r="B17" s="85" t="s">
        <v>150</v>
      </c>
    </row>
    <row r="18" spans="1:15">
      <c r="A18" s="227">
        <f t="shared" si="0"/>
        <v>14</v>
      </c>
      <c r="D18" s="306" t="s">
        <v>112</v>
      </c>
      <c r="E18" s="307"/>
      <c r="F18" s="307"/>
      <c r="G18" s="307"/>
      <c r="H18" s="307"/>
      <c r="I18" s="308"/>
      <c r="J18" s="86"/>
    </row>
    <row r="19" spans="1:15">
      <c r="A19" s="227">
        <f t="shared" si="0"/>
        <v>15</v>
      </c>
      <c r="D19" s="87">
        <v>2011</v>
      </c>
      <c r="E19" s="87">
        <v>2012</v>
      </c>
      <c r="F19" s="87">
        <v>2013</v>
      </c>
      <c r="G19" s="87">
        <v>2014</v>
      </c>
      <c r="H19" s="87">
        <v>2015</v>
      </c>
      <c r="I19" s="87">
        <v>2016</v>
      </c>
      <c r="J19" s="225" t="s">
        <v>5</v>
      </c>
    </row>
    <row r="20" spans="1:15">
      <c r="A20" s="227">
        <f t="shared" si="0"/>
        <v>16</v>
      </c>
      <c r="B20" s="85" t="s">
        <v>113</v>
      </c>
      <c r="D20" s="89">
        <v>2390086210</v>
      </c>
      <c r="E20" s="309"/>
      <c r="F20" s="324">
        <v>2425727125.8063493</v>
      </c>
      <c r="G20" s="309"/>
      <c r="H20" s="309"/>
      <c r="I20" s="309"/>
      <c r="J20" s="309"/>
    </row>
    <row r="21" spans="1:15">
      <c r="A21" s="227">
        <f t="shared" si="0"/>
        <v>17</v>
      </c>
      <c r="B21" s="85" t="s">
        <v>114</v>
      </c>
      <c r="D21" s="89">
        <f>444630416</f>
        <v>444630416</v>
      </c>
      <c r="E21" s="309"/>
      <c r="F21" s="324">
        <v>448032825.15432805</v>
      </c>
      <c r="G21" s="309"/>
      <c r="H21" s="309"/>
      <c r="I21" s="309"/>
      <c r="J21" s="309"/>
    </row>
    <row r="22" spans="1:15">
      <c r="A22" s="227">
        <f t="shared" si="0"/>
        <v>18</v>
      </c>
      <c r="B22" s="85" t="s">
        <v>115</v>
      </c>
      <c r="D22" s="89">
        <f>1526792236</f>
        <v>1526792236</v>
      </c>
      <c r="E22" s="309"/>
      <c r="F22" s="324">
        <v>1557817718.0894554</v>
      </c>
      <c r="G22" s="309"/>
      <c r="H22" s="309"/>
      <c r="I22" s="309"/>
      <c r="J22" s="309"/>
    </row>
    <row r="23" spans="1:15">
      <c r="A23" s="227">
        <f t="shared" si="0"/>
        <v>19</v>
      </c>
      <c r="B23" s="85" t="s">
        <v>116</v>
      </c>
      <c r="D23" s="89">
        <f>1063262359</f>
        <v>1063262359</v>
      </c>
      <c r="E23" s="309"/>
      <c r="F23" s="324">
        <v>1173986731.9550979</v>
      </c>
      <c r="G23" s="309"/>
      <c r="H23" s="309"/>
      <c r="I23" s="309"/>
      <c r="J23" s="309"/>
    </row>
    <row r="24" spans="1:15">
      <c r="A24" s="227">
        <f t="shared" si="0"/>
        <v>20</v>
      </c>
      <c r="B24" s="85" t="s">
        <v>117</v>
      </c>
      <c r="D24" s="89">
        <v>124198378</v>
      </c>
      <c r="E24" s="309"/>
      <c r="F24" s="324">
        <v>142821103.33374819</v>
      </c>
      <c r="G24" s="309"/>
      <c r="H24" s="309"/>
      <c r="I24" s="309"/>
      <c r="J24" s="309"/>
    </row>
    <row r="25" spans="1:15">
      <c r="A25" s="227">
        <f t="shared" si="0"/>
        <v>21</v>
      </c>
      <c r="B25" s="85" t="s">
        <v>118</v>
      </c>
      <c r="D25" s="89">
        <v>25886566</v>
      </c>
      <c r="E25" s="309"/>
      <c r="F25" s="324">
        <v>26960462.934537109</v>
      </c>
      <c r="G25" s="309"/>
      <c r="H25" s="309"/>
      <c r="I25" s="309"/>
      <c r="J25" s="309"/>
    </row>
    <row r="26" spans="1:15">
      <c r="A26" s="227">
        <f t="shared" si="0"/>
        <v>22</v>
      </c>
      <c r="B26" s="85" t="s">
        <v>119</v>
      </c>
      <c r="D26" s="90">
        <f>SUM(D20:D25)</f>
        <v>5574856165</v>
      </c>
      <c r="E26" s="312"/>
      <c r="F26" s="325">
        <f t="shared" ref="F26:I26" si="2">SUM(F20:F25)</f>
        <v>5775345967.2735157</v>
      </c>
      <c r="G26" s="312"/>
      <c r="H26" s="312"/>
      <c r="I26" s="312"/>
      <c r="J26" s="315"/>
    </row>
    <row r="27" spans="1:15">
      <c r="A27" s="227">
        <f t="shared" si="0"/>
        <v>23</v>
      </c>
      <c r="B27" s="85" t="s">
        <v>120</v>
      </c>
      <c r="D27" s="89"/>
      <c r="E27" s="316"/>
      <c r="F27" s="316"/>
      <c r="G27" s="316"/>
      <c r="H27" s="316"/>
      <c r="I27" s="316"/>
      <c r="J27" s="314"/>
    </row>
    <row r="28" spans="1:15">
      <c r="A28" s="227">
        <f t="shared" si="0"/>
        <v>24</v>
      </c>
      <c r="B28" s="85" t="s">
        <v>121</v>
      </c>
      <c r="D28" s="89"/>
      <c r="E28" s="89"/>
      <c r="F28" s="93">
        <f>(+F26-D26)/D26</f>
        <v>3.5963224223116021E-2</v>
      </c>
      <c r="G28" s="89"/>
      <c r="H28" s="89"/>
      <c r="I28" s="89"/>
      <c r="J28" s="89"/>
    </row>
    <row r="29" spans="1:15">
      <c r="A29" s="227">
        <f t="shared" si="0"/>
        <v>25</v>
      </c>
    </row>
    <row r="30" spans="1:15">
      <c r="A30" s="227">
        <f t="shared" si="0"/>
        <v>26</v>
      </c>
      <c r="B30" s="85" t="s">
        <v>123</v>
      </c>
    </row>
    <row r="31" spans="1:15">
      <c r="A31" s="227">
        <f t="shared" si="0"/>
        <v>27</v>
      </c>
      <c r="D31" s="306" t="s">
        <v>112</v>
      </c>
      <c r="E31" s="307"/>
      <c r="F31" s="307"/>
      <c r="G31" s="307"/>
      <c r="H31" s="307"/>
      <c r="I31" s="308"/>
      <c r="J31" s="86"/>
    </row>
    <row r="32" spans="1:15">
      <c r="A32" s="227">
        <f t="shared" si="0"/>
        <v>28</v>
      </c>
      <c r="D32" s="87">
        <v>2011</v>
      </c>
      <c r="E32" s="87">
        <v>2012</v>
      </c>
      <c r="F32" s="87">
        <v>2013</v>
      </c>
      <c r="G32" s="87">
        <v>2014</v>
      </c>
      <c r="H32" s="87">
        <v>2015</v>
      </c>
      <c r="I32" s="94">
        <v>2016</v>
      </c>
      <c r="J32" s="225" t="s">
        <v>5</v>
      </c>
      <c r="K32" s="110" t="s">
        <v>134</v>
      </c>
      <c r="O32" s="85"/>
    </row>
    <row r="33" spans="1:19">
      <c r="A33" s="227">
        <f t="shared" si="0"/>
        <v>29</v>
      </c>
      <c r="B33" s="85" t="s">
        <v>113</v>
      </c>
      <c r="D33" s="89">
        <f>+'Billing Determinant Index 2013'!E17</f>
        <v>2390086210</v>
      </c>
      <c r="E33" s="309"/>
      <c r="F33" s="324">
        <v>2411416192.5509529</v>
      </c>
      <c r="G33" s="309"/>
      <c r="H33" s="309"/>
      <c r="I33" s="309"/>
      <c r="J33" s="311"/>
      <c r="K33" s="112">
        <f>RATE(5,,-D33,$I33)</f>
        <v>-0.99999940914518248</v>
      </c>
      <c r="L33" s="111">
        <f>EXP(K33)</f>
        <v>0.36787965853484661</v>
      </c>
      <c r="M33" s="111"/>
      <c r="N33" s="112"/>
      <c r="O33" s="85"/>
      <c r="P33" s="80"/>
      <c r="Q33" s="80"/>
      <c r="R33" s="80"/>
      <c r="S33" s="80"/>
    </row>
    <row r="34" spans="1:19">
      <c r="A34" s="227">
        <f t="shared" si="0"/>
        <v>30</v>
      </c>
      <c r="B34" s="85" t="s">
        <v>114</v>
      </c>
      <c r="D34" s="89">
        <f>+'Billing Determinant Index 2013'!E18</f>
        <v>489572183</v>
      </c>
      <c r="E34" s="309"/>
      <c r="F34" s="324">
        <v>497644868.94194829</v>
      </c>
      <c r="G34" s="309"/>
      <c r="H34" s="309"/>
      <c r="I34" s="309"/>
      <c r="J34" s="311"/>
      <c r="K34" s="112">
        <f t="shared" ref="K34:K38" si="3">RATE(5,,-D34,$I34)</f>
        <v>-0.99999940914518248</v>
      </c>
      <c r="L34" s="111">
        <f t="shared" ref="L34:L38" si="4">EXP(K34)</f>
        <v>0.36787965853484661</v>
      </c>
      <c r="M34" s="111"/>
      <c r="N34" s="112"/>
      <c r="O34" s="85"/>
      <c r="P34" s="80"/>
      <c r="Q34" s="80"/>
      <c r="R34" s="80"/>
      <c r="S34" s="80"/>
    </row>
    <row r="35" spans="1:19">
      <c r="A35" s="227">
        <f t="shared" si="0"/>
        <v>31</v>
      </c>
      <c r="B35" s="85" t="s">
        <v>115</v>
      </c>
      <c r="D35" s="89">
        <f>+'Billing Determinant Index 2013'!E19</f>
        <v>1481850559</v>
      </c>
      <c r="E35" s="309"/>
      <c r="F35" s="324">
        <v>1377746873.2561386</v>
      </c>
      <c r="G35" s="309"/>
      <c r="H35" s="309"/>
      <c r="I35" s="309"/>
      <c r="J35" s="311"/>
      <c r="K35" s="112">
        <f t="shared" si="3"/>
        <v>-0.99999940914518248</v>
      </c>
      <c r="L35" s="111">
        <f t="shared" si="4"/>
        <v>0.36787965853484661</v>
      </c>
      <c r="M35" s="111"/>
      <c r="N35" s="112"/>
      <c r="O35" s="85"/>
      <c r="P35" s="80"/>
      <c r="Q35" s="80"/>
      <c r="R35" s="80"/>
      <c r="S35" s="80"/>
    </row>
    <row r="36" spans="1:19">
      <c r="A36" s="227">
        <f t="shared" si="0"/>
        <v>32</v>
      </c>
      <c r="B36" s="85" t="s">
        <v>116</v>
      </c>
      <c r="D36" s="89">
        <f>+'Billing Determinant Index 2013'!E20</f>
        <v>1063262359</v>
      </c>
      <c r="E36" s="309"/>
      <c r="F36" s="324">
        <v>1115420405.6821749</v>
      </c>
      <c r="G36" s="309"/>
      <c r="H36" s="309"/>
      <c r="I36" s="309"/>
      <c r="J36" s="311"/>
      <c r="K36" s="112">
        <f t="shared" si="3"/>
        <v>-0.99999940914518248</v>
      </c>
      <c r="L36" s="111">
        <f t="shared" si="4"/>
        <v>0.36787965853484661</v>
      </c>
      <c r="M36" s="111"/>
      <c r="N36" s="112"/>
      <c r="O36" s="85"/>
      <c r="P36" s="80"/>
      <c r="Q36" s="80"/>
      <c r="R36" s="80"/>
      <c r="S36" s="80"/>
    </row>
    <row r="37" spans="1:19">
      <c r="A37" s="227">
        <f t="shared" si="0"/>
        <v>33</v>
      </c>
      <c r="B37" s="85" t="s">
        <v>117</v>
      </c>
      <c r="D37" s="89">
        <f>+'Billing Determinant Index 2013'!E21</f>
        <v>124198378</v>
      </c>
      <c r="E37" s="309"/>
      <c r="F37" s="324">
        <v>140537885.1628159</v>
      </c>
      <c r="G37" s="309"/>
      <c r="H37" s="309"/>
      <c r="I37" s="309"/>
      <c r="J37" s="311"/>
      <c r="K37" s="112">
        <f t="shared" si="3"/>
        <v>-0.99999940914518248</v>
      </c>
      <c r="L37" s="111">
        <f t="shared" si="4"/>
        <v>0.36787965853484661</v>
      </c>
      <c r="M37" s="111"/>
      <c r="N37" s="112"/>
      <c r="O37" s="85"/>
      <c r="P37" s="80"/>
      <c r="Q37" s="80"/>
      <c r="R37" s="80"/>
      <c r="S37" s="80"/>
    </row>
    <row r="38" spans="1:19">
      <c r="A38" s="227">
        <f t="shared" si="0"/>
        <v>34</v>
      </c>
      <c r="B38" s="85" t="s">
        <v>118</v>
      </c>
      <c r="D38" s="89">
        <f>+'Billing Determinant Index 2013'!E22</f>
        <v>25886566</v>
      </c>
      <c r="E38" s="309"/>
      <c r="F38" s="324">
        <v>25614018.628124997</v>
      </c>
      <c r="G38" s="309"/>
      <c r="H38" s="309"/>
      <c r="I38" s="309"/>
      <c r="J38" s="311"/>
      <c r="K38" s="112">
        <f t="shared" si="3"/>
        <v>-0.99999940914518248</v>
      </c>
      <c r="L38" s="111">
        <f t="shared" si="4"/>
        <v>0.36787965853484661</v>
      </c>
      <c r="M38" s="111"/>
      <c r="N38" s="112"/>
      <c r="O38" s="85"/>
      <c r="P38" s="80"/>
      <c r="Q38" s="80"/>
      <c r="R38" s="80"/>
      <c r="S38" s="80"/>
    </row>
    <row r="39" spans="1:19">
      <c r="A39" s="227">
        <f t="shared" si="0"/>
        <v>35</v>
      </c>
      <c r="B39" s="85" t="s">
        <v>119</v>
      </c>
      <c r="D39" s="90">
        <f>SUM(D33:D38)</f>
        <v>5574856255</v>
      </c>
      <c r="E39" s="312"/>
      <c r="F39" s="325">
        <v>5568380244.2221556</v>
      </c>
      <c r="G39" s="312"/>
      <c r="H39" s="312"/>
      <c r="I39" s="312"/>
      <c r="J39" s="311"/>
      <c r="K39" s="91"/>
      <c r="L39" s="111"/>
      <c r="Q39" s="91"/>
    </row>
    <row r="40" spans="1:19">
      <c r="A40" s="227">
        <f t="shared" si="0"/>
        <v>36</v>
      </c>
      <c r="B40" s="85" t="s">
        <v>120</v>
      </c>
      <c r="D40" s="89"/>
      <c r="E40" s="316"/>
      <c r="F40" s="313"/>
      <c r="G40" s="316"/>
      <c r="H40" s="316"/>
      <c r="I40" s="316"/>
      <c r="J40" s="314"/>
      <c r="K40" s="92"/>
      <c r="L40" s="113"/>
      <c r="M40" s="113"/>
      <c r="N40" s="113"/>
      <c r="O40" s="113"/>
    </row>
    <row r="41" spans="1:19">
      <c r="A41" s="227">
        <f t="shared" si="0"/>
        <v>37</v>
      </c>
      <c r="B41" s="85" t="s">
        <v>121</v>
      </c>
      <c r="D41" s="89"/>
      <c r="E41" s="309"/>
      <c r="F41" s="326">
        <f>(+F39-D39)/D39</f>
        <v>-1.1616462347412452E-3</v>
      </c>
      <c r="G41" s="309"/>
      <c r="H41" s="309"/>
      <c r="I41" s="309"/>
      <c r="J41" s="309"/>
    </row>
    <row r="42" spans="1:19">
      <c r="A42" s="227">
        <f t="shared" si="0"/>
        <v>38</v>
      </c>
    </row>
    <row r="43" spans="1:19">
      <c r="A43" s="227">
        <f t="shared" si="0"/>
        <v>39</v>
      </c>
      <c r="B43" s="85" t="s">
        <v>150</v>
      </c>
    </row>
    <row r="44" spans="1:19">
      <c r="A44" s="227">
        <f t="shared" si="0"/>
        <v>40</v>
      </c>
      <c r="D44" s="306" t="s">
        <v>124</v>
      </c>
      <c r="E44" s="307"/>
      <c r="F44" s="307"/>
      <c r="G44" s="307"/>
      <c r="H44" s="307"/>
      <c r="I44" s="308"/>
      <c r="J44" s="86"/>
    </row>
    <row r="45" spans="1:19">
      <c r="A45" s="227">
        <f t="shared" si="0"/>
        <v>41</v>
      </c>
      <c r="D45" s="87">
        <v>2011</v>
      </c>
      <c r="E45" s="87">
        <v>2012</v>
      </c>
      <c r="F45" s="87">
        <v>2013</v>
      </c>
      <c r="G45" s="87">
        <v>2014</v>
      </c>
      <c r="H45" s="87">
        <v>2015</v>
      </c>
      <c r="I45" s="87">
        <v>2016</v>
      </c>
      <c r="J45" s="88"/>
    </row>
    <row r="46" spans="1:19">
      <c r="A46" s="227">
        <f t="shared" si="0"/>
        <v>42</v>
      </c>
      <c r="B46" s="85" t="s">
        <v>113</v>
      </c>
      <c r="D46" s="95">
        <v>201447.58333333334</v>
      </c>
      <c r="E46" s="317"/>
      <c r="F46" s="317"/>
      <c r="G46" s="317"/>
      <c r="H46" s="317"/>
      <c r="I46" s="317"/>
      <c r="J46" s="315"/>
    </row>
    <row r="47" spans="1:19">
      <c r="A47" s="227">
        <f t="shared" si="0"/>
        <v>43</v>
      </c>
      <c r="B47" s="85" t="s">
        <v>114</v>
      </c>
      <c r="D47" s="96">
        <v>27950.333333333332</v>
      </c>
      <c r="E47" s="315"/>
      <c r="F47" s="315"/>
      <c r="G47" s="315"/>
      <c r="H47" s="315"/>
      <c r="I47" s="315"/>
      <c r="J47" s="315"/>
    </row>
    <row r="48" spans="1:19">
      <c r="A48" s="227">
        <f t="shared" si="0"/>
        <v>44</v>
      </c>
      <c r="B48" s="85" t="s">
        <v>115</v>
      </c>
      <c r="D48" s="96">
        <v>3041.9166666666665</v>
      </c>
      <c r="E48" s="315"/>
      <c r="F48" s="315"/>
      <c r="G48" s="315"/>
      <c r="H48" s="315"/>
      <c r="I48" s="315"/>
      <c r="J48" s="315"/>
    </row>
    <row r="49" spans="1:19">
      <c r="A49" s="227">
        <f t="shared" si="0"/>
        <v>45</v>
      </c>
      <c r="B49" s="85" t="s">
        <v>116</v>
      </c>
      <c r="D49" s="96">
        <v>22.583333333333332</v>
      </c>
      <c r="E49" s="315"/>
      <c r="F49" s="315"/>
      <c r="G49" s="315"/>
      <c r="H49" s="315"/>
      <c r="I49" s="315"/>
      <c r="J49" s="315"/>
    </row>
    <row r="50" spans="1:19">
      <c r="A50" s="227">
        <f t="shared" si="0"/>
        <v>46</v>
      </c>
      <c r="B50" s="85" t="s">
        <v>117</v>
      </c>
      <c r="D50" s="96">
        <v>2400.25</v>
      </c>
      <c r="E50" s="315"/>
      <c r="F50" s="315"/>
      <c r="G50" s="315"/>
      <c r="H50" s="315"/>
      <c r="I50" s="315"/>
      <c r="J50" s="315"/>
    </row>
    <row r="51" spans="1:19">
      <c r="A51" s="227">
        <f t="shared" si="0"/>
        <v>47</v>
      </c>
      <c r="B51" s="85" t="s">
        <v>118</v>
      </c>
      <c r="D51" s="97">
        <v>329.08333333333331</v>
      </c>
      <c r="E51" s="318"/>
      <c r="F51" s="318"/>
      <c r="G51" s="318"/>
      <c r="H51" s="318"/>
      <c r="I51" s="318"/>
      <c r="J51" s="315"/>
    </row>
    <row r="52" spans="1:19" s="98" customFormat="1">
      <c r="A52" s="227">
        <f t="shared" si="0"/>
        <v>48</v>
      </c>
      <c r="B52" s="253" t="s">
        <v>174</v>
      </c>
      <c r="D52" s="99">
        <f>SUM(D46:D51)</f>
        <v>235191.75000000003</v>
      </c>
      <c r="E52" s="312"/>
      <c r="F52" s="312"/>
      <c r="G52" s="312"/>
      <c r="H52" s="312"/>
      <c r="I52" s="319"/>
      <c r="J52" s="320"/>
      <c r="K52" s="114"/>
      <c r="L52" s="114"/>
      <c r="M52" s="114"/>
      <c r="N52" s="114"/>
      <c r="O52" s="114"/>
      <c r="P52" s="114"/>
      <c r="Q52" s="114"/>
      <c r="R52" s="114"/>
      <c r="S52" s="114"/>
    </row>
    <row r="53" spans="1:19" s="98" customFormat="1">
      <c r="A53" s="227">
        <f t="shared" si="0"/>
        <v>49</v>
      </c>
      <c r="B53" s="253" t="s">
        <v>120</v>
      </c>
      <c r="D53" s="91">
        <f>SUM(D47:D51)</f>
        <v>33744.166666666664</v>
      </c>
      <c r="E53" s="315"/>
      <c r="F53" s="315"/>
      <c r="G53" s="315"/>
      <c r="H53" s="315"/>
      <c r="I53" s="315"/>
      <c r="J53" s="320"/>
      <c r="K53" s="114"/>
      <c r="L53" s="114"/>
      <c r="M53" s="114"/>
      <c r="N53" s="114"/>
      <c r="O53" s="114"/>
      <c r="P53" s="114"/>
      <c r="Q53" s="114"/>
      <c r="R53" s="114"/>
      <c r="S53" s="114"/>
    </row>
    <row r="54" spans="1:19">
      <c r="A54" s="227">
        <f t="shared" si="0"/>
        <v>50</v>
      </c>
      <c r="B54" s="253" t="s">
        <v>121</v>
      </c>
      <c r="D54" s="89"/>
      <c r="E54" s="321"/>
      <c r="F54" s="316"/>
      <c r="G54" s="316"/>
      <c r="H54" s="316"/>
      <c r="I54" s="322"/>
      <c r="J54" s="321"/>
    </row>
    <row r="55" spans="1:19">
      <c r="A55" s="227">
        <f t="shared" si="0"/>
        <v>51</v>
      </c>
      <c r="D55" s="89"/>
      <c r="E55" s="309"/>
      <c r="F55" s="323"/>
      <c r="G55" s="309"/>
      <c r="H55" s="309"/>
      <c r="I55" s="309"/>
      <c r="J55" s="309"/>
    </row>
    <row r="56" spans="1:19">
      <c r="A56" s="227">
        <f t="shared" si="0"/>
        <v>52</v>
      </c>
      <c r="B56" s="85" t="s">
        <v>123</v>
      </c>
    </row>
    <row r="57" spans="1:19">
      <c r="A57" s="227">
        <f t="shared" si="0"/>
        <v>53</v>
      </c>
      <c r="D57" s="306" t="s">
        <v>124</v>
      </c>
      <c r="E57" s="307"/>
      <c r="F57" s="307"/>
      <c r="G57" s="307"/>
      <c r="H57" s="307"/>
      <c r="I57" s="308"/>
      <c r="J57" s="86"/>
    </row>
    <row r="58" spans="1:19">
      <c r="A58" s="227">
        <f t="shared" si="0"/>
        <v>54</v>
      </c>
      <c r="D58" s="100">
        <v>2011</v>
      </c>
      <c r="E58" s="87">
        <v>2012</v>
      </c>
      <c r="F58" s="87">
        <v>2013</v>
      </c>
      <c r="G58" s="87">
        <v>2014</v>
      </c>
      <c r="H58" s="87">
        <v>2015</v>
      </c>
      <c r="I58" s="87">
        <v>2016</v>
      </c>
      <c r="J58" s="88"/>
    </row>
    <row r="59" spans="1:19">
      <c r="A59" s="227">
        <f t="shared" si="0"/>
        <v>55</v>
      </c>
      <c r="B59" s="85" t="s">
        <v>113</v>
      </c>
      <c r="D59" s="101">
        <f t="shared" ref="D59:D64" si="5">+D46</f>
        <v>201447.58333333334</v>
      </c>
      <c r="E59" s="317"/>
      <c r="F59" s="317"/>
      <c r="G59" s="317"/>
      <c r="H59" s="317"/>
      <c r="I59" s="317"/>
      <c r="J59" s="315"/>
    </row>
    <row r="60" spans="1:19">
      <c r="A60" s="227">
        <f t="shared" si="0"/>
        <v>56</v>
      </c>
      <c r="B60" s="85" t="s">
        <v>114</v>
      </c>
      <c r="D60" s="102">
        <f t="shared" si="5"/>
        <v>27950.333333333332</v>
      </c>
      <c r="E60" s="315"/>
      <c r="F60" s="315"/>
      <c r="G60" s="315"/>
      <c r="H60" s="315"/>
      <c r="I60" s="315"/>
      <c r="J60" s="315"/>
    </row>
    <row r="61" spans="1:19">
      <c r="A61" s="227">
        <f t="shared" si="0"/>
        <v>57</v>
      </c>
      <c r="B61" s="85" t="s">
        <v>115</v>
      </c>
      <c r="D61" s="102">
        <f t="shared" si="5"/>
        <v>3041.9166666666665</v>
      </c>
      <c r="E61" s="315"/>
      <c r="F61" s="315"/>
      <c r="G61" s="315"/>
      <c r="H61" s="315"/>
      <c r="I61" s="315"/>
      <c r="J61" s="315"/>
    </row>
    <row r="62" spans="1:19">
      <c r="A62" s="227">
        <f t="shared" si="0"/>
        <v>58</v>
      </c>
      <c r="B62" s="85" t="s">
        <v>116</v>
      </c>
      <c r="D62" s="102">
        <f t="shared" si="5"/>
        <v>22.583333333333332</v>
      </c>
      <c r="E62" s="315"/>
      <c r="F62" s="315"/>
      <c r="G62" s="315"/>
      <c r="H62" s="315"/>
      <c r="I62" s="315"/>
      <c r="J62" s="315"/>
    </row>
    <row r="63" spans="1:19">
      <c r="A63" s="227">
        <f t="shared" ref="A63:A79" si="6">1+A62</f>
        <v>59</v>
      </c>
      <c r="B63" s="85" t="s">
        <v>117</v>
      </c>
      <c r="D63" s="102">
        <f t="shared" si="5"/>
        <v>2400.25</v>
      </c>
      <c r="E63" s="315"/>
      <c r="F63" s="315"/>
      <c r="G63" s="315"/>
      <c r="H63" s="315"/>
      <c r="I63" s="315"/>
      <c r="J63" s="315"/>
    </row>
    <row r="64" spans="1:19">
      <c r="A64" s="227">
        <f t="shared" si="6"/>
        <v>60</v>
      </c>
      <c r="B64" s="85" t="s">
        <v>118</v>
      </c>
      <c r="D64" s="103">
        <f t="shared" si="5"/>
        <v>329.08333333333331</v>
      </c>
      <c r="E64" s="318"/>
      <c r="F64" s="318"/>
      <c r="G64" s="318"/>
      <c r="H64" s="318"/>
      <c r="I64" s="318"/>
      <c r="J64" s="315"/>
    </row>
    <row r="65" spans="1:10">
      <c r="A65" s="227">
        <f t="shared" si="6"/>
        <v>61</v>
      </c>
      <c r="B65" s="253" t="s">
        <v>174</v>
      </c>
      <c r="D65" s="97">
        <f>SUM(D59:D64)</f>
        <v>235191.75000000003</v>
      </c>
      <c r="E65" s="312"/>
      <c r="F65" s="312"/>
      <c r="G65" s="312"/>
      <c r="H65" s="312"/>
      <c r="I65" s="319"/>
      <c r="J65" s="315"/>
    </row>
    <row r="66" spans="1:10">
      <c r="A66" s="227">
        <f t="shared" si="6"/>
        <v>62</v>
      </c>
      <c r="B66" s="253" t="s">
        <v>120</v>
      </c>
      <c r="D66" s="91">
        <f>SUM(D60:D64)</f>
        <v>33744.166666666664</v>
      </c>
      <c r="E66" s="315"/>
      <c r="F66" s="315"/>
      <c r="G66" s="315"/>
      <c r="H66" s="315"/>
      <c r="I66" s="315"/>
      <c r="J66" s="315"/>
    </row>
    <row r="67" spans="1:10">
      <c r="A67" s="227">
        <f t="shared" si="6"/>
        <v>63</v>
      </c>
      <c r="B67" s="253" t="s">
        <v>121</v>
      </c>
      <c r="D67" s="89"/>
      <c r="E67" s="321"/>
      <c r="F67" s="316"/>
      <c r="G67" s="316"/>
      <c r="H67" s="316"/>
      <c r="I67" s="322"/>
      <c r="J67" s="321"/>
    </row>
    <row r="68" spans="1:10">
      <c r="A68" s="227">
        <f t="shared" si="6"/>
        <v>64</v>
      </c>
      <c r="D68" s="89"/>
      <c r="E68" s="309"/>
      <c r="F68" s="323"/>
      <c r="G68" s="309"/>
      <c r="H68" s="309"/>
      <c r="I68" s="309"/>
      <c r="J68" s="309"/>
    </row>
    <row r="69" spans="1:10">
      <c r="A69" s="227">
        <f t="shared" si="6"/>
        <v>65</v>
      </c>
      <c r="D69" s="89"/>
      <c r="E69" s="89"/>
      <c r="F69" s="104"/>
      <c r="G69" s="89"/>
      <c r="H69" s="89"/>
      <c r="I69" s="89"/>
      <c r="J69" s="89"/>
    </row>
    <row r="70" spans="1:10" hidden="1">
      <c r="A70" s="227">
        <f t="shared" si="6"/>
        <v>66</v>
      </c>
      <c r="B70" s="115" t="s">
        <v>11</v>
      </c>
      <c r="C70" s="116"/>
    </row>
    <row r="71" spans="1:10" hidden="1">
      <c r="A71" s="227">
        <f t="shared" si="6"/>
        <v>67</v>
      </c>
      <c r="B71" s="117" t="s">
        <v>8</v>
      </c>
      <c r="C71" s="118" t="s">
        <v>131</v>
      </c>
      <c r="E71" s="119">
        <v>206843.125</v>
      </c>
      <c r="F71" s="119">
        <v>255241</v>
      </c>
      <c r="G71" s="119">
        <v>255241</v>
      </c>
      <c r="H71" s="119">
        <v>255241</v>
      </c>
      <c r="I71" s="119">
        <v>255241</v>
      </c>
    </row>
    <row r="72" spans="1:10" hidden="1">
      <c r="A72" s="227">
        <f t="shared" si="6"/>
        <v>68</v>
      </c>
      <c r="B72" s="117" t="s">
        <v>6</v>
      </c>
      <c r="C72" s="118" t="s">
        <v>131</v>
      </c>
      <c r="E72" s="119">
        <v>4823.5625000000009</v>
      </c>
      <c r="F72" s="119">
        <v>5868.8125000000009</v>
      </c>
      <c r="G72" s="119">
        <v>5868.8125000000009</v>
      </c>
      <c r="H72" s="119">
        <v>5868.8125000000009</v>
      </c>
      <c r="I72" s="119">
        <v>5868.8125000000009</v>
      </c>
    </row>
    <row r="73" spans="1:10" hidden="1">
      <c r="A73" s="227">
        <f t="shared" si="6"/>
        <v>69</v>
      </c>
      <c r="B73" s="117"/>
      <c r="C73" s="118"/>
      <c r="E73" s="119">
        <f>SUM(E71:E72)</f>
        <v>211666.6875</v>
      </c>
      <c r="F73" s="119">
        <f t="shared" ref="F73:I73" si="7">SUM(F71:F72)</f>
        <v>261109.8125</v>
      </c>
      <c r="G73" s="119">
        <f t="shared" si="7"/>
        <v>261109.8125</v>
      </c>
      <c r="H73" s="119">
        <f t="shared" si="7"/>
        <v>261109.8125</v>
      </c>
      <c r="I73" s="119">
        <f t="shared" si="7"/>
        <v>261109.8125</v>
      </c>
    </row>
    <row r="74" spans="1:10" hidden="1">
      <c r="A74" s="227">
        <f t="shared" si="6"/>
        <v>70</v>
      </c>
      <c r="B74" s="117"/>
      <c r="C74" s="118"/>
      <c r="F74" s="119"/>
      <c r="G74" s="119"/>
      <c r="H74" s="119"/>
      <c r="I74" s="119"/>
    </row>
    <row r="75" spans="1:10" hidden="1">
      <c r="A75" s="227">
        <f t="shared" si="6"/>
        <v>71</v>
      </c>
      <c r="B75" s="117" t="s">
        <v>9</v>
      </c>
      <c r="C75" s="118" t="s">
        <v>132</v>
      </c>
      <c r="E75" s="119">
        <v>2570336.8333333335</v>
      </c>
      <c r="F75" s="119">
        <v>2570336.8333333335</v>
      </c>
      <c r="G75" s="119">
        <v>2570336.8333333335</v>
      </c>
      <c r="H75" s="119">
        <v>2570336.8333333335</v>
      </c>
      <c r="I75" s="119">
        <v>2570336.8333333335</v>
      </c>
    </row>
    <row r="76" spans="1:10" hidden="1">
      <c r="A76" s="227">
        <f t="shared" si="6"/>
        <v>72</v>
      </c>
      <c r="B76" s="117" t="s">
        <v>7</v>
      </c>
      <c r="C76" s="118" t="s">
        <v>132</v>
      </c>
      <c r="E76" s="119">
        <v>51002.375000000007</v>
      </c>
      <c r="F76" s="119">
        <v>51002.375000000007</v>
      </c>
      <c r="G76" s="119">
        <v>51002.375000000007</v>
      </c>
      <c r="H76" s="119">
        <v>51002.375000000007</v>
      </c>
      <c r="I76" s="119">
        <v>51002.375000000007</v>
      </c>
    </row>
    <row r="77" spans="1:10" hidden="1">
      <c r="A77" s="227">
        <f t="shared" si="6"/>
        <v>73</v>
      </c>
      <c r="B77" s="117"/>
      <c r="C77" s="118"/>
      <c r="E77" s="119">
        <f>SUM(E75:E76)</f>
        <v>2621339.2083333335</v>
      </c>
      <c r="F77" s="119">
        <f t="shared" ref="F77:I77" si="8">SUM(F75:F76)</f>
        <v>2621339.2083333335</v>
      </c>
      <c r="G77" s="119">
        <f t="shared" si="8"/>
        <v>2621339.2083333335</v>
      </c>
      <c r="H77" s="119">
        <f t="shared" si="8"/>
        <v>2621339.2083333335</v>
      </c>
      <c r="I77" s="119">
        <f t="shared" si="8"/>
        <v>2621339.2083333335</v>
      </c>
    </row>
    <row r="78" spans="1:10" hidden="1">
      <c r="A78" s="227">
        <f t="shared" si="6"/>
        <v>74</v>
      </c>
      <c r="B78" s="117"/>
      <c r="C78" s="118"/>
      <c r="E78" s="119"/>
      <c r="F78" s="119"/>
      <c r="G78" s="119"/>
      <c r="H78" s="119"/>
      <c r="I78" s="119"/>
    </row>
    <row r="79" spans="1:10" hidden="1">
      <c r="A79" s="227">
        <f t="shared" si="6"/>
        <v>75</v>
      </c>
      <c r="B79" s="117" t="s">
        <v>10</v>
      </c>
      <c r="C79" s="118" t="s">
        <v>133</v>
      </c>
      <c r="E79" s="119">
        <v>1238247</v>
      </c>
      <c r="F79" s="119">
        <v>1238247</v>
      </c>
      <c r="G79" s="119">
        <v>1238247</v>
      </c>
      <c r="H79" s="119">
        <v>1238247</v>
      </c>
      <c r="I79" s="119">
        <v>1238247</v>
      </c>
    </row>
  </sheetData>
  <mergeCells count="5">
    <mergeCell ref="D18:I18"/>
    <mergeCell ref="D6:I6"/>
    <mergeCell ref="D31:I31"/>
    <mergeCell ref="D44:I44"/>
    <mergeCell ref="D57:I57"/>
  </mergeCells>
  <pageMargins left="0.7" right="0.2" top="0.75" bottom="0.5" header="0.55000000000000004" footer="0.3"/>
  <pageSetup paperSize="0" scale="66" orientation="portrait" r:id="rId1"/>
  <headerFooter alignWithMargins="0">
    <oddHeader>&amp;R&amp;"Times New Roman,Regular"&amp;12Exhibit  No.___(KHB-9C) Redacted
Page &amp;P</oddHeader>
    <oddFooter>&amp;L&amp;12&amp;F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378DD61-B443-467B-9ACF-44BABC23A4D8}"/>
</file>

<file path=customXml/itemProps2.xml><?xml version="1.0" encoding="utf-8"?>
<ds:datastoreItem xmlns:ds="http://schemas.openxmlformats.org/officeDocument/2006/customXml" ds:itemID="{3FE1464E-5B50-4D3A-8E51-A4AA19CFCE63}"/>
</file>

<file path=customXml/itemProps3.xml><?xml version="1.0" encoding="utf-8"?>
<ds:datastoreItem xmlns:ds="http://schemas.openxmlformats.org/officeDocument/2006/customXml" ds:itemID="{C05C535D-9319-47D3-A678-545946038D0B}"/>
</file>

<file path=customXml/itemProps4.xml><?xml version="1.0" encoding="utf-8"?>
<ds:datastoreItem xmlns:ds="http://schemas.openxmlformats.org/officeDocument/2006/customXml" ds:itemID="{B6A3975B-6667-4070-B893-1A91E3DDA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Attrition Allowance</vt:lpstr>
      <vt:lpstr>Attrition 2011 to 2013</vt:lpstr>
      <vt:lpstr>Billing Determinant Index 2013</vt:lpstr>
      <vt:lpstr>Elec Usage and Cust Conf</vt:lpstr>
      <vt:lpstr>'Attrition 2011 to 2013'!Print_Area</vt:lpstr>
      <vt:lpstr>'Attrition 2011 to 2013'!Print_Titles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Fenrick</dc:creator>
  <cp:lastModifiedBy>Breda, Kathryn (UTC)</cp:lastModifiedBy>
  <cp:lastPrinted>2012-09-18T23:12:58Z</cp:lastPrinted>
  <dcterms:created xsi:type="dcterms:W3CDTF">2012-01-25T16:30:38Z</dcterms:created>
  <dcterms:modified xsi:type="dcterms:W3CDTF">2012-09-18T23:13:05Z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