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threadedComments/threadedComment1.xml" ContentType="application/vnd.ms-excel.threadedcomment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Chris Mickelson\"/>
    </mc:Choice>
  </mc:AlternateContent>
  <bookViews>
    <workbookView xWindow="240" yWindow="315" windowWidth="25230" windowHeight="13770"/>
  </bookViews>
  <sheets>
    <sheet name="Exh CTM-4 (Proforma kWh &amp; Rev)" sheetId="1" r:id="rId1"/>
    <sheet name="Exh CTM-4 (Rev Req Summary)" sheetId="2" r:id="rId2"/>
    <sheet name="Exh CTM-4 (Load Analysis)" sheetId="3" r:id="rId3"/>
  </sheets>
  <definedNames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2">'Exh CTM-4 (Load Analysis)'!$A:$N</definedName>
    <definedName name="_xlnm.Print_Area" localSheetId="0">'Exh CTM-4 (Proforma kWh &amp; Rev)'!$A:$U</definedName>
    <definedName name="_xlnm.Print_Titles" localSheetId="0">'Exh CTM-4 (Proforma kWh &amp; Rev)'!$1:$8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D26" i="3"/>
  <c r="J26" i="3"/>
  <c r="M26" i="3"/>
  <c r="J34" i="3"/>
  <c r="M34" i="3"/>
  <c r="J35" i="3"/>
  <c r="M35" i="3"/>
  <c r="J36" i="3"/>
  <c r="M36" i="3"/>
  <c r="J37" i="3"/>
  <c r="M37" i="3"/>
  <c r="G38" i="3"/>
  <c r="J38" i="3"/>
  <c r="K38" i="3"/>
  <c r="M38" i="3"/>
  <c r="N38" i="3"/>
  <c r="J39" i="3"/>
  <c r="M39" i="3"/>
  <c r="J40" i="3"/>
  <c r="M40" i="3"/>
  <c r="J41" i="3"/>
  <c r="M41" i="3"/>
  <c r="J42" i="3"/>
  <c r="M42" i="3"/>
  <c r="J43" i="3"/>
  <c r="M43" i="3"/>
  <c r="J44" i="3"/>
  <c r="M44" i="3"/>
  <c r="J45" i="3"/>
  <c r="M45" i="3"/>
  <c r="G46" i="3"/>
  <c r="H46" i="3"/>
  <c r="J46" i="3"/>
  <c r="K46" i="3"/>
  <c r="M46" i="3"/>
  <c r="N46" i="3"/>
  <c r="J47" i="3"/>
  <c r="M47" i="3"/>
  <c r="J49" i="3"/>
  <c r="M49" i="3"/>
  <c r="A2" i="2"/>
  <c r="A3" i="2"/>
  <c r="C8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B11" i="2"/>
  <c r="B12" i="2"/>
  <c r="D12" i="2"/>
  <c r="B13" i="2"/>
  <c r="D13" i="2"/>
  <c r="C13" i="2" s="1"/>
  <c r="B14" i="2"/>
  <c r="D14" i="2"/>
  <c r="C14" i="2" s="1"/>
  <c r="B15" i="2"/>
  <c r="B16" i="2"/>
  <c r="D16" i="2"/>
  <c r="C16" i="2" s="1"/>
  <c r="B17" i="2"/>
  <c r="B18" i="2"/>
  <c r="B19" i="2"/>
  <c r="D19" i="2"/>
  <c r="C19" i="2" s="1"/>
  <c r="B20" i="2"/>
  <c r="B21" i="2"/>
  <c r="D21" i="2"/>
  <c r="C21" i="2" s="1"/>
  <c r="B22" i="2"/>
  <c r="B23" i="2"/>
  <c r="D23" i="2"/>
  <c r="C23" i="2" s="1"/>
  <c r="B24" i="2"/>
  <c r="D24" i="2"/>
  <c r="C24" i="2" s="1"/>
  <c r="B25" i="2"/>
  <c r="D25" i="2"/>
  <c r="C25" i="2" s="1"/>
  <c r="B26" i="2"/>
  <c r="B27" i="2"/>
  <c r="C27" i="2"/>
  <c r="D27" i="2"/>
  <c r="B28" i="2"/>
  <c r="B29" i="2"/>
  <c r="B30" i="2"/>
  <c r="B31" i="2"/>
  <c r="B32" i="2"/>
  <c r="D32" i="2"/>
  <c r="C32" i="2" s="1"/>
  <c r="B33" i="2"/>
  <c r="B34" i="2"/>
  <c r="B35" i="2"/>
  <c r="D35" i="2"/>
  <c r="C35" i="2" s="1"/>
  <c r="B36" i="2"/>
  <c r="B37" i="2"/>
  <c r="D37" i="2"/>
  <c r="C37" i="2" s="1"/>
  <c r="B38" i="2"/>
  <c r="B39" i="2"/>
  <c r="B40" i="2"/>
  <c r="B41" i="2"/>
  <c r="B42" i="2"/>
  <c r="B43" i="2"/>
  <c r="B44" i="2"/>
  <c r="B45" i="2"/>
  <c r="B46" i="2"/>
  <c r="B47" i="2"/>
  <c r="B48" i="2"/>
  <c r="D48" i="2"/>
  <c r="C48" i="2" s="1"/>
  <c r="E54" i="2"/>
  <c r="E56" i="2" s="1"/>
  <c r="F54" i="2"/>
  <c r="F56" i="2" s="1"/>
  <c r="E55" i="2"/>
  <c r="F55" i="2"/>
  <c r="J59" i="2"/>
  <c r="L59" i="2"/>
  <c r="A1" i="2"/>
  <c r="A4" i="2"/>
  <c r="J7" i="1"/>
  <c r="K7" i="1"/>
  <c r="L7" i="1"/>
  <c r="N7" i="1"/>
  <c r="D9" i="1"/>
  <c r="E11" i="1"/>
  <c r="H11" i="1"/>
  <c r="J9" i="1"/>
  <c r="R9" i="1"/>
  <c r="T9" i="1"/>
  <c r="A10" i="1"/>
  <c r="D10" i="1"/>
  <c r="J10" i="1"/>
  <c r="L11" i="1"/>
  <c r="A11" i="1"/>
  <c r="F11" i="1"/>
  <c r="K11" i="1"/>
  <c r="M11" i="1"/>
  <c r="N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D13" i="1"/>
  <c r="J13" i="1"/>
  <c r="P13" i="1"/>
  <c r="T13" i="1"/>
  <c r="D14" i="1"/>
  <c r="H18" i="1"/>
  <c r="H32" i="1" s="1"/>
  <c r="H36" i="1" s="1"/>
  <c r="L18" i="1"/>
  <c r="L32" i="1" s="1"/>
  <c r="L36" i="1" s="1"/>
  <c r="R15" i="1"/>
  <c r="T15" i="1"/>
  <c r="D16" i="1"/>
  <c r="J16" i="1"/>
  <c r="P16" i="1" s="1"/>
  <c r="R16" i="1"/>
  <c r="T16" i="1"/>
  <c r="D17" i="1"/>
  <c r="J17" i="1"/>
  <c r="P17" i="1"/>
  <c r="T17" i="1"/>
  <c r="F18" i="1"/>
  <c r="G18" i="1"/>
  <c r="M18" i="1"/>
  <c r="N18" i="1"/>
  <c r="D20" i="1"/>
  <c r="G23" i="1"/>
  <c r="J20" i="1"/>
  <c r="J23" i="1" s="1"/>
  <c r="M23" i="1"/>
  <c r="R20" i="1"/>
  <c r="T20" i="1"/>
  <c r="D21" i="1"/>
  <c r="J21" i="1"/>
  <c r="P21" i="1" s="1"/>
  <c r="R21" i="1"/>
  <c r="T21" i="1"/>
  <c r="D22" i="1"/>
  <c r="J22" i="1"/>
  <c r="P22" i="1" s="1"/>
  <c r="S23" i="1"/>
  <c r="T22" i="1"/>
  <c r="E23" i="1"/>
  <c r="H23" i="1"/>
  <c r="K23" i="1"/>
  <c r="L23" i="1"/>
  <c r="N23" i="1"/>
  <c r="D25" i="1"/>
  <c r="D27" i="1" s="1"/>
  <c r="J25" i="1"/>
  <c r="R25" i="1"/>
  <c r="T25" i="1"/>
  <c r="D26" i="1"/>
  <c r="J26" i="1"/>
  <c r="P26" i="1" s="1"/>
  <c r="S27" i="1"/>
  <c r="T26" i="1"/>
  <c r="T27" i="1" s="1"/>
  <c r="E27" i="1"/>
  <c r="G27" i="1"/>
  <c r="H27" i="1"/>
  <c r="K27" i="1"/>
  <c r="L27" i="1"/>
  <c r="M27" i="1"/>
  <c r="N27" i="1"/>
  <c r="Q27" i="1"/>
  <c r="U27" i="1"/>
  <c r="D29" i="1"/>
  <c r="J29" i="1"/>
  <c r="P29" i="1" s="1"/>
  <c r="N32" i="1"/>
  <c r="N36" i="1" s="1"/>
  <c r="J78" i="1" s="1"/>
  <c r="D44" i="2" s="1"/>
  <c r="C44" i="2" s="1"/>
  <c r="R29" i="1"/>
  <c r="T29" i="1"/>
  <c r="D30" i="1"/>
  <c r="J30" i="1"/>
  <c r="M32" i="1"/>
  <c r="M36" i="1" s="1"/>
  <c r="R30" i="1"/>
  <c r="T30" i="1"/>
  <c r="D34" i="1"/>
  <c r="J34" i="1"/>
  <c r="E61" i="2" s="1"/>
  <c r="E44" i="2"/>
  <c r="E49" i="2" s="1"/>
  <c r="E51" i="2" s="1"/>
  <c r="P34" i="1"/>
  <c r="R34" i="1"/>
  <c r="T34" i="1"/>
  <c r="D42" i="1"/>
  <c r="J40" i="1"/>
  <c r="J79" i="1"/>
  <c r="D15" i="2"/>
  <c r="C15" i="2" s="1"/>
  <c r="D18" i="2"/>
  <c r="C18" i="2" s="1"/>
  <c r="D20" i="2"/>
  <c r="C20" i="2" s="1"/>
  <c r="D22" i="2"/>
  <c r="C22" i="2" s="1"/>
  <c r="D26" i="2"/>
  <c r="C26" i="2" s="1"/>
  <c r="D28" i="2"/>
  <c r="C28" i="2" s="1"/>
  <c r="D29" i="2"/>
  <c r="C29" i="2" s="1"/>
  <c r="D30" i="2"/>
  <c r="C30" i="2" s="1"/>
  <c r="D31" i="2"/>
  <c r="C31" i="2" s="1"/>
  <c r="D33" i="2"/>
  <c r="C33" i="2" s="1"/>
  <c r="D34" i="2"/>
  <c r="C34" i="2" s="1"/>
  <c r="D36" i="2"/>
  <c r="C36" i="2" s="1"/>
  <c r="D38" i="2"/>
  <c r="C38" i="2" s="1"/>
  <c r="D40" i="2"/>
  <c r="C40" i="2" s="1"/>
  <c r="D41" i="2"/>
  <c r="J88" i="1"/>
  <c r="J89" i="1" s="1"/>
  <c r="D83" i="1"/>
  <c r="D46" i="2"/>
  <c r="C46" i="2" s="1"/>
  <c r="D81" i="1"/>
  <c r="D47" i="2"/>
  <c r="C47" i="2" s="1"/>
  <c r="J87" i="1"/>
  <c r="T23" i="1" l="1"/>
  <c r="E59" i="2"/>
  <c r="E62" i="2" s="1"/>
  <c r="G32" i="1"/>
  <c r="G36" i="1" s="1"/>
  <c r="J27" i="1"/>
  <c r="P25" i="1"/>
  <c r="P27" i="1" s="1"/>
  <c r="P20" i="1"/>
  <c r="P23" i="1" s="1"/>
  <c r="C12" i="2"/>
  <c r="D45" i="2"/>
  <c r="C45" i="2" s="1"/>
  <c r="J83" i="1"/>
  <c r="J84" i="1" s="1"/>
  <c r="J90" i="1" s="1"/>
  <c r="J42" i="1"/>
  <c r="C9" i="2"/>
  <c r="D23" i="1"/>
  <c r="D32" i="1" s="1"/>
  <c r="D36" i="1" s="1"/>
  <c r="P9" i="1"/>
  <c r="J11" i="1"/>
  <c r="D84" i="1"/>
  <c r="D54" i="2"/>
  <c r="C41" i="2"/>
  <c r="F61" i="2"/>
  <c r="D18" i="1"/>
  <c r="D11" i="1"/>
  <c r="D17" i="2"/>
  <c r="C17" i="2" s="1"/>
  <c r="P30" i="1"/>
  <c r="R26" i="1"/>
  <c r="R27" i="1" s="1"/>
  <c r="Q23" i="1"/>
  <c r="R22" i="1"/>
  <c r="R23" i="1" s="1"/>
  <c r="J15" i="1"/>
  <c r="P15" i="1" s="1"/>
  <c r="J14" i="1"/>
  <c r="F27" i="1"/>
  <c r="F23" i="1"/>
  <c r="R17" i="1"/>
  <c r="R13" i="1"/>
  <c r="D42" i="2"/>
  <c r="F45" i="2"/>
  <c r="F49" i="2" s="1"/>
  <c r="F51" i="2" s="1"/>
  <c r="F59" i="2" s="1"/>
  <c r="U23" i="1"/>
  <c r="D15" i="1"/>
  <c r="J18" i="1" l="1"/>
  <c r="J32" i="1" s="1"/>
  <c r="J36" i="1" s="1"/>
  <c r="F62" i="2"/>
  <c r="C42" i="2"/>
  <c r="D55" i="2"/>
  <c r="C55" i="2" s="1"/>
  <c r="K18" i="1"/>
  <c r="K32" i="1" s="1"/>
  <c r="K36" i="1" s="1"/>
  <c r="F32" i="1"/>
  <c r="F36" i="1" s="1"/>
  <c r="D49" i="2"/>
  <c r="C54" i="2"/>
  <c r="E18" i="1"/>
  <c r="E32" i="1" s="1"/>
  <c r="E36" i="1" s="1"/>
  <c r="D56" i="2" l="1"/>
  <c r="C56" i="2"/>
  <c r="D51" i="2"/>
  <c r="D59" i="2" s="1"/>
  <c r="C49" i="2"/>
  <c r="C51" i="2" s="1"/>
  <c r="C59" i="2" s="1"/>
  <c r="J92" i="1"/>
  <c r="D61" i="2"/>
  <c r="C61" i="2" s="1"/>
  <c r="U18" i="1"/>
  <c r="U32" i="1" s="1"/>
  <c r="U36" i="1" s="1"/>
  <c r="T14" i="1"/>
  <c r="T18" i="1" s="1"/>
  <c r="T32" i="1" s="1"/>
  <c r="T36" i="1" s="1"/>
  <c r="L60" i="2" s="1"/>
  <c r="R14" i="1"/>
  <c r="R18" i="1" s="1"/>
  <c r="S18" i="1"/>
  <c r="P10" i="1"/>
  <c r="P11" i="1" s="1"/>
  <c r="Q11" i="1"/>
  <c r="R10" i="1"/>
  <c r="R11" i="1" s="1"/>
  <c r="S11" i="1"/>
  <c r="P14" i="1"/>
  <c r="P18" i="1" s="1"/>
  <c r="P32" i="1" s="1"/>
  <c r="P36" i="1" s="1"/>
  <c r="Q18" i="1"/>
  <c r="Q32" i="1" s="1"/>
  <c r="Q36" i="1" s="1"/>
  <c r="U11" i="1"/>
  <c r="T10" i="1"/>
  <c r="T11" i="1" s="1"/>
  <c r="U39" i="1" l="1"/>
  <c r="M60" i="2"/>
  <c r="I60" i="2"/>
  <c r="Q39" i="1"/>
  <c r="C62" i="2"/>
  <c r="H59" i="2"/>
  <c r="H60" i="2" s="1"/>
  <c r="D62" i="2"/>
  <c r="S32" i="1"/>
  <c r="S36" i="1" s="1"/>
  <c r="R32" i="1"/>
  <c r="R36" i="1" s="1"/>
  <c r="J60" i="2" s="1"/>
  <c r="K60" i="2" l="1"/>
  <c r="S39" i="1"/>
  <c r="G40" i="3" l="1"/>
  <c r="G43" i="3" l="1"/>
  <c r="G36" i="3"/>
  <c r="G42" i="3"/>
  <c r="G47" i="3" l="1"/>
  <c r="G41" i="3"/>
  <c r="G37" i="3"/>
  <c r="G35" i="3"/>
  <c r="G45" i="3"/>
  <c r="G39" i="3" l="1"/>
  <c r="G44" i="3"/>
  <c r="G26" i="3" l="1"/>
  <c r="G49" i="3" s="1"/>
  <c r="G34" i="3"/>
  <c r="H44" i="3" l="1"/>
  <c r="E26" i="3" l="1"/>
  <c r="H47" i="3"/>
  <c r="K44" i="3"/>
  <c r="N44" i="3" l="1"/>
  <c r="N47" i="3"/>
  <c r="K47" i="3" l="1"/>
  <c r="K45" i="3" l="1"/>
  <c r="N45" i="3"/>
  <c r="H45" i="3"/>
  <c r="H41" i="3" l="1"/>
  <c r="K41" i="3"/>
  <c r="K40" i="3"/>
  <c r="N41" i="3"/>
  <c r="N40" i="3"/>
  <c r="N36" i="3" l="1"/>
  <c r="N42" i="3"/>
  <c r="H42" i="3"/>
  <c r="K39" i="3"/>
  <c r="H40" i="3"/>
  <c r="N39" i="3"/>
  <c r="K37" i="3"/>
  <c r="K43" i="3"/>
  <c r="N43" i="3"/>
  <c r="N37" i="3"/>
  <c r="H43" i="3"/>
  <c r="K42" i="3"/>
  <c r="H34" i="3" l="1"/>
  <c r="N34" i="3"/>
  <c r="H38" i="3"/>
  <c r="H36" i="3"/>
  <c r="K35" i="3"/>
  <c r="H39" i="3"/>
  <c r="H37" i="3"/>
  <c r="H35" i="3"/>
  <c r="K34" i="3" l="1"/>
  <c r="K36" i="3"/>
  <c r="H26" i="3"/>
  <c r="H49" i="3" s="1"/>
  <c r="N35" i="3" l="1"/>
  <c r="N26" i="3"/>
  <c r="N49" i="3" s="1"/>
  <c r="K26" i="3"/>
  <c r="N28" i="3" l="1"/>
  <c r="N30" i="3" s="1"/>
  <c r="K49" i="3"/>
  <c r="K28" i="3"/>
  <c r="K30" i="3" s="1"/>
</calcChain>
</file>

<file path=xl/comments1.xml><?xml version="1.0" encoding="utf-8"?>
<comments xmlns="http://schemas.openxmlformats.org/spreadsheetml/2006/main">
  <authors>
    <author>tc={47758795-8F9C-4904-8416-6BA7979C9AA5}</author>
  </authors>
  <commentList>
    <comment ref="D29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SCH 51S and 53S loads adjusted</t>
        </r>
      </text>
    </comment>
  </commentList>
</comments>
</file>

<file path=xl/sharedStrings.xml><?xml version="1.0" encoding="utf-8"?>
<sst xmlns="http://schemas.openxmlformats.org/spreadsheetml/2006/main" count="259" uniqueCount="176">
  <si>
    <t>Note 2:  2022 GRC Compliance base rate effective 1-11-2023 at F23 Load Forecast</t>
  </si>
  <si>
    <t>Cross check</t>
  </si>
  <si>
    <t>Note 1:  Excludes all rider schedules, base rates only.</t>
  </si>
  <si>
    <t>Proforma Delivered</t>
  </si>
  <si>
    <t>Subtotal Proforma Adjustments</t>
  </si>
  <si>
    <t xml:space="preserve">Schedule 141R Revenue  (1-11-2023) </t>
  </si>
  <si>
    <t xml:space="preserve">Schedule 141N Revenue (1-11-2023) </t>
  </si>
  <si>
    <t>Proforma Adjustment:</t>
  </si>
  <si>
    <t>Restated Delivered</t>
  </si>
  <si>
    <t>Subtotal Restating Adjustments</t>
  </si>
  <si>
    <t>Other Billing adjustments in Income Statement (non-consumption, misc AR, backbills)</t>
  </si>
  <si>
    <t xml:space="preserve">Customer Migration Adjustment from SCH 449 to SCH 31 </t>
  </si>
  <si>
    <t>Unbilled Revenue Change resulting from rate change</t>
  </si>
  <si>
    <t>Move Other Operating OATT Rev to Transport Sch</t>
  </si>
  <si>
    <t>Temperature Adjustment</t>
  </si>
  <si>
    <t>Other:</t>
  </si>
  <si>
    <t>141R Revenue  (1-11-2023) - 6 months annualized + 6 months actuals</t>
  </si>
  <si>
    <t>141N Revenue (1-11-2023) - 6 months annualized + 6 months actuals</t>
  </si>
  <si>
    <t>Base Revenue (1-11-2023) - rate change annualized</t>
  </si>
  <si>
    <t>Annualized  Revenues:</t>
  </si>
  <si>
    <t>Schedule 194 Res Farm Credit</t>
  </si>
  <si>
    <t>Schedule 142 Decoupling</t>
  </si>
  <si>
    <t xml:space="preserve">Schedule 141Z Unprotected EDIT </t>
  </si>
  <si>
    <t xml:space="preserve">Schedule 141Y TCJA </t>
  </si>
  <si>
    <t>Schedule 141X Protected Plus EDIT</t>
  </si>
  <si>
    <t xml:space="preserve">Schedule 141R Rates Subject to Ref Adj </t>
  </si>
  <si>
    <t xml:space="preserve">Schedule 141N Rates Not Subj to Ref Adj </t>
  </si>
  <si>
    <t>Schedule 141TEP Transportation Electrification</t>
  </si>
  <si>
    <t>Schedule 141COL Colstrip Adjustment</t>
  </si>
  <si>
    <t>Schedule 141CEI Clean Energy Implementation</t>
  </si>
  <si>
    <t>Schedule 141A Energy Chg Cr Rec Adj</t>
  </si>
  <si>
    <t xml:space="preserve">Schedule 141 ERF </t>
  </si>
  <si>
    <t xml:space="preserve">Schedule 140 Property Tax </t>
  </si>
  <si>
    <t>Schedule 139 Greed Direct Supplement Energy Credit</t>
  </si>
  <si>
    <t xml:space="preserve">Schedule 139 Green Direct Energy Credit </t>
  </si>
  <si>
    <t>Schedule 139 Green Direct Resource Option Charge</t>
  </si>
  <si>
    <t>Schedule 137 REC</t>
  </si>
  <si>
    <t>Schedule 135 &amp; 136 Green Power</t>
  </si>
  <si>
    <t>Schedule 133 JPUD Gain</t>
  </si>
  <si>
    <t>Schedule 132 Merger Rate Credit</t>
  </si>
  <si>
    <t>Schedule 129D Bill Discount Rate Rider</t>
  </si>
  <si>
    <t>Schedule 129 Low Income Program</t>
  </si>
  <si>
    <t xml:space="preserve">Schedule 120 Conservation Service </t>
  </si>
  <si>
    <t xml:space="preserve">Schedule 95 PCORC </t>
  </si>
  <si>
    <t xml:space="preserve">Schedule 95 PCA Imbalance </t>
  </si>
  <si>
    <t>Schedule 95A Federal Incentive</t>
  </si>
  <si>
    <t xml:space="preserve">Schedule 81 B&amp;O Tax </t>
  </si>
  <si>
    <t>2024 GRC test year actuals:</t>
  </si>
  <si>
    <t>Restating Adjustment:</t>
  </si>
  <si>
    <t>Subtotal SOE</t>
  </si>
  <si>
    <t>SOE</t>
  </si>
  <si>
    <t>Add 456 to Transportation 449+459</t>
  </si>
  <si>
    <t>Subtotal</t>
  </si>
  <si>
    <t>Transportation</t>
  </si>
  <si>
    <t>Retail Sales</t>
  </si>
  <si>
    <t>Total Delivered Sales</t>
  </si>
  <si>
    <t>Firm Resale</t>
  </si>
  <si>
    <t>05</t>
  </si>
  <si>
    <t>Total Retail Delivered Sales</t>
  </si>
  <si>
    <t>Retail Wheeling / Special Contract</t>
  </si>
  <si>
    <t>SC, 449 - 459</t>
  </si>
  <si>
    <t>Street &amp; Area Lighting</t>
  </si>
  <si>
    <t>03, 50-59</t>
  </si>
  <si>
    <t>Total High Voltage</t>
  </si>
  <si>
    <t>General Service</t>
  </si>
  <si>
    <t>49</t>
  </si>
  <si>
    <t>Interruptible Service</t>
  </si>
  <si>
    <t>46</t>
  </si>
  <si>
    <t>Total Primary Voltage</t>
  </si>
  <si>
    <t>Interruptible Elec Schools</t>
  </si>
  <si>
    <t>43</t>
  </si>
  <si>
    <t>Irrigation Service</t>
  </si>
  <si>
    <t>35</t>
  </si>
  <si>
    <t>10 (31)</t>
  </si>
  <si>
    <t>Total Secondary Voltage</t>
  </si>
  <si>
    <t>29</t>
  </si>
  <si>
    <t>Gen Svc &gt; 350kW (pv)</t>
  </si>
  <si>
    <t>26P</t>
  </si>
  <si>
    <t>Gen Svc &gt; 350kW</t>
  </si>
  <si>
    <t>12 (26)</t>
  </si>
  <si>
    <t>Gen Svc &gt;50 &amp; &lt; 350kW</t>
  </si>
  <si>
    <t>11 (25)</t>
  </si>
  <si>
    <t>Gen Svc &lt; 50kW</t>
  </si>
  <si>
    <t>08 (24) (324)</t>
  </si>
  <si>
    <t>Total Residential</t>
  </si>
  <si>
    <t>Residential Master Meters</t>
  </si>
  <si>
    <t>7A</t>
  </si>
  <si>
    <t>Residential</t>
  </si>
  <si>
    <t>7 (307) (317) (327)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</si>
  <si>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</si>
  <si>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</si>
  <si>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</si>
  <si>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</si>
  <si>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</si>
  <si>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</si>
  <si>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</si>
  <si>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</si>
  <si>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</si>
  <si>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</si>
  <si>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</si>
  <si>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</si>
  <si>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</si>
  <si>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</si>
  <si>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</si>
  <si>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</si>
  <si>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</si>
  <si>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</si>
  <si>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2026
MYRP Year
Total Adjusted
Revenue</t>
  </si>
  <si>
    <t>2026
MYRP Year
Revenue 
Adjustment</t>
  </si>
  <si>
    <t>2025
MYRP Year 
Total Adjusted
Revenue</t>
  </si>
  <si>
    <t>2025
MYRP Year 
Revenue 
Adjustment</t>
  </si>
  <si>
    <t>2024
GAAP Year 
Total Adjusted
Revenue</t>
  </si>
  <si>
    <t>2024
GAAP Year 
Revenue 
Adjustment</t>
  </si>
  <si>
    <t>Customer Migration</t>
  </si>
  <si>
    <t>Temperature Adjustmemt</t>
  </si>
  <si>
    <t>Unbilled Sales</t>
  </si>
  <si>
    <t>Billed Sales</t>
  </si>
  <si>
    <t>Description</t>
  </si>
  <si>
    <t>Rate Sch</t>
  </si>
  <si>
    <t>Line No.</t>
  </si>
  <si>
    <t>$ Sales (Note 2)</t>
  </si>
  <si>
    <t>$ Sales (Note 1)</t>
  </si>
  <si>
    <t>kWh Sales</t>
  </si>
  <si>
    <t xml:space="preserve">2024 GRC Test year: 12 Months ended June 2023 and MYRP 2025, MYRP 2026 </t>
  </si>
  <si>
    <t>Electric Normalized Test Year Revenue</t>
  </si>
  <si>
    <t>Check</t>
  </si>
  <si>
    <t>Normalized Test Year Sales Revenue</t>
  </si>
  <si>
    <t>Proforma Adjustments:</t>
  </si>
  <si>
    <t>Restated Sales of Electricity</t>
  </si>
  <si>
    <t>Subtotal Restating</t>
  </si>
  <si>
    <t>Delivered Revenue Restating Adjustments:</t>
  </si>
  <si>
    <t>Exhibit SEF-4E Sales to Customer Revenue</t>
  </si>
  <si>
    <t>Total Adjusted
Revenue</t>
  </si>
  <si>
    <t>Revenue 
Adjustment</t>
  </si>
  <si>
    <t>Transportation Sch 449&amp; 459 &amp; Special Contract</t>
  </si>
  <si>
    <t>Retail Customers</t>
  </si>
  <si>
    <t>Total</t>
  </si>
  <si>
    <t>2026 MYRP Year 2</t>
  </si>
  <si>
    <t>2025 MYRP Year 1</t>
  </si>
  <si>
    <t>2024 GAAP Year</t>
  </si>
  <si>
    <t>Special Contract</t>
  </si>
  <si>
    <t>SC</t>
  </si>
  <si>
    <t>Retail Wheeling Service</t>
  </si>
  <si>
    <t>449, 459</t>
  </si>
  <si>
    <t>Lighting Service</t>
  </si>
  <si>
    <t>3, 50-59</t>
  </si>
  <si>
    <t>High Voltage General Service</t>
  </si>
  <si>
    <t>High Voltage Interruptible Service</t>
  </si>
  <si>
    <t>Primary Voltage Interruptible Service</t>
  </si>
  <si>
    <t>Primary Voltage Pumping &amp; Irrigation Service</t>
  </si>
  <si>
    <t>Primary Voltage General Service</t>
  </si>
  <si>
    <t>10, 31</t>
  </si>
  <si>
    <t>Secondary Voltage Pumping &amp; Irrigation Service</t>
  </si>
  <si>
    <t>Secondary Voltage General Service</t>
  </si>
  <si>
    <t>12, 26, 26P</t>
  </si>
  <si>
    <t>7A, 11, 25</t>
  </si>
  <si>
    <t>8, 24</t>
  </si>
  <si>
    <t>Residential Service</t>
  </si>
  <si>
    <t>Percentage Difference from GRC 2022 Forecast used to set rates.</t>
  </si>
  <si>
    <t>Total Revenue (Growth) Decline, in millions</t>
  </si>
  <si>
    <t>Revenue (Growth) Decline due to zeroing out Sch 95, 141CEI, Sch 137, 141N+R Rates, in millions</t>
  </si>
  <si>
    <t>Revenue (Growth) Decline due to Base Rates, in millions</t>
  </si>
  <si>
    <t>Proforma
Base 
x$000</t>
  </si>
  <si>
    <t>MWh</t>
  </si>
  <si>
    <t>Tariff</t>
  </si>
  <si>
    <t>YE 2026 (RY2)</t>
  </si>
  <si>
    <t>YE 2025 (RY1)</t>
  </si>
  <si>
    <t>TY 2024</t>
  </si>
  <si>
    <t>YE 2024</t>
  </si>
  <si>
    <t>GRC 2024</t>
  </si>
  <si>
    <t>GRC 2022</t>
  </si>
  <si>
    <t>ESTIMATED EFFECT OF F2023 ON PROPOSED RATE INCREASE COMPARED TO GRC 2022</t>
  </si>
  <si>
    <t>PUGET SOUND ENERGY</t>
  </si>
  <si>
    <t>Total
July 2022 to 
June 2023</t>
  </si>
  <si>
    <t>Puget Sound Energy</t>
  </si>
  <si>
    <t>2024 General Rate Case Docket No. UE-240004 and UG-240005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</si>
</sst>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i/>
      <u val="singleAccounting"/>
      <sz val="8"/>
      <name val="Arial"/>
      <family val="2"/>
    </font>
    <font>
      <sz val="12"/>
      <name val="Times New Roman"/>
      <family val="1"/>
    </font>
    <font>
      <i/>
      <u/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2" applyFont="1" applyFill="1"/>
    <xf numFmtId="0" fontId="3" fillId="0" borderId="4" xfId="2" applyFont="1" applyFill="1" applyBorder="1" applyAlignment="1">
      <alignment horizontal="center" wrapText="1"/>
    </xf>
    <xf numFmtId="0" fontId="3" fillId="0" borderId="4" xfId="2" quotePrefix="1" applyFont="1" applyFill="1" applyBorder="1" applyAlignment="1">
      <alignment horizontal="center" wrapText="1"/>
    </xf>
    <xf numFmtId="0" fontId="3" fillId="0" borderId="3" xfId="2" quotePrefix="1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  <xf numFmtId="0" fontId="2" fillId="0" borderId="4" xfId="2" quotePrefix="1" applyFont="1" applyFill="1" applyBorder="1" applyAlignment="1">
      <alignment horizontal="center" wrapText="1"/>
    </xf>
    <xf numFmtId="0" fontId="2" fillId="0" borderId="4" xfId="2" applyFont="1" applyFill="1" applyBorder="1"/>
    <xf numFmtId="0" fontId="2" fillId="0" borderId="4" xfId="2" quotePrefix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2" quotePrefix="1" applyFont="1" applyFill="1" applyAlignment="1">
      <alignment horizontal="center"/>
    </xf>
    <xf numFmtId="165" fontId="2" fillId="0" borderId="0" xfId="2" applyNumberFormat="1" applyFont="1" applyFill="1"/>
    <xf numFmtId="164" fontId="2" fillId="0" borderId="0" xfId="2" applyNumberFormat="1" applyFont="1" applyFill="1"/>
    <xf numFmtId="0" fontId="2" fillId="0" borderId="0" xfId="2" quotePrefix="1" applyFont="1" applyFill="1" applyAlignment="1">
      <alignment horizontal="left"/>
    </xf>
    <xf numFmtId="165" fontId="2" fillId="0" borderId="3" xfId="2" applyNumberFormat="1" applyFont="1" applyFill="1" applyBorder="1"/>
    <xf numFmtId="0" fontId="2" fillId="0" borderId="3" xfId="2" applyFont="1" applyFill="1" applyBorder="1"/>
    <xf numFmtId="164" fontId="2" fillId="0" borderId="3" xfId="2" applyNumberFormat="1" applyFont="1" applyFill="1" applyBorder="1"/>
    <xf numFmtId="16" fontId="2" fillId="0" borderId="0" xfId="2" quotePrefix="1" applyNumberFormat="1" applyFont="1" applyFill="1" applyAlignment="1">
      <alignment horizontal="center"/>
    </xf>
    <xf numFmtId="0" fontId="2" fillId="0" borderId="0" xfId="2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164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0" xfId="1" applyNumberFormat="1" applyFont="1" applyFill="1"/>
    <xf numFmtId="164" fontId="2" fillId="0" borderId="0" xfId="2" quotePrefix="1" applyNumberFormat="1" applyFont="1" applyFill="1" applyAlignment="1">
      <alignment horizontal="left"/>
    </xf>
    <xf numFmtId="164" fontId="3" fillId="0" borderId="0" xfId="2" quotePrefix="1" applyNumberFormat="1" applyFont="1" applyFill="1" applyAlignment="1">
      <alignment horizontal="left"/>
    </xf>
    <xf numFmtId="164" fontId="4" fillId="0" borderId="0" xfId="2" quotePrefix="1" applyNumberFormat="1" applyFont="1" applyFill="1" applyAlignment="1">
      <alignment horizontal="left"/>
    </xf>
    <xf numFmtId="164" fontId="2" fillId="0" borderId="0" xfId="2" quotePrefix="1" applyNumberFormat="1" applyFont="1" applyFill="1" applyAlignment="1">
      <alignment horizontal="left" indent="1"/>
    </xf>
    <xf numFmtId="164" fontId="2" fillId="0" borderId="0" xfId="2" quotePrefix="1" applyNumberFormat="1" applyFont="1" applyFill="1"/>
    <xf numFmtId="165" fontId="2" fillId="0" borderId="1" xfId="2" applyNumberFormat="1" applyFont="1" applyFill="1" applyBorder="1"/>
    <xf numFmtId="164" fontId="2" fillId="0" borderId="1" xfId="2" applyNumberFormat="1" applyFont="1" applyFill="1" applyBorder="1"/>
    <xf numFmtId="164" fontId="2" fillId="0" borderId="0" xfId="2" quotePrefix="1" applyNumberFormat="1" applyFont="1" applyFill="1" applyAlignment="1">
      <alignment horizontal="left" wrapText="1" indent="1"/>
    </xf>
    <xf numFmtId="164" fontId="2" fillId="0" borderId="1" xfId="2" quotePrefix="1" applyNumberFormat="1" applyFont="1" applyFill="1" applyBorder="1"/>
    <xf numFmtId="0" fontId="9" fillId="0" borderId="0" xfId="2" applyFont="1" applyFill="1"/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3" fillId="0" borderId="7" xfId="3" quotePrefix="1" applyFont="1" applyFill="1" applyBorder="1" applyAlignment="1">
      <alignment horizontal="center" wrapText="1"/>
    </xf>
    <xf numFmtId="0" fontId="3" fillId="0" borderId="7" xfId="3" quotePrefix="1" applyFont="1" applyFill="1" applyBorder="1" applyAlignment="1">
      <alignment horizontal="left" wrapText="1"/>
    </xf>
    <xf numFmtId="0" fontId="3" fillId="0" borderId="7" xfId="3" quotePrefix="1" applyFont="1" applyFill="1" applyBorder="1" applyAlignment="1">
      <alignment horizontal="center"/>
    </xf>
    <xf numFmtId="0" fontId="2" fillId="0" borderId="0" xfId="3" quotePrefix="1" applyFont="1" applyFill="1"/>
    <xf numFmtId="0" fontId="2" fillId="0" borderId="0" xfId="3" quotePrefix="1" applyFont="1" applyFill="1" applyAlignment="1">
      <alignment horizontal="center"/>
    </xf>
    <xf numFmtId="0" fontId="8" fillId="0" borderId="0" xfId="3" quotePrefix="1" applyFont="1" applyFill="1" applyAlignment="1">
      <alignment horizontal="left"/>
    </xf>
    <xf numFmtId="0" fontId="2" fillId="0" borderId="0" xfId="3" applyFont="1" applyFill="1" applyAlignment="1">
      <alignment horizontal="right"/>
    </xf>
    <xf numFmtId="165" fontId="2" fillId="0" borderId="0" xfId="3" applyNumberFormat="1" applyFont="1" applyFill="1"/>
    <xf numFmtId="164" fontId="2" fillId="0" borderId="0" xfId="3" applyNumberFormat="1" applyFont="1" applyFill="1"/>
    <xf numFmtId="0" fontId="2" fillId="0" borderId="0" xfId="3" quotePrefix="1" applyFont="1" applyFill="1" applyAlignment="1">
      <alignment horizontal="right"/>
    </xf>
    <xf numFmtId="165" fontId="2" fillId="0" borderId="1" xfId="3" applyNumberFormat="1" applyFont="1" applyFill="1" applyBorder="1"/>
    <xf numFmtId="164" fontId="2" fillId="0" borderId="1" xfId="3" applyNumberFormat="1" applyFont="1" applyFill="1" applyBorder="1"/>
    <xf numFmtId="166" fontId="3" fillId="0" borderId="0" xfId="3" applyNumberFormat="1" applyFont="1" applyFill="1"/>
    <xf numFmtId="166" fontId="2" fillId="0" borderId="0" xfId="3" applyNumberFormat="1" applyFont="1" applyFill="1"/>
    <xf numFmtId="0" fontId="3" fillId="0" borderId="0" xfId="3" applyFont="1" applyFill="1"/>
    <xf numFmtId="0" fontId="7" fillId="0" borderId="0" xfId="3" applyFont="1" applyFill="1"/>
    <xf numFmtId="10" fontId="2" fillId="0" borderId="0" xfId="4" applyNumberFormat="1" applyFont="1" applyFill="1"/>
    <xf numFmtId="10" fontId="2" fillId="0" borderId="1" xfId="4" applyNumberFormat="1" applyFont="1" applyFill="1" applyBorder="1"/>
    <xf numFmtId="0" fontId="3" fillId="0" borderId="0" xfId="2" applyFont="1" applyFill="1" applyAlignment="1">
      <alignment horizontal="center"/>
    </xf>
    <xf numFmtId="0" fontId="3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44" fontId="2" fillId="0" borderId="0" xfId="2" applyNumberFormat="1" applyFont="1" applyFill="1"/>
    <xf numFmtId="164" fontId="5" fillId="0" borderId="0" xfId="2" quotePrefix="1" applyNumberFormat="1" applyFont="1" applyFill="1" applyAlignment="1">
      <alignment horizontal="left" indent="1"/>
    </xf>
    <xf numFmtId="164" fontId="2" fillId="0" borderId="4" xfId="2" applyNumberFormat="1" applyFont="1" applyFill="1" applyBorder="1"/>
    <xf numFmtId="0" fontId="2" fillId="0" borderId="0" xfId="2" applyFont="1" applyFill="1" applyAlignment="1">
      <alignment horizontal="left"/>
    </xf>
    <xf numFmtId="164" fontId="3" fillId="0" borderId="0" xfId="2" quotePrefix="1" applyNumberFormat="1" applyFont="1" applyFill="1" applyAlignment="1">
      <alignment horizontal="left" wrapText="1" indent="1"/>
    </xf>
    <xf numFmtId="0" fontId="2" fillId="0" borderId="0" xfId="2" applyFont="1" applyFill="1" applyAlignment="1">
      <alignment horizontal="left" indent="1"/>
    </xf>
    <xf numFmtId="0" fontId="2" fillId="0" borderId="3" xfId="2" quotePrefix="1" applyFont="1" applyFill="1" applyBorder="1" applyAlignment="1">
      <alignment horizontal="left" indent="1"/>
    </xf>
    <xf numFmtId="0" fontId="3" fillId="0" borderId="6" xfId="2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center" wrapText="1"/>
    </xf>
    <xf numFmtId="0" fontId="10" fillId="0" borderId="5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6" xfId="2" quotePrefix="1" applyFont="1" applyFill="1" applyBorder="1" applyAlignment="1">
      <alignment horizontal="center"/>
    </xf>
    <xf numFmtId="0" fontId="3" fillId="0" borderId="0" xfId="2" applyFont="1" applyFill="1" applyAlignment="1">
      <alignment horizontal="center" wrapText="1"/>
    </xf>
    <xf numFmtId="0" fontId="10" fillId="0" borderId="0" xfId="2" applyFont="1" applyFill="1" applyAlignment="1">
      <alignment wrapText="1"/>
    </xf>
    <xf numFmtId="0" fontId="3" fillId="0" borderId="0" xfId="2" quotePrefix="1" applyFont="1" applyFill="1" applyAlignment="1">
      <alignment horizontal="center" wrapText="1"/>
    </xf>
    <xf numFmtId="0" fontId="3" fillId="0" borderId="0" xfId="3" applyFont="1" applyFill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3" fillId="0" borderId="4" xfId="3" quotePrefix="1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3" fillId="0" borderId="0" xfId="3" quotePrefix="1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Percent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8FE06930-718C-4ABB-B987-0175BE55D03B}" userId="S::Lena.Zakharova@pse.com::e8a6b8bd-f323-4752-82b4-89107bf522d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23-12-04T23:32:55.66" personId="{8FE06930-718C-4ABB-B987-0175BE55D03B}" id="{47758795-8F9C-4904-8416-6BA7979C9AA5}">
    <text>SCH 51S and 53S loads adjusted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U98"/>
  <sheetViews>
    <sheetView tabSelected="1" zoomScaleNormal="100" workbookViewId="0">
      <pane ySplit="7" topLeftCell="A8" activePane="bottomLeft" state="frozen"/>
      <selection activeCell="C30" sqref="C30"/>
      <selection pane="bottomLeft" activeCell="G44" sqref="G44"/>
    </sheetView>
  </sheetViews>
  <sheetFormatPr defaultRowHeight="11.25" x14ac:dyDescent="0.2"/>
  <cols>
    <col min="1" max="1" width="4.5703125" style="10" customWidth="1"/>
    <col min="2" max="2" width="18.140625" style="10" customWidth="1"/>
    <col min="3" max="3" width="66.5703125" style="10" customWidth="1"/>
    <col min="4" max="5" width="12.85546875" style="10" bestFit="1" customWidth="1"/>
    <col min="6" max="6" width="10.5703125" style="10" bestFit="1" customWidth="1"/>
    <col min="7" max="7" width="10.5703125" style="10" customWidth="1"/>
    <col min="8" max="8" width="11.7109375" style="10" customWidth="1"/>
    <col min="9" max="9" width="0.7109375" style="10" customWidth="1"/>
    <col min="10" max="10" width="13.5703125" style="10" bestFit="1" customWidth="1"/>
    <col min="11" max="11" width="14.42578125" style="10" bestFit="1" customWidth="1"/>
    <col min="12" max="12" width="12.85546875" style="10" bestFit="1" customWidth="1"/>
    <col min="13" max="13" width="12.85546875" style="10" customWidth="1"/>
    <col min="14" max="14" width="11.42578125" style="10" bestFit="1" customWidth="1"/>
    <col min="15" max="15" width="0.7109375" style="10" customWidth="1"/>
    <col min="16" max="16" width="14" style="10" customWidth="1"/>
    <col min="17" max="17" width="15.7109375" style="10" bestFit="1" customWidth="1"/>
    <col min="18" max="18" width="15.140625" style="10" bestFit="1" customWidth="1"/>
    <col min="19" max="19" width="13.7109375" style="10" bestFit="1" customWidth="1"/>
    <col min="20" max="20" width="12.140625" style="10" bestFit="1" customWidth="1"/>
    <col min="21" max="21" width="13.5703125" style="10" bestFit="1" customWidth="1"/>
    <col min="22" max="16384" width="9.140625" style="10"/>
  </cols>
  <sheetData>
    <row r="1" spans="1:21" s="1" customFormat="1" ht="14.25" customHeight="1" x14ac:dyDescent="0.25">
      <c r="A1" s="72" t="s">
        <v>174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</row>
    <row r="2" spans="1:21" s="1" customFormat="1" ht="14.25" customHeight="1" x14ac:dyDescent="0.25">
      <c r="A2" s="72" t="s">
        <v>124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73"/>
      <c r="Q2" s="73"/>
      <c r="R2" s="73"/>
      <c r="S2" s="73"/>
      <c r="T2" s="73"/>
      <c r="U2" s="73"/>
    </row>
    <row r="3" spans="1:21" s="1" customFormat="1" ht="14.25" customHeight="1" x14ac:dyDescent="0.25">
      <c r="A3" s="74" t="s">
        <v>123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s="1" customFormat="1" ht="14.25" customHeight="1" x14ac:dyDescent="0.25">
      <c r="A4" s="72" t="s">
        <v>175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73"/>
      <c r="Q4" s="73"/>
      <c r="R4" s="73"/>
      <c r="S4" s="73"/>
      <c r="T4" s="73"/>
      <c r="U4" s="73"/>
    </row>
    <row r="5" spans="1:21" s="1" customFormat="1" ht="11.25" customHeight="1" x14ac:dyDescent="0.25">
      <c r="A5" s="74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73"/>
      <c r="Q5" s="73"/>
      <c r="R5" s="73"/>
      <c r="S5" s="73"/>
      <c r="T5" s="73"/>
      <c r="U5" s="73"/>
    </row>
    <row r="6" spans="1:21" s="1" customFormat="1" ht="15" x14ac:dyDescent="0.25">
      <c r="D6" s="68" t="s">
        <v>122</v>
      </c>
      <c r="E6" s="69"/>
      <c r="F6" s="69"/>
      <c r="G6" s="69"/>
      <c r="H6" s="70"/>
      <c r="J6" s="71" t="s">
        <v>121</v>
      </c>
      <c r="K6" s="69"/>
      <c r="L6" s="69"/>
      <c r="M6" s="69"/>
      <c r="N6" s="70"/>
      <c r="P6" s="65" t="s">
        <v>120</v>
      </c>
      <c r="Q6" s="66"/>
      <c r="R6" s="66"/>
      <c r="S6" s="66"/>
      <c r="T6" s="66"/>
      <c r="U6" s="67"/>
    </row>
    <row r="7" spans="1:21" s="1" customFormat="1" ht="45" x14ac:dyDescent="0.2">
      <c r="A7" s="2" t="s">
        <v>119</v>
      </c>
      <c r="B7" s="2" t="s">
        <v>118</v>
      </c>
      <c r="C7" s="2" t="s">
        <v>117</v>
      </c>
      <c r="D7" s="3" t="s">
        <v>173</v>
      </c>
      <c r="E7" s="2" t="s">
        <v>116</v>
      </c>
      <c r="F7" s="2" t="s">
        <v>115</v>
      </c>
      <c r="G7" s="3" t="s">
        <v>113</v>
      </c>
      <c r="H7" s="2" t="s">
        <v>114</v>
      </c>
      <c r="I7" s="3"/>
      <c r="J7" s="3" t="str">
        <f>+D7</f>
        <v>Total
July 2022 to 
June 2023</v>
      </c>
      <c r="K7" s="3" t="str">
        <f>+E7</f>
        <v>Billed Sales</v>
      </c>
      <c r="L7" s="3" t="str">
        <f>+F7</f>
        <v>Unbilled Sales</v>
      </c>
      <c r="M7" s="3" t="s">
        <v>113</v>
      </c>
      <c r="N7" s="3" t="str">
        <f>+H7</f>
        <v>Temperature Adjustmemt</v>
      </c>
      <c r="P7" s="4" t="s">
        <v>112</v>
      </c>
      <c r="Q7" s="4" t="s">
        <v>111</v>
      </c>
      <c r="R7" s="4" t="s">
        <v>110</v>
      </c>
      <c r="S7" s="4" t="s">
        <v>109</v>
      </c>
      <c r="T7" s="4" t="s">
        <v>108</v>
      </c>
      <c r="U7" s="4" t="s">
        <v>107</v>
      </c>
    </row>
    <row r="8" spans="1:21" x14ac:dyDescent="0.2">
      <c r="A8" s="5"/>
      <c r="B8" s="5" t="s">
        <v>106</v>
      </c>
      <c r="C8" s="6" t="s">
        <v>105</v>
      </c>
      <c r="D8" s="6" t="s">
        <v>104</v>
      </c>
      <c r="E8" s="6" t="s">
        <v>103</v>
      </c>
      <c r="F8" s="6" t="s">
        <v>102</v>
      </c>
      <c r="G8" s="6" t="s">
        <v>101</v>
      </c>
      <c r="H8" s="6" t="s">
        <v>100</v>
      </c>
      <c r="I8" s="6"/>
      <c r="J8" s="6" t="s">
        <v>99</v>
      </c>
      <c r="K8" s="6" t="s">
        <v>98</v>
      </c>
      <c r="L8" s="6" t="s">
        <v>97</v>
      </c>
      <c r="M8" s="6" t="s">
        <v>96</v>
      </c>
      <c r="N8" s="6" t="s">
        <v>95</v>
      </c>
      <c r="O8" s="7"/>
      <c r="P8" s="6" t="s">
        <v>94</v>
      </c>
      <c r="Q8" s="5" t="s">
        <v>93</v>
      </c>
      <c r="R8" s="6" t="s">
        <v>92</v>
      </c>
      <c r="S8" s="5" t="s">
        <v>91</v>
      </c>
      <c r="T8" s="8" t="s">
        <v>90</v>
      </c>
      <c r="U8" s="9" t="s">
        <v>89</v>
      </c>
    </row>
    <row r="9" spans="1:21" x14ac:dyDescent="0.2">
      <c r="A9" s="11">
        <v>1</v>
      </c>
      <c r="B9" s="12" t="s">
        <v>88</v>
      </c>
      <c r="C9" s="10" t="s">
        <v>87</v>
      </c>
      <c r="D9" s="13">
        <f>SUM(E9:H9)</f>
        <v>11222841033.415833</v>
      </c>
      <c r="E9" s="13">
        <v>11713141620.294998</v>
      </c>
      <c r="F9" s="13">
        <v>18614228</v>
      </c>
      <c r="G9" s="13"/>
      <c r="H9" s="13">
        <v>-508914814.87916487</v>
      </c>
      <c r="J9" s="14">
        <f>SUM(K9:N9)</f>
        <v>1194479865</v>
      </c>
      <c r="K9" s="14">
        <v>1246619292</v>
      </c>
      <c r="L9" s="14">
        <v>1970432</v>
      </c>
      <c r="M9" s="14"/>
      <c r="N9" s="14">
        <v>-54109859</v>
      </c>
      <c r="P9" s="14">
        <f>Q9-J9</f>
        <v>4773324.1694977283</v>
      </c>
      <c r="Q9" s="14">
        <v>1199253189.1694977</v>
      </c>
      <c r="R9" s="14">
        <f>S9-Q9</f>
        <v>5475981.4423289299</v>
      </c>
      <c r="S9" s="14">
        <v>1204729170.6118267</v>
      </c>
      <c r="T9" s="14">
        <f>U9-S9</f>
        <v>17613973.042186737</v>
      </c>
      <c r="U9" s="14">
        <v>1222343143.6540134</v>
      </c>
    </row>
    <row r="10" spans="1:21" x14ac:dyDescent="0.2">
      <c r="A10" s="11">
        <f t="shared" ref="A10:A41" si="0">+A9+1</f>
        <v>2</v>
      </c>
      <c r="B10" s="12" t="s">
        <v>86</v>
      </c>
      <c r="C10" s="15" t="s">
        <v>85</v>
      </c>
      <c r="D10" s="13">
        <f>SUM(E10:H10)</f>
        <v>2493600</v>
      </c>
      <c r="E10" s="13">
        <v>2496900</v>
      </c>
      <c r="F10" s="13">
        <v>-3300</v>
      </c>
      <c r="G10" s="13"/>
      <c r="H10" s="13">
        <v>0</v>
      </c>
      <c r="J10" s="14">
        <f>SUM(K10:N10)</f>
        <v>202247</v>
      </c>
      <c r="K10" s="14">
        <v>217411</v>
      </c>
      <c r="L10" s="14">
        <v>-15164</v>
      </c>
      <c r="M10" s="14"/>
      <c r="N10" s="14">
        <v>0</v>
      </c>
      <c r="P10" s="14">
        <f>Q10-J10</f>
        <v>-2490.0497546393308</v>
      </c>
      <c r="Q10" s="14">
        <v>199756.95024536067</v>
      </c>
      <c r="R10" s="14">
        <f>S10-Q10</f>
        <v>-8.5912702459900174</v>
      </c>
      <c r="S10" s="14">
        <v>199748.35897511468</v>
      </c>
      <c r="T10" s="14">
        <f>U10-S10</f>
        <v>547.19604039774276</v>
      </c>
      <c r="U10" s="14">
        <v>200295.55501551242</v>
      </c>
    </row>
    <row r="11" spans="1:21" x14ac:dyDescent="0.2">
      <c r="A11" s="11">
        <f t="shared" si="0"/>
        <v>3</v>
      </c>
      <c r="B11" s="64" t="s">
        <v>84</v>
      </c>
      <c r="C11" s="64"/>
      <c r="D11" s="16">
        <f>SUM(D9:D10)</f>
        <v>11225334633.415833</v>
      </c>
      <c r="E11" s="16">
        <f>SUM(E9:E10)</f>
        <v>11715638520.294998</v>
      </c>
      <c r="F11" s="16">
        <f>SUM(F9:F10)</f>
        <v>18610928</v>
      </c>
      <c r="G11" s="16"/>
      <c r="H11" s="16">
        <f>SUM(H9:H10)</f>
        <v>-508914814.87916487</v>
      </c>
      <c r="I11" s="17"/>
      <c r="J11" s="18">
        <f>SUM(J9:J10)</f>
        <v>1194682112</v>
      </c>
      <c r="K11" s="18">
        <f>SUM(K9:K10)</f>
        <v>1246836703</v>
      </c>
      <c r="L11" s="18">
        <f>SUM(L9:L10)</f>
        <v>1955268</v>
      </c>
      <c r="M11" s="18">
        <f>SUM(M9:M10)</f>
        <v>0</v>
      </c>
      <c r="N11" s="18">
        <f>SUM(N9:N10)</f>
        <v>-54109859</v>
      </c>
      <c r="P11" s="18">
        <f t="shared" ref="P11:U11" si="1">SUM(P9:P10)</f>
        <v>4770834.1197430892</v>
      </c>
      <c r="Q11" s="18">
        <f t="shared" si="1"/>
        <v>1199452946.1197431</v>
      </c>
      <c r="R11" s="18">
        <f t="shared" si="1"/>
        <v>5475972.8510586843</v>
      </c>
      <c r="S11" s="18">
        <f t="shared" si="1"/>
        <v>1204928918.9708018</v>
      </c>
      <c r="T11" s="18">
        <f t="shared" si="1"/>
        <v>17614520.238227136</v>
      </c>
      <c r="U11" s="18">
        <f t="shared" si="1"/>
        <v>1222543439.209029</v>
      </c>
    </row>
    <row r="12" spans="1:21" x14ac:dyDescent="0.2">
      <c r="A12" s="11">
        <f t="shared" si="0"/>
        <v>4</v>
      </c>
      <c r="D12" s="13"/>
      <c r="E12" s="13"/>
      <c r="F12" s="13"/>
      <c r="G12" s="13"/>
      <c r="H12" s="13"/>
      <c r="J12" s="14"/>
      <c r="K12" s="14"/>
      <c r="L12" s="14"/>
      <c r="M12" s="14"/>
      <c r="N12" s="14"/>
      <c r="P12" s="14"/>
      <c r="Q12" s="14"/>
      <c r="R12" s="14"/>
      <c r="S12" s="14"/>
      <c r="T12" s="14"/>
      <c r="U12" s="14"/>
    </row>
    <row r="13" spans="1:21" x14ac:dyDescent="0.2">
      <c r="A13" s="11">
        <f t="shared" si="0"/>
        <v>5</v>
      </c>
      <c r="B13" s="19" t="s">
        <v>83</v>
      </c>
      <c r="C13" s="10" t="s">
        <v>82</v>
      </c>
      <c r="D13" s="13">
        <f>SUM(E13:H13)</f>
        <v>2758819082.2896814</v>
      </c>
      <c r="E13" s="13">
        <v>2780046961.4530005</v>
      </c>
      <c r="F13" s="13">
        <v>16441044</v>
      </c>
      <c r="G13" s="13"/>
      <c r="H13" s="13">
        <v>-37668923.16331888</v>
      </c>
      <c r="J13" s="14">
        <f>SUM(K13:N13)</f>
        <v>274417195</v>
      </c>
      <c r="K13" s="14">
        <v>276603760</v>
      </c>
      <c r="L13" s="14">
        <v>1585990</v>
      </c>
      <c r="M13" s="14"/>
      <c r="N13" s="14">
        <v>-3772555</v>
      </c>
      <c r="P13" s="14">
        <f>Q13-J13</f>
        <v>1494149.6778070331</v>
      </c>
      <c r="Q13" s="14">
        <v>275911344.67780703</v>
      </c>
      <c r="R13" s="14">
        <f>S13-Q13</f>
        <v>292081.52745068073</v>
      </c>
      <c r="S13" s="14">
        <v>276203426.20525771</v>
      </c>
      <c r="T13" s="14">
        <f>U13-S13</f>
        <v>1404419.0830494761</v>
      </c>
      <c r="U13" s="14">
        <v>277607845.28830719</v>
      </c>
    </row>
    <row r="14" spans="1:21" x14ac:dyDescent="0.2">
      <c r="A14" s="11">
        <f t="shared" si="0"/>
        <v>6</v>
      </c>
      <c r="B14" s="12" t="s">
        <v>81</v>
      </c>
      <c r="C14" s="15" t="s">
        <v>80</v>
      </c>
      <c r="D14" s="13">
        <f>SUM(E14:H14)</f>
        <v>2992174644.8102465</v>
      </c>
      <c r="E14" s="13">
        <v>3029729308.3980002</v>
      </c>
      <c r="F14" s="13">
        <v>-5504558</v>
      </c>
      <c r="G14" s="13"/>
      <c r="H14" s="13">
        <v>-32050105.587753978</v>
      </c>
      <c r="J14" s="14">
        <f>SUM(K14:N14)</f>
        <v>272623338</v>
      </c>
      <c r="K14" s="14">
        <v>275852705</v>
      </c>
      <c r="L14" s="14">
        <v>-298738</v>
      </c>
      <c r="M14" s="14"/>
      <c r="N14" s="14">
        <v>-2930629</v>
      </c>
      <c r="P14" s="14">
        <f>Q14-J14</f>
        <v>-3356517.9008630514</v>
      </c>
      <c r="Q14" s="14">
        <v>269266820.09913695</v>
      </c>
      <c r="R14" s="14">
        <f>S14-Q14</f>
        <v>-11580.793644070625</v>
      </c>
      <c r="S14" s="14">
        <v>269255239.30549288</v>
      </c>
      <c r="T14" s="14">
        <f>U14-S14</f>
        <v>737605.0624909997</v>
      </c>
      <c r="U14" s="14">
        <v>269992844.36798388</v>
      </c>
    </row>
    <row r="15" spans="1:21" x14ac:dyDescent="0.2">
      <c r="A15" s="11">
        <f t="shared" si="0"/>
        <v>7</v>
      </c>
      <c r="B15" s="12" t="s">
        <v>79</v>
      </c>
      <c r="C15" s="15" t="s">
        <v>78</v>
      </c>
      <c r="D15" s="13">
        <f>SUM(E15:H15)</f>
        <v>1801268872.9148226</v>
      </c>
      <c r="E15" s="13">
        <v>1799236029.408</v>
      </c>
      <c r="F15" s="13">
        <v>13270755</v>
      </c>
      <c r="G15" s="13"/>
      <c r="H15" s="13">
        <v>-11237911.493177326</v>
      </c>
      <c r="J15" s="14">
        <f>SUM(K15:N15)</f>
        <v>151773514.33000001</v>
      </c>
      <c r="K15" s="14">
        <v>151627027.33000001</v>
      </c>
      <c r="L15" s="14">
        <v>1093064</v>
      </c>
      <c r="M15" s="14"/>
      <c r="N15" s="14">
        <v>-946577</v>
      </c>
      <c r="P15" s="14">
        <f>Q15-J15</f>
        <v>9353364.2107205987</v>
      </c>
      <c r="Q15" s="14">
        <v>161126878.54072061</v>
      </c>
      <c r="R15" s="14">
        <f>S15-Q15</f>
        <v>4110018.8376055956</v>
      </c>
      <c r="S15" s="14">
        <v>165236897.37832621</v>
      </c>
      <c r="T15" s="14">
        <f>U15-S15</f>
        <v>3544182.4021486938</v>
      </c>
      <c r="U15" s="14">
        <v>168781079.7804749</v>
      </c>
    </row>
    <row r="16" spans="1:21" x14ac:dyDescent="0.2">
      <c r="A16" s="11">
        <f t="shared" si="0"/>
        <v>8</v>
      </c>
      <c r="B16" s="12" t="s">
        <v>77</v>
      </c>
      <c r="C16" s="15" t="s">
        <v>76</v>
      </c>
      <c r="D16" s="13">
        <f>SUM(E16:H16)</f>
        <v>11143500</v>
      </c>
      <c r="E16" s="13">
        <v>11143500</v>
      </c>
      <c r="F16" s="13">
        <v>0</v>
      </c>
      <c r="G16" s="13"/>
      <c r="H16" s="13">
        <v>0</v>
      </c>
      <c r="J16" s="14">
        <f>SUM(K16:N16)</f>
        <v>899941</v>
      </c>
      <c r="K16" s="14">
        <v>899941</v>
      </c>
      <c r="L16" s="14">
        <v>0</v>
      </c>
      <c r="M16" s="14"/>
      <c r="N16" s="14">
        <v>0</v>
      </c>
      <c r="P16" s="14">
        <f>Q16-J16</f>
        <v>85514.573614050285</v>
      </c>
      <c r="Q16" s="14">
        <v>985455.57361405028</v>
      </c>
      <c r="R16" s="14">
        <f>S16-Q16</f>
        <v>25234.444011857267</v>
      </c>
      <c r="S16" s="14">
        <v>1010690.0176259076</v>
      </c>
      <c r="T16" s="14">
        <f>U16-S16</f>
        <v>21876.546456943266</v>
      </c>
      <c r="U16" s="14">
        <v>1032566.5640828508</v>
      </c>
    </row>
    <row r="17" spans="1:21" x14ac:dyDescent="0.2">
      <c r="A17" s="11">
        <f t="shared" si="0"/>
        <v>9</v>
      </c>
      <c r="B17" s="12" t="s">
        <v>75</v>
      </c>
      <c r="C17" s="10" t="s">
        <v>71</v>
      </c>
      <c r="D17" s="13">
        <f>SUM(E17:H17)</f>
        <v>13571856.676000001</v>
      </c>
      <c r="E17" s="13">
        <v>14811112.676000001</v>
      </c>
      <c r="F17" s="13">
        <v>-1239256</v>
      </c>
      <c r="G17" s="13"/>
      <c r="H17" s="13">
        <v>0</v>
      </c>
      <c r="J17" s="14">
        <f>SUM(K17:N17)</f>
        <v>1146114</v>
      </c>
      <c r="K17" s="14">
        <v>1231968</v>
      </c>
      <c r="L17" s="14">
        <v>-85854</v>
      </c>
      <c r="M17" s="14"/>
      <c r="N17" s="14">
        <v>0</v>
      </c>
      <c r="P17" s="14">
        <f>Q17-J17</f>
        <v>79883.250188786304</v>
      </c>
      <c r="Q17" s="14">
        <v>1225997.2501887863</v>
      </c>
      <c r="R17" s="14">
        <f>S17-Q17</f>
        <v>-7806.7881211447529</v>
      </c>
      <c r="S17" s="14">
        <v>1218190.4620676416</v>
      </c>
      <c r="T17" s="14">
        <f>U17-S17</f>
        <v>-5971.5441845096648</v>
      </c>
      <c r="U17" s="14">
        <v>1212218.9178831319</v>
      </c>
    </row>
    <row r="18" spans="1:21" x14ac:dyDescent="0.2">
      <c r="A18" s="11">
        <f t="shared" si="0"/>
        <v>10</v>
      </c>
      <c r="B18" s="64" t="s">
        <v>74</v>
      </c>
      <c r="C18" s="64"/>
      <c r="D18" s="16">
        <f>SUM(D13:D17)</f>
        <v>7576977956.6907501</v>
      </c>
      <c r="E18" s="16">
        <f>SUM(E13:E17)</f>
        <v>7634966911.9350004</v>
      </c>
      <c r="F18" s="16">
        <f>SUM(F13:F17)</f>
        <v>22967985</v>
      </c>
      <c r="G18" s="16">
        <f>SUM(G13:G17)</f>
        <v>0</v>
      </c>
      <c r="H18" s="16">
        <f>SUM(H13:H17)</f>
        <v>-80956940.244250178</v>
      </c>
      <c r="I18" s="17"/>
      <c r="J18" s="18">
        <f>SUM(J13:J17)</f>
        <v>700860102.33000004</v>
      </c>
      <c r="K18" s="18">
        <f>SUM(K13:K17)</f>
        <v>706215401.33000004</v>
      </c>
      <c r="L18" s="18">
        <f>SUM(L13:L17)</f>
        <v>2294462</v>
      </c>
      <c r="M18" s="18">
        <f>SUM(M13:M17)</f>
        <v>0</v>
      </c>
      <c r="N18" s="18">
        <f>SUM(N13:N17)</f>
        <v>-7649761</v>
      </c>
      <c r="P18" s="18">
        <f t="shared" ref="P18:U18" si="2">SUM(P13:P17)</f>
        <v>7656393.8114674175</v>
      </c>
      <c r="Q18" s="18">
        <f t="shared" si="2"/>
        <v>708516496.14146733</v>
      </c>
      <c r="R18" s="18">
        <f t="shared" si="2"/>
        <v>4407947.2273029182</v>
      </c>
      <c r="S18" s="18">
        <f t="shared" si="2"/>
        <v>712924443.36877024</v>
      </c>
      <c r="T18" s="18">
        <f t="shared" si="2"/>
        <v>5702111.5499616032</v>
      </c>
      <c r="U18" s="18">
        <f t="shared" si="2"/>
        <v>718626554.91873193</v>
      </c>
    </row>
    <row r="19" spans="1:21" x14ac:dyDescent="0.2">
      <c r="A19" s="11">
        <f t="shared" si="0"/>
        <v>11</v>
      </c>
      <c r="D19" s="13"/>
      <c r="E19" s="13"/>
      <c r="F19" s="13"/>
      <c r="G19" s="13"/>
      <c r="H19" s="13"/>
      <c r="J19" s="14"/>
      <c r="K19" s="14"/>
      <c r="L19" s="14"/>
      <c r="M19" s="14"/>
      <c r="N19" s="14"/>
      <c r="P19" s="14"/>
      <c r="Q19" s="14"/>
      <c r="R19" s="14"/>
      <c r="S19" s="14"/>
      <c r="T19" s="14"/>
      <c r="U19" s="14"/>
    </row>
    <row r="20" spans="1:21" x14ac:dyDescent="0.2">
      <c r="A20" s="11">
        <f t="shared" si="0"/>
        <v>12</v>
      </c>
      <c r="B20" s="19" t="s">
        <v>73</v>
      </c>
      <c r="C20" s="10" t="s">
        <v>64</v>
      </c>
      <c r="D20" s="13">
        <f>SUM(E20:H20)</f>
        <v>1384443592.3967164</v>
      </c>
      <c r="E20" s="13">
        <v>1375421570.062</v>
      </c>
      <c r="F20" s="13">
        <v>13971021</v>
      </c>
      <c r="G20" s="13">
        <v>4078452.1120000002</v>
      </c>
      <c r="H20" s="13">
        <v>-9027450.7772835791</v>
      </c>
      <c r="J20" s="14">
        <f>SUM(K20:N20)</f>
        <v>114129994.25109729</v>
      </c>
      <c r="K20" s="14">
        <v>113410020.56</v>
      </c>
      <c r="L20" s="14">
        <v>1131180</v>
      </c>
      <c r="M20" s="14">
        <v>338872.69109729578</v>
      </c>
      <c r="N20" s="14">
        <v>-750079</v>
      </c>
      <c r="P20" s="14">
        <f>Q20-J20</f>
        <v>891933.21181362867</v>
      </c>
      <c r="Q20" s="14">
        <v>115021927.46291092</v>
      </c>
      <c r="R20" s="14">
        <f>S20-Q20</f>
        <v>220229.60299286246</v>
      </c>
      <c r="S20" s="14">
        <v>115242157.06590378</v>
      </c>
      <c r="T20" s="14">
        <f>U20-S20</f>
        <v>-1087945.2600072622</v>
      </c>
      <c r="U20" s="14">
        <v>114154211.80589652</v>
      </c>
    </row>
    <row r="21" spans="1:21" x14ac:dyDescent="0.2">
      <c r="A21" s="11">
        <f t="shared" si="0"/>
        <v>13</v>
      </c>
      <c r="B21" s="12" t="s">
        <v>72</v>
      </c>
      <c r="C21" s="10" t="s">
        <v>71</v>
      </c>
      <c r="D21" s="13">
        <f>SUM(E21:H21)</f>
        <v>5272770</v>
      </c>
      <c r="E21" s="13">
        <v>4259760</v>
      </c>
      <c r="F21" s="13">
        <v>1013010</v>
      </c>
      <c r="G21" s="13"/>
      <c r="H21" s="13">
        <v>0</v>
      </c>
      <c r="J21" s="14">
        <f>SUM(K21:N21)</f>
        <v>362878</v>
      </c>
      <c r="K21" s="14">
        <v>265871</v>
      </c>
      <c r="L21" s="14">
        <v>97007</v>
      </c>
      <c r="M21" s="14"/>
      <c r="N21" s="14">
        <v>0</v>
      </c>
      <c r="P21" s="14">
        <f>Q21-J21</f>
        <v>-87826.892945757892</v>
      </c>
      <c r="Q21" s="14">
        <v>275051.10705424211</v>
      </c>
      <c r="R21" s="14">
        <f>S21-Q21</f>
        <v>-2009.7008591592312</v>
      </c>
      <c r="S21" s="14">
        <v>273041.40619508288</v>
      </c>
      <c r="T21" s="14">
        <f>U21-S21</f>
        <v>-1637.810049453401</v>
      </c>
      <c r="U21" s="14">
        <v>271403.59614562948</v>
      </c>
    </row>
    <row r="22" spans="1:21" x14ac:dyDescent="0.2">
      <c r="A22" s="11">
        <f t="shared" si="0"/>
        <v>14</v>
      </c>
      <c r="B22" s="12" t="s">
        <v>70</v>
      </c>
      <c r="C22" s="10" t="s">
        <v>69</v>
      </c>
      <c r="D22" s="13">
        <f>SUM(E22:H22)</f>
        <v>121497638.12720281</v>
      </c>
      <c r="E22" s="13">
        <v>127060173.45499998</v>
      </c>
      <c r="F22" s="13">
        <v>-953312</v>
      </c>
      <c r="G22" s="13"/>
      <c r="H22" s="13">
        <v>-4609223.327797167</v>
      </c>
      <c r="J22" s="14">
        <f>SUM(K22:N22)</f>
        <v>10359299</v>
      </c>
      <c r="K22" s="14">
        <v>10846692</v>
      </c>
      <c r="L22" s="14">
        <v>-78468</v>
      </c>
      <c r="M22" s="14"/>
      <c r="N22" s="14">
        <v>-408925</v>
      </c>
      <c r="P22" s="14">
        <f>Q22-J22</f>
        <v>394005.41119799018</v>
      </c>
      <c r="Q22" s="14">
        <v>10753304.41119799</v>
      </c>
      <c r="R22" s="14">
        <f>S22-Q22</f>
        <v>-80921.679306508973</v>
      </c>
      <c r="S22" s="14">
        <v>10672382.731891481</v>
      </c>
      <c r="T22" s="14">
        <f>U22-S22</f>
        <v>-66814.719629107043</v>
      </c>
      <c r="U22" s="14">
        <v>10605568.012262374</v>
      </c>
    </row>
    <row r="23" spans="1:21" x14ac:dyDescent="0.2">
      <c r="A23" s="11">
        <f t="shared" si="0"/>
        <v>15</v>
      </c>
      <c r="B23" s="64" t="s">
        <v>68</v>
      </c>
      <c r="C23" s="64"/>
      <c r="D23" s="16">
        <f>SUM(D20:D22)</f>
        <v>1511214000.5239191</v>
      </c>
      <c r="E23" s="16">
        <f>SUM(E20:E22)</f>
        <v>1506741503.517</v>
      </c>
      <c r="F23" s="16">
        <f>SUM(F20:F22)</f>
        <v>14030719</v>
      </c>
      <c r="G23" s="16">
        <f>SUM(G20:G22)</f>
        <v>4078452.1120000002</v>
      </c>
      <c r="H23" s="16">
        <f>SUM(H20:H22)</f>
        <v>-13636674.105080746</v>
      </c>
      <c r="I23" s="17"/>
      <c r="J23" s="18">
        <f>SUM(J20:J22)</f>
        <v>124852171.25109729</v>
      </c>
      <c r="K23" s="18">
        <f>SUM(K20:K22)</f>
        <v>124522583.56</v>
      </c>
      <c r="L23" s="18">
        <f>SUM(L20:L22)</f>
        <v>1149719</v>
      </c>
      <c r="M23" s="18">
        <f>SUM(M20:M22)</f>
        <v>338872.69109729578</v>
      </c>
      <c r="N23" s="18">
        <f>SUM(N20:N22)</f>
        <v>-1159004</v>
      </c>
      <c r="P23" s="18">
        <f t="shared" ref="P23:U23" si="3">SUM(P20:P22)</f>
        <v>1198111.730065861</v>
      </c>
      <c r="Q23" s="18">
        <f t="shared" si="3"/>
        <v>126050282.98116316</v>
      </c>
      <c r="R23" s="18">
        <f t="shared" si="3"/>
        <v>137298.22282719426</v>
      </c>
      <c r="S23" s="18">
        <f t="shared" si="3"/>
        <v>126187581.20399036</v>
      </c>
      <c r="T23" s="18">
        <f t="shared" si="3"/>
        <v>-1156397.7896858226</v>
      </c>
      <c r="U23" s="18">
        <f t="shared" si="3"/>
        <v>125031183.41430452</v>
      </c>
    </row>
    <row r="24" spans="1:21" x14ac:dyDescent="0.2">
      <c r="A24" s="11">
        <f t="shared" si="0"/>
        <v>16</v>
      </c>
      <c r="D24" s="13"/>
      <c r="E24" s="13"/>
      <c r="F24" s="13"/>
      <c r="G24" s="13"/>
      <c r="H24" s="13"/>
      <c r="J24" s="14"/>
      <c r="K24" s="14"/>
      <c r="L24" s="14"/>
      <c r="M24" s="14"/>
      <c r="N24" s="14"/>
      <c r="P24" s="14"/>
      <c r="Q24" s="14"/>
      <c r="R24" s="14"/>
      <c r="S24" s="14"/>
      <c r="T24" s="14"/>
      <c r="U24" s="14"/>
    </row>
    <row r="25" spans="1:21" x14ac:dyDescent="0.2">
      <c r="A25" s="11">
        <f t="shared" si="0"/>
        <v>17</v>
      </c>
      <c r="B25" s="12" t="s">
        <v>67</v>
      </c>
      <c r="C25" s="15" t="s">
        <v>66</v>
      </c>
      <c r="D25" s="13">
        <f>SUM(E25:H25)</f>
        <v>96359415.337999985</v>
      </c>
      <c r="E25" s="13">
        <v>95445832.337999985</v>
      </c>
      <c r="F25" s="13">
        <v>913583</v>
      </c>
      <c r="G25" s="13"/>
      <c r="H25" s="13">
        <v>0</v>
      </c>
      <c r="J25" s="14">
        <f>SUM(K25:N25)</f>
        <v>6440838</v>
      </c>
      <c r="K25" s="14">
        <v>6286748</v>
      </c>
      <c r="L25" s="14">
        <v>154090</v>
      </c>
      <c r="M25" s="14"/>
      <c r="N25" s="14">
        <v>0</v>
      </c>
      <c r="P25" s="14">
        <f>Q25-J25</f>
        <v>-153043.53385487478</v>
      </c>
      <c r="Q25" s="14">
        <v>6287794.4661451252</v>
      </c>
      <c r="R25" s="14">
        <f>S25-Q25</f>
        <v>-17291.465493020602</v>
      </c>
      <c r="S25" s="14">
        <v>6270503.0006521046</v>
      </c>
      <c r="T25" s="14">
        <f>U25-S25</f>
        <v>-3792.9623170066625</v>
      </c>
      <c r="U25" s="14">
        <v>6266710.038335098</v>
      </c>
    </row>
    <row r="26" spans="1:21" x14ac:dyDescent="0.2">
      <c r="A26" s="11">
        <f t="shared" si="0"/>
        <v>18</v>
      </c>
      <c r="B26" s="12" t="s">
        <v>65</v>
      </c>
      <c r="C26" s="10" t="s">
        <v>64</v>
      </c>
      <c r="D26" s="13">
        <f>SUM(E26:H26)</f>
        <v>545881806.42299998</v>
      </c>
      <c r="E26" s="13">
        <v>540863776.42299998</v>
      </c>
      <c r="F26" s="13">
        <v>5018030</v>
      </c>
      <c r="G26" s="13"/>
      <c r="H26" s="13">
        <v>0</v>
      </c>
      <c r="J26" s="14">
        <f>SUM(K26:N26)</f>
        <v>35025448</v>
      </c>
      <c r="K26" s="14">
        <v>34605133</v>
      </c>
      <c r="L26" s="14">
        <v>420315</v>
      </c>
      <c r="M26" s="14"/>
      <c r="N26" s="14">
        <v>0</v>
      </c>
      <c r="P26" s="14">
        <f>Q26-J26</f>
        <v>-477386.47951994091</v>
      </c>
      <c r="Q26" s="14">
        <v>34548061.520480059</v>
      </c>
      <c r="R26" s="14">
        <f>S26-Q26</f>
        <v>-93703.518337540329</v>
      </c>
      <c r="S26" s="14">
        <v>34454358.002142519</v>
      </c>
      <c r="T26" s="14">
        <f>U26-S26</f>
        <v>-18604.044515699148</v>
      </c>
      <c r="U26" s="14">
        <v>34435753.95762682</v>
      </c>
    </row>
    <row r="27" spans="1:21" x14ac:dyDescent="0.2">
      <c r="A27" s="11">
        <f t="shared" si="0"/>
        <v>19</v>
      </c>
      <c r="B27" s="64" t="s">
        <v>63</v>
      </c>
      <c r="C27" s="64"/>
      <c r="D27" s="16">
        <f>SUM(D25:D26)</f>
        <v>642241221.76099992</v>
      </c>
      <c r="E27" s="16">
        <f>SUM(E25:E26)</f>
        <v>636309608.76099992</v>
      </c>
      <c r="F27" s="16">
        <f>SUM(F25:F26)</f>
        <v>5931613</v>
      </c>
      <c r="G27" s="16">
        <f>SUM(G25:G26)</f>
        <v>0</v>
      </c>
      <c r="H27" s="16">
        <f>SUM(H25:H26)</f>
        <v>0</v>
      </c>
      <c r="I27" s="17"/>
      <c r="J27" s="18">
        <f>SUM(J25:J26)</f>
        <v>41466286</v>
      </c>
      <c r="K27" s="18">
        <f>SUM(K25:K26)</f>
        <v>40891881</v>
      </c>
      <c r="L27" s="18">
        <f>SUM(L25:L26)</f>
        <v>574405</v>
      </c>
      <c r="M27" s="18">
        <f>SUM(M25:M26)</f>
        <v>0</v>
      </c>
      <c r="N27" s="18">
        <f>SUM(N25:N26)</f>
        <v>0</v>
      </c>
      <c r="P27" s="18">
        <f t="shared" ref="P27:U27" si="4">SUM(P25:P26)</f>
        <v>-630430.01337481569</v>
      </c>
      <c r="Q27" s="18">
        <f t="shared" si="4"/>
        <v>40835855.986625187</v>
      </c>
      <c r="R27" s="18">
        <f t="shared" si="4"/>
        <v>-110994.98383056093</v>
      </c>
      <c r="S27" s="18">
        <f t="shared" si="4"/>
        <v>40724861.002794623</v>
      </c>
      <c r="T27" s="18">
        <f t="shared" si="4"/>
        <v>-22397.006832705811</v>
      </c>
      <c r="U27" s="18">
        <f t="shared" si="4"/>
        <v>40702463.995961919</v>
      </c>
    </row>
    <row r="28" spans="1:21" x14ac:dyDescent="0.2">
      <c r="A28" s="11">
        <f t="shared" si="0"/>
        <v>20</v>
      </c>
      <c r="D28" s="13"/>
      <c r="E28" s="13"/>
      <c r="F28" s="13"/>
      <c r="G28" s="13"/>
      <c r="H28" s="13"/>
      <c r="J28" s="14"/>
      <c r="K28" s="14"/>
      <c r="L28" s="14"/>
      <c r="M28" s="14"/>
      <c r="N28" s="14"/>
      <c r="P28" s="14"/>
      <c r="Q28" s="14"/>
      <c r="R28" s="14"/>
      <c r="S28" s="14"/>
      <c r="T28" s="14"/>
      <c r="U28" s="14"/>
    </row>
    <row r="29" spans="1:21" x14ac:dyDescent="0.2">
      <c r="A29" s="11">
        <f t="shared" si="0"/>
        <v>21</v>
      </c>
      <c r="B29" s="12" t="s">
        <v>62</v>
      </c>
      <c r="C29" s="10" t="s">
        <v>61</v>
      </c>
      <c r="D29" s="13">
        <f>SUM(E29:H29)</f>
        <v>66745094.464439668</v>
      </c>
      <c r="E29" s="13">
        <v>66303800.464439668</v>
      </c>
      <c r="F29" s="13">
        <v>441294</v>
      </c>
      <c r="G29" s="13"/>
      <c r="H29" s="13">
        <v>0</v>
      </c>
      <c r="J29" s="14">
        <f>SUM(K29:N29)</f>
        <v>15360581</v>
      </c>
      <c r="K29" s="14">
        <v>15259023</v>
      </c>
      <c r="L29" s="14">
        <v>101558</v>
      </c>
      <c r="M29" s="14"/>
      <c r="N29" s="14">
        <v>0</v>
      </c>
      <c r="P29" s="14">
        <f>Q29-J29</f>
        <v>1481370.4612654634</v>
      </c>
      <c r="Q29" s="14">
        <v>16841951.461265463</v>
      </c>
      <c r="R29" s="14">
        <f>S29-Q29</f>
        <v>-58726.548178564757</v>
      </c>
      <c r="S29" s="14">
        <v>16783224.913086899</v>
      </c>
      <c r="T29" s="14">
        <f>U29-S29</f>
        <v>-56848.710061108693</v>
      </c>
      <c r="U29" s="14">
        <v>16726376.20302579</v>
      </c>
    </row>
    <row r="30" spans="1:21" x14ac:dyDescent="0.2">
      <c r="A30" s="11">
        <f t="shared" si="0"/>
        <v>22</v>
      </c>
      <c r="B30" s="12" t="s">
        <v>60</v>
      </c>
      <c r="C30" s="10" t="s">
        <v>59</v>
      </c>
      <c r="D30" s="13">
        <f>SUM(E30:H30)</f>
        <v>2262880475.9490004</v>
      </c>
      <c r="E30" s="13">
        <v>2266226682.0610003</v>
      </c>
      <c r="F30" s="13">
        <v>732246</v>
      </c>
      <c r="G30" s="13">
        <v>-4078452.1120000002</v>
      </c>
      <c r="H30" s="13">
        <v>0</v>
      </c>
      <c r="J30" s="14">
        <f>SUM(K30:N30)</f>
        <v>17023380.32</v>
      </c>
      <c r="K30" s="14">
        <v>17177014</v>
      </c>
      <c r="L30" s="14">
        <v>-97982</v>
      </c>
      <c r="M30" s="14">
        <v>-55651.68</v>
      </c>
      <c r="N30" s="14">
        <v>0</v>
      </c>
      <c r="P30" s="14">
        <f>Q30-J30</f>
        <v>-170569.95322256535</v>
      </c>
      <c r="Q30" s="14">
        <v>16852810.366777435</v>
      </c>
      <c r="R30" s="14">
        <f>S30-Q30</f>
        <v>-98917.690416548401</v>
      </c>
      <c r="S30" s="14">
        <v>16753892.676360887</v>
      </c>
      <c r="T30" s="14">
        <f>U30-S30</f>
        <v>308656.99493579194</v>
      </c>
      <c r="U30" s="14">
        <v>17062549.671296678</v>
      </c>
    </row>
    <row r="31" spans="1:21" x14ac:dyDescent="0.2">
      <c r="A31" s="11">
        <f t="shared" si="0"/>
        <v>23</v>
      </c>
      <c r="D31" s="13"/>
      <c r="E31" s="13"/>
      <c r="F31" s="13"/>
      <c r="G31" s="13"/>
      <c r="H31" s="13"/>
      <c r="J31" s="14"/>
      <c r="K31" s="14"/>
      <c r="L31" s="14"/>
      <c r="M31" s="14"/>
      <c r="N31" s="14"/>
      <c r="P31" s="14"/>
      <c r="Q31" s="14"/>
      <c r="R31" s="14"/>
      <c r="S31" s="14"/>
      <c r="T31" s="14"/>
      <c r="U31" s="14"/>
    </row>
    <row r="32" spans="1:21" x14ac:dyDescent="0.2">
      <c r="A32" s="11">
        <f t="shared" si="0"/>
        <v>24</v>
      </c>
      <c r="B32" s="64" t="s">
        <v>58</v>
      </c>
      <c r="C32" s="64"/>
      <c r="D32" s="16">
        <f>SUM(D30,D29,D27,D23,D18,D11)</f>
        <v>23285393382.804943</v>
      </c>
      <c r="E32" s="16">
        <f>SUM(E30,E29,E27,E23,E18,E11)</f>
        <v>23826187027.03344</v>
      </c>
      <c r="F32" s="16">
        <f>SUM(F30,F29,F27,F23,F18,F11)</f>
        <v>62714785</v>
      </c>
      <c r="G32" s="16">
        <f>SUM(G30,G29,G27,G23,G18,G11)</f>
        <v>0</v>
      </c>
      <c r="H32" s="16">
        <f>SUM(H30,H29,H27,H23,H18,H11)</f>
        <v>-603508429.22849584</v>
      </c>
      <c r="I32" s="17"/>
      <c r="J32" s="16">
        <f>SUM(J30,J29,J27,J23,J18,J11)</f>
        <v>2094244632.9010973</v>
      </c>
      <c r="K32" s="16">
        <f>SUM(K30,K29,K27,K23,K18,K11)</f>
        <v>2150902605.8900003</v>
      </c>
      <c r="L32" s="16">
        <f>SUM(L30,L29,L27,L23,L18,L11)</f>
        <v>5977430</v>
      </c>
      <c r="M32" s="16">
        <f>SUM(M30,M29,M27,M23,M18,M11)</f>
        <v>283221.01109729579</v>
      </c>
      <c r="N32" s="16">
        <f>SUM(N30,N29,N27,N23,N18,N11)</f>
        <v>-62918624</v>
      </c>
      <c r="P32" s="18">
        <f t="shared" ref="P32:U32" si="5">SUM(P30,P29,P27,P23,P18,P11)</f>
        <v>14305710.155944452</v>
      </c>
      <c r="Q32" s="18">
        <f t="shared" si="5"/>
        <v>2108550343.0570416</v>
      </c>
      <c r="R32" s="18">
        <f t="shared" si="5"/>
        <v>9752579.0787631236</v>
      </c>
      <c r="S32" s="18">
        <f t="shared" si="5"/>
        <v>2118302922.1358049</v>
      </c>
      <c r="T32" s="18">
        <f t="shared" si="5"/>
        <v>22389645.276544895</v>
      </c>
      <c r="U32" s="18">
        <f t="shared" si="5"/>
        <v>2140692567.4123497</v>
      </c>
    </row>
    <row r="33" spans="1:21" x14ac:dyDescent="0.2">
      <c r="A33" s="11">
        <f t="shared" si="0"/>
        <v>25</v>
      </c>
      <c r="D33" s="13"/>
      <c r="E33" s="13"/>
      <c r="F33" s="13"/>
      <c r="G33" s="13"/>
      <c r="H33" s="13"/>
      <c r="J33" s="14"/>
      <c r="K33" s="14"/>
      <c r="L33" s="14"/>
      <c r="M33" s="14"/>
      <c r="N33" s="14"/>
      <c r="P33" s="14"/>
      <c r="Q33" s="14"/>
      <c r="R33" s="14"/>
      <c r="S33" s="14"/>
      <c r="T33" s="14"/>
      <c r="U33" s="14"/>
    </row>
    <row r="34" spans="1:21" x14ac:dyDescent="0.2">
      <c r="A34" s="11">
        <f t="shared" si="0"/>
        <v>26</v>
      </c>
      <c r="B34" s="12" t="s">
        <v>57</v>
      </c>
      <c r="C34" s="10" t="s">
        <v>56</v>
      </c>
      <c r="D34" s="13">
        <f>SUM(E34:H34)</f>
        <v>6767845.1784540005</v>
      </c>
      <c r="E34" s="13">
        <v>7070140</v>
      </c>
      <c r="F34" s="13">
        <v>-119780</v>
      </c>
      <c r="G34" s="13"/>
      <c r="H34" s="13">
        <v>-182514.82154599993</v>
      </c>
      <c r="J34" s="14">
        <f>SUM(K34:N34)</f>
        <v>434445</v>
      </c>
      <c r="K34" s="14">
        <v>457426</v>
      </c>
      <c r="L34" s="14">
        <v>-8775</v>
      </c>
      <c r="M34" s="14"/>
      <c r="N34" s="14">
        <v>-14206</v>
      </c>
      <c r="P34" s="14">
        <f>Q34-J34</f>
        <v>-124679.49169485574</v>
      </c>
      <c r="Q34" s="14">
        <v>309765.50830514426</v>
      </c>
      <c r="R34" s="14">
        <f>S34-Q34</f>
        <v>-3049.9484490053146</v>
      </c>
      <c r="S34" s="14">
        <v>306715.55985613895</v>
      </c>
      <c r="T34" s="14">
        <f>U34-S34</f>
        <v>-564.28827922476921</v>
      </c>
      <c r="U34" s="14">
        <v>306151.27157691418</v>
      </c>
    </row>
    <row r="35" spans="1:21" x14ac:dyDescent="0.2">
      <c r="A35" s="11">
        <f t="shared" si="0"/>
        <v>27</v>
      </c>
      <c r="D35" s="13"/>
      <c r="E35" s="13"/>
      <c r="F35" s="13"/>
      <c r="G35" s="13"/>
      <c r="H35" s="13"/>
      <c r="J35" s="14"/>
      <c r="K35" s="14"/>
      <c r="L35" s="14"/>
      <c r="M35" s="14"/>
      <c r="N35" s="14"/>
      <c r="P35" s="14"/>
      <c r="Q35" s="14"/>
      <c r="R35" s="14"/>
      <c r="S35" s="14"/>
      <c r="T35" s="14"/>
      <c r="U35" s="14"/>
    </row>
    <row r="36" spans="1:21" x14ac:dyDescent="0.2">
      <c r="A36" s="11">
        <f t="shared" si="0"/>
        <v>28</v>
      </c>
      <c r="B36" s="64" t="s">
        <v>55</v>
      </c>
      <c r="C36" s="64"/>
      <c r="D36" s="16">
        <f>SUM(D32,D34)</f>
        <v>23292161227.983398</v>
      </c>
      <c r="E36" s="16">
        <f>SUM(E32,E34)</f>
        <v>23833257167.03344</v>
      </c>
      <c r="F36" s="16">
        <f>SUM(F32,F34)</f>
        <v>62595005</v>
      </c>
      <c r="G36" s="16">
        <f>SUM(G32,G34)</f>
        <v>0</v>
      </c>
      <c r="H36" s="16">
        <f>SUM(H32,H34)</f>
        <v>-603690944.05004179</v>
      </c>
      <c r="I36" s="17"/>
      <c r="J36" s="18">
        <f>SUM(J32,J34)</f>
        <v>2094679077.9010973</v>
      </c>
      <c r="K36" s="18">
        <f>SUM(K32,K34)</f>
        <v>2151360031.8900003</v>
      </c>
      <c r="L36" s="18">
        <f>SUM(L32,L34)</f>
        <v>5968655</v>
      </c>
      <c r="M36" s="18">
        <f>SUM(M32,M34)</f>
        <v>283221.01109729579</v>
      </c>
      <c r="N36" s="18">
        <f>SUM(N32,N34)</f>
        <v>-62932830</v>
      </c>
      <c r="P36" s="18">
        <f t="shared" ref="P36:U36" si="6">SUM(P32,P34)</f>
        <v>14181030.664249595</v>
      </c>
      <c r="Q36" s="18">
        <f t="shared" si="6"/>
        <v>2108860108.5653467</v>
      </c>
      <c r="R36" s="18">
        <f t="shared" si="6"/>
        <v>9749529.1303141192</v>
      </c>
      <c r="S36" s="18">
        <f t="shared" si="6"/>
        <v>2118609637.6956611</v>
      </c>
      <c r="T36" s="18">
        <f t="shared" si="6"/>
        <v>22389080.988265671</v>
      </c>
      <c r="U36" s="18">
        <f t="shared" si="6"/>
        <v>2140998718.6839266</v>
      </c>
    </row>
    <row r="37" spans="1:21" x14ac:dyDescent="0.2">
      <c r="A37" s="11">
        <f t="shared" si="0"/>
        <v>29</v>
      </c>
      <c r="C37" s="20" t="s">
        <v>1</v>
      </c>
      <c r="D37" s="20"/>
      <c r="E37" s="13">
        <v>0</v>
      </c>
      <c r="F37" s="13">
        <v>0</v>
      </c>
      <c r="G37" s="13"/>
      <c r="H37" s="13">
        <v>0</v>
      </c>
      <c r="J37" s="14"/>
      <c r="K37" s="14"/>
      <c r="L37" s="14"/>
      <c r="M37" s="14"/>
      <c r="N37" s="14"/>
    </row>
    <row r="38" spans="1:21" x14ac:dyDescent="0.2">
      <c r="A38" s="11">
        <f t="shared" si="0"/>
        <v>30</v>
      </c>
      <c r="B38" s="10" t="s">
        <v>50</v>
      </c>
      <c r="C38" s="10" t="s">
        <v>54</v>
      </c>
      <c r="D38" s="13">
        <v>21627807588</v>
      </c>
      <c r="H38" s="13"/>
      <c r="J38" s="14">
        <v>2644325977.1300001</v>
      </c>
      <c r="K38" s="20" t="s">
        <v>1</v>
      </c>
      <c r="L38" s="14"/>
      <c r="M38" s="14"/>
      <c r="N38" s="14"/>
      <c r="Q38" s="14">
        <v>2108860108.565347</v>
      </c>
      <c r="S38" s="14">
        <v>2118609637.6956611</v>
      </c>
      <c r="U38" s="14">
        <v>2140998718.6839266</v>
      </c>
    </row>
    <row r="39" spans="1:21" x14ac:dyDescent="0.2">
      <c r="A39" s="11">
        <f t="shared" si="0"/>
        <v>31</v>
      </c>
      <c r="B39" s="10" t="s">
        <v>50</v>
      </c>
      <c r="C39" s="10" t="s">
        <v>53</v>
      </c>
      <c r="D39" s="13">
        <v>2266958927</v>
      </c>
      <c r="E39" s="20"/>
      <c r="F39" s="13"/>
      <c r="G39" s="13"/>
      <c r="H39" s="13"/>
      <c r="J39" s="14">
        <v>11537641.670000002</v>
      </c>
      <c r="K39" s="21">
        <v>-8.999999612569809E-2</v>
      </c>
      <c r="L39" s="14"/>
      <c r="M39" s="14"/>
      <c r="N39" s="14"/>
      <c r="P39" s="20" t="s">
        <v>1</v>
      </c>
      <c r="Q39" s="14">
        <f>Q36-Q38</f>
        <v>0</v>
      </c>
      <c r="R39" s="20" t="s">
        <v>1</v>
      </c>
      <c r="S39" s="14">
        <f>S36-S38</f>
        <v>0</v>
      </c>
      <c r="T39" s="20" t="s">
        <v>1</v>
      </c>
      <c r="U39" s="14">
        <f>U36-U38</f>
        <v>0</v>
      </c>
    </row>
    <row r="40" spans="1:21" x14ac:dyDescent="0.2">
      <c r="A40" s="11">
        <f t="shared" si="0"/>
        <v>32</v>
      </c>
      <c r="B40" s="10" t="s">
        <v>50</v>
      </c>
      <c r="C40" s="10" t="s">
        <v>52</v>
      </c>
      <c r="D40" s="13"/>
      <c r="E40" s="20"/>
      <c r="F40" s="13"/>
      <c r="G40" s="13"/>
      <c r="H40" s="13"/>
      <c r="J40" s="22">
        <f>SUM(J38:J39)</f>
        <v>2655863618.8000002</v>
      </c>
      <c r="K40" s="20"/>
      <c r="L40" s="14"/>
      <c r="M40" s="14"/>
      <c r="N40" s="14"/>
      <c r="P40" s="20"/>
      <c r="Q40" s="14"/>
      <c r="R40" s="20"/>
      <c r="S40" s="14"/>
      <c r="T40" s="20"/>
      <c r="U40" s="14"/>
    </row>
    <row r="41" spans="1:21" x14ac:dyDescent="0.2">
      <c r="A41" s="11">
        <f t="shared" si="0"/>
        <v>33</v>
      </c>
      <c r="B41" s="10" t="s">
        <v>50</v>
      </c>
      <c r="C41" s="10" t="s">
        <v>51</v>
      </c>
      <c r="D41" s="13"/>
      <c r="E41" s="20" t="s">
        <v>1</v>
      </c>
      <c r="F41" s="13"/>
      <c r="G41" s="13"/>
      <c r="H41" s="13"/>
      <c r="J41" s="14">
        <v>13154883</v>
      </c>
      <c r="K41" s="20"/>
      <c r="L41" s="14"/>
      <c r="M41" s="14"/>
      <c r="N41" s="14"/>
      <c r="P41" s="20"/>
      <c r="Q41" s="14"/>
      <c r="R41" s="20"/>
      <c r="S41" s="14"/>
      <c r="T41" s="20"/>
      <c r="U41" s="14"/>
    </row>
    <row r="42" spans="1:21" x14ac:dyDescent="0.2">
      <c r="A42" s="11">
        <f t="shared" ref="A42:A73" si="7">+A41+1</f>
        <v>34</v>
      </c>
      <c r="B42" s="10" t="s">
        <v>50</v>
      </c>
      <c r="C42" s="10" t="s">
        <v>49</v>
      </c>
      <c r="D42" s="23">
        <f>SUM(D38:D39)</f>
        <v>23894766515</v>
      </c>
      <c r="E42" s="24">
        <v>3.7420000326819718</v>
      </c>
      <c r="F42" s="13"/>
      <c r="G42" s="13"/>
      <c r="H42" s="13"/>
      <c r="J42" s="22">
        <f>SUM(J40:J41)</f>
        <v>2669018501.8000002</v>
      </c>
      <c r="K42" s="20"/>
      <c r="L42" s="14"/>
      <c r="M42" s="14"/>
      <c r="N42" s="14"/>
    </row>
    <row r="43" spans="1:21" x14ac:dyDescent="0.2">
      <c r="A43" s="11">
        <f t="shared" si="7"/>
        <v>35</v>
      </c>
      <c r="D43" s="13"/>
      <c r="H43" s="21" t="s">
        <v>1</v>
      </c>
      <c r="I43" s="21"/>
      <c r="J43" s="21">
        <v>9.0000070631504059E-2</v>
      </c>
      <c r="K43" s="21"/>
      <c r="L43" s="14"/>
      <c r="M43" s="14"/>
      <c r="N43" s="25"/>
    </row>
    <row r="44" spans="1:21" x14ac:dyDescent="0.2">
      <c r="A44" s="11">
        <f t="shared" si="7"/>
        <v>36</v>
      </c>
      <c r="B44" s="26" t="s">
        <v>48</v>
      </c>
      <c r="C44" s="25"/>
      <c r="D44" s="13"/>
      <c r="I44" s="14"/>
      <c r="J44" s="14"/>
      <c r="K44" s="21"/>
      <c r="L44" s="14"/>
      <c r="M44" s="14"/>
      <c r="N44" s="25"/>
    </row>
    <row r="45" spans="1:21" ht="13.5" x14ac:dyDescent="0.35">
      <c r="A45" s="11">
        <f t="shared" si="7"/>
        <v>37</v>
      </c>
      <c r="C45" s="27" t="s">
        <v>47</v>
      </c>
      <c r="D45" s="13"/>
      <c r="I45" s="14"/>
      <c r="J45" s="14"/>
      <c r="K45" s="14"/>
      <c r="L45" s="14"/>
      <c r="M45" s="14"/>
      <c r="N45" s="25"/>
    </row>
    <row r="46" spans="1:21" x14ac:dyDescent="0.2">
      <c r="A46" s="11">
        <f t="shared" si="7"/>
        <v>38</v>
      </c>
      <c r="C46" s="28" t="s">
        <v>46</v>
      </c>
      <c r="I46" s="21"/>
      <c r="J46" s="14">
        <v>-103489694.34</v>
      </c>
      <c r="K46" s="14"/>
      <c r="L46" s="14"/>
      <c r="M46" s="14"/>
      <c r="N46" s="29"/>
    </row>
    <row r="47" spans="1:21" x14ac:dyDescent="0.2">
      <c r="A47" s="11">
        <f t="shared" si="7"/>
        <v>39</v>
      </c>
      <c r="C47" s="28" t="s">
        <v>45</v>
      </c>
      <c r="H47" s="13"/>
      <c r="I47" s="21"/>
      <c r="J47" s="14">
        <v>14173244.599999994</v>
      </c>
      <c r="K47" s="14"/>
      <c r="L47" s="14"/>
      <c r="M47" s="25"/>
      <c r="N47" s="29"/>
    </row>
    <row r="48" spans="1:21" x14ac:dyDescent="0.2">
      <c r="A48" s="11">
        <f t="shared" si="7"/>
        <v>40</v>
      </c>
      <c r="C48" s="28" t="s">
        <v>44</v>
      </c>
      <c r="H48" s="13"/>
      <c r="I48" s="21"/>
      <c r="J48" s="14">
        <v>-46393846.565533124</v>
      </c>
      <c r="K48" s="14"/>
      <c r="L48" s="14"/>
      <c r="M48" s="25"/>
      <c r="N48" s="29"/>
    </row>
    <row r="49" spans="1:14" x14ac:dyDescent="0.2">
      <c r="A49" s="11">
        <f t="shared" si="7"/>
        <v>41</v>
      </c>
      <c r="C49" s="28" t="s">
        <v>43</v>
      </c>
      <c r="D49" s="25"/>
      <c r="H49" s="13"/>
      <c r="I49" s="21"/>
      <c r="J49" s="14">
        <v>-37289685.730000012</v>
      </c>
      <c r="K49" s="14"/>
      <c r="L49" s="14"/>
      <c r="M49" s="25"/>
      <c r="N49" s="29"/>
    </row>
    <row r="50" spans="1:14" x14ac:dyDescent="0.2">
      <c r="A50" s="11">
        <f t="shared" si="7"/>
        <v>42</v>
      </c>
      <c r="C50" s="28" t="s">
        <v>42</v>
      </c>
      <c r="I50" s="21"/>
      <c r="J50" s="14">
        <v>-108286041.05000001</v>
      </c>
      <c r="K50" s="21"/>
      <c r="L50" s="14"/>
      <c r="M50" s="25"/>
      <c r="N50" s="29"/>
    </row>
    <row r="51" spans="1:14" x14ac:dyDescent="0.2">
      <c r="A51" s="11">
        <f t="shared" si="7"/>
        <v>43</v>
      </c>
      <c r="C51" s="28" t="s">
        <v>41</v>
      </c>
      <c r="I51" s="21"/>
      <c r="J51" s="14">
        <v>-49280129.740000002</v>
      </c>
      <c r="K51" s="25"/>
      <c r="L51" s="25"/>
      <c r="M51" s="25"/>
      <c r="N51" s="29"/>
    </row>
    <row r="52" spans="1:14" x14ac:dyDescent="0.2">
      <c r="A52" s="11">
        <f t="shared" si="7"/>
        <v>44</v>
      </c>
      <c r="C52" s="28" t="s">
        <v>40</v>
      </c>
      <c r="I52" s="21"/>
      <c r="J52" s="14">
        <v>0</v>
      </c>
      <c r="K52" s="25"/>
      <c r="L52" s="25"/>
      <c r="M52" s="25"/>
      <c r="N52" s="29"/>
    </row>
    <row r="53" spans="1:14" x14ac:dyDescent="0.2">
      <c r="A53" s="11">
        <f t="shared" si="7"/>
        <v>45</v>
      </c>
      <c r="C53" s="28" t="s">
        <v>39</v>
      </c>
      <c r="I53" s="21"/>
      <c r="J53" s="14">
        <v>367.18000000000006</v>
      </c>
      <c r="K53" s="25"/>
      <c r="L53" s="25"/>
      <c r="M53" s="25"/>
      <c r="N53" s="29"/>
    </row>
    <row r="54" spans="1:14" x14ac:dyDescent="0.2">
      <c r="A54" s="11">
        <f t="shared" si="7"/>
        <v>46</v>
      </c>
      <c r="C54" s="28" t="s">
        <v>38</v>
      </c>
      <c r="I54" s="21"/>
      <c r="J54" s="14">
        <v>0</v>
      </c>
      <c r="K54" s="25"/>
      <c r="L54" s="25"/>
      <c r="M54" s="25"/>
      <c r="N54" s="29"/>
    </row>
    <row r="55" spans="1:14" x14ac:dyDescent="0.2">
      <c r="A55" s="11">
        <f t="shared" si="7"/>
        <v>47</v>
      </c>
      <c r="C55" s="28" t="s">
        <v>37</v>
      </c>
      <c r="I55" s="20"/>
      <c r="J55" s="14">
        <v>-8009867.5599999987</v>
      </c>
      <c r="K55" s="25"/>
      <c r="L55" s="25"/>
      <c r="M55" s="25"/>
      <c r="N55" s="29"/>
    </row>
    <row r="56" spans="1:14" x14ac:dyDescent="0.2">
      <c r="A56" s="11">
        <f t="shared" si="7"/>
        <v>48</v>
      </c>
      <c r="C56" s="28" t="s">
        <v>36</v>
      </c>
      <c r="I56" s="21"/>
      <c r="J56" s="14">
        <v>221021.53999999998</v>
      </c>
      <c r="K56" s="25"/>
      <c r="L56" s="25"/>
      <c r="M56" s="25"/>
      <c r="N56" s="29"/>
    </row>
    <row r="57" spans="1:14" x14ac:dyDescent="0.2">
      <c r="A57" s="11">
        <f t="shared" si="7"/>
        <v>49</v>
      </c>
      <c r="C57" s="28" t="s">
        <v>35</v>
      </c>
      <c r="I57" s="21"/>
      <c r="J57" s="14">
        <v>-33274362.822046958</v>
      </c>
      <c r="K57" s="25"/>
      <c r="L57" s="25"/>
      <c r="M57" s="25"/>
      <c r="N57" s="29"/>
    </row>
    <row r="58" spans="1:14" x14ac:dyDescent="0.2">
      <c r="A58" s="11">
        <f t="shared" si="7"/>
        <v>50</v>
      </c>
      <c r="C58" s="28" t="s">
        <v>34</v>
      </c>
      <c r="I58" s="21"/>
      <c r="J58" s="14">
        <v>31206131.68</v>
      </c>
      <c r="K58" s="25"/>
      <c r="L58" s="25"/>
      <c r="M58" s="25"/>
      <c r="N58" s="29"/>
    </row>
    <row r="59" spans="1:14" x14ac:dyDescent="0.2">
      <c r="A59" s="11">
        <f t="shared" si="7"/>
        <v>51</v>
      </c>
      <c r="C59" s="28" t="s">
        <v>33</v>
      </c>
      <c r="I59" s="21"/>
      <c r="J59" s="14">
        <v>741313.72204695607</v>
      </c>
      <c r="K59" s="25"/>
      <c r="L59" s="25"/>
      <c r="M59" s="25"/>
      <c r="N59" s="29"/>
    </row>
    <row r="60" spans="1:14" x14ac:dyDescent="0.2">
      <c r="A60" s="11">
        <f t="shared" si="7"/>
        <v>52</v>
      </c>
      <c r="C60" s="28" t="s">
        <v>32</v>
      </c>
      <c r="D60" s="25"/>
      <c r="I60" s="21"/>
      <c r="J60" s="14">
        <v>-52796511.959999993</v>
      </c>
      <c r="K60" s="25"/>
      <c r="L60" s="25"/>
      <c r="M60" s="25"/>
      <c r="N60" s="29"/>
    </row>
    <row r="61" spans="1:14" x14ac:dyDescent="0.2">
      <c r="A61" s="11">
        <f t="shared" si="7"/>
        <v>53</v>
      </c>
      <c r="C61" s="28" t="s">
        <v>31</v>
      </c>
      <c r="I61" s="21"/>
      <c r="J61" s="14">
        <v>-70646.040000000008</v>
      </c>
      <c r="K61" s="25"/>
      <c r="L61" s="25"/>
      <c r="M61" s="25"/>
      <c r="N61" s="29"/>
    </row>
    <row r="62" spans="1:14" x14ac:dyDescent="0.2">
      <c r="A62" s="11">
        <f t="shared" si="7"/>
        <v>54</v>
      </c>
      <c r="C62" s="28" t="s">
        <v>30</v>
      </c>
      <c r="I62" s="21"/>
      <c r="J62" s="14">
        <v>-17506569.710000001</v>
      </c>
      <c r="K62" s="25"/>
      <c r="L62" s="25"/>
      <c r="M62" s="25"/>
      <c r="N62" s="29"/>
    </row>
    <row r="63" spans="1:14" x14ac:dyDescent="0.2">
      <c r="A63" s="11">
        <f t="shared" si="7"/>
        <v>55</v>
      </c>
      <c r="C63" s="28" t="s">
        <v>29</v>
      </c>
      <c r="D63" s="25"/>
      <c r="I63" s="21"/>
      <c r="J63" s="14">
        <v>0</v>
      </c>
      <c r="K63" s="25"/>
      <c r="L63" s="25"/>
      <c r="M63" s="25"/>
      <c r="N63" s="29"/>
    </row>
    <row r="64" spans="1:14" x14ac:dyDescent="0.2">
      <c r="A64" s="11">
        <f t="shared" si="7"/>
        <v>56</v>
      </c>
      <c r="C64" s="28" t="s">
        <v>28</v>
      </c>
      <c r="I64" s="21"/>
      <c r="J64" s="14">
        <v>-26265550.759999998</v>
      </c>
      <c r="K64" s="25"/>
      <c r="L64" s="25"/>
      <c r="M64" s="25"/>
      <c r="N64" s="29"/>
    </row>
    <row r="65" spans="1:14" x14ac:dyDescent="0.2">
      <c r="A65" s="11">
        <f t="shared" si="7"/>
        <v>57</v>
      </c>
      <c r="C65" s="28" t="s">
        <v>27</v>
      </c>
      <c r="I65" s="21"/>
      <c r="J65" s="14">
        <v>-2017272.7200000002</v>
      </c>
      <c r="K65" s="25"/>
      <c r="L65" s="25"/>
      <c r="M65" s="25"/>
      <c r="N65" s="29"/>
    </row>
    <row r="66" spans="1:14" x14ac:dyDescent="0.2">
      <c r="A66" s="11">
        <f t="shared" si="7"/>
        <v>58</v>
      </c>
      <c r="C66" s="28" t="s">
        <v>26</v>
      </c>
      <c r="D66" s="25"/>
      <c r="I66" s="21"/>
      <c r="J66" s="14">
        <v>-91673151.809999987</v>
      </c>
      <c r="K66" s="25"/>
      <c r="L66" s="25"/>
      <c r="M66" s="25"/>
      <c r="N66" s="29"/>
    </row>
    <row r="67" spans="1:14" x14ac:dyDescent="0.2">
      <c r="A67" s="11">
        <f t="shared" si="7"/>
        <v>59</v>
      </c>
      <c r="C67" s="28" t="s">
        <v>25</v>
      </c>
      <c r="D67" s="25"/>
      <c r="I67" s="21"/>
      <c r="J67" s="14">
        <v>-45959764.009999998</v>
      </c>
      <c r="K67" s="25"/>
      <c r="L67" s="25"/>
      <c r="M67" s="25"/>
      <c r="N67" s="29"/>
    </row>
    <row r="68" spans="1:14" x14ac:dyDescent="0.2">
      <c r="A68" s="11">
        <f t="shared" si="7"/>
        <v>60</v>
      </c>
      <c r="C68" s="28" t="s">
        <v>24</v>
      </c>
      <c r="I68" s="21"/>
      <c r="J68" s="14">
        <v>-8180430.290000001</v>
      </c>
      <c r="K68" s="25"/>
      <c r="L68" s="25"/>
      <c r="M68" s="25"/>
      <c r="N68" s="29"/>
    </row>
    <row r="69" spans="1:14" x14ac:dyDescent="0.2">
      <c r="A69" s="11">
        <f t="shared" si="7"/>
        <v>61</v>
      </c>
      <c r="C69" s="28" t="s">
        <v>23</v>
      </c>
      <c r="I69" s="21"/>
      <c r="J69" s="14">
        <v>2036.08</v>
      </c>
      <c r="K69" s="25"/>
      <c r="L69" s="25"/>
      <c r="M69" s="25"/>
      <c r="N69" s="29"/>
    </row>
    <row r="70" spans="1:14" x14ac:dyDescent="0.2">
      <c r="A70" s="11">
        <f t="shared" si="7"/>
        <v>62</v>
      </c>
      <c r="C70" s="28" t="s">
        <v>22</v>
      </c>
      <c r="I70" s="21"/>
      <c r="J70" s="14">
        <v>16649919.500000002</v>
      </c>
      <c r="K70" s="25"/>
      <c r="L70" s="25"/>
      <c r="M70" s="25"/>
      <c r="N70" s="29"/>
    </row>
    <row r="71" spans="1:14" x14ac:dyDescent="0.2">
      <c r="A71" s="11">
        <f t="shared" si="7"/>
        <v>63</v>
      </c>
      <c r="C71" s="28" t="s">
        <v>21</v>
      </c>
      <c r="D71" s="25"/>
      <c r="I71" s="21"/>
      <c r="J71" s="14">
        <v>-144719.9700000002</v>
      </c>
      <c r="K71" s="25"/>
      <c r="L71" s="25"/>
      <c r="M71" s="25"/>
      <c r="N71" s="29"/>
    </row>
    <row r="72" spans="1:14" x14ac:dyDescent="0.2">
      <c r="A72" s="11">
        <f t="shared" si="7"/>
        <v>64</v>
      </c>
      <c r="C72" s="28" t="s">
        <v>20</v>
      </c>
      <c r="I72" s="21"/>
      <c r="J72" s="14">
        <v>81560520.599999994</v>
      </c>
      <c r="K72" s="25"/>
      <c r="L72" s="25"/>
      <c r="M72" s="25"/>
      <c r="N72" s="29"/>
    </row>
    <row r="73" spans="1:14" ht="13.5" x14ac:dyDescent="0.35">
      <c r="A73" s="11">
        <f t="shared" si="7"/>
        <v>65</v>
      </c>
      <c r="C73" s="27" t="s">
        <v>19</v>
      </c>
      <c r="I73" s="21"/>
      <c r="J73" s="14"/>
      <c r="K73" s="25"/>
      <c r="L73" s="25"/>
      <c r="M73" s="25"/>
      <c r="N73" s="29"/>
    </row>
    <row r="74" spans="1:14" x14ac:dyDescent="0.2">
      <c r="A74" s="11">
        <f t="shared" ref="A74:A93" si="8">+A73+1</f>
        <v>66</v>
      </c>
      <c r="C74" s="28" t="s">
        <v>18</v>
      </c>
      <c r="I74" s="21"/>
      <c r="J74" s="14">
        <v>-20273240.028831426</v>
      </c>
      <c r="K74" s="25"/>
      <c r="L74" s="25"/>
      <c r="M74" s="25"/>
      <c r="N74" s="29"/>
    </row>
    <row r="75" spans="1:14" x14ac:dyDescent="0.2">
      <c r="A75" s="11">
        <f t="shared" si="8"/>
        <v>67</v>
      </c>
      <c r="C75" s="28" t="s">
        <v>17</v>
      </c>
      <c r="I75" s="21"/>
      <c r="J75" s="14">
        <v>187523777.57928374</v>
      </c>
      <c r="K75" s="25"/>
      <c r="L75" s="25"/>
      <c r="M75" s="25"/>
      <c r="N75" s="29"/>
    </row>
    <row r="76" spans="1:14" x14ac:dyDescent="0.2">
      <c r="A76" s="11">
        <f t="shared" si="8"/>
        <v>68</v>
      </c>
      <c r="C76" s="28" t="s">
        <v>16</v>
      </c>
      <c r="I76" s="21"/>
      <c r="J76" s="14">
        <v>94155720.019697964</v>
      </c>
      <c r="K76" s="25"/>
      <c r="L76" s="25"/>
      <c r="M76" s="25"/>
      <c r="N76" s="29"/>
    </row>
    <row r="77" spans="1:14" ht="13.5" x14ac:dyDescent="0.35">
      <c r="A77" s="11">
        <f t="shared" si="8"/>
        <v>69</v>
      </c>
      <c r="C77" s="27" t="s">
        <v>15</v>
      </c>
      <c r="I77" s="21"/>
      <c r="J77" s="14"/>
      <c r="K77" s="25"/>
      <c r="L77" s="25"/>
      <c r="M77" s="25"/>
      <c r="N77" s="29"/>
    </row>
    <row r="78" spans="1:14" x14ac:dyDescent="0.2">
      <c r="A78" s="11">
        <f t="shared" si="8"/>
        <v>70</v>
      </c>
      <c r="C78" s="28" t="s">
        <v>14</v>
      </c>
      <c r="D78" s="13">
        <v>-603690944.05004179</v>
      </c>
      <c r="E78" s="13"/>
      <c r="F78" s="13"/>
      <c r="G78" s="13"/>
      <c r="H78" s="13"/>
      <c r="J78" s="14">
        <f>N36</f>
        <v>-62932830</v>
      </c>
      <c r="K78" s="25"/>
      <c r="L78" s="25"/>
      <c r="M78" s="25"/>
      <c r="N78" s="14"/>
    </row>
    <row r="79" spans="1:14" x14ac:dyDescent="0.2">
      <c r="A79" s="11">
        <f t="shared" si="8"/>
        <v>71</v>
      </c>
      <c r="C79" s="28" t="s">
        <v>13</v>
      </c>
      <c r="D79" s="13"/>
      <c r="E79" s="13"/>
      <c r="F79" s="13"/>
      <c r="G79" s="13"/>
      <c r="H79" s="13"/>
      <c r="J79" s="14">
        <f>J41</f>
        <v>13154883</v>
      </c>
      <c r="K79" s="25"/>
      <c r="L79" s="25"/>
      <c r="M79" s="25"/>
      <c r="N79" s="14"/>
    </row>
    <row r="80" spans="1:14" x14ac:dyDescent="0.2">
      <c r="A80" s="11">
        <f t="shared" si="8"/>
        <v>72</v>
      </c>
      <c r="C80" s="28" t="s">
        <v>12</v>
      </c>
      <c r="D80" s="25"/>
      <c r="E80" s="25"/>
      <c r="F80" s="25"/>
      <c r="G80" s="25"/>
      <c r="J80" s="14">
        <v>-2167407.3341108207</v>
      </c>
      <c r="K80" s="25"/>
      <c r="L80" s="25"/>
      <c r="M80" s="25"/>
    </row>
    <row r="81" spans="1:14" x14ac:dyDescent="0.2">
      <c r="A81" s="11">
        <f t="shared" si="8"/>
        <v>73</v>
      </c>
      <c r="C81" s="28" t="s">
        <v>11</v>
      </c>
      <c r="D81" s="25">
        <f>G30+G20</f>
        <v>0</v>
      </c>
      <c r="E81" s="25"/>
      <c r="F81" s="25"/>
      <c r="G81" s="25"/>
      <c r="J81" s="14">
        <v>283221.01109729579</v>
      </c>
      <c r="K81" s="25"/>
      <c r="L81" s="25"/>
      <c r="M81" s="25"/>
    </row>
    <row r="82" spans="1:14" x14ac:dyDescent="0.2">
      <c r="A82" s="11">
        <f t="shared" si="8"/>
        <v>74</v>
      </c>
      <c r="C82" s="28" t="s">
        <v>10</v>
      </c>
      <c r="D82" s="25"/>
      <c r="E82" s="25"/>
      <c r="F82" s="25"/>
      <c r="G82" s="25"/>
      <c r="J82" s="14">
        <v>-3165477</v>
      </c>
      <c r="K82" s="25"/>
      <c r="L82" s="25"/>
      <c r="M82" s="25"/>
    </row>
    <row r="83" spans="1:14" x14ac:dyDescent="0.2">
      <c r="A83" s="11">
        <f t="shared" si="8"/>
        <v>75</v>
      </c>
      <c r="C83" s="25" t="s">
        <v>9</v>
      </c>
      <c r="D83" s="18">
        <f>SUM(D46:D82)</f>
        <v>-603690944.05004179</v>
      </c>
      <c r="E83" s="29"/>
      <c r="F83" s="29"/>
      <c r="G83" s="29"/>
      <c r="J83" s="18">
        <f>SUM(J46:J82)</f>
        <v>-279505042.92839622</v>
      </c>
      <c r="K83" s="25"/>
      <c r="L83" s="25"/>
      <c r="M83" s="25"/>
    </row>
    <row r="84" spans="1:14" ht="12" thickBot="1" x14ac:dyDescent="0.25">
      <c r="A84" s="11">
        <f t="shared" si="8"/>
        <v>76</v>
      </c>
      <c r="C84" s="29" t="s">
        <v>8</v>
      </c>
      <c r="D84" s="30">
        <f>D42+D83</f>
        <v>23291075570.949959</v>
      </c>
      <c r="E84" s="29"/>
      <c r="F84" s="29"/>
      <c r="G84" s="29"/>
      <c r="J84" s="31">
        <f>SUM(J40,J83)</f>
        <v>2376358575.871604</v>
      </c>
      <c r="K84" s="25"/>
      <c r="L84" s="25"/>
      <c r="M84" s="25"/>
    </row>
    <row r="85" spans="1:14" ht="12" thickTop="1" x14ac:dyDescent="0.2">
      <c r="A85" s="11">
        <f t="shared" si="8"/>
        <v>77</v>
      </c>
      <c r="C85" s="20"/>
      <c r="D85" s="13"/>
      <c r="J85" s="13"/>
      <c r="K85" s="25"/>
      <c r="L85" s="25"/>
      <c r="M85" s="25"/>
    </row>
    <row r="86" spans="1:14" x14ac:dyDescent="0.2">
      <c r="A86" s="11">
        <f t="shared" si="8"/>
        <v>78</v>
      </c>
      <c r="B86" s="26" t="s">
        <v>7</v>
      </c>
      <c r="C86" s="25"/>
      <c r="D86" s="25"/>
      <c r="E86" s="25"/>
      <c r="F86" s="25"/>
      <c r="G86" s="25"/>
      <c r="J86" s="14"/>
      <c r="K86" s="25"/>
      <c r="L86" s="25"/>
      <c r="M86" s="25"/>
    </row>
    <row r="87" spans="1:14" x14ac:dyDescent="0.2">
      <c r="A87" s="11">
        <f t="shared" si="8"/>
        <v>79</v>
      </c>
      <c r="C87" s="32" t="s">
        <v>6</v>
      </c>
      <c r="D87" s="25"/>
      <c r="E87" s="25"/>
      <c r="F87" s="25"/>
      <c r="G87" s="25"/>
      <c r="J87" s="14">
        <f>-J75</f>
        <v>-187523777.57928374</v>
      </c>
      <c r="K87" s="25"/>
      <c r="L87" s="25"/>
      <c r="M87" s="25"/>
      <c r="N87" s="29"/>
    </row>
    <row r="88" spans="1:14" x14ac:dyDescent="0.2">
      <c r="A88" s="11">
        <f t="shared" si="8"/>
        <v>80</v>
      </c>
      <c r="C88" s="32" t="s">
        <v>5</v>
      </c>
      <c r="D88" s="25"/>
      <c r="E88" s="25"/>
      <c r="F88" s="25"/>
      <c r="G88" s="25"/>
      <c r="J88" s="14">
        <f>-J76</f>
        <v>-94155720.019697964</v>
      </c>
      <c r="K88" s="25"/>
      <c r="L88" s="25"/>
      <c r="M88" s="25"/>
      <c r="N88" s="29"/>
    </row>
    <row r="89" spans="1:14" x14ac:dyDescent="0.2">
      <c r="A89" s="11">
        <f t="shared" si="8"/>
        <v>81</v>
      </c>
      <c r="C89" s="25" t="s">
        <v>4</v>
      </c>
      <c r="I89" s="21"/>
      <c r="J89" s="22">
        <f>SUM(J87:J88)</f>
        <v>-281679497.59898174</v>
      </c>
      <c r="K89" s="25"/>
      <c r="L89" s="25"/>
      <c r="M89" s="25"/>
      <c r="N89" s="29"/>
    </row>
    <row r="90" spans="1:14" ht="12" thickBot="1" x14ac:dyDescent="0.25">
      <c r="A90" s="11">
        <f t="shared" si="8"/>
        <v>82</v>
      </c>
      <c r="C90" s="25" t="s">
        <v>3</v>
      </c>
      <c r="E90" s="25"/>
      <c r="F90" s="25"/>
      <c r="G90" s="25"/>
      <c r="J90" s="33">
        <f>SUM(J84,J89)</f>
        <v>2094679078.2726221</v>
      </c>
      <c r="K90" s="25"/>
      <c r="L90" s="25"/>
      <c r="M90" s="25"/>
    </row>
    <row r="91" spans="1:14" ht="12" thickTop="1" x14ac:dyDescent="0.2">
      <c r="A91" s="11">
        <f t="shared" si="8"/>
        <v>83</v>
      </c>
      <c r="H91" s="20"/>
      <c r="J91" s="14"/>
      <c r="K91" s="25"/>
      <c r="L91" s="25"/>
      <c r="M91" s="25"/>
    </row>
    <row r="92" spans="1:14" x14ac:dyDescent="0.2">
      <c r="A92" s="11">
        <f t="shared" si="8"/>
        <v>84</v>
      </c>
      <c r="B92" s="34" t="s">
        <v>2</v>
      </c>
      <c r="C92" s="34"/>
      <c r="H92" s="20" t="s">
        <v>1</v>
      </c>
      <c r="J92" s="14">
        <f>J36-J90</f>
        <v>-0.37152481079101563</v>
      </c>
      <c r="K92" s="25"/>
      <c r="L92" s="25"/>
      <c r="M92" s="25"/>
    </row>
    <row r="93" spans="1:14" x14ac:dyDescent="0.2">
      <c r="A93" s="11">
        <f t="shared" si="8"/>
        <v>85</v>
      </c>
      <c r="B93" s="34" t="s">
        <v>0</v>
      </c>
      <c r="C93" s="34"/>
      <c r="K93" s="25"/>
      <c r="L93" s="25"/>
      <c r="M93" s="25"/>
    </row>
    <row r="94" spans="1:14" x14ac:dyDescent="0.2">
      <c r="K94" s="25"/>
      <c r="L94" s="25"/>
      <c r="M94" s="25"/>
    </row>
    <row r="95" spans="1:14" x14ac:dyDescent="0.2">
      <c r="K95" s="25"/>
      <c r="L95" s="25"/>
      <c r="M95" s="25"/>
    </row>
    <row r="96" spans="1:14" x14ac:dyDescent="0.2">
      <c r="K96" s="25"/>
      <c r="L96" s="25"/>
      <c r="M96" s="25"/>
    </row>
    <row r="97" spans="11:13" x14ac:dyDescent="0.2">
      <c r="K97" s="25"/>
      <c r="L97" s="25"/>
      <c r="M97" s="25"/>
    </row>
    <row r="98" spans="11:13" x14ac:dyDescent="0.2">
      <c r="K98" s="25"/>
      <c r="L98" s="25"/>
      <c r="M98" s="25"/>
    </row>
  </sheetData>
  <mergeCells count="14">
    <mergeCell ref="P6:U6"/>
    <mergeCell ref="D6:H6"/>
    <mergeCell ref="J6:N6"/>
    <mergeCell ref="A1:U1"/>
    <mergeCell ref="A2:U2"/>
    <mergeCell ref="A3:U3"/>
    <mergeCell ref="A4:U4"/>
    <mergeCell ref="A5:U5"/>
    <mergeCell ref="B36:C36"/>
    <mergeCell ref="B11:C11"/>
    <mergeCell ref="B18:C18"/>
    <mergeCell ref="B23:C23"/>
    <mergeCell ref="B27:C27"/>
    <mergeCell ref="B32:C32"/>
  </mergeCells>
  <pageMargins left="0.7" right="0.7" top="0.75" bottom="0.75" header="0.3" footer="0.3"/>
  <pageSetup scale="40" fitToHeight="100" orientation="landscape" horizontalDpi="360" verticalDpi="360" r:id="rId1"/>
  <headerFooter>
    <oddFooter>&amp;R&amp;F
&amp;A
&amp;P of &amp;N</oddFooter>
  </headerFooter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75"/>
  <sheetViews>
    <sheetView zoomScaleNormal="100" workbookViewId="0">
      <pane ySplit="7" topLeftCell="A8" activePane="bottomLeft" state="frozen"/>
      <selection activeCell="G15" sqref="G15"/>
      <selection pane="bottomLeft" activeCell="G15" sqref="G15"/>
    </sheetView>
  </sheetViews>
  <sheetFormatPr defaultRowHeight="11.25" x14ac:dyDescent="0.2"/>
  <cols>
    <col min="1" max="1" width="6.5703125" style="10" bestFit="1" customWidth="1"/>
    <col min="2" max="2" width="63" style="10" bestFit="1" customWidth="1"/>
    <col min="3" max="4" width="13.5703125" style="10" bestFit="1" customWidth="1"/>
    <col min="5" max="5" width="10.28515625" style="10" bestFit="1" customWidth="1"/>
    <col min="6" max="6" width="16.140625" style="10" bestFit="1" customWidth="1"/>
    <col min="7" max="7" width="0.85546875" style="10" customWidth="1"/>
    <col min="8" max="8" width="12.140625" style="10" bestFit="1" customWidth="1"/>
    <col min="9" max="9" width="12.85546875" style="10" bestFit="1" customWidth="1"/>
    <col min="10" max="10" width="12.140625" style="10" bestFit="1" customWidth="1"/>
    <col min="11" max="11" width="12.85546875" style="10" bestFit="1" customWidth="1"/>
    <col min="12" max="12" width="10.7109375" style="10" bestFit="1" customWidth="1"/>
    <col min="13" max="13" width="12.85546875" style="10" bestFit="1" customWidth="1"/>
    <col min="14" max="16384" width="9.140625" style="10"/>
  </cols>
  <sheetData>
    <row r="1" spans="1:14" s="1" customFormat="1" ht="15" x14ac:dyDescent="0.25">
      <c r="A1" s="72" t="str">
        <f>'Exh CTM-4 (Proforma kWh &amp; Rev)'!A1</f>
        <v>Puget Sound Energy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</row>
    <row r="2" spans="1:14" s="1" customFormat="1" ht="15" customHeight="1" x14ac:dyDescent="0.25">
      <c r="A2" s="72" t="str">
        <f>'Exh CTM-4 (Proforma kWh &amp; Rev)'!A2</f>
        <v>Electric Normalized Test Year Revenue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</row>
    <row r="3" spans="1:14" s="1" customFormat="1" ht="15" customHeight="1" x14ac:dyDescent="0.25">
      <c r="A3" s="72" t="str">
        <f>'Exh CTM-4 (Proforma kWh &amp; Rev)'!A3</f>
        <v xml:space="preserve">2024 GRC Test year: 12 Months ended June 2023 and MYRP 2025, MYRP 2026 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</row>
    <row r="4" spans="1:14" s="1" customFormat="1" ht="15" x14ac:dyDescent="0.25">
      <c r="A4" s="72" t="str">
        <f>'Exh CTM-4 (Proforma kWh &amp; Rev)'!A4</f>
        <v>2024 General Rate Case Docket No. UE-240004 and UG-240005</v>
      </c>
      <c r="B4" s="72"/>
      <c r="C4" s="72"/>
      <c r="D4" s="72"/>
      <c r="E4" s="72"/>
      <c r="F4" s="72"/>
      <c r="G4" s="73"/>
      <c r="H4" s="73"/>
      <c r="I4" s="73"/>
      <c r="J4" s="73"/>
      <c r="K4" s="73"/>
      <c r="L4" s="73"/>
      <c r="M4" s="73"/>
      <c r="N4" s="55"/>
    </row>
    <row r="5" spans="1:14" s="1" customFormat="1" ht="15" customHeight="1" x14ac:dyDescent="0.25">
      <c r="H5" s="65" t="s">
        <v>139</v>
      </c>
      <c r="I5" s="67"/>
      <c r="J5" s="65" t="s">
        <v>138</v>
      </c>
      <c r="K5" s="67"/>
      <c r="L5" s="65" t="s">
        <v>137</v>
      </c>
      <c r="M5" s="67"/>
      <c r="N5" s="55"/>
    </row>
    <row r="6" spans="1:14" s="1" customFormat="1" ht="33.75" x14ac:dyDescent="0.2">
      <c r="A6" s="56" t="s">
        <v>119</v>
      </c>
      <c r="B6" s="56" t="s">
        <v>117</v>
      </c>
      <c r="C6" s="2" t="s">
        <v>136</v>
      </c>
      <c r="D6" s="2" t="s">
        <v>135</v>
      </c>
      <c r="E6" s="2" t="s">
        <v>56</v>
      </c>
      <c r="F6" s="3" t="s">
        <v>134</v>
      </c>
      <c r="H6" s="3" t="s">
        <v>133</v>
      </c>
      <c r="I6" s="3" t="s">
        <v>132</v>
      </c>
      <c r="J6" s="3" t="s">
        <v>133</v>
      </c>
      <c r="K6" s="3" t="s">
        <v>132</v>
      </c>
      <c r="L6" s="3" t="s">
        <v>133</v>
      </c>
      <c r="M6" s="3" t="s">
        <v>132</v>
      </c>
      <c r="N6" s="55"/>
    </row>
    <row r="7" spans="1:14" x14ac:dyDescent="0.2">
      <c r="A7" s="57"/>
      <c r="B7" s="5" t="s">
        <v>106</v>
      </c>
      <c r="C7" s="6" t="s">
        <v>105</v>
      </c>
      <c r="D7" s="6" t="s">
        <v>104</v>
      </c>
      <c r="E7" s="6" t="s">
        <v>103</v>
      </c>
      <c r="F7" s="6" t="s">
        <v>102</v>
      </c>
      <c r="G7" s="7"/>
      <c r="H7" s="6" t="s">
        <v>101</v>
      </c>
      <c r="I7" s="6" t="s">
        <v>100</v>
      </c>
      <c r="J7" s="6" t="s">
        <v>99</v>
      </c>
      <c r="K7" s="6" t="s">
        <v>98</v>
      </c>
      <c r="L7" s="6" t="s">
        <v>97</v>
      </c>
      <c r="M7" s="6" t="s">
        <v>96</v>
      </c>
      <c r="N7" s="9"/>
    </row>
    <row r="8" spans="1:14" x14ac:dyDescent="0.2">
      <c r="A8" s="11">
        <v>1</v>
      </c>
      <c r="B8" s="15" t="s">
        <v>131</v>
      </c>
      <c r="C8" s="14">
        <f>SUM(D8:F8)</f>
        <v>2655863618.7999997</v>
      </c>
      <c r="D8" s="14">
        <v>2643990232.8199997</v>
      </c>
      <c r="E8" s="14">
        <v>335744.31</v>
      </c>
      <c r="F8" s="14">
        <v>11537641.67</v>
      </c>
      <c r="H8" s="14"/>
      <c r="K8" s="58"/>
      <c r="L8" s="58"/>
    </row>
    <row r="9" spans="1:14" x14ac:dyDescent="0.2">
      <c r="A9" s="11">
        <f t="shared" ref="A9:A40" si="0">+A8+1</f>
        <v>2</v>
      </c>
      <c r="B9" s="20" t="s">
        <v>1</v>
      </c>
      <c r="C9" s="14">
        <f>'Exh CTM-4 (Proforma kWh &amp; Rev)'!J40-C8</f>
        <v>0</v>
      </c>
      <c r="D9" s="14"/>
      <c r="E9" s="14"/>
      <c r="F9" s="14"/>
    </row>
    <row r="10" spans="1:14" x14ac:dyDescent="0.2">
      <c r="A10" s="11">
        <f t="shared" si="0"/>
        <v>3</v>
      </c>
      <c r="B10" s="15" t="s">
        <v>130</v>
      </c>
      <c r="C10" s="14"/>
      <c r="D10" s="14"/>
      <c r="E10" s="14"/>
      <c r="F10" s="14"/>
    </row>
    <row r="11" spans="1:14" ht="13.5" x14ac:dyDescent="0.35">
      <c r="A11" s="11">
        <f t="shared" si="0"/>
        <v>4</v>
      </c>
      <c r="B11" s="59" t="str">
        <f>'Exh CTM-4 (Proforma kWh &amp; Rev)'!C45</f>
        <v>2024 GRC test year actuals:</v>
      </c>
      <c r="C11" s="14"/>
      <c r="D11" s="14"/>
      <c r="E11" s="14"/>
      <c r="F11" s="14"/>
    </row>
    <row r="12" spans="1:14" x14ac:dyDescent="0.2">
      <c r="A12" s="11">
        <f t="shared" si="0"/>
        <v>5</v>
      </c>
      <c r="B12" s="28" t="str">
        <f>'Exh CTM-4 (Proforma kWh &amp; Rev)'!C46</f>
        <v xml:space="preserve">Schedule 81 B&amp;O Tax </v>
      </c>
      <c r="C12" s="14">
        <f t="shared" ref="C12:C38" si="1">SUM(D12:F12)</f>
        <v>-103489694.34</v>
      </c>
      <c r="D12" s="14">
        <f>'Exh CTM-4 (Proforma kWh &amp; Rev)'!J46-SUM(E12:F12)</f>
        <v>-102817629.09</v>
      </c>
      <c r="E12" s="14">
        <v>0</v>
      </c>
      <c r="F12" s="14">
        <v>-672065.25000000012</v>
      </c>
    </row>
    <row r="13" spans="1:14" x14ac:dyDescent="0.2">
      <c r="A13" s="11">
        <f t="shared" si="0"/>
        <v>6</v>
      </c>
      <c r="B13" s="28" t="str">
        <f>'Exh CTM-4 (Proforma kWh &amp; Rev)'!C47</f>
        <v>Schedule 95A Federal Incentive</v>
      </c>
      <c r="C13" s="14">
        <f t="shared" si="1"/>
        <v>14173244.599999994</v>
      </c>
      <c r="D13" s="14">
        <f>'Exh CTM-4 (Proforma kWh &amp; Rev)'!J47-SUM(E13:F13)</f>
        <v>14173244.599999994</v>
      </c>
      <c r="E13" s="14">
        <v>0</v>
      </c>
      <c r="F13" s="14">
        <v>0</v>
      </c>
    </row>
    <row r="14" spans="1:14" x14ac:dyDescent="0.2">
      <c r="A14" s="11">
        <f t="shared" si="0"/>
        <v>7</v>
      </c>
      <c r="B14" s="28" t="str">
        <f>'Exh CTM-4 (Proforma kWh &amp; Rev)'!C48</f>
        <v xml:space="preserve">Schedule 95 PCA Imbalance </v>
      </c>
      <c r="C14" s="14">
        <f t="shared" si="1"/>
        <v>-46393846.565533124</v>
      </c>
      <c r="D14" s="14">
        <f>'Exh CTM-4 (Proforma kWh &amp; Rev)'!J48-SUM(E14:F14)</f>
        <v>-46393846.565533124</v>
      </c>
      <c r="E14" s="14">
        <v>0</v>
      </c>
      <c r="F14" s="14">
        <v>0</v>
      </c>
    </row>
    <row r="15" spans="1:14" x14ac:dyDescent="0.2">
      <c r="A15" s="11">
        <f t="shared" si="0"/>
        <v>8</v>
      </c>
      <c r="B15" s="28" t="str">
        <f>'Exh CTM-4 (Proforma kWh &amp; Rev)'!C49</f>
        <v xml:space="preserve">Schedule 95 PCORC </v>
      </c>
      <c r="C15" s="14">
        <f t="shared" si="1"/>
        <v>-37289685.730000012</v>
      </c>
      <c r="D15" s="14">
        <f>'Exh CTM-4 (Proforma kWh &amp; Rev)'!J49-SUM(E15:F15)</f>
        <v>-37289685.730000012</v>
      </c>
      <c r="E15" s="14">
        <v>0</v>
      </c>
      <c r="F15" s="14">
        <v>0</v>
      </c>
    </row>
    <row r="16" spans="1:14" x14ac:dyDescent="0.2">
      <c r="A16" s="11">
        <f t="shared" si="0"/>
        <v>9</v>
      </c>
      <c r="B16" s="28" t="str">
        <f>'Exh CTM-4 (Proforma kWh &amp; Rev)'!C50</f>
        <v xml:space="preserve">Schedule 120 Conservation Service </v>
      </c>
      <c r="C16" s="14">
        <f t="shared" si="1"/>
        <v>-108286041.05000001</v>
      </c>
      <c r="D16" s="14">
        <f>'Exh CTM-4 (Proforma kWh &amp; Rev)'!J50-SUM(E16:F16)</f>
        <v>-104019560.12</v>
      </c>
      <c r="E16" s="14">
        <v>0</v>
      </c>
      <c r="F16" s="14">
        <v>-4266480.93</v>
      </c>
    </row>
    <row r="17" spans="1:6" x14ac:dyDescent="0.2">
      <c r="A17" s="11">
        <f t="shared" si="0"/>
        <v>10</v>
      </c>
      <c r="B17" s="28" t="str">
        <f>'Exh CTM-4 (Proforma kWh &amp; Rev)'!C51</f>
        <v>Schedule 129 Low Income Program</v>
      </c>
      <c r="C17" s="14">
        <f t="shared" si="1"/>
        <v>-49280129.740000002</v>
      </c>
      <c r="D17" s="14">
        <f>'Exh CTM-4 (Proforma kWh &amp; Rev)'!J51-SUM(E17:F17)</f>
        <v>-48799605.899999999</v>
      </c>
      <c r="E17" s="14">
        <v>0</v>
      </c>
      <c r="F17" s="14">
        <v>-480523.83999999997</v>
      </c>
    </row>
    <row r="18" spans="1:6" x14ac:dyDescent="0.2">
      <c r="A18" s="11">
        <f t="shared" si="0"/>
        <v>11</v>
      </c>
      <c r="B18" s="28" t="str">
        <f>'Exh CTM-4 (Proforma kWh &amp; Rev)'!C52</f>
        <v>Schedule 129D Bill Discount Rate Rider</v>
      </c>
      <c r="C18" s="14">
        <f t="shared" si="1"/>
        <v>0</v>
      </c>
      <c r="D18" s="14">
        <f>'Exh CTM-4 (Proforma kWh &amp; Rev)'!J52-SUM(E18:F18)</f>
        <v>0</v>
      </c>
      <c r="E18" s="14">
        <v>0</v>
      </c>
      <c r="F18" s="14">
        <v>0</v>
      </c>
    </row>
    <row r="19" spans="1:6" x14ac:dyDescent="0.2">
      <c r="A19" s="11">
        <f t="shared" si="0"/>
        <v>12</v>
      </c>
      <c r="B19" s="28" t="str">
        <f>'Exh CTM-4 (Proforma kWh &amp; Rev)'!C53</f>
        <v>Schedule 132 Merger Rate Credit</v>
      </c>
      <c r="C19" s="14">
        <f t="shared" si="1"/>
        <v>367.18000000000006</v>
      </c>
      <c r="D19" s="14">
        <f>'Exh CTM-4 (Proforma kWh &amp; Rev)'!J53-SUM(E19:F19)</f>
        <v>367.18000000000006</v>
      </c>
      <c r="E19" s="14">
        <v>0</v>
      </c>
      <c r="F19" s="14">
        <v>0</v>
      </c>
    </row>
    <row r="20" spans="1:6" x14ac:dyDescent="0.2">
      <c r="A20" s="11">
        <f t="shared" si="0"/>
        <v>13</v>
      </c>
      <c r="B20" s="28" t="str">
        <f>'Exh CTM-4 (Proforma kWh &amp; Rev)'!C54</f>
        <v>Schedule 133 JPUD Gain</v>
      </c>
      <c r="C20" s="14">
        <f t="shared" si="1"/>
        <v>0</v>
      </c>
      <c r="D20" s="14">
        <f>'Exh CTM-4 (Proforma kWh &amp; Rev)'!J54-SUM(E20:F20)</f>
        <v>0</v>
      </c>
      <c r="E20" s="14">
        <v>0</v>
      </c>
      <c r="F20" s="14">
        <v>0</v>
      </c>
    </row>
    <row r="21" spans="1:6" x14ac:dyDescent="0.2">
      <c r="A21" s="11">
        <f t="shared" si="0"/>
        <v>14</v>
      </c>
      <c r="B21" s="28" t="str">
        <f>'Exh CTM-4 (Proforma kWh &amp; Rev)'!C55</f>
        <v>Schedule 135 &amp; 136 Green Power</v>
      </c>
      <c r="C21" s="14">
        <f t="shared" si="1"/>
        <v>-8009867.5599999987</v>
      </c>
      <c r="D21" s="14">
        <f>'Exh CTM-4 (Proforma kWh &amp; Rev)'!J55-SUM(E21:F21)</f>
        <v>-8009867.5599999987</v>
      </c>
      <c r="E21" s="14">
        <v>0</v>
      </c>
      <c r="F21" s="14">
        <v>0</v>
      </c>
    </row>
    <row r="22" spans="1:6" x14ac:dyDescent="0.2">
      <c r="A22" s="11">
        <f t="shared" si="0"/>
        <v>15</v>
      </c>
      <c r="B22" s="28" t="str">
        <f>'Exh CTM-4 (Proforma kWh &amp; Rev)'!C56</f>
        <v>Schedule 137 REC</v>
      </c>
      <c r="C22" s="14">
        <f t="shared" si="1"/>
        <v>221021.53999999998</v>
      </c>
      <c r="D22" s="14">
        <f>'Exh CTM-4 (Proforma kWh &amp; Rev)'!J56-SUM(E22:F22)</f>
        <v>221021.53999999998</v>
      </c>
      <c r="E22" s="14">
        <v>0</v>
      </c>
      <c r="F22" s="14">
        <v>0</v>
      </c>
    </row>
    <row r="23" spans="1:6" x14ac:dyDescent="0.2">
      <c r="A23" s="11">
        <f t="shared" si="0"/>
        <v>16</v>
      </c>
      <c r="B23" s="28" t="str">
        <f>'Exh CTM-4 (Proforma kWh &amp; Rev)'!C57</f>
        <v>Schedule 139 Green Direct Resource Option Charge</v>
      </c>
      <c r="C23" s="14">
        <f t="shared" si="1"/>
        <v>-33274362.822046958</v>
      </c>
      <c r="D23" s="14">
        <f>'Exh CTM-4 (Proforma kWh &amp; Rev)'!J57-SUM(E23:F23)</f>
        <v>-33274362.822046958</v>
      </c>
      <c r="E23" s="14">
        <v>0</v>
      </c>
      <c r="F23" s="14">
        <v>0</v>
      </c>
    </row>
    <row r="24" spans="1:6" x14ac:dyDescent="0.2">
      <c r="A24" s="11">
        <f t="shared" si="0"/>
        <v>17</v>
      </c>
      <c r="B24" s="28" t="str">
        <f>'Exh CTM-4 (Proforma kWh &amp; Rev)'!C58</f>
        <v xml:space="preserve">Schedule 139 Green Direct Energy Credit </v>
      </c>
      <c r="C24" s="14">
        <f t="shared" si="1"/>
        <v>31206131.68</v>
      </c>
      <c r="D24" s="14">
        <f>'Exh CTM-4 (Proforma kWh &amp; Rev)'!J58-SUM(E24:F24)</f>
        <v>31206131.68</v>
      </c>
      <c r="E24" s="14">
        <v>0</v>
      </c>
      <c r="F24" s="14">
        <v>0</v>
      </c>
    </row>
    <row r="25" spans="1:6" x14ac:dyDescent="0.2">
      <c r="A25" s="11">
        <f t="shared" si="0"/>
        <v>18</v>
      </c>
      <c r="B25" s="28" t="str">
        <f>'Exh CTM-4 (Proforma kWh &amp; Rev)'!C59</f>
        <v>Schedule 139 Greed Direct Supplement Energy Credit</v>
      </c>
      <c r="C25" s="14">
        <f t="shared" si="1"/>
        <v>741313.72204695607</v>
      </c>
      <c r="D25" s="14">
        <f>'Exh CTM-4 (Proforma kWh &amp; Rev)'!J59-SUM(E25:F25)</f>
        <v>741313.72204695607</v>
      </c>
      <c r="E25" s="14">
        <v>0</v>
      </c>
      <c r="F25" s="14">
        <v>0</v>
      </c>
    </row>
    <row r="26" spans="1:6" x14ac:dyDescent="0.2">
      <c r="A26" s="11">
        <f t="shared" si="0"/>
        <v>19</v>
      </c>
      <c r="B26" s="28" t="str">
        <f>'Exh CTM-4 (Proforma kWh &amp; Rev)'!C60</f>
        <v xml:space="preserve">Schedule 140 Property Tax </v>
      </c>
      <c r="C26" s="14">
        <f t="shared" si="1"/>
        <v>-52796511.959999993</v>
      </c>
      <c r="D26" s="14">
        <f>'Exh CTM-4 (Proforma kWh &amp; Rev)'!J60-SUM(E26:F26)</f>
        <v>-52578724.179999992</v>
      </c>
      <c r="E26" s="14">
        <v>0</v>
      </c>
      <c r="F26" s="14">
        <v>-217787.78</v>
      </c>
    </row>
    <row r="27" spans="1:6" x14ac:dyDescent="0.2">
      <c r="A27" s="11">
        <f t="shared" si="0"/>
        <v>20</v>
      </c>
      <c r="B27" s="28" t="str">
        <f>'Exh CTM-4 (Proforma kWh &amp; Rev)'!C61</f>
        <v xml:space="preserve">Schedule 141 ERF </v>
      </c>
      <c r="C27" s="14">
        <f t="shared" si="1"/>
        <v>-70646.040000000008</v>
      </c>
      <c r="D27" s="14">
        <f>'Exh CTM-4 (Proforma kWh &amp; Rev)'!J61-SUM(E27:F27)</f>
        <v>-70646.040000000008</v>
      </c>
      <c r="E27" s="14">
        <v>0</v>
      </c>
      <c r="F27" s="14">
        <v>0</v>
      </c>
    </row>
    <row r="28" spans="1:6" x14ac:dyDescent="0.2">
      <c r="A28" s="11">
        <f t="shared" si="0"/>
        <v>21</v>
      </c>
      <c r="B28" s="28" t="str">
        <f>'Exh CTM-4 (Proforma kWh &amp; Rev)'!C62</f>
        <v>Schedule 141A Energy Chg Cr Rec Adj</v>
      </c>
      <c r="C28" s="14">
        <f t="shared" si="1"/>
        <v>-17506569.710000001</v>
      </c>
      <c r="D28" s="14">
        <f>'Exh CTM-4 (Proforma kWh &amp; Rev)'!J62-SUM(E28:F28)</f>
        <v>-17506569.710000001</v>
      </c>
      <c r="E28" s="14">
        <v>0</v>
      </c>
      <c r="F28" s="14">
        <v>0</v>
      </c>
    </row>
    <row r="29" spans="1:6" x14ac:dyDescent="0.2">
      <c r="A29" s="11">
        <f t="shared" si="0"/>
        <v>22</v>
      </c>
      <c r="B29" s="28" t="str">
        <f>'Exh CTM-4 (Proforma kWh &amp; Rev)'!C63</f>
        <v>Schedule 141CEI Clean Energy Implementation</v>
      </c>
      <c r="C29" s="14">
        <f t="shared" si="1"/>
        <v>0</v>
      </c>
      <c r="D29" s="14">
        <f>'Exh CTM-4 (Proforma kWh &amp; Rev)'!J63-SUM(E29:F29)</f>
        <v>0</v>
      </c>
      <c r="E29" s="14">
        <v>0</v>
      </c>
      <c r="F29" s="14">
        <v>0</v>
      </c>
    </row>
    <row r="30" spans="1:6" x14ac:dyDescent="0.2">
      <c r="A30" s="11">
        <f t="shared" si="0"/>
        <v>23</v>
      </c>
      <c r="B30" s="28" t="str">
        <f>'Exh CTM-4 (Proforma kWh &amp; Rev)'!C64</f>
        <v>Schedule 141COL Colstrip Adjustment</v>
      </c>
      <c r="C30" s="14">
        <f t="shared" si="1"/>
        <v>-26265550.759999998</v>
      </c>
      <c r="D30" s="14">
        <f>'Exh CTM-4 (Proforma kWh &amp; Rev)'!J64-SUM(E30:F30)</f>
        <v>-26265550.759999998</v>
      </c>
      <c r="E30" s="14">
        <v>0</v>
      </c>
      <c r="F30" s="14">
        <v>0</v>
      </c>
    </row>
    <row r="31" spans="1:6" x14ac:dyDescent="0.2">
      <c r="A31" s="11">
        <f t="shared" si="0"/>
        <v>24</v>
      </c>
      <c r="B31" s="28" t="str">
        <f>'Exh CTM-4 (Proforma kWh &amp; Rev)'!C65</f>
        <v>Schedule 141TEP Transportation Electrification</v>
      </c>
      <c r="C31" s="14">
        <f t="shared" si="1"/>
        <v>-2017272.7200000002</v>
      </c>
      <c r="D31" s="14">
        <f>'Exh CTM-4 (Proforma kWh &amp; Rev)'!J65-SUM(E31:F31)</f>
        <v>-2017272.7200000002</v>
      </c>
      <c r="E31" s="14">
        <v>0</v>
      </c>
      <c r="F31" s="14">
        <v>0</v>
      </c>
    </row>
    <row r="32" spans="1:6" x14ac:dyDescent="0.2">
      <c r="A32" s="11">
        <f t="shared" si="0"/>
        <v>25</v>
      </c>
      <c r="B32" s="28" t="str">
        <f>'Exh CTM-4 (Proforma kWh &amp; Rev)'!C66</f>
        <v xml:space="preserve">Schedule 141N Rates Not Subj to Ref Adj </v>
      </c>
      <c r="C32" s="14">
        <f t="shared" si="1"/>
        <v>-91673151.809999987</v>
      </c>
      <c r="D32" s="14">
        <f>'Exh CTM-4 (Proforma kWh &amp; Rev)'!J66-SUM(E32:F32)</f>
        <v>-91495050.459999993</v>
      </c>
      <c r="E32" s="14">
        <v>0</v>
      </c>
      <c r="F32" s="14">
        <v>-178101.35</v>
      </c>
    </row>
    <row r="33" spans="1:6" x14ac:dyDescent="0.2">
      <c r="A33" s="11">
        <f t="shared" si="0"/>
        <v>26</v>
      </c>
      <c r="B33" s="28" t="str">
        <f>'Exh CTM-4 (Proforma kWh &amp; Rev)'!C67</f>
        <v xml:space="preserve">Schedule 141R Rates Subject to Ref Adj </v>
      </c>
      <c r="C33" s="14">
        <f t="shared" si="1"/>
        <v>-45959764.009999998</v>
      </c>
      <c r="D33" s="14">
        <f>'Exh CTM-4 (Proforma kWh &amp; Rev)'!J67-SUM(E33:F33)</f>
        <v>-45870281.460000001</v>
      </c>
      <c r="E33" s="14">
        <v>0</v>
      </c>
      <c r="F33" s="14">
        <v>-89482.549999999988</v>
      </c>
    </row>
    <row r="34" spans="1:6" x14ac:dyDescent="0.2">
      <c r="A34" s="11">
        <f t="shared" si="0"/>
        <v>27</v>
      </c>
      <c r="B34" s="28" t="str">
        <f>'Exh CTM-4 (Proforma kWh &amp; Rev)'!C68</f>
        <v>Schedule 141X Protected Plus EDIT</v>
      </c>
      <c r="C34" s="14">
        <f t="shared" si="1"/>
        <v>-8180430.290000001</v>
      </c>
      <c r="D34" s="14">
        <f>'Exh CTM-4 (Proforma kWh &amp; Rev)'!J68-SUM(E34:F34)</f>
        <v>-8122812.4900000012</v>
      </c>
      <c r="E34" s="14">
        <v>0</v>
      </c>
      <c r="F34" s="14">
        <v>-57617.799999999996</v>
      </c>
    </row>
    <row r="35" spans="1:6" x14ac:dyDescent="0.2">
      <c r="A35" s="11">
        <f t="shared" si="0"/>
        <v>28</v>
      </c>
      <c r="B35" s="28" t="str">
        <f>'Exh CTM-4 (Proforma kWh &amp; Rev)'!C69</f>
        <v xml:space="preserve">Schedule 141Y TCJA </v>
      </c>
      <c r="C35" s="14">
        <f t="shared" si="1"/>
        <v>2036.08</v>
      </c>
      <c r="D35" s="14">
        <f>'Exh CTM-4 (Proforma kWh &amp; Rev)'!J69-SUM(E35:F35)</f>
        <v>936.7199999999998</v>
      </c>
      <c r="E35" s="14">
        <v>0</v>
      </c>
      <c r="F35" s="14">
        <v>1099.3600000000001</v>
      </c>
    </row>
    <row r="36" spans="1:6" x14ac:dyDescent="0.2">
      <c r="A36" s="11">
        <f t="shared" si="0"/>
        <v>29</v>
      </c>
      <c r="B36" s="28" t="str">
        <f>'Exh CTM-4 (Proforma kWh &amp; Rev)'!C70</f>
        <v xml:space="preserve">Schedule 141Z Unprotected EDIT </v>
      </c>
      <c r="C36" s="14">
        <f t="shared" si="1"/>
        <v>16649919.500000002</v>
      </c>
      <c r="D36" s="14">
        <f>'Exh CTM-4 (Proforma kWh &amp; Rev)'!J70-SUM(E36:F36)</f>
        <v>16572116.240000002</v>
      </c>
      <c r="E36" s="14">
        <v>0</v>
      </c>
      <c r="F36" s="14">
        <v>77803.259999999995</v>
      </c>
    </row>
    <row r="37" spans="1:6" x14ac:dyDescent="0.2">
      <c r="A37" s="11">
        <f t="shared" si="0"/>
        <v>30</v>
      </c>
      <c r="B37" s="28" t="str">
        <f>'Exh CTM-4 (Proforma kWh &amp; Rev)'!C71</f>
        <v>Schedule 142 Decoupling</v>
      </c>
      <c r="C37" s="14">
        <f t="shared" si="1"/>
        <v>-144719.9700000002</v>
      </c>
      <c r="D37" s="14">
        <f>'Exh CTM-4 (Proforma kWh &amp; Rev)'!J71-SUM(E37:F37)</f>
        <v>751858.39999999979</v>
      </c>
      <c r="E37" s="14">
        <v>0</v>
      </c>
      <c r="F37" s="14">
        <v>-896578.37</v>
      </c>
    </row>
    <row r="38" spans="1:6" x14ac:dyDescent="0.2">
      <c r="A38" s="11">
        <f t="shared" si="0"/>
        <v>31</v>
      </c>
      <c r="B38" s="28" t="str">
        <f>'Exh CTM-4 (Proforma kWh &amp; Rev)'!C72</f>
        <v>Schedule 194 Res Farm Credit</v>
      </c>
      <c r="C38" s="14">
        <f t="shared" si="1"/>
        <v>81560520.599999994</v>
      </c>
      <c r="D38" s="14">
        <f>'Exh CTM-4 (Proforma kWh &amp; Rev)'!J72-SUM(E38:F38)</f>
        <v>81560520.599999994</v>
      </c>
      <c r="E38" s="14">
        <v>0</v>
      </c>
      <c r="F38" s="14">
        <v>0</v>
      </c>
    </row>
    <row r="39" spans="1:6" ht="13.5" x14ac:dyDescent="0.35">
      <c r="A39" s="11">
        <f t="shared" si="0"/>
        <v>32</v>
      </c>
      <c r="B39" s="59" t="str">
        <f>'Exh CTM-4 (Proforma kWh &amp; Rev)'!C73</f>
        <v>Annualized  Revenues:</v>
      </c>
      <c r="C39" s="14"/>
      <c r="D39" s="14"/>
      <c r="E39" s="14"/>
      <c r="F39" s="14"/>
    </row>
    <row r="40" spans="1:6" x14ac:dyDescent="0.2">
      <c r="A40" s="11">
        <f t="shared" si="0"/>
        <v>33</v>
      </c>
      <c r="B40" s="28" t="str">
        <f>'Exh CTM-4 (Proforma kWh &amp; Rev)'!C74</f>
        <v>Base Revenue (1-11-2023) - rate change annualized</v>
      </c>
      <c r="C40" s="14">
        <f>SUM(D40:F40)</f>
        <v>-20273240.028831426</v>
      </c>
      <c r="D40" s="14">
        <f>'Exh CTM-4 (Proforma kWh &amp; Rev)'!J74-SUM(E40:F40)</f>
        <v>-19770795.028831426</v>
      </c>
      <c r="E40" s="14">
        <v>0</v>
      </c>
      <c r="F40" s="14">
        <v>-502445</v>
      </c>
    </row>
    <row r="41" spans="1:6" x14ac:dyDescent="0.2">
      <c r="A41" s="11">
        <f t="shared" ref="A41:A62" si="2">+A40+1</f>
        <v>34</v>
      </c>
      <c r="B41" s="28" t="str">
        <f>'Exh CTM-4 (Proforma kWh &amp; Rev)'!C75</f>
        <v>141N Revenue (1-11-2023) - 6 months annualized + 6 months actuals</v>
      </c>
      <c r="C41" s="14">
        <f>SUM(D41:F41)</f>
        <v>187523777.57928377</v>
      </c>
      <c r="D41" s="14">
        <f>'Exh CTM-4 (Proforma kWh &amp; Rev)'!J75-SUM(E41:F41)</f>
        <v>186655296.34458169</v>
      </c>
      <c r="E41" s="14">
        <v>22710.126779999999</v>
      </c>
      <c r="F41" s="14">
        <v>845771.10792206251</v>
      </c>
    </row>
    <row r="42" spans="1:6" x14ac:dyDescent="0.2">
      <c r="A42" s="11">
        <f t="shared" si="2"/>
        <v>35</v>
      </c>
      <c r="B42" s="28" t="str">
        <f>'Exh CTM-4 (Proforma kWh &amp; Rev)'!C76</f>
        <v>141R Revenue  (1-11-2023) - 6 months annualized + 6 months actuals</v>
      </c>
      <c r="C42" s="14">
        <f>SUM(D42:F42)</f>
        <v>94155720.019697964</v>
      </c>
      <c r="D42" s="14">
        <f>'Exh CTM-4 (Proforma kWh &amp; Rev)'!J76-SUM(E42:F42)</f>
        <v>93729251.011862084</v>
      </c>
      <c r="E42" s="14">
        <v>11401.0193</v>
      </c>
      <c r="F42" s="14">
        <v>415067.98853587499</v>
      </c>
    </row>
    <row r="43" spans="1:6" ht="13.5" x14ac:dyDescent="0.35">
      <c r="A43" s="11">
        <f t="shared" si="2"/>
        <v>36</v>
      </c>
      <c r="B43" s="59" t="str">
        <f>'Exh CTM-4 (Proforma kWh &amp; Rev)'!C77</f>
        <v>Other:</v>
      </c>
      <c r="C43" s="14"/>
      <c r="D43" s="14"/>
      <c r="E43" s="14"/>
      <c r="F43" s="14"/>
    </row>
    <row r="44" spans="1:6" x14ac:dyDescent="0.2">
      <c r="A44" s="11">
        <f t="shared" si="2"/>
        <v>37</v>
      </c>
      <c r="B44" s="28" t="str">
        <f>'Exh CTM-4 (Proforma kWh &amp; Rev)'!C78</f>
        <v>Temperature Adjustment</v>
      </c>
      <c r="C44" s="14">
        <f t="shared" ref="C44:C49" si="3">SUM(D44:F44)</f>
        <v>-62932830</v>
      </c>
      <c r="D44" s="14">
        <f>'Exh CTM-4 (Proforma kWh &amp; Rev)'!J78-SUM(E44:F44)</f>
        <v>-62918624</v>
      </c>
      <c r="E44" s="14">
        <f>'Exh CTM-4 (Proforma kWh &amp; Rev)'!N34</f>
        <v>-14206</v>
      </c>
      <c r="F44" s="14">
        <v>0</v>
      </c>
    </row>
    <row r="45" spans="1:6" x14ac:dyDescent="0.2">
      <c r="A45" s="11">
        <f t="shared" si="2"/>
        <v>38</v>
      </c>
      <c r="B45" s="28" t="str">
        <f>'Exh CTM-4 (Proforma kWh &amp; Rev)'!C79</f>
        <v>Move Other Operating OATT Rev to Transport Sch</v>
      </c>
      <c r="C45" s="14">
        <f t="shared" si="3"/>
        <v>13154883</v>
      </c>
      <c r="D45" s="14">
        <f>'Exh CTM-4 (Proforma kWh &amp; Rev)'!J79-SUM(E45:F45)</f>
        <v>0</v>
      </c>
      <c r="E45" s="14"/>
      <c r="F45" s="14">
        <f>'Exh CTM-4 (Proforma kWh &amp; Rev)'!J41</f>
        <v>13154883</v>
      </c>
    </row>
    <row r="46" spans="1:6" x14ac:dyDescent="0.2">
      <c r="A46" s="11">
        <f t="shared" si="2"/>
        <v>39</v>
      </c>
      <c r="B46" s="28" t="str">
        <f>'Exh CTM-4 (Proforma kWh &amp; Rev)'!C80</f>
        <v>Unbilled Revenue Change resulting from rate change</v>
      </c>
      <c r="C46" s="14">
        <f t="shared" si="3"/>
        <v>-2167407.3341108207</v>
      </c>
      <c r="D46" s="14">
        <f>'Exh CTM-4 (Proforma kWh &amp; Rev)'!J80-SUM(E46:F46)</f>
        <v>-2203133.0941108209</v>
      </c>
      <c r="E46" s="14">
        <v>-3506.2699999999968</v>
      </c>
      <c r="F46" s="14">
        <v>39232.030000000203</v>
      </c>
    </row>
    <row r="47" spans="1:6" x14ac:dyDescent="0.2">
      <c r="A47" s="11">
        <f t="shared" si="2"/>
        <v>40</v>
      </c>
      <c r="B47" s="28" t="str">
        <f>'Exh CTM-4 (Proforma kWh &amp; Rev)'!C81</f>
        <v xml:space="preserve">Customer Migration Adjustment from SCH 449 to SCH 31 </v>
      </c>
      <c r="C47" s="14">
        <f t="shared" si="3"/>
        <v>283221.01109729579</v>
      </c>
      <c r="D47" s="14">
        <f>'Exh CTM-4 (Proforma kWh &amp; Rev)'!J81-SUM(E47:F47)</f>
        <v>338872.69109729578</v>
      </c>
      <c r="E47" s="14">
        <v>0</v>
      </c>
      <c r="F47" s="14">
        <v>-55651.68</v>
      </c>
    </row>
    <row r="48" spans="1:6" x14ac:dyDescent="0.2">
      <c r="A48" s="11">
        <f t="shared" si="2"/>
        <v>41</v>
      </c>
      <c r="B48" s="28" t="str">
        <f>'Exh CTM-4 (Proforma kWh &amp; Rev)'!C82</f>
        <v>Other Billing adjustments in Income Statement (non-consumption, misc AR, backbills)</v>
      </c>
      <c r="C48" s="60">
        <f t="shared" si="3"/>
        <v>-3165477</v>
      </c>
      <c r="D48" s="14">
        <f>'Exh CTM-4 (Proforma kWh &amp; Rev)'!J82-SUM(E48:F48)</f>
        <v>-2911346</v>
      </c>
      <c r="E48" s="14">
        <v>116413</v>
      </c>
      <c r="F48" s="14">
        <v>-370544</v>
      </c>
    </row>
    <row r="49" spans="1:14" x14ac:dyDescent="0.2">
      <c r="A49" s="11">
        <f t="shared" si="2"/>
        <v>42</v>
      </c>
      <c r="B49" s="15" t="s">
        <v>129</v>
      </c>
      <c r="C49" s="14">
        <f t="shared" si="3"/>
        <v>-279505042.92839634</v>
      </c>
      <c r="D49" s="22">
        <f>SUM(D12:D48)</f>
        <v>-286384433.00093424</v>
      </c>
      <c r="E49" s="22">
        <f>SUM(E12:E48)</f>
        <v>132811.87608000002</v>
      </c>
      <c r="F49" s="22">
        <f>SUM(F12:F48)</f>
        <v>6746578.1964579383</v>
      </c>
      <c r="J49" s="14"/>
      <c r="K49" s="14"/>
      <c r="L49" s="14"/>
    </row>
    <row r="50" spans="1:14" x14ac:dyDescent="0.2">
      <c r="A50" s="11">
        <f t="shared" si="2"/>
        <v>43</v>
      </c>
      <c r="B50" s="61"/>
      <c r="C50" s="14"/>
      <c r="D50" s="14"/>
      <c r="E50" s="14"/>
      <c r="F50" s="14"/>
      <c r="I50" s="14"/>
      <c r="K50" s="14"/>
      <c r="L50" s="14"/>
    </row>
    <row r="51" spans="1:14" x14ac:dyDescent="0.2">
      <c r="A51" s="11">
        <f t="shared" si="2"/>
        <v>44</v>
      </c>
      <c r="B51" s="15" t="s">
        <v>128</v>
      </c>
      <c r="C51" s="18">
        <f>+C8+C49</f>
        <v>2376358575.8716035</v>
      </c>
      <c r="D51" s="18">
        <f>+D8+D49</f>
        <v>2357605799.8190656</v>
      </c>
      <c r="E51" s="18">
        <f>+E8+E49</f>
        <v>468556.18608000001</v>
      </c>
      <c r="F51" s="18">
        <f>+F8+F49</f>
        <v>18284219.866457939</v>
      </c>
      <c r="H51" s="14"/>
      <c r="K51" s="14"/>
      <c r="L51" s="14"/>
    </row>
    <row r="52" spans="1:14" x14ac:dyDescent="0.2">
      <c r="A52" s="11">
        <f t="shared" si="2"/>
        <v>45</v>
      </c>
      <c r="B52" s="61"/>
      <c r="C52" s="14"/>
      <c r="D52" s="14"/>
      <c r="E52" s="14"/>
      <c r="F52" s="14"/>
      <c r="H52" s="14"/>
      <c r="K52" s="14"/>
      <c r="L52" s="14"/>
    </row>
    <row r="53" spans="1:14" x14ac:dyDescent="0.2">
      <c r="A53" s="11">
        <f t="shared" si="2"/>
        <v>46</v>
      </c>
      <c r="B53" s="15" t="s">
        <v>127</v>
      </c>
      <c r="C53" s="14"/>
      <c r="D53" s="14"/>
      <c r="E53" s="14"/>
      <c r="F53" s="14"/>
      <c r="H53" s="14"/>
      <c r="K53" s="14"/>
      <c r="L53" s="14"/>
    </row>
    <row r="54" spans="1:14" x14ac:dyDescent="0.2">
      <c r="A54" s="11">
        <f t="shared" si="2"/>
        <v>47</v>
      </c>
      <c r="B54" s="62" t="s">
        <v>6</v>
      </c>
      <c r="C54" s="14">
        <f>SUM(D54:F54)</f>
        <v>-187523777.57928377</v>
      </c>
      <c r="D54" s="14">
        <f t="shared" ref="D54:F55" si="4">-D41</f>
        <v>-186655296.34458169</v>
      </c>
      <c r="E54" s="14">
        <f t="shared" si="4"/>
        <v>-22710.126779999999</v>
      </c>
      <c r="F54" s="14">
        <f t="shared" si="4"/>
        <v>-845771.10792206251</v>
      </c>
      <c r="H54" s="14"/>
      <c r="K54" s="14"/>
      <c r="L54" s="14"/>
    </row>
    <row r="55" spans="1:14" x14ac:dyDescent="0.2">
      <c r="A55" s="11">
        <f t="shared" si="2"/>
        <v>48</v>
      </c>
      <c r="B55" s="62" t="s">
        <v>5</v>
      </c>
      <c r="C55" s="14">
        <f>SUM(D55:F55)</f>
        <v>-94155720.019697964</v>
      </c>
      <c r="D55" s="14">
        <f t="shared" si="4"/>
        <v>-93729251.011862084</v>
      </c>
      <c r="E55" s="14">
        <f t="shared" si="4"/>
        <v>-11401.0193</v>
      </c>
      <c r="F55" s="14">
        <f t="shared" si="4"/>
        <v>-415067.98853587499</v>
      </c>
      <c r="H55" s="14"/>
      <c r="K55" s="14"/>
      <c r="L55" s="14"/>
    </row>
    <row r="56" spans="1:14" x14ac:dyDescent="0.2">
      <c r="A56" s="11">
        <f t="shared" si="2"/>
        <v>49</v>
      </c>
      <c r="B56" s="15" t="s">
        <v>4</v>
      </c>
      <c r="C56" s="22">
        <f>SUM(C54:C55)</f>
        <v>-281679497.59898174</v>
      </c>
      <c r="D56" s="22">
        <f>SUM(D54:D55)</f>
        <v>-280384547.35644376</v>
      </c>
      <c r="E56" s="22">
        <f>SUM(E54:E55)</f>
        <v>-34111.146079999999</v>
      </c>
      <c r="F56" s="22">
        <f>SUM(F54:F55)</f>
        <v>-1260839.0964579375</v>
      </c>
      <c r="H56" s="14"/>
      <c r="K56" s="14"/>
      <c r="L56" s="14"/>
    </row>
    <row r="57" spans="1:14" x14ac:dyDescent="0.2">
      <c r="A57" s="11">
        <f t="shared" si="2"/>
        <v>50</v>
      </c>
      <c r="B57" s="15"/>
      <c r="C57" s="14"/>
      <c r="D57" s="14"/>
      <c r="E57" s="14"/>
      <c r="F57" s="14"/>
      <c r="K57" s="14"/>
      <c r="L57" s="14"/>
    </row>
    <row r="58" spans="1:14" x14ac:dyDescent="0.2">
      <c r="A58" s="11">
        <f t="shared" si="2"/>
        <v>51</v>
      </c>
      <c r="B58" s="15"/>
      <c r="C58" s="14"/>
      <c r="D58" s="14"/>
      <c r="E58" s="14"/>
      <c r="F58" s="14"/>
    </row>
    <row r="59" spans="1:14" ht="12" thickBot="1" x14ac:dyDescent="0.25">
      <c r="A59" s="11">
        <f t="shared" si="2"/>
        <v>52</v>
      </c>
      <c r="B59" s="15" t="s">
        <v>126</v>
      </c>
      <c r="C59" s="31">
        <f>SUM(C51,C56)</f>
        <v>2094679078.2726216</v>
      </c>
      <c r="D59" s="31">
        <f>SUM(D51,D56)</f>
        <v>2077221252.4626217</v>
      </c>
      <c r="E59" s="31">
        <f>SUM(E51,E56)</f>
        <v>434445.04000000004</v>
      </c>
      <c r="F59" s="31">
        <f>SUM(F51,F56)</f>
        <v>17023380.770000003</v>
      </c>
      <c r="H59" s="14">
        <f>I59-C59</f>
        <v>14181030.292725325</v>
      </c>
      <c r="I59" s="14">
        <v>2108860108.565347</v>
      </c>
      <c r="J59" s="14">
        <f>K59-I59</f>
        <v>9749529.1303141117</v>
      </c>
      <c r="K59" s="14">
        <v>2118609637.6956611</v>
      </c>
      <c r="L59" s="14">
        <f>M59-K59</f>
        <v>22389080.988265514</v>
      </c>
      <c r="M59" s="14">
        <v>2140998718.6839266</v>
      </c>
    </row>
    <row r="60" spans="1:14" ht="12" thickTop="1" x14ac:dyDescent="0.2">
      <c r="A60" s="11">
        <f t="shared" si="2"/>
        <v>53</v>
      </c>
      <c r="B60" s="63"/>
      <c r="C60" s="14"/>
      <c r="D60" s="14"/>
      <c r="E60" s="14"/>
      <c r="F60" s="14"/>
      <c r="H60" s="14">
        <f>H59-'Exh CTM-4 (Proforma kWh &amp; Rev)'!P36</f>
        <v>-0.37152427062392235</v>
      </c>
      <c r="I60" s="14">
        <f>I59-'Exh CTM-4 (Proforma kWh &amp; Rev)'!Q36</f>
        <v>0</v>
      </c>
      <c r="J60" s="14">
        <f>J59-'Exh CTM-4 (Proforma kWh &amp; Rev)'!R36</f>
        <v>0</v>
      </c>
      <c r="K60" s="14">
        <f>K59-'Exh CTM-4 (Proforma kWh &amp; Rev)'!S36</f>
        <v>0</v>
      </c>
      <c r="L60" s="14">
        <f>L59-'Exh CTM-4 (Proforma kWh &amp; Rev)'!T36</f>
        <v>-1.5646219253540039E-7</v>
      </c>
      <c r="M60" s="14">
        <f>M59-'Exh CTM-4 (Proforma kWh &amp; Rev)'!U36</f>
        <v>0</v>
      </c>
      <c r="N60" s="20" t="s">
        <v>1</v>
      </c>
    </row>
    <row r="61" spans="1:14" x14ac:dyDescent="0.2">
      <c r="A61" s="11">
        <f t="shared" si="2"/>
        <v>54</v>
      </c>
      <c r="B61" s="20" t="s">
        <v>125</v>
      </c>
      <c r="C61" s="14">
        <f>SUM(D61:F61)</f>
        <v>2094679077.9010973</v>
      </c>
      <c r="D61" s="14">
        <f>'Exh CTM-4 (Proforma kWh &amp; Rev)'!J36-SUM(E61:F61)</f>
        <v>2077221252.5810974</v>
      </c>
      <c r="E61" s="14">
        <f>'Exh CTM-4 (Proforma kWh &amp; Rev)'!J34</f>
        <v>434445</v>
      </c>
      <c r="F61" s="14">
        <f>'Exh CTM-4 (Proforma kWh &amp; Rev)'!J30</f>
        <v>17023380.32</v>
      </c>
      <c r="H61" s="14"/>
    </row>
    <row r="62" spans="1:14" x14ac:dyDescent="0.2">
      <c r="A62" s="11">
        <f t="shared" si="2"/>
        <v>55</v>
      </c>
      <c r="B62" s="20" t="s">
        <v>1</v>
      </c>
      <c r="C62" s="14">
        <f>+C59-C61</f>
        <v>0.37152433395385742</v>
      </c>
      <c r="D62" s="14">
        <f>+D59-D61</f>
        <v>-0.11847567558288574</v>
      </c>
      <c r="E62" s="14">
        <f>+E59-E61</f>
        <v>4.0000000037252903E-2</v>
      </c>
      <c r="F62" s="14">
        <f>+F59-F61</f>
        <v>0.45000000298023224</v>
      </c>
    </row>
    <row r="64" spans="1:14" x14ac:dyDescent="0.2">
      <c r="C64" s="14"/>
      <c r="D64" s="14"/>
    </row>
    <row r="65" spans="2:6" x14ac:dyDescent="0.2">
      <c r="B65" s="34"/>
      <c r="D65" s="14"/>
      <c r="F65" s="14"/>
    </row>
    <row r="66" spans="2:6" x14ac:dyDescent="0.2">
      <c r="D66" s="14"/>
    </row>
    <row r="67" spans="2:6" x14ac:dyDescent="0.2">
      <c r="D67" s="14"/>
    </row>
    <row r="68" spans="2:6" x14ac:dyDescent="0.2">
      <c r="D68" s="14"/>
    </row>
    <row r="69" spans="2:6" x14ac:dyDescent="0.2">
      <c r="D69" s="14"/>
    </row>
    <row r="70" spans="2:6" x14ac:dyDescent="0.2">
      <c r="D70" s="14"/>
      <c r="E70" s="14"/>
    </row>
    <row r="71" spans="2:6" x14ac:dyDescent="0.2">
      <c r="D71" s="14"/>
    </row>
    <row r="72" spans="2:6" x14ac:dyDescent="0.2">
      <c r="D72" s="14"/>
    </row>
    <row r="73" spans="2:6" x14ac:dyDescent="0.2">
      <c r="D73" s="14"/>
    </row>
    <row r="75" spans="2:6" x14ac:dyDescent="0.2">
      <c r="D75" s="14"/>
    </row>
  </sheetData>
  <mergeCells count="7">
    <mergeCell ref="L5:M5"/>
    <mergeCell ref="J5:K5"/>
    <mergeCell ref="H5:I5"/>
    <mergeCell ref="A1:M1"/>
    <mergeCell ref="A2:M2"/>
    <mergeCell ref="A3:M3"/>
    <mergeCell ref="A4:M4"/>
  </mergeCells>
  <pageMargins left="0.7" right="0.7" top="0.75" bottom="0.75" header="0.3" footer="0.3"/>
  <pageSetup scale="59" orientation="landscape" r:id="rId1"/>
  <headerFooter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63"/>
  <sheetViews>
    <sheetView zoomScaleNormal="100" workbookViewId="0">
      <pane xSplit="3" ySplit="9" topLeftCell="D10" activePane="bottomRight" state="frozen"/>
      <selection activeCell="G15" sqref="G15"/>
      <selection pane="topRight" activeCell="G15" sqref="G15"/>
      <selection pane="bottomLeft" activeCell="G15" sqref="G15"/>
      <selection pane="bottomRight" activeCell="G15" sqref="G15"/>
    </sheetView>
  </sheetViews>
  <sheetFormatPr defaultColWidth="10.28515625" defaultRowHeight="11.25" x14ac:dyDescent="0.2"/>
  <cols>
    <col min="1" max="1" width="4.42578125" style="35" bestFit="1" customWidth="1"/>
    <col min="2" max="2" width="9.7109375" style="35" customWidth="1"/>
    <col min="3" max="3" width="34.5703125" style="35" bestFit="1" customWidth="1"/>
    <col min="4" max="5" width="10.5703125" style="35" customWidth="1"/>
    <col min="6" max="6" width="0.85546875" style="35" customWidth="1"/>
    <col min="7" max="8" width="10.5703125" style="35" customWidth="1"/>
    <col min="9" max="9" width="0.85546875" style="35" customWidth="1"/>
    <col min="10" max="10" width="11.5703125" style="35" bestFit="1" customWidth="1"/>
    <col min="11" max="11" width="10.5703125" style="35" customWidth="1"/>
    <col min="12" max="12" width="0.85546875" style="35" customWidth="1"/>
    <col min="13" max="14" width="10.5703125" style="35" customWidth="1"/>
    <col min="15" max="16384" width="10.28515625" style="35"/>
  </cols>
  <sheetData>
    <row r="1" spans="1:14" x14ac:dyDescent="0.2">
      <c r="A1" s="75" t="s">
        <v>172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2">
      <c r="A2" s="72" t="s">
        <v>175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">
      <c r="A3" s="79" t="s">
        <v>171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5" spans="1:14" x14ac:dyDescent="0.2">
      <c r="D5" s="76" t="s">
        <v>170</v>
      </c>
      <c r="E5" s="76"/>
      <c r="G5" s="76" t="s">
        <v>169</v>
      </c>
      <c r="H5" s="76"/>
      <c r="I5" s="76"/>
      <c r="J5" s="76"/>
      <c r="K5" s="76"/>
      <c r="L5" s="76"/>
      <c r="M5" s="76"/>
      <c r="N5" s="76"/>
    </row>
    <row r="7" spans="1:14" x14ac:dyDescent="0.2">
      <c r="A7" s="36"/>
      <c r="D7" s="78" t="s">
        <v>168</v>
      </c>
      <c r="E7" s="78"/>
      <c r="G7" s="77" t="s">
        <v>167</v>
      </c>
      <c r="H7" s="78"/>
      <c r="J7" s="77" t="s">
        <v>166</v>
      </c>
      <c r="K7" s="78"/>
      <c r="M7" s="77" t="s">
        <v>165</v>
      </c>
      <c r="N7" s="78"/>
    </row>
    <row r="8" spans="1:14" ht="33.75" x14ac:dyDescent="0.2">
      <c r="A8" s="37" t="s">
        <v>119</v>
      </c>
      <c r="B8" s="37" t="s">
        <v>164</v>
      </c>
      <c r="C8" s="38" t="s">
        <v>117</v>
      </c>
      <c r="D8" s="39" t="s">
        <v>163</v>
      </c>
      <c r="E8" s="37" t="s">
        <v>162</v>
      </c>
      <c r="G8" s="39" t="s">
        <v>163</v>
      </c>
      <c r="H8" s="37" t="s">
        <v>162</v>
      </c>
      <c r="J8" s="39" t="s">
        <v>163</v>
      </c>
      <c r="K8" s="37" t="s">
        <v>162</v>
      </c>
      <c r="M8" s="39" t="s">
        <v>163</v>
      </c>
      <c r="N8" s="37" t="s">
        <v>162</v>
      </c>
    </row>
    <row r="9" spans="1:14" x14ac:dyDescent="0.2">
      <c r="A9" s="40"/>
      <c r="B9" s="41" t="s">
        <v>106</v>
      </c>
      <c r="C9" s="41" t="s">
        <v>105</v>
      </c>
      <c r="D9" s="36" t="s">
        <v>104</v>
      </c>
      <c r="E9" s="36" t="s">
        <v>103</v>
      </c>
      <c r="F9" s="36"/>
      <c r="G9" s="36" t="s">
        <v>102</v>
      </c>
      <c r="H9" s="36" t="s">
        <v>101</v>
      </c>
      <c r="I9" s="36"/>
      <c r="J9" s="36" t="s">
        <v>100</v>
      </c>
      <c r="K9" s="36" t="s">
        <v>99</v>
      </c>
      <c r="L9" s="36"/>
      <c r="M9" s="36" t="s">
        <v>98</v>
      </c>
      <c r="N9" s="36" t="s">
        <v>97</v>
      </c>
    </row>
    <row r="10" spans="1:14" x14ac:dyDescent="0.2">
      <c r="A10" s="36">
        <v>1</v>
      </c>
      <c r="B10" s="36"/>
      <c r="C10" s="42"/>
    </row>
    <row r="11" spans="1:14" x14ac:dyDescent="0.2">
      <c r="A11" s="36">
        <f t="shared" ref="A11:A50" si="0">+A10+1</f>
        <v>2</v>
      </c>
      <c r="B11" s="43">
        <v>7</v>
      </c>
      <c r="C11" s="40" t="s">
        <v>157</v>
      </c>
      <c r="D11" s="44">
        <v>11064440.8695</v>
      </c>
      <c r="E11" s="45">
        <v>1181435.0741398777</v>
      </c>
      <c r="G11" s="44">
        <v>11222841.033120835</v>
      </c>
      <c r="H11" s="45">
        <v>1194479.8666739792</v>
      </c>
      <c r="J11" s="44">
        <v>11278205.851395365</v>
      </c>
      <c r="K11" s="45">
        <v>1204729.1706118267</v>
      </c>
      <c r="M11" s="44">
        <v>11447649.239713971</v>
      </c>
      <c r="N11" s="45">
        <v>1222343.1436540133</v>
      </c>
    </row>
    <row r="12" spans="1:14" x14ac:dyDescent="0.2">
      <c r="A12" s="36">
        <f t="shared" si="0"/>
        <v>3</v>
      </c>
      <c r="B12" s="46" t="s">
        <v>156</v>
      </c>
      <c r="C12" s="40" t="s">
        <v>153</v>
      </c>
      <c r="D12" s="44">
        <v>2730372</v>
      </c>
      <c r="E12" s="45">
        <v>273367.43306399998</v>
      </c>
      <c r="G12" s="44">
        <v>2758819.0838366812</v>
      </c>
      <c r="H12" s="45">
        <v>274417.195408731</v>
      </c>
      <c r="J12" s="44">
        <v>2762635.9661696986</v>
      </c>
      <c r="K12" s="45">
        <v>276203.42620525771</v>
      </c>
      <c r="M12" s="44">
        <v>2774967.4222693904</v>
      </c>
      <c r="N12" s="45">
        <v>277607.84528830717</v>
      </c>
    </row>
    <row r="13" spans="1:14" x14ac:dyDescent="0.2">
      <c r="A13" s="36">
        <f t="shared" si="0"/>
        <v>4</v>
      </c>
      <c r="B13" s="43" t="s">
        <v>155</v>
      </c>
      <c r="C13" s="40" t="s">
        <v>153</v>
      </c>
      <c r="D13" s="44">
        <v>2948172</v>
      </c>
      <c r="E13" s="45">
        <v>270550.85321436689</v>
      </c>
      <c r="G13" s="44">
        <v>2994668.2444122462</v>
      </c>
      <c r="H13" s="45">
        <v>272825.57998281199</v>
      </c>
      <c r="J13" s="44">
        <v>2960202.2748054704</v>
      </c>
      <c r="K13" s="45">
        <v>269454.987664468</v>
      </c>
      <c r="M13" s="44">
        <v>2968720.1746374387</v>
      </c>
      <c r="N13" s="45">
        <v>270193.13992299937</v>
      </c>
    </row>
    <row r="14" spans="1:14" x14ac:dyDescent="0.2">
      <c r="A14" s="36">
        <f t="shared" si="0"/>
        <v>5</v>
      </c>
      <c r="B14" s="46" t="s">
        <v>154</v>
      </c>
      <c r="C14" s="40" t="s">
        <v>153</v>
      </c>
      <c r="D14" s="44">
        <v>1853862</v>
      </c>
      <c r="E14" s="45">
        <v>151935.46105485866</v>
      </c>
      <c r="G14" s="44">
        <v>1812412.3735068226</v>
      </c>
      <c r="H14" s="45">
        <v>152673.45296303002</v>
      </c>
      <c r="J14" s="44">
        <v>2013891.730800048</v>
      </c>
      <c r="K14" s="45">
        <v>166247.58739595214</v>
      </c>
      <c r="M14" s="44">
        <v>2056791.5632414524</v>
      </c>
      <c r="N14" s="45">
        <v>169813.64634455775</v>
      </c>
    </row>
    <row r="15" spans="1:14" x14ac:dyDescent="0.2">
      <c r="A15" s="36">
        <f t="shared" si="0"/>
        <v>6</v>
      </c>
      <c r="B15" s="43">
        <v>29</v>
      </c>
      <c r="C15" s="40" t="s">
        <v>152</v>
      </c>
      <c r="D15" s="44">
        <v>15233.452499999999</v>
      </c>
      <c r="E15" s="45">
        <v>1301.0961887460085</v>
      </c>
      <c r="G15" s="44">
        <v>14811.111999999999</v>
      </c>
      <c r="H15" s="45">
        <v>1146.110070449</v>
      </c>
      <c r="J15" s="44">
        <v>14930.059630887465</v>
      </c>
      <c r="K15" s="45">
        <v>1218.1904620676419</v>
      </c>
      <c r="M15" s="44">
        <v>14843.026361509495</v>
      </c>
      <c r="N15" s="45">
        <v>1212.2189178831318</v>
      </c>
    </row>
    <row r="16" spans="1:14" x14ac:dyDescent="0.2">
      <c r="A16" s="36">
        <f t="shared" si="0"/>
        <v>7</v>
      </c>
      <c r="B16" s="43" t="s">
        <v>151</v>
      </c>
      <c r="C16" s="35" t="s">
        <v>150</v>
      </c>
      <c r="D16" s="44">
        <v>1335448</v>
      </c>
      <c r="E16" s="45">
        <v>109258.65047763815</v>
      </c>
      <c r="G16" s="44">
        <v>1384443.5913347164</v>
      </c>
      <c r="H16" s="45">
        <v>114129.99514412828</v>
      </c>
      <c r="J16" s="44">
        <v>1423586.0194788037</v>
      </c>
      <c r="K16" s="45">
        <v>115242.15706590378</v>
      </c>
      <c r="M16" s="44">
        <v>1411297.972088391</v>
      </c>
      <c r="N16" s="45">
        <v>114154.21180589651</v>
      </c>
    </row>
    <row r="17" spans="1:14" x14ac:dyDescent="0.2">
      <c r="A17" s="36">
        <f t="shared" si="0"/>
        <v>8</v>
      </c>
      <c r="B17" s="43">
        <v>35</v>
      </c>
      <c r="C17" s="40" t="s">
        <v>149</v>
      </c>
      <c r="D17" s="44">
        <v>4695</v>
      </c>
      <c r="E17" s="45">
        <v>293.08723693641747</v>
      </c>
      <c r="G17" s="44">
        <v>5272.77</v>
      </c>
      <c r="H17" s="45">
        <v>362.87833666</v>
      </c>
      <c r="J17" s="44">
        <v>4407.2601568774417</v>
      </c>
      <c r="K17" s="45">
        <v>273.0414061950828</v>
      </c>
      <c r="M17" s="44">
        <v>4380.2811514552523</v>
      </c>
      <c r="N17" s="45">
        <v>271.40359614562948</v>
      </c>
    </row>
    <row r="18" spans="1:14" x14ac:dyDescent="0.2">
      <c r="A18" s="36">
        <f t="shared" si="0"/>
        <v>9</v>
      </c>
      <c r="B18" s="43">
        <v>43</v>
      </c>
      <c r="C18" s="40" t="s">
        <v>148</v>
      </c>
      <c r="D18" s="44">
        <v>119782</v>
      </c>
      <c r="E18" s="45">
        <v>10687.074082303612</v>
      </c>
      <c r="G18" s="44">
        <v>121497.63767220282</v>
      </c>
      <c r="H18" s="45">
        <v>10359.297581659001</v>
      </c>
      <c r="J18" s="44">
        <v>122267.4246450724</v>
      </c>
      <c r="K18" s="45">
        <v>10672.382731891481</v>
      </c>
      <c r="M18" s="44">
        <v>121633.77910385114</v>
      </c>
      <c r="N18" s="45">
        <v>10605.568012262374</v>
      </c>
    </row>
    <row r="19" spans="1:14" x14ac:dyDescent="0.2">
      <c r="A19" s="36">
        <f t="shared" si="0"/>
        <v>10</v>
      </c>
      <c r="B19" s="43">
        <v>46</v>
      </c>
      <c r="C19" s="35" t="s">
        <v>147</v>
      </c>
      <c r="D19" s="44">
        <v>89210.525500000018</v>
      </c>
      <c r="E19" s="45">
        <v>5629.3069567610009</v>
      </c>
      <c r="G19" s="44">
        <v>96359.414999999994</v>
      </c>
      <c r="H19" s="45">
        <v>6440.8378211039999</v>
      </c>
      <c r="J19" s="44">
        <v>96933.187043131707</v>
      </c>
      <c r="K19" s="45">
        <v>6270.5030006521047</v>
      </c>
      <c r="M19" s="44">
        <v>96918.964527943099</v>
      </c>
      <c r="N19" s="45">
        <v>6266.710038335098</v>
      </c>
    </row>
    <row r="20" spans="1:14" x14ac:dyDescent="0.2">
      <c r="A20" s="36">
        <f t="shared" si="0"/>
        <v>11</v>
      </c>
      <c r="B20" s="43">
        <v>49</v>
      </c>
      <c r="C20" s="40" t="s">
        <v>146</v>
      </c>
      <c r="D20" s="44">
        <v>499683</v>
      </c>
      <c r="E20" s="45">
        <v>32177.934112939227</v>
      </c>
      <c r="G20" s="44">
        <v>545881.80700000003</v>
      </c>
      <c r="H20" s="45">
        <v>35025.448363894</v>
      </c>
      <c r="J20" s="44">
        <v>534843.22630681552</v>
      </c>
      <c r="K20" s="45">
        <v>34454.358002142522</v>
      </c>
      <c r="M20" s="44">
        <v>534899.24267952598</v>
      </c>
      <c r="N20" s="45">
        <v>34435.753957626817</v>
      </c>
    </row>
    <row r="21" spans="1:14" x14ac:dyDescent="0.2">
      <c r="A21" s="36">
        <f t="shared" si="0"/>
        <v>12</v>
      </c>
      <c r="B21" s="43" t="s">
        <v>145</v>
      </c>
      <c r="C21" s="40" t="s">
        <v>144</v>
      </c>
      <c r="D21" s="44">
        <v>61382</v>
      </c>
      <c r="E21" s="45">
        <v>15317.545299997821</v>
      </c>
      <c r="G21" s="44">
        <v>66745.094464439666</v>
      </c>
      <c r="H21" s="45">
        <v>15360.581</v>
      </c>
      <c r="J21" s="44">
        <v>67255.417982360828</v>
      </c>
      <c r="K21" s="45">
        <v>16783.224913086899</v>
      </c>
      <c r="M21" s="44">
        <v>67027.608143863312</v>
      </c>
      <c r="N21" s="45">
        <v>16726.376203025789</v>
      </c>
    </row>
    <row r="22" spans="1:14" x14ac:dyDescent="0.2">
      <c r="A22" s="36">
        <f t="shared" si="0"/>
        <v>13</v>
      </c>
      <c r="B22" s="43" t="s">
        <v>143</v>
      </c>
      <c r="C22" s="40" t="s">
        <v>142</v>
      </c>
      <c r="D22" s="44">
        <v>1895104</v>
      </c>
      <c r="E22" s="45">
        <v>13584.723</v>
      </c>
      <c r="G22" s="44">
        <v>1946223.571888</v>
      </c>
      <c r="H22" s="45">
        <v>13399.40532</v>
      </c>
      <c r="J22" s="44">
        <v>1967511.9603194918</v>
      </c>
      <c r="K22" s="45">
        <v>13584.723</v>
      </c>
      <c r="M22" s="44">
        <v>1964993.5656779518</v>
      </c>
      <c r="N22" s="45">
        <v>13584.723</v>
      </c>
    </row>
    <row r="23" spans="1:14" x14ac:dyDescent="0.2">
      <c r="A23" s="36">
        <f t="shared" si="0"/>
        <v>14</v>
      </c>
      <c r="B23" s="43" t="s">
        <v>141</v>
      </c>
      <c r="C23" s="40" t="s">
        <v>140</v>
      </c>
      <c r="D23" s="44">
        <v>289426</v>
      </c>
      <c r="E23" s="45">
        <v>3558.1232504366458</v>
      </c>
      <c r="G23" s="44">
        <v>316656.90437499993</v>
      </c>
      <c r="H23" s="45">
        <v>3623.9749999999999</v>
      </c>
      <c r="J23" s="44">
        <v>304773.05546200002</v>
      </c>
      <c r="K23" s="45">
        <v>3169.1698069353329</v>
      </c>
      <c r="M23" s="44">
        <v>304773.05546200002</v>
      </c>
      <c r="N23" s="45">
        <v>3477.8268069353326</v>
      </c>
    </row>
    <row r="24" spans="1:14" x14ac:dyDescent="0.2">
      <c r="A24" s="36">
        <f t="shared" si="0"/>
        <v>15</v>
      </c>
      <c r="B24" s="43">
        <v>5</v>
      </c>
      <c r="C24" s="40" t="s">
        <v>56</v>
      </c>
      <c r="D24" s="44">
        <v>7552</v>
      </c>
      <c r="E24" s="45">
        <v>344.30432511963716</v>
      </c>
      <c r="G24" s="44">
        <v>6767.8451784540002</v>
      </c>
      <c r="H24" s="45">
        <v>434.44499999999999</v>
      </c>
      <c r="J24" s="44">
        <v>6714.9602368700616</v>
      </c>
      <c r="K24" s="45">
        <v>306.71392664298855</v>
      </c>
      <c r="M24" s="44">
        <v>6710.0498818741435</v>
      </c>
      <c r="N24" s="45">
        <v>306.14963955806076</v>
      </c>
    </row>
    <row r="25" spans="1:14" x14ac:dyDescent="0.2">
      <c r="A25" s="36">
        <f t="shared" si="0"/>
        <v>16</v>
      </c>
      <c r="D25" s="44"/>
      <c r="G25" s="44"/>
      <c r="J25" s="44"/>
      <c r="M25" s="44"/>
    </row>
    <row r="26" spans="1:14" ht="12" thickBot="1" x14ac:dyDescent="0.25">
      <c r="A26" s="36">
        <f t="shared" si="0"/>
        <v>17</v>
      </c>
      <c r="C26" s="35" t="s">
        <v>136</v>
      </c>
      <c r="D26" s="47">
        <f>SUM(D11:D25)</f>
        <v>22914362.8475</v>
      </c>
      <c r="E26" s="48">
        <f>SUM(E11:E25)</f>
        <v>2069440.6664039819</v>
      </c>
      <c r="G26" s="47">
        <f>SUM(G11:G25)</f>
        <v>23293400.483789399</v>
      </c>
      <c r="H26" s="48">
        <f>SUM(H11:H25)</f>
        <v>2094679.0686664467</v>
      </c>
      <c r="J26" s="47">
        <f>SUM(J11:J25)</f>
        <v>23558158.394432891</v>
      </c>
      <c r="K26" s="48">
        <f>SUM(K11:K25)</f>
        <v>2118609.6361930226</v>
      </c>
      <c r="M26" s="47">
        <f>SUM(M11:M25)</f>
        <v>23775605.944940615</v>
      </c>
      <c r="N26" s="48">
        <f>SUM(N11:N25)</f>
        <v>2140998.7171875467</v>
      </c>
    </row>
    <row r="27" spans="1:14" ht="12" thickTop="1" x14ac:dyDescent="0.2">
      <c r="A27" s="36">
        <f t="shared" si="0"/>
        <v>18</v>
      </c>
      <c r="D27" s="44"/>
      <c r="E27" s="49"/>
      <c r="G27" s="44"/>
      <c r="H27" s="45"/>
      <c r="J27" s="44"/>
      <c r="K27" s="50"/>
      <c r="M27" s="44"/>
      <c r="N27" s="45"/>
    </row>
    <row r="28" spans="1:14" x14ac:dyDescent="0.2">
      <c r="A28" s="36">
        <f t="shared" si="0"/>
        <v>19</v>
      </c>
      <c r="C28" s="35" t="s">
        <v>161</v>
      </c>
      <c r="H28" s="50"/>
      <c r="K28" s="50">
        <f>(E26-K26)/1000</f>
        <v>-49.168969789040737</v>
      </c>
      <c r="L28" s="50"/>
      <c r="N28" s="50">
        <f>(K26-N26)/1000</f>
        <v>-22.389080994524061</v>
      </c>
    </row>
    <row r="29" spans="1:14" x14ac:dyDescent="0.2">
      <c r="A29" s="36">
        <f t="shared" si="0"/>
        <v>20</v>
      </c>
      <c r="C29" s="35" t="s">
        <v>160</v>
      </c>
      <c r="K29" s="50">
        <v>-12.309717029466706</v>
      </c>
      <c r="L29" s="50"/>
      <c r="N29" s="50">
        <v>0</v>
      </c>
    </row>
    <row r="30" spans="1:14" x14ac:dyDescent="0.2">
      <c r="A30" s="36">
        <f t="shared" si="0"/>
        <v>21</v>
      </c>
      <c r="C30" s="35" t="s">
        <v>159</v>
      </c>
      <c r="J30" s="45"/>
      <c r="K30" s="49">
        <f>SUM(K28:K29)</f>
        <v>-61.478686818507441</v>
      </c>
      <c r="L30" s="51"/>
      <c r="M30" s="51"/>
      <c r="N30" s="49">
        <f>SUM(N28:N29)</f>
        <v>-22.389080994524061</v>
      </c>
    </row>
    <row r="31" spans="1:14" x14ac:dyDescent="0.2">
      <c r="A31" s="36">
        <f t="shared" si="0"/>
        <v>22</v>
      </c>
      <c r="J31" s="45"/>
      <c r="K31" s="49"/>
      <c r="L31" s="51"/>
      <c r="M31" s="51"/>
      <c r="N31" s="49"/>
    </row>
    <row r="32" spans="1:14" x14ac:dyDescent="0.2">
      <c r="A32" s="36">
        <f t="shared" si="0"/>
        <v>23</v>
      </c>
      <c r="J32" s="45"/>
      <c r="K32" s="49"/>
      <c r="L32" s="51"/>
      <c r="M32" s="51"/>
      <c r="N32" s="49"/>
    </row>
    <row r="33" spans="1:14" x14ac:dyDescent="0.2">
      <c r="A33" s="36">
        <f t="shared" si="0"/>
        <v>24</v>
      </c>
      <c r="B33" s="52" t="s">
        <v>158</v>
      </c>
    </row>
    <row r="34" spans="1:14" x14ac:dyDescent="0.2">
      <c r="A34" s="36">
        <f t="shared" si="0"/>
        <v>25</v>
      </c>
      <c r="B34" s="43">
        <v>7</v>
      </c>
      <c r="C34" s="40" t="s">
        <v>157</v>
      </c>
      <c r="G34" s="53">
        <f t="shared" ref="G34:G47" si="1">G11/$D11-1</f>
        <v>1.4316147150054137E-2</v>
      </c>
      <c r="H34" s="53">
        <f t="shared" ref="H34:H47" si="2">H11/$E11-1</f>
        <v>1.1041480670106685E-2</v>
      </c>
      <c r="J34" s="53">
        <f t="shared" ref="J34:J47" si="3">J11/$D11-1</f>
        <v>1.9319998580734854E-2</v>
      </c>
      <c r="K34" s="53">
        <f t="shared" ref="K34:K47" si="4">K11/$E11-1</f>
        <v>1.971678087254003E-2</v>
      </c>
      <c r="M34" s="53">
        <f t="shared" ref="M34:M47" si="5">M11/$D11-1</f>
        <v>3.4634228221176011E-2</v>
      </c>
      <c r="N34" s="53">
        <f t="shared" ref="N34:N47" si="6">N11/$E11-1</f>
        <v>3.4625744917821999E-2</v>
      </c>
    </row>
    <row r="35" spans="1:14" x14ac:dyDescent="0.2">
      <c r="A35" s="36">
        <f t="shared" si="0"/>
        <v>26</v>
      </c>
      <c r="B35" s="46" t="s">
        <v>156</v>
      </c>
      <c r="C35" s="40" t="s">
        <v>153</v>
      </c>
      <c r="G35" s="53">
        <f t="shared" si="1"/>
        <v>1.0418757530725298E-2</v>
      </c>
      <c r="H35" s="53">
        <f t="shared" si="2"/>
        <v>3.8401148701763255E-3</v>
      </c>
      <c r="J35" s="53">
        <f t="shared" si="3"/>
        <v>1.181669243960104E-2</v>
      </c>
      <c r="K35" s="53">
        <f t="shared" si="4"/>
        <v>1.0374290417373144E-2</v>
      </c>
      <c r="M35" s="53">
        <f t="shared" si="5"/>
        <v>1.6333093904197016E-2</v>
      </c>
      <c r="N35" s="53">
        <f t="shared" si="6"/>
        <v>1.5511768087292488E-2</v>
      </c>
    </row>
    <row r="36" spans="1:14" x14ac:dyDescent="0.2">
      <c r="A36" s="36">
        <f t="shared" si="0"/>
        <v>27</v>
      </c>
      <c r="B36" s="43" t="s">
        <v>155</v>
      </c>
      <c r="C36" s="40" t="s">
        <v>153</v>
      </c>
      <c r="G36" s="53">
        <f t="shared" si="1"/>
        <v>1.5771211588823997E-2</v>
      </c>
      <c r="H36" s="53">
        <f t="shared" si="2"/>
        <v>8.4077604687602392E-3</v>
      </c>
      <c r="J36" s="53">
        <f t="shared" si="3"/>
        <v>4.0805878373006976E-3</v>
      </c>
      <c r="K36" s="53">
        <f t="shared" si="4"/>
        <v>-4.0504974827434426E-3</v>
      </c>
      <c r="M36" s="53">
        <f t="shared" si="5"/>
        <v>6.9698018424428909E-3</v>
      </c>
      <c r="N36" s="53">
        <f t="shared" si="6"/>
        <v>-1.3221665617298983E-3</v>
      </c>
    </row>
    <row r="37" spans="1:14" x14ac:dyDescent="0.2">
      <c r="A37" s="36">
        <f t="shared" si="0"/>
        <v>28</v>
      </c>
      <c r="B37" s="46" t="s">
        <v>154</v>
      </c>
      <c r="C37" s="40" t="s">
        <v>153</v>
      </c>
      <c r="G37" s="53">
        <f t="shared" si="1"/>
        <v>-2.2358528570722846E-2</v>
      </c>
      <c r="H37" s="53">
        <f t="shared" si="2"/>
        <v>4.8572723118593952E-3</v>
      </c>
      <c r="J37" s="53">
        <f t="shared" si="3"/>
        <v>8.6322353443809785E-2</v>
      </c>
      <c r="K37" s="53">
        <f t="shared" si="4"/>
        <v>9.4198722547897296E-2</v>
      </c>
      <c r="M37" s="53">
        <f t="shared" si="5"/>
        <v>0.10946314409673019</v>
      </c>
      <c r="N37" s="53">
        <f t="shared" si="6"/>
        <v>0.11766960237968349</v>
      </c>
    </row>
    <row r="38" spans="1:14" x14ac:dyDescent="0.2">
      <c r="A38" s="36">
        <f t="shared" si="0"/>
        <v>29</v>
      </c>
      <c r="B38" s="43">
        <v>29</v>
      </c>
      <c r="C38" s="40" t="s">
        <v>152</v>
      </c>
      <c r="G38" s="53">
        <f t="shared" si="1"/>
        <v>-2.772454241741984E-2</v>
      </c>
      <c r="H38" s="53">
        <f t="shared" si="2"/>
        <v>-0.11911964667760921</v>
      </c>
      <c r="J38" s="53">
        <f t="shared" si="3"/>
        <v>-1.9916225104751217E-2</v>
      </c>
      <c r="K38" s="53">
        <f t="shared" si="4"/>
        <v>-6.371990587280929E-2</v>
      </c>
      <c r="M38" s="53">
        <f t="shared" si="5"/>
        <v>-2.5629524133843229E-2</v>
      </c>
      <c r="N38" s="53">
        <f t="shared" si="6"/>
        <v>-6.8309531325686401E-2</v>
      </c>
    </row>
    <row r="39" spans="1:14" x14ac:dyDescent="0.2">
      <c r="A39" s="36">
        <f t="shared" si="0"/>
        <v>30</v>
      </c>
      <c r="B39" s="43" t="s">
        <v>151</v>
      </c>
      <c r="C39" s="35" t="s">
        <v>150</v>
      </c>
      <c r="G39" s="53">
        <f t="shared" si="1"/>
        <v>3.6688505531264681E-2</v>
      </c>
      <c r="H39" s="53">
        <f t="shared" si="2"/>
        <v>4.4585436898537667E-2</v>
      </c>
      <c r="J39" s="53">
        <f t="shared" si="3"/>
        <v>6.5998840448151963E-2</v>
      </c>
      <c r="K39" s="53">
        <f t="shared" si="4"/>
        <v>5.4764602730383194E-2</v>
      </c>
      <c r="M39" s="53">
        <f t="shared" si="5"/>
        <v>5.6797398392442799E-2</v>
      </c>
      <c r="N39" s="53">
        <f t="shared" si="6"/>
        <v>4.4807082156486322E-2</v>
      </c>
    </row>
    <row r="40" spans="1:14" x14ac:dyDescent="0.2">
      <c r="A40" s="36">
        <f t="shared" si="0"/>
        <v>31</v>
      </c>
      <c r="B40" s="43">
        <v>35</v>
      </c>
      <c r="C40" s="40" t="s">
        <v>149</v>
      </c>
      <c r="G40" s="53">
        <f t="shared" si="1"/>
        <v>0.12306070287539939</v>
      </c>
      <c r="H40" s="53">
        <f t="shared" si="2"/>
        <v>0.23812398128657875</v>
      </c>
      <c r="J40" s="53">
        <f t="shared" si="3"/>
        <v>-6.1286441559650351E-2</v>
      </c>
      <c r="K40" s="53">
        <f t="shared" si="4"/>
        <v>-6.8395440725668388E-2</v>
      </c>
      <c r="M40" s="53">
        <f t="shared" si="5"/>
        <v>-6.7032768593130565E-2</v>
      </c>
      <c r="N40" s="53">
        <f t="shared" si="6"/>
        <v>-7.3983572322844138E-2</v>
      </c>
    </row>
    <row r="41" spans="1:14" x14ac:dyDescent="0.2">
      <c r="A41" s="36">
        <f t="shared" si="0"/>
        <v>32</v>
      </c>
      <c r="B41" s="43">
        <v>43</v>
      </c>
      <c r="C41" s="40" t="s">
        <v>148</v>
      </c>
      <c r="G41" s="53">
        <f t="shared" si="1"/>
        <v>1.4323000719664192E-2</v>
      </c>
      <c r="H41" s="53">
        <f t="shared" si="2"/>
        <v>-3.0670368533083026E-2</v>
      </c>
      <c r="J41" s="53">
        <f t="shared" si="3"/>
        <v>2.0749567089148657E-2</v>
      </c>
      <c r="K41" s="53">
        <f t="shared" si="4"/>
        <v>-1.3746840621661205E-3</v>
      </c>
      <c r="M41" s="53">
        <f t="shared" si="5"/>
        <v>1.5459577431092608E-2</v>
      </c>
      <c r="N41" s="53">
        <f t="shared" si="6"/>
        <v>-7.6266028862100876E-3</v>
      </c>
    </row>
    <row r="42" spans="1:14" x14ac:dyDescent="0.2">
      <c r="A42" s="36">
        <f t="shared" si="0"/>
        <v>33</v>
      </c>
      <c r="B42" s="43">
        <v>46</v>
      </c>
      <c r="C42" s="35" t="s">
        <v>147</v>
      </c>
      <c r="G42" s="53">
        <f t="shared" si="1"/>
        <v>8.0135045275570915E-2</v>
      </c>
      <c r="H42" s="53">
        <f t="shared" si="2"/>
        <v>0.14416177170234445</v>
      </c>
      <c r="J42" s="53">
        <f t="shared" si="3"/>
        <v>8.6566708354741007E-2</v>
      </c>
      <c r="K42" s="53">
        <f t="shared" si="4"/>
        <v>0.11390319426816897</v>
      </c>
      <c r="M42" s="53">
        <f t="shared" si="5"/>
        <v>8.6407281929339996E-2</v>
      </c>
      <c r="N42" s="53">
        <f t="shared" si="6"/>
        <v>0.11322940576344886</v>
      </c>
    </row>
    <row r="43" spans="1:14" x14ac:dyDescent="0.2">
      <c r="A43" s="36">
        <f t="shared" si="0"/>
        <v>34</v>
      </c>
      <c r="B43" s="43">
        <v>49</v>
      </c>
      <c r="C43" s="40" t="s">
        <v>146</v>
      </c>
      <c r="G43" s="53">
        <f t="shared" si="1"/>
        <v>9.2456231250612975E-2</v>
      </c>
      <c r="H43" s="53">
        <f t="shared" si="2"/>
        <v>8.8492761560156952E-2</v>
      </c>
      <c r="J43" s="53">
        <f t="shared" si="3"/>
        <v>7.0365064064247695E-2</v>
      </c>
      <c r="K43" s="53">
        <f t="shared" si="4"/>
        <v>7.0744873838495259E-2</v>
      </c>
      <c r="M43" s="53">
        <f t="shared" si="5"/>
        <v>7.0477167883490122E-2</v>
      </c>
      <c r="N43" s="53">
        <f t="shared" si="6"/>
        <v>7.0166712280627319E-2</v>
      </c>
    </row>
    <row r="44" spans="1:14" x14ac:dyDescent="0.2">
      <c r="A44" s="36">
        <f t="shared" si="0"/>
        <v>35</v>
      </c>
      <c r="B44" s="43" t="s">
        <v>145</v>
      </c>
      <c r="C44" s="40" t="s">
        <v>144</v>
      </c>
      <c r="G44" s="53">
        <f t="shared" si="1"/>
        <v>8.7372429449018796E-2</v>
      </c>
      <c r="H44" s="53">
        <f t="shared" si="2"/>
        <v>2.8095689720066819E-3</v>
      </c>
      <c r="J44" s="53">
        <f t="shared" si="3"/>
        <v>9.5686324693897706E-2</v>
      </c>
      <c r="K44" s="53">
        <f t="shared" si="4"/>
        <v>9.5686324693897706E-2</v>
      </c>
      <c r="M44" s="53">
        <f t="shared" si="5"/>
        <v>9.1974978721177436E-2</v>
      </c>
      <c r="N44" s="53">
        <f t="shared" si="6"/>
        <v>9.1974978721177214E-2</v>
      </c>
    </row>
    <row r="45" spans="1:14" x14ac:dyDescent="0.2">
      <c r="A45" s="36">
        <f t="shared" si="0"/>
        <v>36</v>
      </c>
      <c r="B45" s="43" t="s">
        <v>143</v>
      </c>
      <c r="C45" s="40" t="s">
        <v>142</v>
      </c>
      <c r="G45" s="53">
        <f t="shared" si="1"/>
        <v>2.6974546984228853E-2</v>
      </c>
      <c r="H45" s="53">
        <f t="shared" si="2"/>
        <v>-1.364162375633271E-2</v>
      </c>
      <c r="J45" s="53">
        <f t="shared" si="3"/>
        <v>3.8207908547231106E-2</v>
      </c>
      <c r="K45" s="53">
        <f t="shared" si="4"/>
        <v>0</v>
      </c>
      <c r="M45" s="53">
        <f t="shared" si="5"/>
        <v>3.6879013330113786E-2</v>
      </c>
      <c r="N45" s="53">
        <f t="shared" si="6"/>
        <v>0</v>
      </c>
    </row>
    <row r="46" spans="1:14" x14ac:dyDescent="0.2">
      <c r="A46" s="36">
        <f t="shared" si="0"/>
        <v>37</v>
      </c>
      <c r="B46" s="43" t="s">
        <v>141</v>
      </c>
      <c r="C46" s="40" t="s">
        <v>140</v>
      </c>
      <c r="G46" s="53">
        <f t="shared" si="1"/>
        <v>9.4085895444776746E-2</v>
      </c>
      <c r="H46" s="53">
        <f t="shared" si="2"/>
        <v>1.8507439154973993E-2</v>
      </c>
      <c r="J46" s="53">
        <f t="shared" si="3"/>
        <v>5.302583548817319E-2</v>
      </c>
      <c r="K46" s="53">
        <f t="shared" si="4"/>
        <v>-0.10931421317504431</v>
      </c>
      <c r="M46" s="53">
        <f t="shared" si="5"/>
        <v>5.302583548817319E-2</v>
      </c>
      <c r="N46" s="53">
        <f t="shared" si="6"/>
        <v>-2.2567077599534913E-2</v>
      </c>
    </row>
    <row r="47" spans="1:14" x14ac:dyDescent="0.2">
      <c r="A47" s="36">
        <f t="shared" si="0"/>
        <v>38</v>
      </c>
      <c r="B47" s="43">
        <v>5</v>
      </c>
      <c r="C47" s="40" t="s">
        <v>56</v>
      </c>
      <c r="G47" s="53">
        <f t="shared" si="1"/>
        <v>-0.10383406005640883</v>
      </c>
      <c r="H47" s="53">
        <f t="shared" si="2"/>
        <v>0.26180523538018652</v>
      </c>
      <c r="J47" s="53">
        <f t="shared" si="3"/>
        <v>-0.11083683304157022</v>
      </c>
      <c r="K47" s="53">
        <f t="shared" si="4"/>
        <v>-0.10917782825872691</v>
      </c>
      <c r="M47" s="53">
        <f t="shared" si="5"/>
        <v>-0.11148703894675005</v>
      </c>
      <c r="N47" s="53">
        <f t="shared" si="6"/>
        <v>-0.11081674779519135</v>
      </c>
    </row>
    <row r="48" spans="1:14" x14ac:dyDescent="0.2">
      <c r="A48" s="36">
        <f t="shared" si="0"/>
        <v>39</v>
      </c>
      <c r="G48" s="53"/>
      <c r="H48" s="53"/>
      <c r="J48" s="53"/>
      <c r="K48" s="53"/>
      <c r="M48" s="53"/>
      <c r="N48" s="53"/>
    </row>
    <row r="49" spans="1:14" ht="12" thickBot="1" x14ac:dyDescent="0.25">
      <c r="A49" s="36">
        <f t="shared" si="0"/>
        <v>40</v>
      </c>
      <c r="C49" s="35" t="s">
        <v>136</v>
      </c>
      <c r="G49" s="54">
        <f>G26/$D26-1</f>
        <v>1.6541487049497094E-2</v>
      </c>
      <c r="H49" s="54">
        <f>H26/$E26-1</f>
        <v>1.2195760270972578E-2</v>
      </c>
      <c r="J49" s="54">
        <f>J26/$D26-1</f>
        <v>2.8095721064447243E-2</v>
      </c>
      <c r="K49" s="54">
        <f>K26/$E26-1</f>
        <v>2.3759545556085282E-2</v>
      </c>
      <c r="M49" s="54">
        <f>M26/$D26-1</f>
        <v>3.7585295439911404E-2</v>
      </c>
      <c r="N49" s="54">
        <f>N26/$E26-1</f>
        <v>3.4578450083282419E-2</v>
      </c>
    </row>
    <row r="50" spans="1:14" ht="12" thickTop="1" x14ac:dyDescent="0.2">
      <c r="A50" s="36">
        <f t="shared" si="0"/>
        <v>41</v>
      </c>
    </row>
    <row r="51" spans="1:14" x14ac:dyDescent="0.2">
      <c r="A51" s="36"/>
    </row>
    <row r="52" spans="1:14" x14ac:dyDescent="0.2">
      <c r="A52" s="36"/>
    </row>
    <row r="53" spans="1:14" x14ac:dyDescent="0.2">
      <c r="A53" s="36"/>
    </row>
    <row r="54" spans="1:14" x14ac:dyDescent="0.2">
      <c r="A54" s="36"/>
    </row>
    <row r="55" spans="1:14" x14ac:dyDescent="0.2">
      <c r="A55" s="36"/>
    </row>
    <row r="56" spans="1:14" x14ac:dyDescent="0.2">
      <c r="A56" s="36"/>
    </row>
    <row r="57" spans="1:14" x14ac:dyDescent="0.2">
      <c r="A57" s="36"/>
    </row>
    <row r="58" spans="1:14" x14ac:dyDescent="0.2">
      <c r="A58" s="36"/>
    </row>
    <row r="59" spans="1:14" x14ac:dyDescent="0.2">
      <c r="A59" s="36"/>
    </row>
    <row r="60" spans="1:14" x14ac:dyDescent="0.2">
      <c r="A60" s="36"/>
    </row>
    <row r="61" spans="1:14" x14ac:dyDescent="0.2">
      <c r="A61" s="36"/>
    </row>
    <row r="62" spans="1:14" x14ac:dyDescent="0.2">
      <c r="A62" s="36"/>
    </row>
    <row r="63" spans="1:14" x14ac:dyDescent="0.2">
      <c r="A63" s="36"/>
    </row>
  </sheetData>
  <mergeCells count="9">
    <mergeCell ref="A1:N1"/>
    <mergeCell ref="A2:N2"/>
    <mergeCell ref="D5:E5"/>
    <mergeCell ref="J7:K7"/>
    <mergeCell ref="M7:N7"/>
    <mergeCell ref="G5:N5"/>
    <mergeCell ref="A3:N3"/>
    <mergeCell ref="D7:E7"/>
    <mergeCell ref="G7:H7"/>
  </mergeCells>
  <pageMargins left="0.7" right="0.7" top="0.75" bottom="0.75" header="0.3" footer="0.3"/>
  <pageSetup scale="71" orientation="landscape" r:id="rId1"/>
  <headerFooter>
    <oddFooter>&amp;R&amp;F
&amp;A
&amp;P of &amp;N</oddFooter>
  </headerFooter>
  <colBreaks count="1" manualBreakCount="1">
    <brk id="3" max="3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974C27-68F8-4B38-8810-05F35D6D9FF6}"/>
</file>

<file path=customXml/itemProps2.xml><?xml version="1.0" encoding="utf-8"?>
<ds:datastoreItem xmlns:ds="http://schemas.openxmlformats.org/officeDocument/2006/customXml" ds:itemID="{BCD60C78-AB54-468D-ACC8-FAC5D64D0316}"/>
</file>

<file path=customXml/itemProps3.xml><?xml version="1.0" encoding="utf-8"?>
<ds:datastoreItem xmlns:ds="http://schemas.openxmlformats.org/officeDocument/2006/customXml" ds:itemID="{1010247F-90E4-4E09-BC0D-6686E6602AF2}"/>
</file>

<file path=customXml/itemProps4.xml><?xml version="1.0" encoding="utf-8"?>
<ds:datastoreItem xmlns:ds="http://schemas.openxmlformats.org/officeDocument/2006/customXml" ds:itemID="{F36378D1-C04F-4146-9E90-245759A96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Exh CTM-4 (Proforma kWh &amp; Rev)</vt:lpstr>
      <vt:lpstr>Exh CTM-4 (Rev Req Summary)</vt:lpstr>
      <vt:lpstr>Exh CTM-4 (Load Analysis)</vt:lpstr>
      <vt:lpstr>'Exh CTM-4 (Load Analysis)'!Print_Area</vt:lpstr>
      <vt:lpstr>'Exh CTM-4 (Proforma kWh &amp; Rev)'!Print_Area</vt:lpstr>
      <vt:lpstr>'Exh CTM-4 (Proforma kWh &amp; Rev)'!Print_Titles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Mickelson, Christopher</cp:lastModifiedBy>
  <dcterms:created xsi:type="dcterms:W3CDTF">2024-02-08T18:32:31Z</dcterms:created>
  <dcterms:modified xsi:type="dcterms:W3CDTF">2024-02-09T16:00:16Z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