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75" windowWidth="10155" windowHeight="4245"/>
  </bookViews>
  <sheets>
    <sheet name="Debt Ratio Electric and Gas" sheetId="1" r:id="rId1"/>
    <sheet name="Debt Electric" sheetId="2" r:id="rId2"/>
    <sheet name="Debt Gas" sheetId="3" r:id="rId3"/>
    <sheet name="FFO to Debt Ratio Electric Gas" sheetId="12" state="hidden" r:id="rId4"/>
    <sheet name="FFO to Debt Electric" sheetId="13" state="hidden" r:id="rId5"/>
    <sheet name="FFO to Debt Gas" sheetId="14" state="hidden" r:id="rId6"/>
    <sheet name="Debt to EBITDA Ratio Elec Gas" sheetId="15" state="hidden" r:id="rId7"/>
    <sheet name="Debt to EBITDA Ratio Electric" sheetId="16" state="hidden" r:id="rId8"/>
    <sheet name="Debt to EBITDA Ratio Gas" sheetId="17" state="hidden" r:id="rId9"/>
    <sheet name="Ratings" sheetId="4" r:id="rId10"/>
    <sheet name="DebtRatios" sheetId="5" r:id="rId11"/>
    <sheet name="FFOtoDebtRatios" sheetId="9" state="hidden" r:id="rId12"/>
    <sheet name="DEBTtoEBITDARatios" sheetId="11" state="hidden" r:id="rId13"/>
    <sheet name="VL Universe" sheetId="6" r:id="rId14"/>
    <sheet name="VL Utilities" sheetId="7" r:id="rId15"/>
    <sheet name="Cedit Ratings (WP)" sheetId="8" r:id="rId16"/>
  </sheets>
  <definedNames>
    <definedName name="CR">'Cedit Ratings (WP)'!$C$3:$D$23</definedName>
    <definedName name="DRcr">OFFSET(DebtRatios!$C$10,1,0,DebtRatios!$H$6,1)</definedName>
    <definedName name="DRind">OFFSET(DebtRatios!$B$10,1,0,DebtRatios!$H$6,1)</definedName>
    <definedName name="DRqtrlyavg">OFFSET(DebtRatios!$E$10,1,0,DebtRatios!$H$6,1)</definedName>
    <definedName name="DRqtrlyvalues">OFFSET(DebtRatios!$I$10,1,DebtRatios!$H$1,DebtRatios!$H$6,DebtRatios!$H$5)</definedName>
    <definedName name="EBITDAcr">OFFSET(DEBTtoEBITDARatios!$C$10,1,0,DEBTtoEBITDARatios!$H$6,1)</definedName>
    <definedName name="EBITDAind">OFFSET(DEBTtoEBITDARatios!$B$10,1,0,DEBTtoEBITDARatios!$H$6,1)</definedName>
    <definedName name="EBITDAqtrlyavg">OFFSET(DEBTtoEBITDARatios!$E$10,1,0,DEBTtoEBITDARatios!$H$6,1)</definedName>
    <definedName name="EBITDAqtrlyvalues">OFFSET(DEBTtoEBITDARatios!$I$10,1,DEBTtoEBITDARatios!$H$1,DEBTtoEBITDARatios!$H$6,DEBTtoEBITDARatios!$H$5)</definedName>
    <definedName name="FFOcr">OFFSET(FFOtoDebtRatios!$C$10,1,0,FFOtoDebtRatios!$H$6,1)</definedName>
    <definedName name="FFOind">OFFSET(FFOtoDebtRatios!$B$10,1,0,FFOtoDebtRatios!$H$6,1)</definedName>
    <definedName name="FFOqtrlyavg">OFFSET(FFOtoDebtRatios!$E$10,1,0,FFOtoDebtRatios!$H$6,1)</definedName>
    <definedName name="FFOqtrlyvalues">OFFSET(FFOtoDebtRatios!$I$10,1,FFOtoDebtRatios!$H$1,FFOtoDebtRatios!$H$6,FFOtoDebtRatios!$H$5)</definedName>
    <definedName name="_xlnm.Print_Area" localSheetId="1">'Debt Electric'!$A$1:$N$49</definedName>
    <definedName name="_xlnm.Print_Area" localSheetId="2">'Debt Gas'!$A$1:$N$49</definedName>
    <definedName name="_xlnm.Print_Area" localSheetId="0">'Debt Ratio Electric and Gas'!$A$1:$N$49</definedName>
    <definedName name="_xlnm.Print_Area" localSheetId="6">'Debt to EBITDA Ratio Elec Gas'!$A$1:$N$49</definedName>
    <definedName name="_xlnm.Print_Area" localSheetId="7">'Debt to EBITDA Ratio Electric'!$A$1:$N$49</definedName>
    <definedName name="_xlnm.Print_Area" localSheetId="8">'Debt to EBITDA Ratio Gas'!$A$1:$N$49</definedName>
    <definedName name="_xlnm.Print_Area" localSheetId="4">'FFO to Debt Electric'!$A$1:$N$49</definedName>
    <definedName name="_xlnm.Print_Area" localSheetId="5">'FFO to Debt Gas'!$A$1:$N$49</definedName>
    <definedName name="_xlnm.Print_Area" localSheetId="3">'FFO to Debt Ratio Electric Gas'!$A$1:$N$49</definedName>
    <definedName name="QTRS">OFFSET(DebtRatios!$J$1,0,0,1,COUNTA(DebtRatios!$J$1:$XFD$1))</definedName>
    <definedName name="RATINGSindus">OFFSET(Ratings!$A$5,1,0,Ratings!$C$3,1)</definedName>
    <definedName name="RATINGSlocalcurrLT">OFFSET(Ratings!$I$5,1,0,Ratings!$C$3,1)</definedName>
    <definedName name="RATINGSname">OFFSET(Ratings!$E$5,1,0,Ratings!$C$3,1)</definedName>
    <definedName name="RATINGSparent">OFFSET(Ratings!$C$5,1,0,Ratings!$C$3,1)</definedName>
    <definedName name="VLUNIVname">OFFSET('VL Universe'!$E$5,1,0,'VL Universe'!$B$2,1)</definedName>
    <definedName name="VLUNIVparent">OFFSET('VL Universe'!$D$5,1,0,'VL Universe'!$B$2,1)</definedName>
    <definedName name="VLUNIVticker">OFFSET('VL Universe'!$B$5,1,0,'VL Universe'!$B$2,1)</definedName>
    <definedName name="VLUTIL">OFFSET('VL Utilities'!$C$4:$G$4,0,0,'VL Utilities'!$A$2,COUNTA('VL Utilities'!$C$3:$T$3))</definedName>
  </definedNames>
  <calcPr calcId="125725" iterate="1" iterateCount="300" iterateDelta="1E-4" calcOnSave="0"/>
</workbook>
</file>

<file path=xl/calcChain.xml><?xml version="1.0" encoding="utf-8"?>
<calcChain xmlns="http://schemas.openxmlformats.org/spreadsheetml/2006/main">
  <c r="A14" i="1"/>
  <c r="A14" i="2"/>
  <c r="A15"/>
  <c r="A14" i="3"/>
  <c r="A15" s="1"/>
  <c r="A14" i="12"/>
  <c r="A14" i="13"/>
  <c r="A14" i="14"/>
  <c r="A14" i="15"/>
  <c r="A15"/>
  <c r="A14" i="16"/>
  <c r="A14" i="17"/>
  <c r="C49"/>
  <c r="A13"/>
  <c r="A1"/>
  <c r="C49" i="16"/>
  <c r="A13"/>
  <c r="A1"/>
  <c r="A28" i="15"/>
  <c r="A28" i="17" s="1"/>
  <c r="A13" i="15"/>
  <c r="A1"/>
  <c r="A1" i="14"/>
  <c r="A1" i="13"/>
  <c r="A1" i="12"/>
  <c r="A1" i="3"/>
  <c r="A1" i="2"/>
  <c r="C49" i="14"/>
  <c r="A13"/>
  <c r="C49" i="13"/>
  <c r="A13"/>
  <c r="A28" i="12"/>
  <c r="A28" i="14" s="1"/>
  <c r="A13" i="12"/>
  <c r="A128" i="11"/>
  <c r="C128" s="1"/>
  <c r="D128" s="1"/>
  <c r="A127"/>
  <c r="C127" s="1"/>
  <c r="D127" s="1"/>
  <c r="A126"/>
  <c r="A125"/>
  <c r="C125" s="1"/>
  <c r="D125" s="1"/>
  <c r="A124"/>
  <c r="A123"/>
  <c r="C123" s="1"/>
  <c r="D123" s="1"/>
  <c r="A122"/>
  <c r="C122" s="1"/>
  <c r="D122" s="1"/>
  <c r="A121"/>
  <c r="C121" s="1"/>
  <c r="D121" s="1"/>
  <c r="A120"/>
  <c r="C120" s="1"/>
  <c r="D120" s="1"/>
  <c r="A119"/>
  <c r="C119" s="1"/>
  <c r="D119" s="1"/>
  <c r="A118"/>
  <c r="A117"/>
  <c r="C117" s="1"/>
  <c r="D117" s="1"/>
  <c r="A116"/>
  <c r="A115"/>
  <c r="C115" s="1"/>
  <c r="D115" s="1"/>
  <c r="A114"/>
  <c r="C114" s="1"/>
  <c r="D114" s="1"/>
  <c r="A113"/>
  <c r="C113" s="1"/>
  <c r="D113" s="1"/>
  <c r="A112"/>
  <c r="C112" s="1"/>
  <c r="D112" s="1"/>
  <c r="A111"/>
  <c r="C111" s="1"/>
  <c r="D111" s="1"/>
  <c r="A110"/>
  <c r="A109"/>
  <c r="C109" s="1"/>
  <c r="D109" s="1"/>
  <c r="A108"/>
  <c r="A107"/>
  <c r="C107" s="1"/>
  <c r="D107" s="1"/>
  <c r="A106"/>
  <c r="C106" s="1"/>
  <c r="D106" s="1"/>
  <c r="A105"/>
  <c r="C105" s="1"/>
  <c r="D105" s="1"/>
  <c r="A104"/>
  <c r="C104" s="1"/>
  <c r="D104" s="1"/>
  <c r="A103"/>
  <c r="C103" s="1"/>
  <c r="D103" s="1"/>
  <c r="A102"/>
  <c r="A101"/>
  <c r="C101" s="1"/>
  <c r="D101" s="1"/>
  <c r="A100"/>
  <c r="A99"/>
  <c r="C99" s="1"/>
  <c r="D99" s="1"/>
  <c r="A98"/>
  <c r="C98" s="1"/>
  <c r="D98" s="1"/>
  <c r="A97"/>
  <c r="C97" s="1"/>
  <c r="D97" s="1"/>
  <c r="A96"/>
  <c r="C96" s="1"/>
  <c r="D96" s="1"/>
  <c r="A95"/>
  <c r="C95" s="1"/>
  <c r="D95" s="1"/>
  <c r="A94"/>
  <c r="A93"/>
  <c r="C93" s="1"/>
  <c r="D93" s="1"/>
  <c r="A92"/>
  <c r="A91"/>
  <c r="C91" s="1"/>
  <c r="D91" s="1"/>
  <c r="A90"/>
  <c r="C90" s="1"/>
  <c r="D90" s="1"/>
  <c r="A89"/>
  <c r="C89" s="1"/>
  <c r="D89" s="1"/>
  <c r="A88"/>
  <c r="C88" s="1"/>
  <c r="D88" s="1"/>
  <c r="A87"/>
  <c r="C87" s="1"/>
  <c r="D87" s="1"/>
  <c r="A86"/>
  <c r="A85"/>
  <c r="C85" s="1"/>
  <c r="D85" s="1"/>
  <c r="A84"/>
  <c r="A83"/>
  <c r="C83" s="1"/>
  <c r="D83" s="1"/>
  <c r="A82"/>
  <c r="C82" s="1"/>
  <c r="D82" s="1"/>
  <c r="A81"/>
  <c r="C81" s="1"/>
  <c r="D81" s="1"/>
  <c r="A80"/>
  <c r="C80" s="1"/>
  <c r="D80" s="1"/>
  <c r="A79"/>
  <c r="C79" s="1"/>
  <c r="D79" s="1"/>
  <c r="A78"/>
  <c r="A77"/>
  <c r="C77" s="1"/>
  <c r="D77" s="1"/>
  <c r="A76"/>
  <c r="A75"/>
  <c r="C75" s="1"/>
  <c r="D75" s="1"/>
  <c r="A74"/>
  <c r="C74" s="1"/>
  <c r="D74" s="1"/>
  <c r="A73"/>
  <c r="C73" s="1"/>
  <c r="D73" s="1"/>
  <c r="A72"/>
  <c r="C72" s="1"/>
  <c r="D72" s="1"/>
  <c r="A71"/>
  <c r="C71" s="1"/>
  <c r="D71" s="1"/>
  <c r="A70"/>
  <c r="A69"/>
  <c r="C69" s="1"/>
  <c r="D69" s="1"/>
  <c r="A68"/>
  <c r="A67"/>
  <c r="C67" s="1"/>
  <c r="D67" s="1"/>
  <c r="A66"/>
  <c r="C66" s="1"/>
  <c r="D66" s="1"/>
  <c r="A65"/>
  <c r="C65" s="1"/>
  <c r="D65" s="1"/>
  <c r="A64"/>
  <c r="C64" s="1"/>
  <c r="D64" s="1"/>
  <c r="A63"/>
  <c r="C63" s="1"/>
  <c r="D63" s="1"/>
  <c r="A62"/>
  <c r="A61"/>
  <c r="C61" s="1"/>
  <c r="D61" s="1"/>
  <c r="A60"/>
  <c r="A59"/>
  <c r="C59" s="1"/>
  <c r="D59" s="1"/>
  <c r="A58"/>
  <c r="C58" s="1"/>
  <c r="D58" s="1"/>
  <c r="A57"/>
  <c r="C57" s="1"/>
  <c r="D57" s="1"/>
  <c r="A56"/>
  <c r="C56" s="1"/>
  <c r="D56" s="1"/>
  <c r="A55"/>
  <c r="C55" s="1"/>
  <c r="D55" s="1"/>
  <c r="A54"/>
  <c r="A53"/>
  <c r="C53" s="1"/>
  <c r="D53" s="1"/>
  <c r="A52"/>
  <c r="A51"/>
  <c r="C51" s="1"/>
  <c r="D51" s="1"/>
  <c r="A50"/>
  <c r="C50" s="1"/>
  <c r="D50" s="1"/>
  <c r="A49"/>
  <c r="C49" s="1"/>
  <c r="D49" s="1"/>
  <c r="A48"/>
  <c r="C48" s="1"/>
  <c r="D48" s="1"/>
  <c r="A47"/>
  <c r="C47" s="1"/>
  <c r="D47" s="1"/>
  <c r="A46"/>
  <c r="A45"/>
  <c r="C45" s="1"/>
  <c r="D45" s="1"/>
  <c r="A44"/>
  <c r="A43"/>
  <c r="C43" s="1"/>
  <c r="D43" s="1"/>
  <c r="A42"/>
  <c r="C42" s="1"/>
  <c r="D42" s="1"/>
  <c r="A41"/>
  <c r="C41" s="1"/>
  <c r="D41" s="1"/>
  <c r="A40"/>
  <c r="C40" s="1"/>
  <c r="D40" s="1"/>
  <c r="A39"/>
  <c r="C39" s="1"/>
  <c r="D39" s="1"/>
  <c r="A38"/>
  <c r="A37"/>
  <c r="C37" s="1"/>
  <c r="D37" s="1"/>
  <c r="A36"/>
  <c r="A35"/>
  <c r="C35" s="1"/>
  <c r="D35" s="1"/>
  <c r="A34"/>
  <c r="C34" s="1"/>
  <c r="D34" s="1"/>
  <c r="A33"/>
  <c r="C33" s="1"/>
  <c r="D33" s="1"/>
  <c r="A32"/>
  <c r="C32" s="1"/>
  <c r="D32" s="1"/>
  <c r="A31"/>
  <c r="C31" s="1"/>
  <c r="D31" s="1"/>
  <c r="A30"/>
  <c r="A29"/>
  <c r="C29" s="1"/>
  <c r="D29" s="1"/>
  <c r="A28"/>
  <c r="A27"/>
  <c r="C27" s="1"/>
  <c r="D27" s="1"/>
  <c r="A26"/>
  <c r="C26" s="1"/>
  <c r="D26" s="1"/>
  <c r="A25"/>
  <c r="C25" s="1"/>
  <c r="D25" s="1"/>
  <c r="A24"/>
  <c r="C24" s="1"/>
  <c r="D24" s="1"/>
  <c r="A23"/>
  <c r="C23" s="1"/>
  <c r="D23" s="1"/>
  <c r="A22"/>
  <c r="A21"/>
  <c r="C21" s="1"/>
  <c r="D21" s="1"/>
  <c r="A20"/>
  <c r="A19"/>
  <c r="C19" s="1"/>
  <c r="D19" s="1"/>
  <c r="A18"/>
  <c r="C18" s="1"/>
  <c r="D18" s="1"/>
  <c r="A17"/>
  <c r="C17" s="1"/>
  <c r="D17" s="1"/>
  <c r="A16"/>
  <c r="C16" s="1"/>
  <c r="D16" s="1"/>
  <c r="A15"/>
  <c r="C15" s="1"/>
  <c r="D15" s="1"/>
  <c r="A14"/>
  <c r="C14" s="1"/>
  <c r="D14" s="1"/>
  <c r="A13"/>
  <c r="C13" s="1"/>
  <c r="D13" s="1"/>
  <c r="A12"/>
  <c r="A11"/>
  <c r="C11" s="1"/>
  <c r="D11" s="1"/>
  <c r="H6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AC3"/>
  <c r="AB3"/>
  <c r="AC2"/>
  <c r="AB2"/>
  <c r="G2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G1"/>
  <c r="A11" i="9"/>
  <c r="C11" s="1"/>
  <c r="D11" s="1"/>
  <c r="H6"/>
  <c r="G2"/>
  <c r="G1"/>
  <c r="J1"/>
  <c r="A128"/>
  <c r="C128" s="1"/>
  <c r="D128" s="1"/>
  <c r="A127"/>
  <c r="C127" s="1"/>
  <c r="D127" s="1"/>
  <c r="A126"/>
  <c r="C126" s="1"/>
  <c r="D126" s="1"/>
  <c r="A125"/>
  <c r="C125" s="1"/>
  <c r="D125" s="1"/>
  <c r="A124"/>
  <c r="A123"/>
  <c r="C123" s="1"/>
  <c r="D123" s="1"/>
  <c r="A122"/>
  <c r="C122" s="1"/>
  <c r="D122" s="1"/>
  <c r="A121"/>
  <c r="C121" s="1"/>
  <c r="D121" s="1"/>
  <c r="A120"/>
  <c r="C120" s="1"/>
  <c r="D120" s="1"/>
  <c r="A119"/>
  <c r="C119" s="1"/>
  <c r="D119" s="1"/>
  <c r="A118"/>
  <c r="C118" s="1"/>
  <c r="D118" s="1"/>
  <c r="A117"/>
  <c r="C117" s="1"/>
  <c r="D117" s="1"/>
  <c r="A116"/>
  <c r="A115"/>
  <c r="C115" s="1"/>
  <c r="D115" s="1"/>
  <c r="A114"/>
  <c r="C114" s="1"/>
  <c r="D114" s="1"/>
  <c r="A113"/>
  <c r="C113" s="1"/>
  <c r="D113" s="1"/>
  <c r="A112"/>
  <c r="C112" s="1"/>
  <c r="D112" s="1"/>
  <c r="A111"/>
  <c r="C111" s="1"/>
  <c r="D111" s="1"/>
  <c r="A110"/>
  <c r="C110" s="1"/>
  <c r="D110" s="1"/>
  <c r="A109"/>
  <c r="C109" s="1"/>
  <c r="D109" s="1"/>
  <c r="A108"/>
  <c r="A107"/>
  <c r="C107" s="1"/>
  <c r="D107" s="1"/>
  <c r="A106"/>
  <c r="C106" s="1"/>
  <c r="D106" s="1"/>
  <c r="A105"/>
  <c r="C105" s="1"/>
  <c r="D105" s="1"/>
  <c r="A104"/>
  <c r="C104" s="1"/>
  <c r="D104" s="1"/>
  <c r="A103"/>
  <c r="C103" s="1"/>
  <c r="D103" s="1"/>
  <c r="A102"/>
  <c r="C102" s="1"/>
  <c r="D102" s="1"/>
  <c r="A101"/>
  <c r="C101" s="1"/>
  <c r="D101" s="1"/>
  <c r="A100"/>
  <c r="A99"/>
  <c r="C99" s="1"/>
  <c r="D99" s="1"/>
  <c r="A98"/>
  <c r="C98" s="1"/>
  <c r="D98" s="1"/>
  <c r="A97"/>
  <c r="C97" s="1"/>
  <c r="D97" s="1"/>
  <c r="A96"/>
  <c r="C96" s="1"/>
  <c r="D96" s="1"/>
  <c r="A95"/>
  <c r="C95" s="1"/>
  <c r="D95" s="1"/>
  <c r="A94"/>
  <c r="C94" s="1"/>
  <c r="D94" s="1"/>
  <c r="A93"/>
  <c r="C93" s="1"/>
  <c r="D93" s="1"/>
  <c r="A92"/>
  <c r="A91"/>
  <c r="C91" s="1"/>
  <c r="D91" s="1"/>
  <c r="A90"/>
  <c r="C90" s="1"/>
  <c r="D90" s="1"/>
  <c r="A89"/>
  <c r="C89" s="1"/>
  <c r="D89" s="1"/>
  <c r="A88"/>
  <c r="C88" s="1"/>
  <c r="D88" s="1"/>
  <c r="A87"/>
  <c r="C87" s="1"/>
  <c r="D87" s="1"/>
  <c r="A86"/>
  <c r="C86" s="1"/>
  <c r="D86" s="1"/>
  <c r="A85"/>
  <c r="C85" s="1"/>
  <c r="D85" s="1"/>
  <c r="A84"/>
  <c r="A83"/>
  <c r="C83" s="1"/>
  <c r="D83" s="1"/>
  <c r="A82"/>
  <c r="C82" s="1"/>
  <c r="D82" s="1"/>
  <c r="A81"/>
  <c r="C81" s="1"/>
  <c r="D81" s="1"/>
  <c r="A80"/>
  <c r="C80" s="1"/>
  <c r="D80" s="1"/>
  <c r="A79"/>
  <c r="C79" s="1"/>
  <c r="D79" s="1"/>
  <c r="A78"/>
  <c r="C78" s="1"/>
  <c r="D78" s="1"/>
  <c r="A77"/>
  <c r="C77" s="1"/>
  <c r="D77" s="1"/>
  <c r="A76"/>
  <c r="A75"/>
  <c r="C75" s="1"/>
  <c r="D75" s="1"/>
  <c r="A74"/>
  <c r="C74" s="1"/>
  <c r="D74" s="1"/>
  <c r="A73"/>
  <c r="C73" s="1"/>
  <c r="D73" s="1"/>
  <c r="A72"/>
  <c r="C72" s="1"/>
  <c r="D72" s="1"/>
  <c r="A71"/>
  <c r="C71" s="1"/>
  <c r="D71" s="1"/>
  <c r="A70"/>
  <c r="C70" s="1"/>
  <c r="D70" s="1"/>
  <c r="A69"/>
  <c r="C69" s="1"/>
  <c r="D69" s="1"/>
  <c r="A68"/>
  <c r="A67"/>
  <c r="C67" s="1"/>
  <c r="D67" s="1"/>
  <c r="A66"/>
  <c r="C66" s="1"/>
  <c r="D66" s="1"/>
  <c r="A65"/>
  <c r="C65" s="1"/>
  <c r="D65" s="1"/>
  <c r="A64"/>
  <c r="C64" s="1"/>
  <c r="D64" s="1"/>
  <c r="A63"/>
  <c r="C63" s="1"/>
  <c r="D63" s="1"/>
  <c r="A62"/>
  <c r="C62" s="1"/>
  <c r="D62" s="1"/>
  <c r="A61"/>
  <c r="C61" s="1"/>
  <c r="D61" s="1"/>
  <c r="A60"/>
  <c r="A59"/>
  <c r="C59" s="1"/>
  <c r="D59" s="1"/>
  <c r="A58"/>
  <c r="C58" s="1"/>
  <c r="D58" s="1"/>
  <c r="A57"/>
  <c r="C57" s="1"/>
  <c r="D57" s="1"/>
  <c r="A56"/>
  <c r="C56" s="1"/>
  <c r="D56" s="1"/>
  <c r="A55"/>
  <c r="C55" s="1"/>
  <c r="D55" s="1"/>
  <c r="A54"/>
  <c r="C54" s="1"/>
  <c r="D54" s="1"/>
  <c r="A53"/>
  <c r="C53" s="1"/>
  <c r="D53" s="1"/>
  <c r="A52"/>
  <c r="A51"/>
  <c r="C51" s="1"/>
  <c r="D51" s="1"/>
  <c r="A50"/>
  <c r="C50" s="1"/>
  <c r="D50" s="1"/>
  <c r="A49"/>
  <c r="C49" s="1"/>
  <c r="D49" s="1"/>
  <c r="A48"/>
  <c r="C48" s="1"/>
  <c r="D48" s="1"/>
  <c r="A47"/>
  <c r="C47" s="1"/>
  <c r="D47" s="1"/>
  <c r="A46"/>
  <c r="C46" s="1"/>
  <c r="D46" s="1"/>
  <c r="A45"/>
  <c r="C45" s="1"/>
  <c r="D45" s="1"/>
  <c r="A44"/>
  <c r="A43"/>
  <c r="C43" s="1"/>
  <c r="D43" s="1"/>
  <c r="A42"/>
  <c r="C42" s="1"/>
  <c r="D42" s="1"/>
  <c r="A41"/>
  <c r="C41" s="1"/>
  <c r="D41" s="1"/>
  <c r="A40"/>
  <c r="C40" s="1"/>
  <c r="D40" s="1"/>
  <c r="A39"/>
  <c r="C39" s="1"/>
  <c r="D39" s="1"/>
  <c r="A38"/>
  <c r="C38" s="1"/>
  <c r="D38" s="1"/>
  <c r="A37"/>
  <c r="C37" s="1"/>
  <c r="D37" s="1"/>
  <c r="A36"/>
  <c r="A35"/>
  <c r="C35" s="1"/>
  <c r="D35" s="1"/>
  <c r="A34"/>
  <c r="C34" s="1"/>
  <c r="D34" s="1"/>
  <c r="A33"/>
  <c r="C33" s="1"/>
  <c r="D33" s="1"/>
  <c r="A32"/>
  <c r="C32" s="1"/>
  <c r="D32" s="1"/>
  <c r="A31"/>
  <c r="C31" s="1"/>
  <c r="D31" s="1"/>
  <c r="A30"/>
  <c r="C30" s="1"/>
  <c r="D30" s="1"/>
  <c r="A29"/>
  <c r="C29" s="1"/>
  <c r="D29" s="1"/>
  <c r="A28"/>
  <c r="A27"/>
  <c r="C27" s="1"/>
  <c r="D27" s="1"/>
  <c r="A26"/>
  <c r="C26" s="1"/>
  <c r="D26" s="1"/>
  <c r="A25"/>
  <c r="C25" s="1"/>
  <c r="D25" s="1"/>
  <c r="A24"/>
  <c r="C24" s="1"/>
  <c r="D24" s="1"/>
  <c r="A23"/>
  <c r="C23" s="1"/>
  <c r="D23" s="1"/>
  <c r="A22"/>
  <c r="C22" s="1"/>
  <c r="D22" s="1"/>
  <c r="A21"/>
  <c r="C21" s="1"/>
  <c r="D21" s="1"/>
  <c r="A20"/>
  <c r="A19"/>
  <c r="C19" s="1"/>
  <c r="D19" s="1"/>
  <c r="A18"/>
  <c r="C18" s="1"/>
  <c r="D18" s="1"/>
  <c r="A17"/>
  <c r="C17" s="1"/>
  <c r="D17" s="1"/>
  <c r="A16"/>
  <c r="C16" s="1"/>
  <c r="D16" s="1"/>
  <c r="A15"/>
  <c r="C15" s="1"/>
  <c r="D15" s="1"/>
  <c r="A14"/>
  <c r="C14" s="1"/>
  <c r="D14" s="1"/>
  <c r="A13"/>
  <c r="C13" s="1"/>
  <c r="D13" s="1"/>
  <c r="A12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AC3"/>
  <c r="AB3"/>
  <c r="AC2"/>
  <c r="AB2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C49" i="3"/>
  <c r="C49" i="2"/>
  <c r="D8" i="4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6"/>
  <c r="D7"/>
  <c r="C6"/>
  <c r="B11" i="7" s="1"/>
  <c r="A5"/>
  <c r="G5" s="1"/>
  <c r="A6"/>
  <c r="G6" s="1"/>
  <c r="A7"/>
  <c r="G7" s="1"/>
  <c r="A8"/>
  <c r="G8" s="1"/>
  <c r="A9"/>
  <c r="G9" s="1"/>
  <c r="A10"/>
  <c r="G10" s="1"/>
  <c r="A11"/>
  <c r="G11" s="1"/>
  <c r="A12"/>
  <c r="G12" s="1"/>
  <c r="A13"/>
  <c r="G13" s="1"/>
  <c r="A14"/>
  <c r="G14" s="1"/>
  <c r="A15"/>
  <c r="G15" s="1"/>
  <c r="A16"/>
  <c r="G16" s="1"/>
  <c r="A17"/>
  <c r="G17" s="1"/>
  <c r="A18"/>
  <c r="G18" s="1"/>
  <c r="A19"/>
  <c r="G19" s="1"/>
  <c r="A20"/>
  <c r="G20" s="1"/>
  <c r="A21"/>
  <c r="G21" s="1"/>
  <c r="A22"/>
  <c r="G22" s="1"/>
  <c r="A23"/>
  <c r="G23" s="1"/>
  <c r="A24"/>
  <c r="G24" s="1"/>
  <c r="A25"/>
  <c r="G25" s="1"/>
  <c r="A26"/>
  <c r="G26" s="1"/>
  <c r="A27"/>
  <c r="G27" s="1"/>
  <c r="A28"/>
  <c r="G28" s="1"/>
  <c r="A29"/>
  <c r="G29" s="1"/>
  <c r="A30"/>
  <c r="G30" s="1"/>
  <c r="A31"/>
  <c r="G31" s="1"/>
  <c r="A32"/>
  <c r="G32" s="1"/>
  <c r="A33"/>
  <c r="G33" s="1"/>
  <c r="A34"/>
  <c r="G34" s="1"/>
  <c r="A35"/>
  <c r="G35" s="1"/>
  <c r="A36"/>
  <c r="G36" s="1"/>
  <c r="A37"/>
  <c r="G37" s="1"/>
  <c r="A38"/>
  <c r="G38" s="1"/>
  <c r="A39"/>
  <c r="G39" s="1"/>
  <c r="A40"/>
  <c r="G40" s="1"/>
  <c r="A41"/>
  <c r="G41" s="1"/>
  <c r="A42"/>
  <c r="G42" s="1"/>
  <c r="A43"/>
  <c r="G43" s="1"/>
  <c r="A44"/>
  <c r="G44" s="1"/>
  <c r="A45"/>
  <c r="G45" s="1"/>
  <c r="A46"/>
  <c r="G46" s="1"/>
  <c r="A47"/>
  <c r="G47" s="1"/>
  <c r="A48"/>
  <c r="G48" s="1"/>
  <c r="A49"/>
  <c r="G49" s="1"/>
  <c r="A50"/>
  <c r="G50" s="1"/>
  <c r="A51"/>
  <c r="G51" s="1"/>
  <c r="A52"/>
  <c r="G52" s="1"/>
  <c r="A53"/>
  <c r="G53" s="1"/>
  <c r="A54"/>
  <c r="G54" s="1"/>
  <c r="A55"/>
  <c r="G55" s="1"/>
  <c r="A4"/>
  <c r="D4" s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B12"/>
  <c r="B20"/>
  <c r="B28"/>
  <c r="B36"/>
  <c r="B44"/>
  <c r="B52"/>
  <c r="B2" i="6"/>
  <c r="A12" i="5"/>
  <c r="A13"/>
  <c r="A14"/>
  <c r="A15"/>
  <c r="A16"/>
  <c r="A17"/>
  <c r="A18"/>
  <c r="A19"/>
  <c r="A20"/>
  <c r="A21"/>
  <c r="A22"/>
  <c r="A23"/>
  <c r="A24"/>
  <c r="A25"/>
  <c r="A26"/>
  <c r="A27"/>
  <c r="A28"/>
  <c r="C28" s="1"/>
  <c r="D28" s="1"/>
  <c r="A29"/>
  <c r="A30"/>
  <c r="A31"/>
  <c r="A32"/>
  <c r="A33"/>
  <c r="A34"/>
  <c r="A35"/>
  <c r="A36"/>
  <c r="A37"/>
  <c r="A38"/>
  <c r="A39"/>
  <c r="A40"/>
  <c r="A41"/>
  <c r="C41" s="1"/>
  <c r="D41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C102" s="1"/>
  <c r="D102" s="1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1"/>
  <c r="C3" i="4"/>
  <c r="A28" i="1"/>
  <c r="A28" i="3" s="1"/>
  <c r="H6" i="5"/>
  <c r="H2"/>
  <c r="H1"/>
  <c r="E16" s="1"/>
  <c r="J1"/>
  <c r="A16" i="3" l="1"/>
  <c r="A19" s="1"/>
  <c r="A17"/>
  <c r="A17" i="13"/>
  <c r="A15" i="17"/>
  <c r="A16" i="2"/>
  <c r="A15" i="1"/>
  <c r="A16" i="17"/>
  <c r="A15" i="16"/>
  <c r="A18" i="3"/>
  <c r="A16" i="1"/>
  <c r="A17" i="15"/>
  <c r="A15" i="13"/>
  <c r="A17" i="1"/>
  <c r="A16" i="15"/>
  <c r="A19" s="1"/>
  <c r="A15" i="14"/>
  <c r="A18" i="15"/>
  <c r="A16" i="13"/>
  <c r="A15" i="12"/>
  <c r="A28" i="16"/>
  <c r="E123" i="5"/>
  <c r="E115"/>
  <c r="E107"/>
  <c r="E99"/>
  <c r="E91"/>
  <c r="E83"/>
  <c r="E75"/>
  <c r="E67"/>
  <c r="E59"/>
  <c r="E51"/>
  <c r="E43"/>
  <c r="E35"/>
  <c r="E27"/>
  <c r="E19"/>
  <c r="H5"/>
  <c r="E11"/>
  <c r="E121"/>
  <c r="E113"/>
  <c r="E105"/>
  <c r="E97"/>
  <c r="E89"/>
  <c r="E81"/>
  <c r="E73"/>
  <c r="E65"/>
  <c r="E57"/>
  <c r="E49"/>
  <c r="E41"/>
  <c r="E33"/>
  <c r="E25"/>
  <c r="E17"/>
  <c r="E122"/>
  <c r="E114"/>
  <c r="E106"/>
  <c r="E98"/>
  <c r="E90"/>
  <c r="E82"/>
  <c r="E74"/>
  <c r="E66"/>
  <c r="E58"/>
  <c r="E50"/>
  <c r="E42"/>
  <c r="E34"/>
  <c r="E26"/>
  <c r="E18"/>
  <c r="E124"/>
  <c r="E116"/>
  <c r="E108"/>
  <c r="E100"/>
  <c r="E92"/>
  <c r="E84"/>
  <c r="E76"/>
  <c r="E68"/>
  <c r="E60"/>
  <c r="E52"/>
  <c r="E44"/>
  <c r="E36"/>
  <c r="E28"/>
  <c r="E20"/>
  <c r="E12"/>
  <c r="E126"/>
  <c r="E118"/>
  <c r="E110"/>
  <c r="E102"/>
  <c r="E94"/>
  <c r="E86"/>
  <c r="E78"/>
  <c r="E70"/>
  <c r="E62"/>
  <c r="E54"/>
  <c r="E46"/>
  <c r="E38"/>
  <c r="E30"/>
  <c r="E22"/>
  <c r="E14"/>
  <c r="E127"/>
  <c r="E119"/>
  <c r="E111"/>
  <c r="E103"/>
  <c r="E95"/>
  <c r="E87"/>
  <c r="E79"/>
  <c r="E71"/>
  <c r="E63"/>
  <c r="E55"/>
  <c r="E47"/>
  <c r="E39"/>
  <c r="E31"/>
  <c r="E23"/>
  <c r="E15"/>
  <c r="E125"/>
  <c r="E117"/>
  <c r="E109"/>
  <c r="E101"/>
  <c r="E93"/>
  <c r="E85"/>
  <c r="E77"/>
  <c r="E69"/>
  <c r="E61"/>
  <c r="E53"/>
  <c r="E45"/>
  <c r="E37"/>
  <c r="E29"/>
  <c r="E21"/>
  <c r="E13"/>
  <c r="E128"/>
  <c r="E120"/>
  <c r="E112"/>
  <c r="E104"/>
  <c r="E96"/>
  <c r="E88"/>
  <c r="E80"/>
  <c r="E72"/>
  <c r="E64"/>
  <c r="E56"/>
  <c r="E48"/>
  <c r="E40"/>
  <c r="E32"/>
  <c r="E24"/>
  <c r="A28" i="13"/>
  <c r="H2" i="11"/>
  <c r="H1"/>
  <c r="C22"/>
  <c r="D22" s="1"/>
  <c r="C30"/>
  <c r="D30" s="1"/>
  <c r="C38"/>
  <c r="D38" s="1"/>
  <c r="C46"/>
  <c r="D46" s="1"/>
  <c r="C54"/>
  <c r="D54" s="1"/>
  <c r="C62"/>
  <c r="D62" s="1"/>
  <c r="C70"/>
  <c r="D70" s="1"/>
  <c r="C78"/>
  <c r="D78" s="1"/>
  <c r="C86"/>
  <c r="D86" s="1"/>
  <c r="C94"/>
  <c r="D94" s="1"/>
  <c r="C102"/>
  <c r="D102" s="1"/>
  <c r="C110"/>
  <c r="D110" s="1"/>
  <c r="C118"/>
  <c r="D118" s="1"/>
  <c r="C126"/>
  <c r="D126" s="1"/>
  <c r="C12"/>
  <c r="C20"/>
  <c r="C28"/>
  <c r="D28" s="1"/>
  <c r="C36"/>
  <c r="D36" s="1"/>
  <c r="C44"/>
  <c r="D44" s="1"/>
  <c r="C52"/>
  <c r="D52" s="1"/>
  <c r="C60"/>
  <c r="D60" s="1"/>
  <c r="C68"/>
  <c r="D68" s="1"/>
  <c r="C76"/>
  <c r="D76" s="1"/>
  <c r="C84"/>
  <c r="D84" s="1"/>
  <c r="C92"/>
  <c r="D92" s="1"/>
  <c r="C100"/>
  <c r="D100" s="1"/>
  <c r="C108"/>
  <c r="D108" s="1"/>
  <c r="C116"/>
  <c r="D116" s="1"/>
  <c r="C124"/>
  <c r="D124" s="1"/>
  <c r="H2" i="9"/>
  <c r="H5" s="1"/>
  <c r="H1"/>
  <c r="C12"/>
  <c r="C20"/>
  <c r="D20" s="1"/>
  <c r="C28"/>
  <c r="D28" s="1"/>
  <c r="C36"/>
  <c r="D36" s="1"/>
  <c r="C44"/>
  <c r="D44" s="1"/>
  <c r="C52"/>
  <c r="D52" s="1"/>
  <c r="C60"/>
  <c r="D60" s="1"/>
  <c r="C68"/>
  <c r="D68" s="1"/>
  <c r="C76"/>
  <c r="D76" s="1"/>
  <c r="C84"/>
  <c r="D84" s="1"/>
  <c r="C92"/>
  <c r="D92" s="1"/>
  <c r="C100"/>
  <c r="D100" s="1"/>
  <c r="C108"/>
  <c r="D108" s="1"/>
  <c r="C116"/>
  <c r="D116" s="1"/>
  <c r="C124"/>
  <c r="D124" s="1"/>
  <c r="B53" i="7"/>
  <c r="B45"/>
  <c r="B37"/>
  <c r="B29"/>
  <c r="B21"/>
  <c r="B13"/>
  <c r="B5"/>
  <c r="B54"/>
  <c r="B46"/>
  <c r="B38"/>
  <c r="B30"/>
  <c r="B22"/>
  <c r="B14"/>
  <c r="B6"/>
  <c r="B47"/>
  <c r="B23"/>
  <c r="B7"/>
  <c r="B48"/>
  <c r="B40"/>
  <c r="B16"/>
  <c r="B8"/>
  <c r="B49"/>
  <c r="B41"/>
  <c r="B33"/>
  <c r="B25"/>
  <c r="B17"/>
  <c r="B9"/>
  <c r="B39"/>
  <c r="B15"/>
  <c r="B32"/>
  <c r="B50"/>
  <c r="B42"/>
  <c r="B34"/>
  <c r="B26"/>
  <c r="B18"/>
  <c r="B10"/>
  <c r="B55"/>
  <c r="B31"/>
  <c r="B4"/>
  <c r="B24"/>
  <c r="B51"/>
  <c r="B43"/>
  <c r="B35"/>
  <c r="B27"/>
  <c r="B19"/>
  <c r="G4"/>
  <c r="C100" i="5"/>
  <c r="D100" s="1"/>
  <c r="C108"/>
  <c r="D108" s="1"/>
  <c r="C52"/>
  <c r="D52" s="1"/>
  <c r="C68"/>
  <c r="D68" s="1"/>
  <c r="C36"/>
  <c r="D36" s="1"/>
  <c r="C44"/>
  <c r="D44" s="1"/>
  <c r="C116"/>
  <c r="D116" s="1"/>
  <c r="C60"/>
  <c r="D60" s="1"/>
  <c r="C76"/>
  <c r="D76" s="1"/>
  <c r="C12"/>
  <c r="D12" s="1"/>
  <c r="C84"/>
  <c r="D84" s="1"/>
  <c r="C20"/>
  <c r="D20" s="1"/>
  <c r="C124"/>
  <c r="D124" s="1"/>
  <c r="C92"/>
  <c r="D92" s="1"/>
  <c r="C109"/>
  <c r="D109" s="1"/>
  <c r="C85"/>
  <c r="D85" s="1"/>
  <c r="C69"/>
  <c r="D69" s="1"/>
  <c r="C53"/>
  <c r="D53" s="1"/>
  <c r="C37"/>
  <c r="D37" s="1"/>
  <c r="C13"/>
  <c r="C110"/>
  <c r="D110" s="1"/>
  <c r="C78"/>
  <c r="D78" s="1"/>
  <c r="C54"/>
  <c r="D54" s="1"/>
  <c r="C46"/>
  <c r="D46" s="1"/>
  <c r="C14"/>
  <c r="D14" s="1"/>
  <c r="C127"/>
  <c r="D127" s="1"/>
  <c r="C119"/>
  <c r="D119" s="1"/>
  <c r="C111"/>
  <c r="D111" s="1"/>
  <c r="C103"/>
  <c r="D103" s="1"/>
  <c r="C95"/>
  <c r="D95" s="1"/>
  <c r="C87"/>
  <c r="D87" s="1"/>
  <c r="C79"/>
  <c r="D79" s="1"/>
  <c r="C71"/>
  <c r="D71" s="1"/>
  <c r="C63"/>
  <c r="D63" s="1"/>
  <c r="C55"/>
  <c r="D55" s="1"/>
  <c r="C47"/>
  <c r="D47" s="1"/>
  <c r="C39"/>
  <c r="D39" s="1"/>
  <c r="C31"/>
  <c r="D31" s="1"/>
  <c r="C23"/>
  <c r="D23" s="1"/>
  <c r="C15"/>
  <c r="D15" s="1"/>
  <c r="C128"/>
  <c r="D128" s="1"/>
  <c r="C120"/>
  <c r="D120" s="1"/>
  <c r="C112"/>
  <c r="D112" s="1"/>
  <c r="C104"/>
  <c r="D104" s="1"/>
  <c r="C96"/>
  <c r="D96" s="1"/>
  <c r="C88"/>
  <c r="D88" s="1"/>
  <c r="C80"/>
  <c r="D80" s="1"/>
  <c r="C72"/>
  <c r="D72" s="1"/>
  <c r="C64"/>
  <c r="D64" s="1"/>
  <c r="C56"/>
  <c r="D56" s="1"/>
  <c r="C48"/>
  <c r="D48" s="1"/>
  <c r="C40"/>
  <c r="D40" s="1"/>
  <c r="C32"/>
  <c r="D32" s="1"/>
  <c r="C24"/>
  <c r="D24" s="1"/>
  <c r="C16"/>
  <c r="D16" s="1"/>
  <c r="C125"/>
  <c r="D125" s="1"/>
  <c r="C101"/>
  <c r="D101" s="1"/>
  <c r="C29"/>
  <c r="D29" s="1"/>
  <c r="C118"/>
  <c r="D118" s="1"/>
  <c r="C86"/>
  <c r="D86" s="1"/>
  <c r="C38"/>
  <c r="D38" s="1"/>
  <c r="C11"/>
  <c r="C121"/>
  <c r="D121" s="1"/>
  <c r="C113"/>
  <c r="D113" s="1"/>
  <c r="C105"/>
  <c r="D105" s="1"/>
  <c r="C97"/>
  <c r="D97" s="1"/>
  <c r="C89"/>
  <c r="D89" s="1"/>
  <c r="C81"/>
  <c r="D81" s="1"/>
  <c r="C73"/>
  <c r="D73" s="1"/>
  <c r="C65"/>
  <c r="D65" s="1"/>
  <c r="C57"/>
  <c r="D57" s="1"/>
  <c r="C49"/>
  <c r="D49" s="1"/>
  <c r="C33"/>
  <c r="C25"/>
  <c r="D25" s="1"/>
  <c r="C17"/>
  <c r="D17" s="1"/>
  <c r="C126"/>
  <c r="D126" s="1"/>
  <c r="C94"/>
  <c r="D94" s="1"/>
  <c r="C62"/>
  <c r="D62" s="1"/>
  <c r="C22"/>
  <c r="D22" s="1"/>
  <c r="C122"/>
  <c r="D122" s="1"/>
  <c r="C114"/>
  <c r="D114" s="1"/>
  <c r="C106"/>
  <c r="D106" s="1"/>
  <c r="C98"/>
  <c r="D98" s="1"/>
  <c r="C90"/>
  <c r="D90" s="1"/>
  <c r="C82"/>
  <c r="D82" s="1"/>
  <c r="C74"/>
  <c r="D74" s="1"/>
  <c r="C66"/>
  <c r="D66" s="1"/>
  <c r="C58"/>
  <c r="D58" s="1"/>
  <c r="C50"/>
  <c r="D50" s="1"/>
  <c r="C42"/>
  <c r="D42" s="1"/>
  <c r="C34"/>
  <c r="D34" s="1"/>
  <c r="C26"/>
  <c r="D26" s="1"/>
  <c r="C18"/>
  <c r="D18" s="1"/>
  <c r="C117"/>
  <c r="D117" s="1"/>
  <c r="C93"/>
  <c r="D93" s="1"/>
  <c r="C77"/>
  <c r="D77" s="1"/>
  <c r="C61"/>
  <c r="D61" s="1"/>
  <c r="C45"/>
  <c r="D45" s="1"/>
  <c r="C21"/>
  <c r="D21" s="1"/>
  <c r="C70"/>
  <c r="D70" s="1"/>
  <c r="C30"/>
  <c r="D30" s="1"/>
  <c r="C123"/>
  <c r="D123" s="1"/>
  <c r="C115"/>
  <c r="D115" s="1"/>
  <c r="C107"/>
  <c r="D107" s="1"/>
  <c r="C99"/>
  <c r="D99" s="1"/>
  <c r="C91"/>
  <c r="D91" s="1"/>
  <c r="C83"/>
  <c r="D83" s="1"/>
  <c r="C75"/>
  <c r="D75" s="1"/>
  <c r="C67"/>
  <c r="D67" s="1"/>
  <c r="C59"/>
  <c r="D59" s="1"/>
  <c r="C51"/>
  <c r="D51" s="1"/>
  <c r="C43"/>
  <c r="D43" s="1"/>
  <c r="C35"/>
  <c r="D35" s="1"/>
  <c r="C27"/>
  <c r="D27" s="1"/>
  <c r="C19"/>
  <c r="D19" s="1"/>
  <c r="A28" i="2"/>
  <c r="A13" i="1"/>
  <c r="A13" i="2"/>
  <c r="A13" i="3"/>
  <c r="B8" i="4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106"/>
  <c r="C106" s="1"/>
  <c r="B107"/>
  <c r="C107" s="1"/>
  <c r="B108"/>
  <c r="C108" s="1"/>
  <c r="B109"/>
  <c r="C109" s="1"/>
  <c r="B110"/>
  <c r="C110" s="1"/>
  <c r="B111"/>
  <c r="C111" s="1"/>
  <c r="B112"/>
  <c r="C112" s="1"/>
  <c r="B113"/>
  <c r="C113" s="1"/>
  <c r="B114"/>
  <c r="C114" s="1"/>
  <c r="B115"/>
  <c r="C115" s="1"/>
  <c r="B116"/>
  <c r="C116" s="1"/>
  <c r="B117"/>
  <c r="C117" s="1"/>
  <c r="B118"/>
  <c r="C118" s="1"/>
  <c r="B119"/>
  <c r="C119" s="1"/>
  <c r="B120"/>
  <c r="C120" s="1"/>
  <c r="B121"/>
  <c r="C121" s="1"/>
  <c r="B122"/>
  <c r="C122" s="1"/>
  <c r="B123"/>
  <c r="C123" s="1"/>
  <c r="B7"/>
  <c r="C7" s="1"/>
  <c r="B6"/>
  <c r="AC4" i="5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AC3"/>
  <c r="AB3"/>
  <c r="AC2"/>
  <c r="AB2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A7" i="6"/>
  <c r="B7"/>
  <c r="C7"/>
  <c r="D7" s="1"/>
  <c r="A8"/>
  <c r="B8"/>
  <c r="C8"/>
  <c r="D8" s="1"/>
  <c r="A9"/>
  <c r="B9"/>
  <c r="C9"/>
  <c r="D9"/>
  <c r="A10"/>
  <c r="B10"/>
  <c r="C10"/>
  <c r="D10" s="1"/>
  <c r="A11"/>
  <c r="B11"/>
  <c r="C11"/>
  <c r="D11" s="1"/>
  <c r="A12"/>
  <c r="B12"/>
  <c r="C12"/>
  <c r="D12" s="1"/>
  <c r="A13"/>
  <c r="B13"/>
  <c r="C13"/>
  <c r="D13" s="1"/>
  <c r="A14"/>
  <c r="B14"/>
  <c r="C14"/>
  <c r="D14" s="1"/>
  <c r="A15"/>
  <c r="B15"/>
  <c r="C15"/>
  <c r="D15"/>
  <c r="A16"/>
  <c r="B16"/>
  <c r="C16"/>
  <c r="D16" s="1"/>
  <c r="A17"/>
  <c r="B17"/>
  <c r="C17"/>
  <c r="D17" s="1"/>
  <c r="A18"/>
  <c r="B18"/>
  <c r="C18"/>
  <c r="D18" s="1"/>
  <c r="A19"/>
  <c r="B19"/>
  <c r="C19"/>
  <c r="D19" s="1"/>
  <c r="A20"/>
  <c r="B20"/>
  <c r="C20"/>
  <c r="D20" s="1"/>
  <c r="A21"/>
  <c r="B21"/>
  <c r="C21"/>
  <c r="D21" s="1"/>
  <c r="A22"/>
  <c r="B22"/>
  <c r="C22"/>
  <c r="D22" s="1"/>
  <c r="A23"/>
  <c r="B23"/>
  <c r="C23"/>
  <c r="D23" s="1"/>
  <c r="A24"/>
  <c r="B24"/>
  <c r="C24"/>
  <c r="D24" s="1"/>
  <c r="A25"/>
  <c r="B25"/>
  <c r="C25"/>
  <c r="D25"/>
  <c r="A26"/>
  <c r="B26"/>
  <c r="C26"/>
  <c r="D26" s="1"/>
  <c r="A27"/>
  <c r="B27"/>
  <c r="C27"/>
  <c r="D27" s="1"/>
  <c r="A28"/>
  <c r="B28"/>
  <c r="C28"/>
  <c r="D28" s="1"/>
  <c r="A29"/>
  <c r="B29"/>
  <c r="C29"/>
  <c r="D29" s="1"/>
  <c r="A30"/>
  <c r="B30"/>
  <c r="C30"/>
  <c r="D30" s="1"/>
  <c r="A31"/>
  <c r="B31"/>
  <c r="C31"/>
  <c r="D31"/>
  <c r="A32"/>
  <c r="B32"/>
  <c r="C32"/>
  <c r="D32" s="1"/>
  <c r="A33"/>
  <c r="B33"/>
  <c r="C33"/>
  <c r="D33" s="1"/>
  <c r="A34"/>
  <c r="B34"/>
  <c r="C34"/>
  <c r="D34" s="1"/>
  <c r="A35"/>
  <c r="B35"/>
  <c r="C35"/>
  <c r="D35" s="1"/>
  <c r="A36"/>
  <c r="B36"/>
  <c r="C36"/>
  <c r="D36" s="1"/>
  <c r="A37"/>
  <c r="B37"/>
  <c r="C37"/>
  <c r="D37" s="1"/>
  <c r="A38"/>
  <c r="B38"/>
  <c r="C38"/>
  <c r="D38" s="1"/>
  <c r="A39"/>
  <c r="B39"/>
  <c r="C39"/>
  <c r="D39" s="1"/>
  <c r="A40"/>
  <c r="B40"/>
  <c r="C40"/>
  <c r="D40" s="1"/>
  <c r="A41"/>
  <c r="B41"/>
  <c r="C41"/>
  <c r="D41"/>
  <c r="A42"/>
  <c r="B42"/>
  <c r="C42"/>
  <c r="D42" s="1"/>
  <c r="A43"/>
  <c r="B43"/>
  <c r="C43"/>
  <c r="D43" s="1"/>
  <c r="A44"/>
  <c r="B44"/>
  <c r="C44"/>
  <c r="D44" s="1"/>
  <c r="A45"/>
  <c r="B45"/>
  <c r="C45"/>
  <c r="D45" s="1"/>
  <c r="A46"/>
  <c r="B46"/>
  <c r="C46"/>
  <c r="D46" s="1"/>
  <c r="A47"/>
  <c r="B47"/>
  <c r="C47"/>
  <c r="D47"/>
  <c r="A48"/>
  <c r="B48"/>
  <c r="C48"/>
  <c r="D48" s="1"/>
  <c r="A49"/>
  <c r="B49"/>
  <c r="C49"/>
  <c r="D49" s="1"/>
  <c r="A50"/>
  <c r="B50"/>
  <c r="C50"/>
  <c r="D50" s="1"/>
  <c r="A51"/>
  <c r="B51"/>
  <c r="C51"/>
  <c r="D51"/>
  <c r="A52"/>
  <c r="B52"/>
  <c r="C52"/>
  <c r="D52" s="1"/>
  <c r="A53"/>
  <c r="B53"/>
  <c r="C53"/>
  <c r="D53" s="1"/>
  <c r="A54"/>
  <c r="B54"/>
  <c r="C54"/>
  <c r="D54" s="1"/>
  <c r="A55"/>
  <c r="B55"/>
  <c r="C55"/>
  <c r="D55" s="1"/>
  <c r="A56"/>
  <c r="B56"/>
  <c r="C56"/>
  <c r="D56" s="1"/>
  <c r="A57"/>
  <c r="B57"/>
  <c r="C57"/>
  <c r="D57"/>
  <c r="C6"/>
  <c r="D6" s="1"/>
  <c r="B6"/>
  <c r="A6"/>
  <c r="E11" i="9" l="1"/>
  <c r="H5" i="11"/>
  <c r="D33" i="5"/>
  <c r="D20" i="11"/>
  <c r="A20" i="3"/>
  <c r="A18" i="14"/>
  <c r="A18" i="17"/>
  <c r="A19" i="1"/>
  <c r="A20"/>
  <c r="A18"/>
  <c r="A17" i="2"/>
  <c r="A17" i="17"/>
  <c r="A17" i="12"/>
  <c r="A16" i="16"/>
  <c r="A17" s="1"/>
  <c r="A16" i="12"/>
  <c r="A17" i="14"/>
  <c r="A19" s="1"/>
  <c r="A16"/>
  <c r="A18" i="13"/>
  <c r="A19" s="1"/>
  <c r="A20" i="15"/>
  <c r="E34" i="12" a="1"/>
  <c r="E34" s="1"/>
  <c r="E14" i="1" a="1"/>
  <c r="E14" s="1"/>
  <c r="T14" a="1"/>
  <c r="T14" s="1"/>
  <c r="U14" a="1"/>
  <c r="U14" s="1"/>
  <c r="V14"/>
  <c r="T34" i="12" a="1"/>
  <c r="T34" s="1"/>
  <c r="V34" i="15" a="1"/>
  <c r="V34" s="1"/>
  <c r="T34" i="1" a="1"/>
  <c r="T34" s="1"/>
  <c r="V34" a="1"/>
  <c r="V34" s="1"/>
  <c r="E34" a="1"/>
  <c r="E34" s="1"/>
  <c r="E34" i="15" a="1"/>
  <c r="E34" s="1"/>
  <c r="V34" i="12" a="1"/>
  <c r="V34" s="1"/>
  <c r="T34" i="15" a="1"/>
  <c r="T34" s="1"/>
  <c r="A8" i="12"/>
  <c r="A8" i="15"/>
  <c r="A8" i="1"/>
  <c r="T33" i="15" a="1"/>
  <c r="T33" s="1"/>
  <c r="E38" a="1"/>
  <c r="E38" s="1"/>
  <c r="E39" a="1"/>
  <c r="E39" s="1"/>
  <c r="T38" a="1"/>
  <c r="T38" s="1"/>
  <c r="T35" a="1"/>
  <c r="T35" s="1"/>
  <c r="V33" a="1"/>
  <c r="V33" s="1"/>
  <c r="E37" a="1"/>
  <c r="E37" s="1"/>
  <c r="V37" a="1"/>
  <c r="V37" s="1"/>
  <c r="T39" a="1"/>
  <c r="T39" s="1"/>
  <c r="V38" a="1"/>
  <c r="V38" s="1"/>
  <c r="V40" a="1"/>
  <c r="V40" s="1"/>
  <c r="T37" a="1"/>
  <c r="T37" s="1"/>
  <c r="V35" a="1"/>
  <c r="V35" s="1"/>
  <c r="T40" a="1"/>
  <c r="T40" s="1"/>
  <c r="V39" a="1"/>
  <c r="V39" s="1"/>
  <c r="E36" a="1"/>
  <c r="E36" s="1"/>
  <c r="E35" a="1"/>
  <c r="E35" s="1"/>
  <c r="V36" a="1"/>
  <c r="V36" s="1"/>
  <c r="E33" a="1"/>
  <c r="E33" s="1"/>
  <c r="E40" a="1"/>
  <c r="E40" s="1"/>
  <c r="T36" a="1"/>
  <c r="T36" s="1"/>
  <c r="U20" a="1"/>
  <c r="U20" s="1"/>
  <c r="T20" a="1"/>
  <c r="T20" s="1"/>
  <c r="V20"/>
  <c r="D12" i="11"/>
  <c r="E36" i="12" a="1"/>
  <c r="E36" s="1"/>
  <c r="T33" a="1"/>
  <c r="T33" s="1"/>
  <c r="V38" a="1"/>
  <c r="V38" s="1"/>
  <c r="E37" a="1"/>
  <c r="E37" s="1"/>
  <c r="V33" a="1"/>
  <c r="V33" s="1"/>
  <c r="E38" a="1"/>
  <c r="E38" s="1"/>
  <c r="T39" a="1"/>
  <c r="T39" s="1"/>
  <c r="V36" a="1"/>
  <c r="V36" s="1"/>
  <c r="V35" a="1"/>
  <c r="V35" s="1"/>
  <c r="T38" a="1"/>
  <c r="T38" s="1"/>
  <c r="E40" a="1"/>
  <c r="E40" s="1"/>
  <c r="T40" a="1"/>
  <c r="T40" s="1"/>
  <c r="V37" a="1"/>
  <c r="V37" s="1"/>
  <c r="E39" a="1"/>
  <c r="E39" s="1"/>
  <c r="T36" a="1"/>
  <c r="T36" s="1"/>
  <c r="E35" a="1"/>
  <c r="E35" s="1"/>
  <c r="T35" a="1"/>
  <c r="T35" s="1"/>
  <c r="E33" a="1"/>
  <c r="E33" s="1"/>
  <c r="T37" a="1"/>
  <c r="T37" s="1"/>
  <c r="V39" a="1"/>
  <c r="V39" s="1"/>
  <c r="V40" a="1"/>
  <c r="V40" s="1"/>
  <c r="T20" a="1"/>
  <c r="T20" s="1"/>
  <c r="V20"/>
  <c r="U20" a="1"/>
  <c r="U20" s="1"/>
  <c r="D12" i="9"/>
  <c r="D13" i="5"/>
  <c r="D11"/>
  <c r="E111" i="11"/>
  <c r="E85"/>
  <c r="E47"/>
  <c r="E77"/>
  <c r="E120"/>
  <c r="E100"/>
  <c r="E114"/>
  <c r="E128"/>
  <c r="E49"/>
  <c r="E86"/>
  <c r="E36"/>
  <c r="E50"/>
  <c r="E13"/>
  <c r="E54"/>
  <c r="E30"/>
  <c r="E99"/>
  <c r="E28"/>
  <c r="E92"/>
  <c r="E112"/>
  <c r="E25"/>
  <c r="E39"/>
  <c r="E103"/>
  <c r="E88"/>
  <c r="E14"/>
  <c r="E42"/>
  <c r="E106"/>
  <c r="E70"/>
  <c r="E105"/>
  <c r="E69"/>
  <c r="E83"/>
  <c r="E20"/>
  <c r="E84"/>
  <c r="E96"/>
  <c r="E17"/>
  <c r="E31"/>
  <c r="E95"/>
  <c r="E56"/>
  <c r="E115"/>
  <c r="E34"/>
  <c r="E98"/>
  <c r="E46"/>
  <c r="E81"/>
  <c r="E61"/>
  <c r="E125"/>
  <c r="E12"/>
  <c r="E126"/>
  <c r="E40"/>
  <c r="E90"/>
  <c r="E73"/>
  <c r="V14" i="15" s="1"/>
  <c r="E59" i="11"/>
  <c r="E89"/>
  <c r="E68"/>
  <c r="E24"/>
  <c r="E123"/>
  <c r="E15"/>
  <c r="E79"/>
  <c r="E32"/>
  <c r="E75"/>
  <c r="E18"/>
  <c r="E82"/>
  <c r="E22"/>
  <c r="E109"/>
  <c r="E80"/>
  <c r="E33"/>
  <c r="E60"/>
  <c r="V13" i="15" s="1"/>
  <c r="E124" i="11"/>
  <c r="E107"/>
  <c r="E121"/>
  <c r="E71"/>
  <c r="E16"/>
  <c r="E51"/>
  <c r="E65"/>
  <c r="E74"/>
  <c r="E19"/>
  <c r="E118"/>
  <c r="E37"/>
  <c r="E101"/>
  <c r="E67"/>
  <c r="E64"/>
  <c r="E87"/>
  <c r="E26"/>
  <c r="E117"/>
  <c r="E41"/>
  <c r="E72"/>
  <c r="E102"/>
  <c r="E52"/>
  <c r="E116"/>
  <c r="E43"/>
  <c r="E113"/>
  <c r="E63"/>
  <c r="E127"/>
  <c r="E35"/>
  <c r="E57"/>
  <c r="E66"/>
  <c r="E104"/>
  <c r="E110"/>
  <c r="E29"/>
  <c r="E93"/>
  <c r="E76"/>
  <c r="E23"/>
  <c r="E91"/>
  <c r="E38"/>
  <c r="E53"/>
  <c r="E45"/>
  <c r="E48"/>
  <c r="E78"/>
  <c r="E44"/>
  <c r="E108"/>
  <c r="E11"/>
  <c r="E97"/>
  <c r="E55"/>
  <c r="E119"/>
  <c r="E27"/>
  <c r="E62"/>
  <c r="E58"/>
  <c r="E122"/>
  <c r="E94"/>
  <c r="E21"/>
  <c r="E125" i="9"/>
  <c r="E117"/>
  <c r="E109"/>
  <c r="E101"/>
  <c r="E93"/>
  <c r="E85"/>
  <c r="E77"/>
  <c r="E69"/>
  <c r="E61"/>
  <c r="E53"/>
  <c r="E45"/>
  <c r="E37"/>
  <c r="E29"/>
  <c r="E21"/>
  <c r="E13"/>
  <c r="E127"/>
  <c r="E111"/>
  <c r="E95"/>
  <c r="E71"/>
  <c r="E39"/>
  <c r="E23"/>
  <c r="E15"/>
  <c r="E104"/>
  <c r="E88"/>
  <c r="E80"/>
  <c r="E72"/>
  <c r="E32"/>
  <c r="E24"/>
  <c r="E122"/>
  <c r="E114"/>
  <c r="E106"/>
  <c r="E98"/>
  <c r="E90"/>
  <c r="E82"/>
  <c r="E74"/>
  <c r="E66"/>
  <c r="E58"/>
  <c r="E50"/>
  <c r="E42"/>
  <c r="E34"/>
  <c r="E26"/>
  <c r="E18"/>
  <c r="E119"/>
  <c r="E103"/>
  <c r="E87"/>
  <c r="E79"/>
  <c r="E63"/>
  <c r="E55"/>
  <c r="E47"/>
  <c r="E31"/>
  <c r="E128"/>
  <c r="E112"/>
  <c r="E96"/>
  <c r="E16"/>
  <c r="E124"/>
  <c r="E116"/>
  <c r="E108"/>
  <c r="E100"/>
  <c r="E92"/>
  <c r="E84"/>
  <c r="E76"/>
  <c r="E68"/>
  <c r="E60"/>
  <c r="V13" i="12" s="1"/>
  <c r="E52" i="9"/>
  <c r="E44"/>
  <c r="E36"/>
  <c r="E28"/>
  <c r="E20"/>
  <c r="E12"/>
  <c r="E121"/>
  <c r="E113"/>
  <c r="E105"/>
  <c r="E97"/>
  <c r="E89"/>
  <c r="E81"/>
  <c r="E73"/>
  <c r="T14" i="12" s="1" a="1"/>
  <c r="T14" s="1"/>
  <c r="E65" i="9"/>
  <c r="E57"/>
  <c r="E49"/>
  <c r="E41"/>
  <c r="E33"/>
  <c r="E25"/>
  <c r="E17"/>
  <c r="E40"/>
  <c r="E126"/>
  <c r="E118"/>
  <c r="E110"/>
  <c r="E102"/>
  <c r="E94"/>
  <c r="E86"/>
  <c r="E78"/>
  <c r="E70"/>
  <c r="E62"/>
  <c r="E54"/>
  <c r="E46"/>
  <c r="E38"/>
  <c r="E30"/>
  <c r="E22"/>
  <c r="E14"/>
  <c r="E123"/>
  <c r="E115"/>
  <c r="E107"/>
  <c r="E99"/>
  <c r="E91"/>
  <c r="E83"/>
  <c r="E75"/>
  <c r="E67"/>
  <c r="E59"/>
  <c r="E51"/>
  <c r="E43"/>
  <c r="E35"/>
  <c r="E27"/>
  <c r="E19"/>
  <c r="E120"/>
  <c r="E64"/>
  <c r="E56"/>
  <c r="E48"/>
  <c r="A2" i="7"/>
  <c r="H37" i="15" l="1" a="1"/>
  <c r="H37" s="1"/>
  <c r="J37" a="1"/>
  <c r="J37" s="1"/>
  <c r="I37" a="1"/>
  <c r="I37" s="1"/>
  <c r="G37" a="1"/>
  <c r="G37" s="1"/>
  <c r="H36" a="1"/>
  <c r="H36" s="1"/>
  <c r="J36" a="1"/>
  <c r="J36" s="1"/>
  <c r="G36" a="1"/>
  <c r="G36" s="1"/>
  <c r="I36" a="1"/>
  <c r="I36" s="1"/>
  <c r="H38" a="1"/>
  <c r="H38" s="1"/>
  <c r="J38" a="1"/>
  <c r="J38" s="1"/>
  <c r="I38" a="1"/>
  <c r="I38" s="1"/>
  <c r="G38" a="1"/>
  <c r="G38" s="1"/>
  <c r="J35" a="1"/>
  <c r="J35" s="1"/>
  <c r="H35" a="1"/>
  <c r="H35" s="1"/>
  <c r="I35" a="1"/>
  <c r="I35" s="1"/>
  <c r="G35" a="1"/>
  <c r="G35" s="1"/>
  <c r="H39" a="1"/>
  <c r="H39" s="1"/>
  <c r="G39" a="1"/>
  <c r="G39" s="1"/>
  <c r="J39" a="1"/>
  <c r="J39" s="1"/>
  <c r="I39" a="1"/>
  <c r="I39" s="1"/>
  <c r="H34" a="1"/>
  <c r="H34" s="1"/>
  <c r="G34" a="1"/>
  <c r="G34" s="1"/>
  <c r="J34" a="1"/>
  <c r="J34" s="1"/>
  <c r="I34" a="1"/>
  <c r="I34" s="1"/>
  <c r="H40" a="1"/>
  <c r="H40" s="1"/>
  <c r="J40" a="1"/>
  <c r="J40" s="1"/>
  <c r="I40" a="1"/>
  <c r="I40" s="1"/>
  <c r="G40" a="1"/>
  <c r="G40" s="1"/>
  <c r="I33" a="1"/>
  <c r="I33" s="1"/>
  <c r="J33" a="1"/>
  <c r="J33" s="1"/>
  <c r="G33" a="1"/>
  <c r="G33" s="1"/>
  <c r="H33" a="1"/>
  <c r="H33" s="1"/>
  <c r="J38" i="12" a="1"/>
  <c r="J38" s="1"/>
  <c r="H38" a="1"/>
  <c r="H38" s="1"/>
  <c r="I38" a="1"/>
  <c r="I38" s="1"/>
  <c r="G38" a="1"/>
  <c r="G38" s="1"/>
  <c r="H35" a="1"/>
  <c r="H35" s="1"/>
  <c r="J35" a="1"/>
  <c r="J35" s="1"/>
  <c r="G35" a="1"/>
  <c r="G35" s="1"/>
  <c r="I35" a="1"/>
  <c r="I35" s="1"/>
  <c r="J36" a="1"/>
  <c r="J36" s="1"/>
  <c r="H36" a="1"/>
  <c r="H36" s="1"/>
  <c r="G36" a="1"/>
  <c r="G36" s="1"/>
  <c r="I36" a="1"/>
  <c r="I36" s="1"/>
  <c r="J34" a="1"/>
  <c r="J34" s="1"/>
  <c r="H34" a="1"/>
  <c r="H34" s="1"/>
  <c r="I34" a="1"/>
  <c r="I34" s="1"/>
  <c r="G34" a="1"/>
  <c r="G34" s="1"/>
  <c r="J40" a="1"/>
  <c r="J40" s="1"/>
  <c r="G40" a="1"/>
  <c r="G40" s="1"/>
  <c r="H40" a="1"/>
  <c r="H40" s="1"/>
  <c r="I40" a="1"/>
  <c r="I40" s="1"/>
  <c r="J39" a="1"/>
  <c r="J39" s="1"/>
  <c r="H39" a="1"/>
  <c r="H39" s="1"/>
  <c r="I39" a="1"/>
  <c r="I39" s="1"/>
  <c r="G39" a="1"/>
  <c r="G39" s="1"/>
  <c r="J37" a="1"/>
  <c r="J37" s="1"/>
  <c r="H37" a="1"/>
  <c r="H37" s="1"/>
  <c r="I37" a="1"/>
  <c r="I37" s="1"/>
  <c r="G37" a="1"/>
  <c r="G37" s="1"/>
  <c r="I33" a="1"/>
  <c r="I33" s="1"/>
  <c r="J33" a="1"/>
  <c r="J33" s="1"/>
  <c r="G33" a="1"/>
  <c r="G33" s="1"/>
  <c r="H33" a="1"/>
  <c r="H33" s="1"/>
  <c r="I34" i="1" a="1"/>
  <c r="I34" s="1"/>
  <c r="J34" a="1"/>
  <c r="J34" s="1"/>
  <c r="G34" a="1"/>
  <c r="G34" s="1"/>
  <c r="H34" a="1"/>
  <c r="H34" s="1"/>
  <c r="I14" a="1"/>
  <c r="I14" s="1"/>
  <c r="J14" a="1"/>
  <c r="J14" s="1"/>
  <c r="G14" a="1"/>
  <c r="G14" s="1"/>
  <c r="H14" a="1"/>
  <c r="H14" s="1"/>
  <c r="U14" i="12" a="1"/>
  <c r="U14" s="1"/>
  <c r="T14" i="15" a="1"/>
  <c r="T14" s="1"/>
  <c r="V14" i="12"/>
  <c r="U14" i="15" a="1"/>
  <c r="U14" s="1"/>
  <c r="A19" i="12"/>
  <c r="A20" s="1"/>
  <c r="A18"/>
  <c r="A18" i="16"/>
  <c r="A18" i="2"/>
  <c r="A19" s="1"/>
  <c r="A19" i="17"/>
  <c r="A20" s="1"/>
  <c r="N34" i="1"/>
  <c r="A20" i="13"/>
  <c r="E14" i="12" a="1"/>
  <c r="E14" s="1"/>
  <c r="N34"/>
  <c r="L34"/>
  <c r="A20" i="14"/>
  <c r="L14" i="1"/>
  <c r="E14" i="15" a="1"/>
  <c r="E14" s="1"/>
  <c r="N14" i="1"/>
  <c r="L34" i="15"/>
  <c r="U34" i="12"/>
  <c r="M34" s="1"/>
  <c r="M14" i="1"/>
  <c r="O14"/>
  <c r="U34"/>
  <c r="L34"/>
  <c r="U34" i="15"/>
  <c r="N34"/>
  <c r="A8" i="13"/>
  <c r="A8" i="14"/>
  <c r="A8" i="17"/>
  <c r="A8" i="16"/>
  <c r="A8" i="2"/>
  <c r="A8" i="3"/>
  <c r="U15" i="15" a="1"/>
  <c r="U15" s="1"/>
  <c r="V16"/>
  <c r="U18" a="1"/>
  <c r="U18" s="1"/>
  <c r="U17" a="1"/>
  <c r="U17" s="1"/>
  <c r="T16" a="1"/>
  <c r="T16" s="1"/>
  <c r="V19"/>
  <c r="V15"/>
  <c r="V18"/>
  <c r="T15" a="1"/>
  <c r="T15" s="1"/>
  <c r="U16" a="1"/>
  <c r="U16" s="1"/>
  <c r="T13" a="1"/>
  <c r="T13" s="1"/>
  <c r="U13" a="1"/>
  <c r="U13" s="1"/>
  <c r="T18" a="1"/>
  <c r="T18" s="1"/>
  <c r="T17" a="1"/>
  <c r="T17" s="1"/>
  <c r="T19" a="1"/>
  <c r="T19" s="1"/>
  <c r="U19" a="1"/>
  <c r="U19" s="1"/>
  <c r="E19" a="1"/>
  <c r="E19" s="1"/>
  <c r="E13" a="1"/>
  <c r="E13" s="1"/>
  <c r="E18" a="1"/>
  <c r="E18" s="1"/>
  <c r="E17" a="1"/>
  <c r="E17" s="1"/>
  <c r="E16" a="1"/>
  <c r="E16" s="1"/>
  <c r="E15" a="1"/>
  <c r="E15" s="1"/>
  <c r="E20" a="1"/>
  <c r="E20" s="1"/>
  <c r="V17"/>
  <c r="L36"/>
  <c r="N37"/>
  <c r="U38"/>
  <c r="O38" s="1"/>
  <c r="L35"/>
  <c r="L37"/>
  <c r="N35"/>
  <c r="N39"/>
  <c r="U40"/>
  <c r="M40" s="1"/>
  <c r="N33"/>
  <c r="V43"/>
  <c r="A23"/>
  <c r="A24" s="1"/>
  <c r="L39"/>
  <c r="N36"/>
  <c r="L33"/>
  <c r="T43"/>
  <c r="L40"/>
  <c r="N38"/>
  <c r="L38"/>
  <c r="U37"/>
  <c r="U39"/>
  <c r="U36"/>
  <c r="E43"/>
  <c r="U33"/>
  <c r="N40"/>
  <c r="U35"/>
  <c r="T13" i="12" a="1"/>
  <c r="T13" s="1"/>
  <c r="T19" a="1"/>
  <c r="T19" s="1"/>
  <c r="L35"/>
  <c r="N35"/>
  <c r="U13" a="1"/>
  <c r="U13" s="1"/>
  <c r="V16"/>
  <c r="T15" a="1"/>
  <c r="T15" s="1"/>
  <c r="E18" a="1"/>
  <c r="E18" s="1"/>
  <c r="U18" a="1"/>
  <c r="U18" s="1"/>
  <c r="V19"/>
  <c r="V17"/>
  <c r="V18"/>
  <c r="E19" a="1"/>
  <c r="E19" s="1"/>
  <c r="U15" a="1"/>
  <c r="U15" s="1"/>
  <c r="U17" a="1"/>
  <c r="U17" s="1"/>
  <c r="V15"/>
  <c r="T18" a="1"/>
  <c r="T18" s="1"/>
  <c r="E17" a="1"/>
  <c r="E17" s="1"/>
  <c r="E13" a="1"/>
  <c r="E13" s="1"/>
  <c r="T17" a="1"/>
  <c r="T17" s="1"/>
  <c r="U19" a="1"/>
  <c r="U19" s="1"/>
  <c r="E16" a="1"/>
  <c r="E16" s="1"/>
  <c r="U16" a="1"/>
  <c r="U16" s="1"/>
  <c r="E15" a="1"/>
  <c r="E15" s="1"/>
  <c r="E20" a="1"/>
  <c r="E20" s="1"/>
  <c r="T16" a="1"/>
  <c r="T16" s="1"/>
  <c r="N36"/>
  <c r="L37"/>
  <c r="N38"/>
  <c r="N37"/>
  <c r="L40"/>
  <c r="L39"/>
  <c r="L33"/>
  <c r="T43"/>
  <c r="E43"/>
  <c r="U33"/>
  <c r="U40"/>
  <c r="N40"/>
  <c r="N33"/>
  <c r="V43"/>
  <c r="U39"/>
  <c r="N39"/>
  <c r="U37"/>
  <c r="U38"/>
  <c r="L36"/>
  <c r="U35"/>
  <c r="U36"/>
  <c r="L38"/>
  <c r="A6" i="4"/>
  <c r="A17"/>
  <c r="B22" i="11" s="1"/>
  <c r="A57" i="4"/>
  <c r="B62" i="11" s="1"/>
  <c r="A81" i="4"/>
  <c r="B86" i="11" s="1"/>
  <c r="A105" i="4"/>
  <c r="B110" i="11" s="1"/>
  <c r="A63" i="4"/>
  <c r="B68" i="11" s="1"/>
  <c r="A9" i="4"/>
  <c r="B14" i="11" s="1"/>
  <c r="A65" i="4"/>
  <c r="B70" i="11" s="1"/>
  <c r="A97" i="4"/>
  <c r="B102" i="11" s="1"/>
  <c r="A121" i="4"/>
  <c r="B126" i="11" s="1"/>
  <c r="A16" i="4"/>
  <c r="B21" i="11" s="1"/>
  <c r="A40" i="4"/>
  <c r="B45" i="11" s="1"/>
  <c r="A56" i="4"/>
  <c r="B61" i="11" s="1"/>
  <c r="A72" i="4"/>
  <c r="B77" i="11" s="1"/>
  <c r="A88" i="4"/>
  <c r="B93" i="11" s="1"/>
  <c r="A104" i="4"/>
  <c r="B109" i="11" s="1"/>
  <c r="A15" i="4"/>
  <c r="B20" i="11" s="1"/>
  <c r="A47" i="4"/>
  <c r="B52" i="11" s="1"/>
  <c r="A79" i="4"/>
  <c r="B84" i="11" s="1"/>
  <c r="A103" i="4"/>
  <c r="B108" i="11" s="1"/>
  <c r="A50" i="4"/>
  <c r="B55" i="11" s="1"/>
  <c r="A25" i="4"/>
  <c r="B30" i="11" s="1"/>
  <c r="A33" i="4"/>
  <c r="B38" i="11" s="1"/>
  <c r="A41" i="4"/>
  <c r="B46" i="11" s="1"/>
  <c r="A49" i="4"/>
  <c r="B54" i="11" s="1"/>
  <c r="A73" i="4"/>
  <c r="B78" i="11" s="1"/>
  <c r="A89" i="4"/>
  <c r="B94" i="11" s="1"/>
  <c r="A113" i="4"/>
  <c r="B118" i="11" s="1"/>
  <c r="A8" i="4"/>
  <c r="B13" i="11" s="1"/>
  <c r="A32" i="4"/>
  <c r="B37" i="11" s="1"/>
  <c r="A48" i="4"/>
  <c r="B53" i="11" s="1"/>
  <c r="A64" i="4"/>
  <c r="B69" i="11" s="1"/>
  <c r="A80" i="4"/>
  <c r="B85" i="11" s="1"/>
  <c r="A96" i="4"/>
  <c r="B101" i="11" s="1"/>
  <c r="A120" i="4"/>
  <c r="B125" i="11" s="1"/>
  <c r="A23" i="4"/>
  <c r="B28" i="11" s="1"/>
  <c r="A31" i="4"/>
  <c r="B36" i="11" s="1"/>
  <c r="A55" i="4"/>
  <c r="B60" i="11" s="1"/>
  <c r="A87" i="4"/>
  <c r="B92" i="11" s="1"/>
  <c r="A111" i="4"/>
  <c r="B116" i="11" s="1"/>
  <c r="A10" i="4"/>
  <c r="B15" i="11" s="1"/>
  <c r="A18" i="4"/>
  <c r="B23" i="11" s="1"/>
  <c r="A26" i="4"/>
  <c r="B31" i="11" s="1"/>
  <c r="A34" i="4"/>
  <c r="B39" i="11" s="1"/>
  <c r="A42" i="4"/>
  <c r="B47" i="11" s="1"/>
  <c r="A58" i="4"/>
  <c r="B63" i="11" s="1"/>
  <c r="A66" i="4"/>
  <c r="A74"/>
  <c r="B79" i="11" s="1"/>
  <c r="A82" i="4"/>
  <c r="B87" i="11" s="1"/>
  <c r="A90" i="4"/>
  <c r="B95" i="11" s="1"/>
  <c r="A98" i="4"/>
  <c r="B103" i="11" s="1"/>
  <c r="A106" i="4"/>
  <c r="B111" i="11" s="1"/>
  <c r="A114" i="4"/>
  <c r="B119" i="11" s="1"/>
  <c r="A122" i="4"/>
  <c r="B127" i="11" s="1"/>
  <c r="A24" i="4"/>
  <c r="B29" i="11" s="1"/>
  <c r="A112" i="4"/>
  <c r="B117" i="11" s="1"/>
  <c r="A7" i="4"/>
  <c r="B12" i="11" s="1"/>
  <c r="A39" i="4"/>
  <c r="B44" i="11" s="1"/>
  <c r="A71" i="4"/>
  <c r="B76" i="11" s="1"/>
  <c r="A95" i="4"/>
  <c r="B100" i="11" s="1"/>
  <c r="A119" i="4"/>
  <c r="B124" i="11" s="1"/>
  <c r="A67" i="4"/>
  <c r="A116"/>
  <c r="B121" i="11" s="1"/>
  <c r="A52" i="4"/>
  <c r="B57" i="11" s="1"/>
  <c r="A101" i="4"/>
  <c r="B106" i="11" s="1"/>
  <c r="A37" i="4"/>
  <c r="B42" i="11" s="1"/>
  <c r="A86" i="4"/>
  <c r="B91" i="11" s="1"/>
  <c r="A22" i="4"/>
  <c r="B27" i="11" s="1"/>
  <c r="A92" i="4"/>
  <c r="B97" i="11" s="1"/>
  <c r="A100" i="4"/>
  <c r="B105" i="11" s="1"/>
  <c r="A21" i="4"/>
  <c r="B26" i="11" s="1"/>
  <c r="A44" i="4"/>
  <c r="B49" i="11" s="1"/>
  <c r="A93" i="4"/>
  <c r="B98" i="11" s="1"/>
  <c r="A75" i="4"/>
  <c r="B80" i="11" s="1"/>
  <c r="A11" i="4"/>
  <c r="B16" i="11" s="1"/>
  <c r="A60" i="4"/>
  <c r="B65" i="11" s="1"/>
  <c r="A109" i="4"/>
  <c r="B114" i="11" s="1"/>
  <c r="A45" i="4"/>
  <c r="B50" i="11" s="1"/>
  <c r="A94" i="4"/>
  <c r="B99" i="11" s="1"/>
  <c r="A30" i="4"/>
  <c r="B35" i="11" s="1"/>
  <c r="A107" i="4"/>
  <c r="B112" i="11" s="1"/>
  <c r="A62" i="4"/>
  <c r="B67" i="11" s="1"/>
  <c r="A115" i="4"/>
  <c r="B120" i="11" s="1"/>
  <c r="A70" i="4"/>
  <c r="B75" i="11" s="1"/>
  <c r="A123" i="4"/>
  <c r="B128" i="11" s="1"/>
  <c r="A78" i="4"/>
  <c r="B83" i="11" s="1"/>
  <c r="A83" i="4"/>
  <c r="B88" i="11" s="1"/>
  <c r="A19" i="4"/>
  <c r="B24" i="11" s="1"/>
  <c r="A68" i="4"/>
  <c r="B73" i="11" s="1"/>
  <c r="A117" i="4"/>
  <c r="B122" i="11" s="1"/>
  <c r="A53" i="4"/>
  <c r="B58" i="11" s="1"/>
  <c r="A102" i="4"/>
  <c r="B107" i="11" s="1"/>
  <c r="A38" i="4"/>
  <c r="B43" i="11" s="1"/>
  <c r="A43" i="4"/>
  <c r="B48" i="11" s="1"/>
  <c r="A13" i="4"/>
  <c r="B18" i="11" s="1"/>
  <c r="A36" i="4"/>
  <c r="B41" i="11" s="1"/>
  <c r="A59" i="4"/>
  <c r="B64" i="11" s="1"/>
  <c r="A14" i="4"/>
  <c r="B19" i="11" s="1"/>
  <c r="A91" i="4"/>
  <c r="B96" i="11" s="1"/>
  <c r="A27" i="4"/>
  <c r="B32" i="11" s="1"/>
  <c r="A76" i="4"/>
  <c r="B81" i="11" s="1"/>
  <c r="A12" i="4"/>
  <c r="B17" i="11" s="1"/>
  <c r="A61" i="4"/>
  <c r="B66" i="11" s="1"/>
  <c r="A110" i="4"/>
  <c r="B115" i="11" s="1"/>
  <c r="A46" i="4"/>
  <c r="B51" i="11" s="1"/>
  <c r="A99" i="4"/>
  <c r="B104" i="11" s="1"/>
  <c r="A35" i="4"/>
  <c r="B40" i="11" s="1"/>
  <c r="A84" i="4"/>
  <c r="B89" i="11" s="1"/>
  <c r="A20" i="4"/>
  <c r="B25" i="11" s="1"/>
  <c r="A69" i="4"/>
  <c r="B74" i="11" s="1"/>
  <c r="A118" i="4"/>
  <c r="B123" i="11" s="1"/>
  <c r="A54" i="4"/>
  <c r="B59" i="11" s="1"/>
  <c r="A28" i="4"/>
  <c r="B33" i="11" s="1"/>
  <c r="A77" i="4"/>
  <c r="B82" i="11" s="1"/>
  <c r="A51" i="4"/>
  <c r="B56" i="11" s="1"/>
  <c r="A85" i="4"/>
  <c r="B90" i="11" s="1"/>
  <c r="A108" i="4"/>
  <c r="B113" i="11" s="1"/>
  <c r="A29" i="4"/>
  <c r="B34" i="11" s="1"/>
  <c r="V33" i="1" a="1"/>
  <c r="V33" s="1"/>
  <c r="E19" a="1"/>
  <c r="E19" s="1"/>
  <c r="V18"/>
  <c r="T33" a="1"/>
  <c r="T33" s="1"/>
  <c r="U13" a="1"/>
  <c r="U13" s="1"/>
  <c r="T36" a="1"/>
  <c r="T36" s="1"/>
  <c r="T17" a="1"/>
  <c r="T17" s="1"/>
  <c r="U18" a="1"/>
  <c r="U18" s="1"/>
  <c r="E15" a="1"/>
  <c r="E15" s="1"/>
  <c r="V39" a="1"/>
  <c r="V39" s="1"/>
  <c r="T39" a="1"/>
  <c r="T39" s="1"/>
  <c r="V20"/>
  <c r="U17" a="1"/>
  <c r="U17" s="1"/>
  <c r="U16" a="1"/>
  <c r="U16" s="1"/>
  <c r="V35" a="1"/>
  <c r="V35" s="1"/>
  <c r="T40" a="1"/>
  <c r="T40" s="1"/>
  <c r="E35" a="1"/>
  <c r="E35" s="1"/>
  <c r="E37" a="1"/>
  <c r="E37" s="1"/>
  <c r="V19"/>
  <c r="V13"/>
  <c r="T38" a="1"/>
  <c r="T38" s="1"/>
  <c r="E16" a="1"/>
  <c r="E16" s="1"/>
  <c r="T35" a="1"/>
  <c r="T35" s="1"/>
  <c r="U15" a="1"/>
  <c r="U15" s="1"/>
  <c r="E39" a="1"/>
  <c r="E39" s="1"/>
  <c r="T37" a="1"/>
  <c r="T37" s="1"/>
  <c r="T20" a="1"/>
  <c r="T20" s="1"/>
  <c r="V16"/>
  <c r="T15" a="1"/>
  <c r="T15" s="1"/>
  <c r="V37" a="1"/>
  <c r="V37" s="1"/>
  <c r="U20" a="1"/>
  <c r="U20" s="1"/>
  <c r="V15"/>
  <c r="E33" a="1"/>
  <c r="E33" s="1"/>
  <c r="E38" a="1"/>
  <c r="E38" s="1"/>
  <c r="E13" a="1"/>
  <c r="E13" s="1"/>
  <c r="T19" a="1"/>
  <c r="T19" s="1"/>
  <c r="E40" a="1"/>
  <c r="E40" s="1"/>
  <c r="E17" a="1"/>
  <c r="E17" s="1"/>
  <c r="V36" a="1"/>
  <c r="V36" s="1"/>
  <c r="E18" a="1"/>
  <c r="E18" s="1"/>
  <c r="V17"/>
  <c r="T18" a="1"/>
  <c r="T18" s="1"/>
  <c r="V40" a="1"/>
  <c r="V40" s="1"/>
  <c r="T13" a="1"/>
  <c r="T13" s="1"/>
  <c r="T16" a="1"/>
  <c r="T16" s="1"/>
  <c r="U19" a="1"/>
  <c r="U19" s="1"/>
  <c r="V38" a="1"/>
  <c r="V38" s="1"/>
  <c r="E36" a="1"/>
  <c r="E36" s="1"/>
  <c r="E20" a="1"/>
  <c r="E20" s="1"/>
  <c r="J44" i="15" l="1"/>
  <c r="I44"/>
  <c r="G44"/>
  <c r="H44"/>
  <c r="J18" a="1"/>
  <c r="J18" s="1"/>
  <c r="H18" a="1"/>
  <c r="H18" s="1"/>
  <c r="I18" a="1"/>
  <c r="I18" s="1"/>
  <c r="G18" a="1"/>
  <c r="G18" s="1"/>
  <c r="G16" a="1"/>
  <c r="G16" s="1"/>
  <c r="J16" a="1"/>
  <c r="J16" s="1"/>
  <c r="H16" a="1"/>
  <c r="H16" s="1"/>
  <c r="I16" a="1"/>
  <c r="I16" s="1"/>
  <c r="M20"/>
  <c r="J20" a="1"/>
  <c r="J20" s="1"/>
  <c r="H20" a="1"/>
  <c r="H20" s="1"/>
  <c r="I20" a="1"/>
  <c r="I20" s="1"/>
  <c r="G20" a="1"/>
  <c r="G20" s="1"/>
  <c r="J17" a="1"/>
  <c r="J17" s="1"/>
  <c r="H17" a="1"/>
  <c r="H17" s="1"/>
  <c r="I17" a="1"/>
  <c r="I17" s="1"/>
  <c r="G17" a="1"/>
  <c r="G17" s="1"/>
  <c r="J15" a="1"/>
  <c r="J15" s="1"/>
  <c r="H15" a="1"/>
  <c r="H15" s="1"/>
  <c r="G15" a="1"/>
  <c r="G15" s="1"/>
  <c r="I15" a="1"/>
  <c r="I15" s="1"/>
  <c r="J19" a="1"/>
  <c r="J19" s="1"/>
  <c r="H19" a="1"/>
  <c r="H19" s="1"/>
  <c r="I19" a="1"/>
  <c r="I19" s="1"/>
  <c r="G19" a="1"/>
  <c r="G19" s="1"/>
  <c r="N14"/>
  <c r="J14" a="1"/>
  <c r="J14" s="1"/>
  <c r="H14" a="1"/>
  <c r="H14" s="1"/>
  <c r="I14" a="1"/>
  <c r="I14" s="1"/>
  <c r="G14" a="1"/>
  <c r="G14" s="1"/>
  <c r="I13" a="1"/>
  <c r="I13" s="1"/>
  <c r="J13" a="1"/>
  <c r="J13" s="1"/>
  <c r="G13" a="1"/>
  <c r="G13" s="1"/>
  <c r="H13" a="1"/>
  <c r="H13" s="1"/>
  <c r="I44" i="12"/>
  <c r="J44"/>
  <c r="G44"/>
  <c r="H44"/>
  <c r="J18" a="1"/>
  <c r="J18" s="1"/>
  <c r="G18" a="1"/>
  <c r="G18" s="1"/>
  <c r="H18" a="1"/>
  <c r="H18" s="1"/>
  <c r="I18" a="1"/>
  <c r="I18" s="1"/>
  <c r="N20"/>
  <c r="J20" a="1"/>
  <c r="J20" s="1"/>
  <c r="G20" a="1"/>
  <c r="G20" s="1"/>
  <c r="H20" a="1"/>
  <c r="H20" s="1"/>
  <c r="I20" a="1"/>
  <c r="I20" s="1"/>
  <c r="J17" a="1"/>
  <c r="J17" s="1"/>
  <c r="G17" a="1"/>
  <c r="G17" s="1"/>
  <c r="H17" a="1"/>
  <c r="H17" s="1"/>
  <c r="I17" a="1"/>
  <c r="I17" s="1"/>
  <c r="G19" a="1"/>
  <c r="G19" s="1"/>
  <c r="J19" a="1"/>
  <c r="J19" s="1"/>
  <c r="H19" a="1"/>
  <c r="H19" s="1"/>
  <c r="I19" a="1"/>
  <c r="I19" s="1"/>
  <c r="G15" a="1"/>
  <c r="G15" s="1"/>
  <c r="J15" a="1"/>
  <c r="J15" s="1"/>
  <c r="I15" a="1"/>
  <c r="I15" s="1"/>
  <c r="H15" a="1"/>
  <c r="H15" s="1"/>
  <c r="J16" a="1"/>
  <c r="J16" s="1"/>
  <c r="H16" a="1"/>
  <c r="H16" s="1"/>
  <c r="I16" a="1"/>
  <c r="I16" s="1"/>
  <c r="G16" a="1"/>
  <c r="G16" s="1"/>
  <c r="N14"/>
  <c r="J14" a="1"/>
  <c r="J14" s="1"/>
  <c r="G14" a="1"/>
  <c r="G14" s="1"/>
  <c r="H14" a="1"/>
  <c r="H14" s="1"/>
  <c r="I14" a="1"/>
  <c r="I14" s="1"/>
  <c r="I13" a="1"/>
  <c r="I13" s="1"/>
  <c r="J13" a="1"/>
  <c r="J13" s="1"/>
  <c r="G13" a="1"/>
  <c r="G13" s="1"/>
  <c r="H13" a="1"/>
  <c r="H13" s="1"/>
  <c r="I36" i="1" a="1"/>
  <c r="I36" s="1"/>
  <c r="J36" a="1"/>
  <c r="J36" s="1"/>
  <c r="I39" a="1"/>
  <c r="I39" s="1"/>
  <c r="J39" a="1"/>
  <c r="J39" s="1"/>
  <c r="I35" a="1"/>
  <c r="I35" s="1"/>
  <c r="J35" a="1"/>
  <c r="J35" s="1"/>
  <c r="I37" a="1"/>
  <c r="I37" s="1"/>
  <c r="J37" a="1"/>
  <c r="J37" s="1"/>
  <c r="I40" a="1"/>
  <c r="I40" s="1"/>
  <c r="J40" a="1"/>
  <c r="J40" s="1"/>
  <c r="I38" a="1"/>
  <c r="I38" s="1"/>
  <c r="J38" a="1"/>
  <c r="J38" s="1"/>
  <c r="I33" a="1"/>
  <c r="I33" s="1"/>
  <c r="J33" a="1"/>
  <c r="J33" s="1"/>
  <c r="G37" a="1"/>
  <c r="G37" s="1"/>
  <c r="H37" a="1"/>
  <c r="H37" s="1"/>
  <c r="G39" a="1"/>
  <c r="G39" s="1"/>
  <c r="H39" a="1"/>
  <c r="H39" s="1"/>
  <c r="G38" a="1"/>
  <c r="G38" s="1"/>
  <c r="H38" a="1"/>
  <c r="H38" s="1"/>
  <c r="G36" a="1"/>
  <c r="G36" s="1"/>
  <c r="H36" a="1"/>
  <c r="H36" s="1"/>
  <c r="G40" a="1"/>
  <c r="G40" s="1"/>
  <c r="H40" a="1"/>
  <c r="H40" s="1"/>
  <c r="G35" a="1"/>
  <c r="G35" s="1"/>
  <c r="H35" a="1"/>
  <c r="H35" s="1"/>
  <c r="G33" a="1"/>
  <c r="G33" s="1"/>
  <c r="H33" a="1"/>
  <c r="H33" s="1"/>
  <c r="I19" a="1"/>
  <c r="I19" s="1"/>
  <c r="J19" a="1"/>
  <c r="J19" s="1"/>
  <c r="I17" a="1"/>
  <c r="I17" s="1"/>
  <c r="J17" a="1"/>
  <c r="J17" s="1"/>
  <c r="I20" a="1"/>
  <c r="I20" s="1"/>
  <c r="J20" a="1"/>
  <c r="J20" s="1"/>
  <c r="I16" a="1"/>
  <c r="I16" s="1"/>
  <c r="J16" a="1"/>
  <c r="J16" s="1"/>
  <c r="I18" a="1"/>
  <c r="I18" s="1"/>
  <c r="J18" a="1"/>
  <c r="J18" s="1"/>
  <c r="I15" a="1"/>
  <c r="I15" s="1"/>
  <c r="J15" a="1"/>
  <c r="J15" s="1"/>
  <c r="I13" a="1"/>
  <c r="I13" s="1"/>
  <c r="J13" a="1"/>
  <c r="J13" s="1"/>
  <c r="G20" a="1"/>
  <c r="G20" s="1"/>
  <c r="H20" a="1"/>
  <c r="H20" s="1"/>
  <c r="G16" a="1"/>
  <c r="G16" s="1"/>
  <c r="H16" a="1"/>
  <c r="H16" s="1"/>
  <c r="G15" a="1"/>
  <c r="G15" s="1"/>
  <c r="H15" a="1"/>
  <c r="H15" s="1"/>
  <c r="G18" a="1"/>
  <c r="G18" s="1"/>
  <c r="H18" a="1"/>
  <c r="H18" s="1"/>
  <c r="G17" a="1"/>
  <c r="G17" s="1"/>
  <c r="H17" a="1"/>
  <c r="H17" s="1"/>
  <c r="G19" a="1"/>
  <c r="G19" s="1"/>
  <c r="H19" a="1"/>
  <c r="H19" s="1"/>
  <c r="G13" a="1"/>
  <c r="G13" s="1"/>
  <c r="H13" a="1"/>
  <c r="H13" s="1"/>
  <c r="L14" i="15"/>
  <c r="O34" i="12"/>
  <c r="A20" i="16"/>
  <c r="A23" s="1"/>
  <c r="A24" s="1"/>
  <c r="M14" i="12"/>
  <c r="A19" i="16"/>
  <c r="L14" i="12"/>
  <c r="O14"/>
  <c r="A20" i="2"/>
  <c r="O14" i="15"/>
  <c r="M14"/>
  <c r="O34" i="1"/>
  <c r="M34"/>
  <c r="O34" i="15"/>
  <c r="M34"/>
  <c r="A33"/>
  <c r="O40"/>
  <c r="N20"/>
  <c r="L17"/>
  <c r="L18"/>
  <c r="N19"/>
  <c r="N15"/>
  <c r="O20"/>
  <c r="M38"/>
  <c r="N16"/>
  <c r="L20"/>
  <c r="O18"/>
  <c r="N18"/>
  <c r="L15"/>
  <c r="M18"/>
  <c r="L16"/>
  <c r="O39"/>
  <c r="M39"/>
  <c r="O17"/>
  <c r="M17"/>
  <c r="O33"/>
  <c r="U43"/>
  <c r="M33"/>
  <c r="N13"/>
  <c r="V23"/>
  <c r="O15"/>
  <c r="M15"/>
  <c r="N17"/>
  <c r="L19"/>
  <c r="O19"/>
  <c r="M19"/>
  <c r="O37"/>
  <c r="M37"/>
  <c r="O16"/>
  <c r="M16"/>
  <c r="O35"/>
  <c r="M35"/>
  <c r="O13"/>
  <c r="M13"/>
  <c r="U23"/>
  <c r="L13"/>
  <c r="T23"/>
  <c r="O36"/>
  <c r="M36"/>
  <c r="A23" i="17"/>
  <c r="E23" i="15"/>
  <c r="L13" i="12"/>
  <c r="M17"/>
  <c r="N18"/>
  <c r="O20"/>
  <c r="M20"/>
  <c r="L15"/>
  <c r="L20"/>
  <c r="N13"/>
  <c r="E23"/>
  <c r="M15"/>
  <c r="M18"/>
  <c r="N19"/>
  <c r="O15"/>
  <c r="O18"/>
  <c r="N16"/>
  <c r="T23"/>
  <c r="L19"/>
  <c r="L18"/>
  <c r="M19"/>
  <c r="M16"/>
  <c r="N17"/>
  <c r="O13"/>
  <c r="U23"/>
  <c r="O19"/>
  <c r="N15"/>
  <c r="O17"/>
  <c r="O16"/>
  <c r="M13"/>
  <c r="L16"/>
  <c r="V23"/>
  <c r="L17"/>
  <c r="O40"/>
  <c r="M40"/>
  <c r="O36"/>
  <c r="M36"/>
  <c r="A23"/>
  <c r="M38"/>
  <c r="O38"/>
  <c r="O37"/>
  <c r="M37"/>
  <c r="O35"/>
  <c r="M35"/>
  <c r="O39"/>
  <c r="M39"/>
  <c r="O33"/>
  <c r="U43"/>
  <c r="M33"/>
  <c r="B11" i="9"/>
  <c r="B11" i="11"/>
  <c r="B72"/>
  <c r="B71"/>
  <c r="B82" i="5"/>
  <c r="B82" i="9"/>
  <c r="B104" i="5"/>
  <c r="B104" i="9"/>
  <c r="B19" i="5"/>
  <c r="B19" i="9"/>
  <c r="B122" i="5"/>
  <c r="B122" i="9"/>
  <c r="B67" i="5"/>
  <c r="B67" i="9"/>
  <c r="B80" i="5"/>
  <c r="B80" i="9"/>
  <c r="B42" i="5"/>
  <c r="B42" i="9"/>
  <c r="B44" i="5"/>
  <c r="B44" i="9"/>
  <c r="B95" i="5"/>
  <c r="B95" i="9"/>
  <c r="B23" i="5"/>
  <c r="B23" i="9"/>
  <c r="B101" i="5"/>
  <c r="B101" i="9"/>
  <c r="B78" i="5"/>
  <c r="B78" i="9"/>
  <c r="B52" i="5"/>
  <c r="B52" i="9"/>
  <c r="B126" i="5"/>
  <c r="B126" i="9"/>
  <c r="B22" i="5"/>
  <c r="B22" i="9"/>
  <c r="B56" i="5"/>
  <c r="B56" i="9"/>
  <c r="B40" i="5"/>
  <c r="B40" i="9"/>
  <c r="B96" i="5"/>
  <c r="B96" i="9"/>
  <c r="B58" i="5"/>
  <c r="B58" i="9"/>
  <c r="B120" i="5"/>
  <c r="B120" i="9"/>
  <c r="B16" i="5"/>
  <c r="B16" i="9"/>
  <c r="B91" i="5"/>
  <c r="B91" i="9"/>
  <c r="B76" i="5"/>
  <c r="B76" i="9"/>
  <c r="B103" i="5"/>
  <c r="B103" i="9"/>
  <c r="B31" i="5"/>
  <c r="B31" i="9"/>
  <c r="B125" i="5"/>
  <c r="B125" i="9"/>
  <c r="B94" i="5"/>
  <c r="B94" i="9"/>
  <c r="B84" i="5"/>
  <c r="B84" i="9"/>
  <c r="B21" i="5"/>
  <c r="B21" i="9"/>
  <c r="B62" i="5"/>
  <c r="B62" i="9"/>
  <c r="B25" i="5"/>
  <c r="B25" i="9"/>
  <c r="B43" i="5"/>
  <c r="B43" i="9"/>
  <c r="B124" i="5"/>
  <c r="B124" i="9"/>
  <c r="B34" i="5"/>
  <c r="B34" i="9"/>
  <c r="B74" i="5"/>
  <c r="B74" i="9"/>
  <c r="B17" i="5"/>
  <c r="B17" i="9"/>
  <c r="B48" i="5"/>
  <c r="B48" i="9"/>
  <c r="B83" i="5"/>
  <c r="B83" i="9"/>
  <c r="B50" i="5"/>
  <c r="B50" i="9"/>
  <c r="B105" i="5"/>
  <c r="B105" i="9"/>
  <c r="B127" i="5"/>
  <c r="B127" i="9"/>
  <c r="B63" i="5"/>
  <c r="B63" i="9"/>
  <c r="B60" i="5"/>
  <c r="B60" i="9"/>
  <c r="B37" i="5"/>
  <c r="B37" i="9"/>
  <c r="B30" i="5"/>
  <c r="B30" i="9"/>
  <c r="B77" i="5"/>
  <c r="B77" i="9"/>
  <c r="B68" i="5"/>
  <c r="B68" i="9"/>
  <c r="B33" i="5"/>
  <c r="B33" i="9"/>
  <c r="B51" i="5"/>
  <c r="B51" i="9"/>
  <c r="B64" i="5"/>
  <c r="B64" i="9"/>
  <c r="B73" i="5"/>
  <c r="B73" i="9"/>
  <c r="B112" i="5"/>
  <c r="B112" i="9"/>
  <c r="B98" i="5"/>
  <c r="B98" i="9"/>
  <c r="B106" i="5"/>
  <c r="B106" i="9"/>
  <c r="B12" i="5"/>
  <c r="B12" i="9"/>
  <c r="B87" i="5"/>
  <c r="B87" i="9"/>
  <c r="B15" i="5"/>
  <c r="B15" i="9"/>
  <c r="B85" i="5"/>
  <c r="B85" i="9"/>
  <c r="B54" i="5"/>
  <c r="B54" i="9"/>
  <c r="B20" i="5"/>
  <c r="B20" i="9"/>
  <c r="B102" i="5"/>
  <c r="B102" i="9"/>
  <c r="B11" i="5"/>
  <c r="B113"/>
  <c r="B113" i="9"/>
  <c r="B81" i="5"/>
  <c r="B81" i="9"/>
  <c r="B128" i="5"/>
  <c r="B128" i="9"/>
  <c r="B114" i="5"/>
  <c r="B114" i="9"/>
  <c r="B97" i="5"/>
  <c r="B97" i="9"/>
  <c r="B119" i="5"/>
  <c r="B119" i="9"/>
  <c r="B47" i="5"/>
  <c r="B47" i="9"/>
  <c r="B36" i="5"/>
  <c r="B36" i="9"/>
  <c r="B13" i="5"/>
  <c r="B13" i="9"/>
  <c r="B55" i="5"/>
  <c r="B55" i="9"/>
  <c r="B61" i="5"/>
  <c r="B61" i="9"/>
  <c r="B110" i="5"/>
  <c r="B110" i="9"/>
  <c r="B123" i="5"/>
  <c r="B123" i="9"/>
  <c r="B66" i="5"/>
  <c r="B66" i="9"/>
  <c r="B18" i="5"/>
  <c r="B18" i="9"/>
  <c r="B88" i="5"/>
  <c r="B88" i="9"/>
  <c r="B99" i="5"/>
  <c r="B99" i="9"/>
  <c r="B26" i="5"/>
  <c r="B26" i="9"/>
  <c r="B121" i="5"/>
  <c r="B121" i="9"/>
  <c r="B29" i="5"/>
  <c r="B29" i="9"/>
  <c r="B71"/>
  <c r="B72"/>
  <c r="B92" i="5"/>
  <c r="B92" i="9"/>
  <c r="B53" i="5"/>
  <c r="B53" i="9"/>
  <c r="B38" i="5"/>
  <c r="B38" i="9"/>
  <c r="B93" i="5"/>
  <c r="B93" i="9"/>
  <c r="B14" i="5"/>
  <c r="B14" i="9"/>
  <c r="B90" i="5"/>
  <c r="B90" i="9"/>
  <c r="B89" i="5"/>
  <c r="B89" i="9"/>
  <c r="B32" i="5"/>
  <c r="B32" i="9"/>
  <c r="B107" i="5"/>
  <c r="B107" i="9"/>
  <c r="B75" i="5"/>
  <c r="B75" i="9"/>
  <c r="B65" i="5"/>
  <c r="B65" i="9"/>
  <c r="B27" i="5"/>
  <c r="B27" i="9"/>
  <c r="B100" i="5"/>
  <c r="B100" i="9"/>
  <c r="B111" i="5"/>
  <c r="B111" i="9"/>
  <c r="B39" i="5"/>
  <c r="B39" i="9"/>
  <c r="B28" i="5"/>
  <c r="B28" i="9"/>
  <c r="B118" i="5"/>
  <c r="B118" i="9"/>
  <c r="B108" i="5"/>
  <c r="B108" i="9"/>
  <c r="B45" i="5"/>
  <c r="B45" i="9"/>
  <c r="B86" i="5"/>
  <c r="B86" i="9"/>
  <c r="B59" i="5"/>
  <c r="B59" i="9"/>
  <c r="B115" i="5"/>
  <c r="B115" i="9"/>
  <c r="B41" i="5"/>
  <c r="B41" i="9"/>
  <c r="B24" i="5"/>
  <c r="B24" i="9"/>
  <c r="B35" i="5"/>
  <c r="B35" i="9"/>
  <c r="B49" i="5"/>
  <c r="B49" i="9"/>
  <c r="B57" i="5"/>
  <c r="B57" i="9"/>
  <c r="B117" i="5"/>
  <c r="B117" i="9"/>
  <c r="B79" i="5"/>
  <c r="B79" i="9"/>
  <c r="B116" i="5"/>
  <c r="B116" i="9"/>
  <c r="B69" i="5"/>
  <c r="B69" i="9"/>
  <c r="B46" i="5"/>
  <c r="B46" i="9"/>
  <c r="B109" i="5"/>
  <c r="B109" i="9"/>
  <c r="B70" i="5"/>
  <c r="B70" i="9"/>
  <c r="N39" i="1"/>
  <c r="L36"/>
  <c r="L40"/>
  <c r="B72" i="5"/>
  <c r="B71"/>
  <c r="L15" i="1"/>
  <c r="N16"/>
  <c r="L39"/>
  <c r="L35"/>
  <c r="N40"/>
  <c r="N36"/>
  <c r="L38"/>
  <c r="N38"/>
  <c r="N18"/>
  <c r="L18"/>
  <c r="U37"/>
  <c r="M37" s="1"/>
  <c r="M17"/>
  <c r="O17"/>
  <c r="M19"/>
  <c r="O19"/>
  <c r="N13"/>
  <c r="V23"/>
  <c r="E43"/>
  <c r="U33"/>
  <c r="N19"/>
  <c r="N35"/>
  <c r="O13"/>
  <c r="M13"/>
  <c r="U23"/>
  <c r="M15"/>
  <c r="O15"/>
  <c r="N37"/>
  <c r="L17"/>
  <c r="E23"/>
  <c r="U40"/>
  <c r="U39"/>
  <c r="V43"/>
  <c r="N33"/>
  <c r="O18"/>
  <c r="M18"/>
  <c r="L33"/>
  <c r="T43"/>
  <c r="L19"/>
  <c r="U38"/>
  <c r="N17"/>
  <c r="L37"/>
  <c r="U36"/>
  <c r="T23"/>
  <c r="L13"/>
  <c r="O16"/>
  <c r="M16"/>
  <c r="U35"/>
  <c r="N15"/>
  <c r="L16"/>
  <c r="A23" i="3"/>
  <c r="A24" s="1"/>
  <c r="A33" s="1"/>
  <c r="A34" l="1"/>
  <c r="A35" s="1"/>
  <c r="A34" i="15"/>
  <c r="G24"/>
  <c r="H24"/>
  <c r="I24"/>
  <c r="J24"/>
  <c r="G24" i="12"/>
  <c r="H24"/>
  <c r="I24"/>
  <c r="J24"/>
  <c r="J44" i="1"/>
  <c r="I44"/>
  <c r="H44"/>
  <c r="G44"/>
  <c r="J24"/>
  <c r="I24"/>
  <c r="G24"/>
  <c r="H24"/>
  <c r="A33" i="16"/>
  <c r="U14" i="13"/>
  <c r="T14" i="14"/>
  <c r="T14" i="13"/>
  <c r="E14" a="1"/>
  <c r="E14" s="1"/>
  <c r="V14"/>
  <c r="U14" i="14"/>
  <c r="E14" a="1"/>
  <c r="E14" s="1"/>
  <c r="H14" s="1" a="1"/>
  <c r="H14" s="1"/>
  <c r="V14"/>
  <c r="T14" i="16"/>
  <c r="E14" i="17" a="1"/>
  <c r="E14" s="1"/>
  <c r="V14"/>
  <c r="U14" i="16"/>
  <c r="T14" i="17"/>
  <c r="E14" i="16" a="1"/>
  <c r="E14" s="1"/>
  <c r="V14"/>
  <c r="U14" i="17"/>
  <c r="E14" i="2" a="1"/>
  <c r="E14" s="1"/>
  <c r="U14" i="3"/>
  <c r="E14" a="1"/>
  <c r="E14" s="1"/>
  <c r="J14" s="1" a="1"/>
  <c r="J14" s="1"/>
  <c r="V14"/>
  <c r="V14" i="2"/>
  <c r="U14"/>
  <c r="T14" i="3"/>
  <c r="T14" i="2"/>
  <c r="T34" i="17" a="1"/>
  <c r="T34" s="1"/>
  <c r="V34" i="16" a="1"/>
  <c r="V34" s="1"/>
  <c r="E34" a="1"/>
  <c r="E34" s="1"/>
  <c r="T34" a="1"/>
  <c r="T34" s="1"/>
  <c r="E34" i="17" a="1"/>
  <c r="E34" s="1"/>
  <c r="V34" a="1"/>
  <c r="V34" s="1"/>
  <c r="T34" i="3" a="1"/>
  <c r="T34" s="1"/>
  <c r="V34" i="2" a="1"/>
  <c r="V34" s="1"/>
  <c r="E34" a="1"/>
  <c r="E34" s="1"/>
  <c r="T34" a="1"/>
  <c r="T34" s="1"/>
  <c r="V34" i="3" a="1"/>
  <c r="V34" s="1"/>
  <c r="E34" a="1"/>
  <c r="E34" s="1"/>
  <c r="T34" i="13" a="1"/>
  <c r="T34" s="1"/>
  <c r="V34" i="14" a="1"/>
  <c r="V34" s="1"/>
  <c r="T34" a="1"/>
  <c r="T34" s="1"/>
  <c r="E34" a="1"/>
  <c r="E34" s="1"/>
  <c r="V34" i="13" a="1"/>
  <c r="V34" s="1"/>
  <c r="E34" a="1"/>
  <c r="E34" s="1"/>
  <c r="V39" i="16" a="1"/>
  <c r="V39" s="1"/>
  <c r="T38" a="1"/>
  <c r="T38" s="1"/>
  <c r="E37" a="1"/>
  <c r="E37" s="1"/>
  <c r="V35" a="1"/>
  <c r="V35" s="1"/>
  <c r="T33" a="1"/>
  <c r="T33" s="1"/>
  <c r="V33" a="1"/>
  <c r="V33" s="1"/>
  <c r="T40" a="1"/>
  <c r="T40" s="1"/>
  <c r="E39" a="1"/>
  <c r="E39" s="1"/>
  <c r="E40" a="1"/>
  <c r="E40" s="1"/>
  <c r="T37" a="1"/>
  <c r="T37" s="1"/>
  <c r="V37" a="1"/>
  <c r="V37" s="1"/>
  <c r="V40" a="1"/>
  <c r="V40" s="1"/>
  <c r="T39" a="1"/>
  <c r="T39" s="1"/>
  <c r="E38" a="1"/>
  <c r="E38" s="1"/>
  <c r="V36" a="1"/>
  <c r="V36" s="1"/>
  <c r="T35" a="1"/>
  <c r="T35" s="1"/>
  <c r="E33" a="1"/>
  <c r="E33" s="1"/>
  <c r="J33" s="1" a="1"/>
  <c r="J33" s="1"/>
  <c r="V38" a="1"/>
  <c r="V38" s="1"/>
  <c r="E36" a="1"/>
  <c r="E36" s="1"/>
  <c r="T36" a="1"/>
  <c r="T36" s="1"/>
  <c r="E35" a="1"/>
  <c r="E35" s="1"/>
  <c r="V39" i="17" a="1"/>
  <c r="V39" s="1"/>
  <c r="T38" a="1"/>
  <c r="T38" s="1"/>
  <c r="E37" a="1"/>
  <c r="E37" s="1"/>
  <c r="V35" a="1"/>
  <c r="V35" s="1"/>
  <c r="T33" a="1"/>
  <c r="T33" s="1"/>
  <c r="V33" a="1"/>
  <c r="V33" s="1"/>
  <c r="E39" a="1"/>
  <c r="E39" s="1"/>
  <c r="E40" a="1"/>
  <c r="E40" s="1"/>
  <c r="T37" a="1"/>
  <c r="T37" s="1"/>
  <c r="V37" a="1"/>
  <c r="V37" s="1"/>
  <c r="V40" a="1"/>
  <c r="V40" s="1"/>
  <c r="T39" a="1"/>
  <c r="T39" s="1"/>
  <c r="E38" a="1"/>
  <c r="E38" s="1"/>
  <c r="V36" a="1"/>
  <c r="V36" s="1"/>
  <c r="T35" a="1"/>
  <c r="T35" s="1"/>
  <c r="E33" a="1"/>
  <c r="E33" s="1"/>
  <c r="V38" a="1"/>
  <c r="V38" s="1"/>
  <c r="E36" a="1"/>
  <c r="E36" s="1"/>
  <c r="T40" a="1"/>
  <c r="T40" s="1"/>
  <c r="T36" a="1"/>
  <c r="T36" s="1"/>
  <c r="E35" a="1"/>
  <c r="E35" s="1"/>
  <c r="T19"/>
  <c r="V17"/>
  <c r="U13"/>
  <c r="V19"/>
  <c r="T20"/>
  <c r="U15"/>
  <c r="U19"/>
  <c r="E18" a="1"/>
  <c r="E18" s="1"/>
  <c r="T16"/>
  <c r="V13"/>
  <c r="U16"/>
  <c r="E15" a="1"/>
  <c r="E15" s="1"/>
  <c r="E13" a="1"/>
  <c r="E13" s="1"/>
  <c r="T17"/>
  <c r="E20" a="1"/>
  <c r="E20" s="1"/>
  <c r="T18"/>
  <c r="V16"/>
  <c r="U18"/>
  <c r="E17" a="1"/>
  <c r="E17" s="1"/>
  <c r="T15"/>
  <c r="V18"/>
  <c r="E19" a="1"/>
  <c r="E19" s="1"/>
  <c r="V20"/>
  <c r="U17"/>
  <c r="E16" a="1"/>
  <c r="E16" s="1"/>
  <c r="T13"/>
  <c r="U20"/>
  <c r="V15"/>
  <c r="T19" i="16"/>
  <c r="V17"/>
  <c r="U13"/>
  <c r="U16"/>
  <c r="V20"/>
  <c r="U19"/>
  <c r="E18" a="1"/>
  <c r="E18" s="1"/>
  <c r="T16"/>
  <c r="V13"/>
  <c r="V19"/>
  <c r="E15" a="1"/>
  <c r="E15" s="1"/>
  <c r="U17"/>
  <c r="E20" a="1"/>
  <c r="E20" s="1"/>
  <c r="T18"/>
  <c r="V16"/>
  <c r="U18"/>
  <c r="E17" a="1"/>
  <c r="E17" s="1"/>
  <c r="T15"/>
  <c r="T13"/>
  <c r="T20"/>
  <c r="V18"/>
  <c r="U15"/>
  <c r="E13" a="1"/>
  <c r="E13" s="1"/>
  <c r="U20"/>
  <c r="E19" a="1"/>
  <c r="E19" s="1"/>
  <c r="T17"/>
  <c r="V15"/>
  <c r="E16" a="1"/>
  <c r="E16" s="1"/>
  <c r="A24" i="17"/>
  <c r="A33" s="1"/>
  <c r="V39" i="13" a="1"/>
  <c r="V39" s="1"/>
  <c r="T38" a="1"/>
  <c r="T38" s="1"/>
  <c r="E37" a="1"/>
  <c r="E37" s="1"/>
  <c r="V35" a="1"/>
  <c r="V35" s="1"/>
  <c r="T33" a="1"/>
  <c r="T33" s="1"/>
  <c r="V19"/>
  <c r="U16"/>
  <c r="E15" a="1"/>
  <c r="E15" s="1"/>
  <c r="V33" a="1"/>
  <c r="V33" s="1"/>
  <c r="U18"/>
  <c r="T15"/>
  <c r="T20"/>
  <c r="U20"/>
  <c r="T17"/>
  <c r="E20" a="1"/>
  <c r="E20" s="1"/>
  <c r="T18"/>
  <c r="V16"/>
  <c r="E40" a="1"/>
  <c r="E40" s="1"/>
  <c r="T37" a="1"/>
  <c r="T37" s="1"/>
  <c r="E17" a="1"/>
  <c r="E17" s="1"/>
  <c r="V18"/>
  <c r="E13" a="1"/>
  <c r="E13" s="1"/>
  <c r="T40" a="1"/>
  <c r="T40" s="1"/>
  <c r="E39" a="1"/>
  <c r="E39" s="1"/>
  <c r="T36" a="1"/>
  <c r="T36" s="1"/>
  <c r="E35" a="1"/>
  <c r="E35" s="1"/>
  <c r="V15"/>
  <c r="V20"/>
  <c r="U17"/>
  <c r="E16" a="1"/>
  <c r="E16" s="1"/>
  <c r="T13"/>
  <c r="V40" a="1"/>
  <c r="V40" s="1"/>
  <c r="T39" a="1"/>
  <c r="T39" s="1"/>
  <c r="E38" a="1"/>
  <c r="E38" s="1"/>
  <c r="V36" a="1"/>
  <c r="V36" s="1"/>
  <c r="T35" a="1"/>
  <c r="T35" s="1"/>
  <c r="E33" a="1"/>
  <c r="E33" s="1"/>
  <c r="T19"/>
  <c r="V17"/>
  <c r="U13"/>
  <c r="U19"/>
  <c r="E18" a="1"/>
  <c r="E18" s="1"/>
  <c r="T16"/>
  <c r="V13"/>
  <c r="V38" a="1"/>
  <c r="V38" s="1"/>
  <c r="E36" a="1"/>
  <c r="E36" s="1"/>
  <c r="U15"/>
  <c r="V37" a="1"/>
  <c r="V37" s="1"/>
  <c r="E19" a="1"/>
  <c r="E19" s="1"/>
  <c r="V39" i="14" a="1"/>
  <c r="V39" s="1"/>
  <c r="T38" a="1"/>
  <c r="T38" s="1"/>
  <c r="E37" a="1"/>
  <c r="E37" s="1"/>
  <c r="V35" a="1"/>
  <c r="V35" s="1"/>
  <c r="T33" a="1"/>
  <c r="T33" s="1"/>
  <c r="V19"/>
  <c r="U16"/>
  <c r="E15" a="1"/>
  <c r="E15" s="1"/>
  <c r="H15" s="1" a="1"/>
  <c r="H15" s="1"/>
  <c r="V37" a="1"/>
  <c r="V37" s="1"/>
  <c r="E19" a="1"/>
  <c r="E19" s="1"/>
  <c r="H19" s="1" a="1"/>
  <c r="H19" s="1"/>
  <c r="U19"/>
  <c r="T16"/>
  <c r="E20" a="1"/>
  <c r="E20" s="1"/>
  <c r="H20" s="1" a="1"/>
  <c r="H20" s="1"/>
  <c r="T18"/>
  <c r="V16"/>
  <c r="T20"/>
  <c r="V18"/>
  <c r="E13" a="1"/>
  <c r="E13" s="1"/>
  <c r="T40" a="1"/>
  <c r="T40" s="1"/>
  <c r="E39" a="1"/>
  <c r="E39" s="1"/>
  <c r="U20"/>
  <c r="T17"/>
  <c r="E40" a="1"/>
  <c r="E40" s="1"/>
  <c r="V38" a="1"/>
  <c r="V38" s="1"/>
  <c r="T37" a="1"/>
  <c r="T37" s="1"/>
  <c r="E36" a="1"/>
  <c r="E36" s="1"/>
  <c r="V33" a="1"/>
  <c r="V33" s="1"/>
  <c r="U18"/>
  <c r="E17" a="1"/>
  <c r="E17" s="1"/>
  <c r="H17" s="1" a="1"/>
  <c r="H17" s="1"/>
  <c r="T15"/>
  <c r="U15"/>
  <c r="T36" a="1"/>
  <c r="T36" s="1"/>
  <c r="E35" a="1"/>
  <c r="E35" s="1"/>
  <c r="V15"/>
  <c r="V13"/>
  <c r="V20"/>
  <c r="U17"/>
  <c r="E16" a="1"/>
  <c r="E16" s="1"/>
  <c r="H16" s="1" a="1"/>
  <c r="H16" s="1"/>
  <c r="T13"/>
  <c r="V40" a="1"/>
  <c r="V40" s="1"/>
  <c r="T39" a="1"/>
  <c r="T39" s="1"/>
  <c r="E38" a="1"/>
  <c r="E38" s="1"/>
  <c r="V36" a="1"/>
  <c r="V36" s="1"/>
  <c r="T35" a="1"/>
  <c r="T35" s="1"/>
  <c r="E33" a="1"/>
  <c r="E33" s="1"/>
  <c r="T19"/>
  <c r="V17"/>
  <c r="U13"/>
  <c r="E18" a="1"/>
  <c r="E18" s="1"/>
  <c r="H18" s="1" a="1"/>
  <c r="H18" s="1"/>
  <c r="A24" i="12"/>
  <c r="A23" i="13"/>
  <c r="K2" i="11"/>
  <c r="J3"/>
  <c r="V2"/>
  <c r="Z3"/>
  <c r="M2"/>
  <c r="K3"/>
  <c r="AA2"/>
  <c r="Y3"/>
  <c r="P2"/>
  <c r="Z2"/>
  <c r="Y2"/>
  <c r="J2"/>
  <c r="L3"/>
  <c r="P3"/>
  <c r="AA3"/>
  <c r="M3"/>
  <c r="V3"/>
  <c r="L2"/>
  <c r="O2"/>
  <c r="O3"/>
  <c r="R3"/>
  <c r="N2"/>
  <c r="N3"/>
  <c r="R2"/>
  <c r="S2"/>
  <c r="Q3"/>
  <c r="U2"/>
  <c r="S3"/>
  <c r="W2"/>
  <c r="W3"/>
  <c r="T3"/>
  <c r="X2"/>
  <c r="U3"/>
  <c r="Q2"/>
  <c r="X3"/>
  <c r="T2"/>
  <c r="Z3" i="9"/>
  <c r="AA3"/>
  <c r="Y2"/>
  <c r="Z2"/>
  <c r="AA2"/>
  <c r="Y3"/>
  <c r="M3"/>
  <c r="M2"/>
  <c r="R3"/>
  <c r="J3"/>
  <c r="V2"/>
  <c r="N2"/>
  <c r="P2"/>
  <c r="S3"/>
  <c r="K3"/>
  <c r="W2"/>
  <c r="O2"/>
  <c r="T3"/>
  <c r="L3"/>
  <c r="X2"/>
  <c r="U3"/>
  <c r="Q2"/>
  <c r="V3"/>
  <c r="N3"/>
  <c r="R2"/>
  <c r="J2"/>
  <c r="W3"/>
  <c r="O3"/>
  <c r="S2"/>
  <c r="K2"/>
  <c r="X3"/>
  <c r="P3"/>
  <c r="T2"/>
  <c r="L2"/>
  <c r="Q3"/>
  <c r="U2"/>
  <c r="E38" i="2" a="1"/>
  <c r="E38" s="1"/>
  <c r="T38" a="1"/>
  <c r="T38" s="1"/>
  <c r="U15"/>
  <c r="T17"/>
  <c r="E13" a="1"/>
  <c r="E13" s="1"/>
  <c r="E16" a="1"/>
  <c r="E16" s="1"/>
  <c r="T35" a="1"/>
  <c r="T35" s="1"/>
  <c r="E39" a="1"/>
  <c r="E39" s="1"/>
  <c r="V33" a="1"/>
  <c r="V33" s="1"/>
  <c r="V35" a="1"/>
  <c r="V35" s="1"/>
  <c r="V39" a="1"/>
  <c r="V39" s="1"/>
  <c r="T20"/>
  <c r="U19"/>
  <c r="E33" a="1"/>
  <c r="E33" s="1"/>
  <c r="T19"/>
  <c r="U17"/>
  <c r="T40" a="1"/>
  <c r="T40" s="1"/>
  <c r="E18" a="1"/>
  <c r="E18" s="1"/>
  <c r="V19"/>
  <c r="V37" a="1"/>
  <c r="V37" s="1"/>
  <c r="V18"/>
  <c r="U20"/>
  <c r="T36" a="1"/>
  <c r="T36" s="1"/>
  <c r="E40" a="1"/>
  <c r="E40" s="1"/>
  <c r="T39" a="1"/>
  <c r="T39" s="1"/>
  <c r="T37" a="1"/>
  <c r="T37" s="1"/>
  <c r="E37" a="1"/>
  <c r="E37" s="1"/>
  <c r="V36" a="1"/>
  <c r="V36" s="1"/>
  <c r="T33" a="1"/>
  <c r="T33" s="1"/>
  <c r="E36" a="1"/>
  <c r="E36" s="1"/>
  <c r="V38" a="1"/>
  <c r="V38" s="1"/>
  <c r="U13"/>
  <c r="V13"/>
  <c r="T16"/>
  <c r="E19" a="1"/>
  <c r="E19" s="1"/>
  <c r="E35" a="1"/>
  <c r="E35" s="1"/>
  <c r="V40" a="1"/>
  <c r="V40" s="1"/>
  <c r="T15"/>
  <c r="V17"/>
  <c r="T13"/>
  <c r="E20" a="1"/>
  <c r="E20" s="1"/>
  <c r="U16"/>
  <c r="V15"/>
  <c r="V20"/>
  <c r="U18"/>
  <c r="T18"/>
  <c r="E15" a="1"/>
  <c r="E15" s="1"/>
  <c r="E17" a="1"/>
  <c r="E17" s="1"/>
  <c r="V16"/>
  <c r="O37" i="1"/>
  <c r="O36"/>
  <c r="M36"/>
  <c r="O35"/>
  <c r="M35"/>
  <c r="M38"/>
  <c r="O38"/>
  <c r="M39"/>
  <c r="O39"/>
  <c r="O33"/>
  <c r="M33"/>
  <c r="U43"/>
  <c r="M40"/>
  <c r="O40"/>
  <c r="A36" i="15" l="1"/>
  <c r="A43" s="1"/>
  <c r="A44" s="1"/>
  <c r="A34" i="16"/>
  <c r="A37" i="3"/>
  <c r="A38" s="1"/>
  <c r="A39" s="1"/>
  <c r="A36"/>
  <c r="A37" i="15"/>
  <c r="A39" s="1"/>
  <c r="A40" s="1"/>
  <c r="A35"/>
  <c r="A38" s="1"/>
  <c r="A34" i="17"/>
  <c r="A40" i="3"/>
  <c r="H37" i="17" a="1"/>
  <c r="H37" s="1"/>
  <c r="J37" a="1"/>
  <c r="J37" s="1"/>
  <c r="I37" a="1"/>
  <c r="I37" s="1"/>
  <c r="G37" a="1"/>
  <c r="G37" s="1"/>
  <c r="J35" a="1"/>
  <c r="J35" s="1"/>
  <c r="I35" a="1"/>
  <c r="I35" s="1"/>
  <c r="H35" a="1"/>
  <c r="H35" s="1"/>
  <c r="G35" a="1"/>
  <c r="G35" s="1"/>
  <c r="H38" a="1"/>
  <c r="H38" s="1"/>
  <c r="J38" a="1"/>
  <c r="J38" s="1"/>
  <c r="I38" a="1"/>
  <c r="I38" s="1"/>
  <c r="G38" a="1"/>
  <c r="G38" s="1"/>
  <c r="H36" a="1"/>
  <c r="H36" s="1"/>
  <c r="J36" a="1"/>
  <c r="J36" s="1"/>
  <c r="I36" a="1"/>
  <c r="I36" s="1"/>
  <c r="G36" a="1"/>
  <c r="G36" s="1"/>
  <c r="H34" a="1"/>
  <c r="H34" s="1"/>
  <c r="J34" a="1"/>
  <c r="J34" s="1"/>
  <c r="I34" a="1"/>
  <c r="I34" s="1"/>
  <c r="G34" a="1"/>
  <c r="G34" s="1"/>
  <c r="H39" a="1"/>
  <c r="H39" s="1"/>
  <c r="J39" a="1"/>
  <c r="J39" s="1"/>
  <c r="I39" a="1"/>
  <c r="I39" s="1"/>
  <c r="G39" a="1"/>
  <c r="G39" s="1"/>
  <c r="H40" a="1"/>
  <c r="H40" s="1"/>
  <c r="J40" a="1"/>
  <c r="J40" s="1"/>
  <c r="I40" a="1"/>
  <c r="I40" s="1"/>
  <c r="G40" a="1"/>
  <c r="G40" s="1"/>
  <c r="I33" a="1"/>
  <c r="I33" s="1"/>
  <c r="J33" a="1"/>
  <c r="J33" s="1"/>
  <c r="G33" a="1"/>
  <c r="G33" s="1"/>
  <c r="H33" a="1"/>
  <c r="H33" s="1"/>
  <c r="G15" a="1"/>
  <c r="G15" s="1"/>
  <c r="J15" a="1"/>
  <c r="J15" s="1"/>
  <c r="H15" a="1"/>
  <c r="H15" s="1"/>
  <c r="I15" a="1"/>
  <c r="I15" s="1"/>
  <c r="J19" a="1"/>
  <c r="J19" s="1"/>
  <c r="I19" a="1"/>
  <c r="I19" s="1"/>
  <c r="H19" a="1"/>
  <c r="H19" s="1"/>
  <c r="G19" a="1"/>
  <c r="G19" s="1"/>
  <c r="G20" a="1"/>
  <c r="G20" s="1"/>
  <c r="J20" a="1"/>
  <c r="J20" s="1"/>
  <c r="I20" a="1"/>
  <c r="I20" s="1"/>
  <c r="H20" a="1"/>
  <c r="H20" s="1"/>
  <c r="G18" a="1"/>
  <c r="G18" s="1"/>
  <c r="J18" a="1"/>
  <c r="J18" s="1"/>
  <c r="I18" a="1"/>
  <c r="I18" s="1"/>
  <c r="H18" a="1"/>
  <c r="H18" s="1"/>
  <c r="J16" a="1"/>
  <c r="J16" s="1"/>
  <c r="G16" a="1"/>
  <c r="G16" s="1"/>
  <c r="I16" a="1"/>
  <c r="I16" s="1"/>
  <c r="H16" a="1"/>
  <c r="H16" s="1"/>
  <c r="J14" a="1"/>
  <c r="J14" s="1"/>
  <c r="I14" a="1"/>
  <c r="I14" s="1"/>
  <c r="H14" a="1"/>
  <c r="H14" s="1"/>
  <c r="G14" a="1"/>
  <c r="G14" s="1"/>
  <c r="J17" a="1"/>
  <c r="J17" s="1"/>
  <c r="I17" a="1"/>
  <c r="I17" s="1"/>
  <c r="H17" a="1"/>
  <c r="H17" s="1"/>
  <c r="G17" a="1"/>
  <c r="G17" s="1"/>
  <c r="I13" a="1"/>
  <c r="I13" s="1"/>
  <c r="J13" a="1"/>
  <c r="J13" s="1"/>
  <c r="G13" a="1"/>
  <c r="G13" s="1"/>
  <c r="H13" a="1"/>
  <c r="H13" s="1"/>
  <c r="H38" i="16" a="1"/>
  <c r="H38" s="1"/>
  <c r="J38" a="1"/>
  <c r="J38" s="1"/>
  <c r="G38" a="1"/>
  <c r="G38" s="1"/>
  <c r="I38" a="1"/>
  <c r="I38" s="1"/>
  <c r="H34" a="1"/>
  <c r="H34" s="1"/>
  <c r="J34" a="1"/>
  <c r="J34" s="1"/>
  <c r="I34" a="1"/>
  <c r="I34" s="1"/>
  <c r="G34" a="1"/>
  <c r="G34" s="1"/>
  <c r="H36" a="1"/>
  <c r="H36" s="1"/>
  <c r="G36" a="1"/>
  <c r="G36" s="1"/>
  <c r="J36" a="1"/>
  <c r="J36" s="1"/>
  <c r="I36" a="1"/>
  <c r="I36" s="1"/>
  <c r="H37" a="1"/>
  <c r="H37" s="1"/>
  <c r="G37" a="1"/>
  <c r="G37" s="1"/>
  <c r="J37" a="1"/>
  <c r="J37" s="1"/>
  <c r="I37" a="1"/>
  <c r="I37" s="1"/>
  <c r="H39" a="1"/>
  <c r="H39" s="1"/>
  <c r="G39" a="1"/>
  <c r="G39" s="1"/>
  <c r="J39" a="1"/>
  <c r="J39" s="1"/>
  <c r="I39" a="1"/>
  <c r="I39" s="1"/>
  <c r="H40" a="1"/>
  <c r="H40" s="1"/>
  <c r="J40" a="1"/>
  <c r="J40" s="1"/>
  <c r="I40" a="1"/>
  <c r="I40" s="1"/>
  <c r="G40" a="1"/>
  <c r="G40" s="1"/>
  <c r="G35" a="1"/>
  <c r="G35" s="1"/>
  <c r="J35" a="1"/>
  <c r="J35" s="1"/>
  <c r="H35" a="1"/>
  <c r="H35" s="1"/>
  <c r="I35" a="1"/>
  <c r="I35" s="1"/>
  <c r="I33" a="1"/>
  <c r="I33" s="1"/>
  <c r="G33" a="1"/>
  <c r="G33" s="1"/>
  <c r="H33" a="1"/>
  <c r="H33" s="1"/>
  <c r="H17" a="1"/>
  <c r="H17" s="1"/>
  <c r="J17" a="1"/>
  <c r="J17" s="1"/>
  <c r="G17" a="1"/>
  <c r="G17" s="1"/>
  <c r="I17" a="1"/>
  <c r="I17" s="1"/>
  <c r="H16" a="1"/>
  <c r="H16" s="1"/>
  <c r="J16" a="1"/>
  <c r="J16" s="1"/>
  <c r="I16" a="1"/>
  <c r="I16" s="1"/>
  <c r="G16" a="1"/>
  <c r="G16" s="1"/>
  <c r="G15" a="1"/>
  <c r="G15" s="1"/>
  <c r="J15" a="1"/>
  <c r="J15" s="1"/>
  <c r="H15" a="1"/>
  <c r="H15" s="1"/>
  <c r="I15" a="1"/>
  <c r="I15" s="1"/>
  <c r="H20" a="1"/>
  <c r="H20" s="1"/>
  <c r="J20" a="1"/>
  <c r="J20" s="1"/>
  <c r="G20" a="1"/>
  <c r="G20" s="1"/>
  <c r="I20" a="1"/>
  <c r="I20" s="1"/>
  <c r="H14" a="1"/>
  <c r="H14" s="1"/>
  <c r="J14" a="1"/>
  <c r="J14" s="1"/>
  <c r="G14" a="1"/>
  <c r="G14" s="1"/>
  <c r="I14" a="1"/>
  <c r="I14" s="1"/>
  <c r="H19" a="1"/>
  <c r="H19" s="1"/>
  <c r="J19" a="1"/>
  <c r="J19" s="1"/>
  <c r="G19" a="1"/>
  <c r="G19" s="1"/>
  <c r="I19" a="1"/>
  <c r="I19" s="1"/>
  <c r="H18" a="1"/>
  <c r="H18" s="1"/>
  <c r="J18" a="1"/>
  <c r="J18" s="1"/>
  <c r="G18" a="1"/>
  <c r="G18" s="1"/>
  <c r="I18" a="1"/>
  <c r="I18" s="1"/>
  <c r="I13" a="1"/>
  <c r="I13" s="1"/>
  <c r="J13" a="1"/>
  <c r="J13" s="1"/>
  <c r="G13" a="1"/>
  <c r="G13" s="1"/>
  <c r="H13" a="1"/>
  <c r="H13" s="1"/>
  <c r="J38" i="14" a="1"/>
  <c r="J38" s="1"/>
  <c r="H38" a="1"/>
  <c r="H38" s="1"/>
  <c r="I38" a="1"/>
  <c r="I38" s="1"/>
  <c r="G38" a="1"/>
  <c r="G38" s="1"/>
  <c r="J36" a="1"/>
  <c r="J36" s="1"/>
  <c r="H36" a="1"/>
  <c r="H36" s="1"/>
  <c r="I36" a="1"/>
  <c r="I36" s="1"/>
  <c r="G36" a="1"/>
  <c r="G36" s="1"/>
  <c r="J34" a="1"/>
  <c r="J34" s="1"/>
  <c r="I34" a="1"/>
  <c r="I34" s="1"/>
  <c r="H34" a="1"/>
  <c r="H34" s="1"/>
  <c r="G34" a="1"/>
  <c r="G34" s="1"/>
  <c r="J35" a="1"/>
  <c r="J35" s="1"/>
  <c r="I35" a="1"/>
  <c r="I35" s="1"/>
  <c r="H35" a="1"/>
  <c r="H35" s="1"/>
  <c r="G35" a="1"/>
  <c r="G35" s="1"/>
  <c r="J37" a="1"/>
  <c r="J37" s="1"/>
  <c r="H37" a="1"/>
  <c r="H37" s="1"/>
  <c r="I37" a="1"/>
  <c r="I37" s="1"/>
  <c r="G37" a="1"/>
  <c r="G37" s="1"/>
  <c r="J40" a="1"/>
  <c r="J40" s="1"/>
  <c r="H40" a="1"/>
  <c r="H40" s="1"/>
  <c r="I40" a="1"/>
  <c r="I40" s="1"/>
  <c r="G40" a="1"/>
  <c r="G40" s="1"/>
  <c r="J39" a="1"/>
  <c r="J39" s="1"/>
  <c r="I39" a="1"/>
  <c r="I39" s="1"/>
  <c r="H39" a="1"/>
  <c r="H39" s="1"/>
  <c r="G39" a="1"/>
  <c r="G39" s="1"/>
  <c r="I33" a="1"/>
  <c r="I33" s="1"/>
  <c r="J33" a="1"/>
  <c r="J33" s="1"/>
  <c r="G33" a="1"/>
  <c r="G33" s="1"/>
  <c r="H33" a="1"/>
  <c r="H33" s="1"/>
  <c r="J13" a="1"/>
  <c r="J13" s="1"/>
  <c r="H13" a="1"/>
  <c r="H13" s="1"/>
  <c r="H24" s="1"/>
  <c r="G16" a="1"/>
  <c r="G16" s="1"/>
  <c r="J16" a="1"/>
  <c r="J16" s="1"/>
  <c r="I16" a="1"/>
  <c r="I16" s="1"/>
  <c r="J14" a="1"/>
  <c r="J14" s="1"/>
  <c r="G14" a="1"/>
  <c r="G14" s="1"/>
  <c r="I14" a="1"/>
  <c r="I14" s="1"/>
  <c r="J19" a="1"/>
  <c r="J19" s="1"/>
  <c r="I19" a="1"/>
  <c r="I19" s="1"/>
  <c r="G19" a="1"/>
  <c r="G19" s="1"/>
  <c r="J18" a="1"/>
  <c r="J18" s="1"/>
  <c r="I18" a="1"/>
  <c r="I18" s="1"/>
  <c r="G18" a="1"/>
  <c r="G18" s="1"/>
  <c r="J20" a="1"/>
  <c r="J20" s="1"/>
  <c r="G20" a="1"/>
  <c r="G20" s="1"/>
  <c r="I20" a="1"/>
  <c r="I20" s="1"/>
  <c r="J17" a="1"/>
  <c r="J17" s="1"/>
  <c r="I17" a="1"/>
  <c r="I17" s="1"/>
  <c r="G17" a="1"/>
  <c r="G17" s="1"/>
  <c r="J15" a="1"/>
  <c r="J15" s="1"/>
  <c r="I15" a="1"/>
  <c r="I15" s="1"/>
  <c r="G15" a="1"/>
  <c r="G15" s="1"/>
  <c r="G13" a="1"/>
  <c r="G13" s="1"/>
  <c r="I13" a="1"/>
  <c r="I13" s="1"/>
  <c r="H39" i="13" a="1"/>
  <c r="H39" s="1"/>
  <c r="J39" a="1"/>
  <c r="J39" s="1"/>
  <c r="I39" a="1"/>
  <c r="I39" s="1"/>
  <c r="G39" a="1"/>
  <c r="G39" s="1"/>
  <c r="H38" a="1"/>
  <c r="H38" s="1"/>
  <c r="J38" a="1"/>
  <c r="J38" s="1"/>
  <c r="G38" a="1"/>
  <c r="G38" s="1"/>
  <c r="I38" a="1"/>
  <c r="I38" s="1"/>
  <c r="H37" a="1"/>
  <c r="H37" s="1"/>
  <c r="J37" a="1"/>
  <c r="J37" s="1"/>
  <c r="I37" a="1"/>
  <c r="I37" s="1"/>
  <c r="G37" a="1"/>
  <c r="G37" s="1"/>
  <c r="H40" a="1"/>
  <c r="H40" s="1"/>
  <c r="J40" a="1"/>
  <c r="J40" s="1"/>
  <c r="G40" a="1"/>
  <c r="G40" s="1"/>
  <c r="I40" a="1"/>
  <c r="I40" s="1"/>
  <c r="H34" a="1"/>
  <c r="H34" s="1"/>
  <c r="J34" a="1"/>
  <c r="J34" s="1"/>
  <c r="G34" a="1"/>
  <c r="G34" s="1"/>
  <c r="I34" a="1"/>
  <c r="I34" s="1"/>
  <c r="J35" a="1"/>
  <c r="J35" s="1"/>
  <c r="I35" a="1"/>
  <c r="I35" s="1"/>
  <c r="H35" a="1"/>
  <c r="H35" s="1"/>
  <c r="G35" a="1"/>
  <c r="G35" s="1"/>
  <c r="H36" a="1"/>
  <c r="H36" s="1"/>
  <c r="J36" a="1"/>
  <c r="J36" s="1"/>
  <c r="G36" a="1"/>
  <c r="G36" s="1"/>
  <c r="I36" a="1"/>
  <c r="I36" s="1"/>
  <c r="I33" a="1"/>
  <c r="I33" s="1"/>
  <c r="J33" a="1"/>
  <c r="J33" s="1"/>
  <c r="G33" a="1"/>
  <c r="G33" s="1"/>
  <c r="H33" a="1"/>
  <c r="H33" s="1"/>
  <c r="J20" a="1"/>
  <c r="J20" s="1"/>
  <c r="G20" a="1"/>
  <c r="G20" s="1"/>
  <c r="I20" a="1"/>
  <c r="I20" s="1"/>
  <c r="H20" a="1"/>
  <c r="H20" s="1"/>
  <c r="J19" a="1"/>
  <c r="J19" s="1"/>
  <c r="G19" a="1"/>
  <c r="G19" s="1"/>
  <c r="I19" a="1"/>
  <c r="I19" s="1"/>
  <c r="H19" a="1"/>
  <c r="H19" s="1"/>
  <c r="G14" a="1"/>
  <c r="G14" s="1"/>
  <c r="J14" a="1"/>
  <c r="J14" s="1"/>
  <c r="I14" a="1"/>
  <c r="I14" s="1"/>
  <c r="H14" a="1"/>
  <c r="H14" s="1"/>
  <c r="J16" a="1"/>
  <c r="J16" s="1"/>
  <c r="G16" a="1"/>
  <c r="G16" s="1"/>
  <c r="I16" a="1"/>
  <c r="I16" s="1"/>
  <c r="H16" a="1"/>
  <c r="H16" s="1"/>
  <c r="J15" a="1"/>
  <c r="J15" s="1"/>
  <c r="H15" a="1"/>
  <c r="H15" s="1"/>
  <c r="G15" a="1"/>
  <c r="G15" s="1"/>
  <c r="I15" a="1"/>
  <c r="I15" s="1"/>
  <c r="J17" a="1"/>
  <c r="J17" s="1"/>
  <c r="G17" a="1"/>
  <c r="G17" s="1"/>
  <c r="I17" a="1"/>
  <c r="I17" s="1"/>
  <c r="H17" a="1"/>
  <c r="H17" s="1"/>
  <c r="J18" a="1"/>
  <c r="J18" s="1"/>
  <c r="G18" a="1"/>
  <c r="G18" s="1"/>
  <c r="I18" a="1"/>
  <c r="I18" s="1"/>
  <c r="H18" a="1"/>
  <c r="H18" s="1"/>
  <c r="I13" a="1"/>
  <c r="I13" s="1"/>
  <c r="J13" a="1"/>
  <c r="J13" s="1"/>
  <c r="G13" a="1"/>
  <c r="G13" s="1"/>
  <c r="H13" a="1"/>
  <c r="H13" s="1"/>
  <c r="H34" i="3" a="1"/>
  <c r="H34" s="1"/>
  <c r="G34" a="1"/>
  <c r="G34" s="1"/>
  <c r="J34" a="1"/>
  <c r="J34" s="1"/>
  <c r="I34" a="1"/>
  <c r="I34" s="1"/>
  <c r="G14" a="1"/>
  <c r="G14" s="1"/>
  <c r="I14" a="1"/>
  <c r="I14" s="1"/>
  <c r="H14" a="1"/>
  <c r="H14" s="1"/>
  <c r="J38" i="2" a="1"/>
  <c r="J38" s="1"/>
  <c r="H38" a="1"/>
  <c r="H38" s="1"/>
  <c r="G38" a="1"/>
  <c r="G38" s="1"/>
  <c r="I38" a="1"/>
  <c r="I38" s="1"/>
  <c r="J40" a="1"/>
  <c r="J40" s="1"/>
  <c r="H40" a="1"/>
  <c r="H40" s="1"/>
  <c r="G40" a="1"/>
  <c r="G40" s="1"/>
  <c r="I40" a="1"/>
  <c r="I40" s="1"/>
  <c r="J37" a="1"/>
  <c r="J37" s="1"/>
  <c r="H37" a="1"/>
  <c r="H37" s="1"/>
  <c r="G37" a="1"/>
  <c r="G37" s="1"/>
  <c r="I37" a="1"/>
  <c r="I37" s="1"/>
  <c r="J39" a="1"/>
  <c r="J39" s="1"/>
  <c r="H39" a="1"/>
  <c r="H39" s="1"/>
  <c r="G39" a="1"/>
  <c r="G39" s="1"/>
  <c r="I39" a="1"/>
  <c r="I39" s="1"/>
  <c r="G35" a="1"/>
  <c r="G35" s="1"/>
  <c r="J35" a="1"/>
  <c r="J35" s="1"/>
  <c r="H35" a="1"/>
  <c r="H35" s="1"/>
  <c r="I35" a="1"/>
  <c r="I35" s="1"/>
  <c r="J34" a="1"/>
  <c r="J34" s="1"/>
  <c r="H34" a="1"/>
  <c r="H34" s="1"/>
  <c r="G34" a="1"/>
  <c r="G34" s="1"/>
  <c r="I34" a="1"/>
  <c r="I34" s="1"/>
  <c r="J36" a="1"/>
  <c r="J36" s="1"/>
  <c r="G36" a="1"/>
  <c r="G36" s="1"/>
  <c r="H36" a="1"/>
  <c r="H36" s="1"/>
  <c r="I36" a="1"/>
  <c r="I36" s="1"/>
  <c r="I33" a="1"/>
  <c r="I33" s="1"/>
  <c r="J33" a="1"/>
  <c r="J33" s="1"/>
  <c r="G33" a="1"/>
  <c r="G33" s="1"/>
  <c r="H33" a="1"/>
  <c r="H33" s="1"/>
  <c r="J16" a="1"/>
  <c r="J16" s="1"/>
  <c r="G16" a="1"/>
  <c r="G16" s="1"/>
  <c r="I16" a="1"/>
  <c r="I16" s="1"/>
  <c r="H16" a="1"/>
  <c r="H16" s="1"/>
  <c r="G15" a="1"/>
  <c r="G15" s="1"/>
  <c r="J15" a="1"/>
  <c r="J15" s="1"/>
  <c r="H15" a="1"/>
  <c r="H15" s="1"/>
  <c r="I15" a="1"/>
  <c r="I15" s="1"/>
  <c r="J18" a="1"/>
  <c r="J18" s="1"/>
  <c r="G18" a="1"/>
  <c r="G18" s="1"/>
  <c r="I18" a="1"/>
  <c r="I18" s="1"/>
  <c r="H18" a="1"/>
  <c r="H18" s="1"/>
  <c r="J20" a="1"/>
  <c r="J20" s="1"/>
  <c r="G20" a="1"/>
  <c r="G20" s="1"/>
  <c r="I20" a="1"/>
  <c r="I20" s="1"/>
  <c r="H20" a="1"/>
  <c r="H20" s="1"/>
  <c r="J14" a="1"/>
  <c r="J14" s="1"/>
  <c r="G14" a="1"/>
  <c r="G14" s="1"/>
  <c r="I14" a="1"/>
  <c r="I14" s="1"/>
  <c r="H14" a="1"/>
  <c r="H14" s="1"/>
  <c r="J17" a="1"/>
  <c r="J17" s="1"/>
  <c r="G17" a="1"/>
  <c r="G17" s="1"/>
  <c r="I17" a="1"/>
  <c r="I17" s="1"/>
  <c r="H17" a="1"/>
  <c r="H17" s="1"/>
  <c r="J19" a="1"/>
  <c r="J19" s="1"/>
  <c r="G19" a="1"/>
  <c r="G19" s="1"/>
  <c r="I19" a="1"/>
  <c r="I19" s="1"/>
  <c r="H19" a="1"/>
  <c r="H19" s="1"/>
  <c r="I13" a="1"/>
  <c r="I13" s="1"/>
  <c r="J13" a="1"/>
  <c r="J13" s="1"/>
  <c r="G13" a="1"/>
  <c r="G13" s="1"/>
  <c r="H13" a="1"/>
  <c r="H13" s="1"/>
  <c r="T23"/>
  <c r="N14" i="14"/>
  <c r="L34" i="16"/>
  <c r="N14" i="3"/>
  <c r="L14" i="17"/>
  <c r="N34" i="2"/>
  <c r="L34"/>
  <c r="U34" i="13"/>
  <c r="M34" s="1"/>
  <c r="N34" i="3"/>
  <c r="L34"/>
  <c r="N14" i="13"/>
  <c r="N14" i="2"/>
  <c r="U34" i="17"/>
  <c r="O34" s="1"/>
  <c r="N34" i="16"/>
  <c r="A33" i="12"/>
  <c r="U34" i="14"/>
  <c r="O34" s="1"/>
  <c r="N14" i="17"/>
  <c r="O14" i="14"/>
  <c r="M14"/>
  <c r="M14" i="3"/>
  <c r="O14"/>
  <c r="L14" i="16"/>
  <c r="N14"/>
  <c r="L14" i="14"/>
  <c r="M14" i="2"/>
  <c r="O14"/>
  <c r="O14" i="17"/>
  <c r="M14"/>
  <c r="O14" i="16"/>
  <c r="M14"/>
  <c r="L14" i="3"/>
  <c r="L14" i="13"/>
  <c r="M14"/>
  <c r="O14"/>
  <c r="L14" i="2"/>
  <c r="L34" i="14"/>
  <c r="U34" i="3"/>
  <c r="U34" i="2"/>
  <c r="L34" i="17"/>
  <c r="L34" i="13"/>
  <c r="N34" i="17"/>
  <c r="U34" i="16"/>
  <c r="N34" i="13"/>
  <c r="N34" i="14"/>
  <c r="L39" i="13"/>
  <c r="N40" i="17"/>
  <c r="L36"/>
  <c r="N36"/>
  <c r="N18" i="16"/>
  <c r="L36"/>
  <c r="N36"/>
  <c r="N39"/>
  <c r="L17"/>
  <c r="L17" i="17"/>
  <c r="U40" i="16"/>
  <c r="O40" s="1"/>
  <c r="L38"/>
  <c r="N17"/>
  <c r="L37" i="17"/>
  <c r="L40"/>
  <c r="N37"/>
  <c r="U38"/>
  <c r="M38" s="1"/>
  <c r="U37" i="16"/>
  <c r="M37" s="1"/>
  <c r="L35"/>
  <c r="N39" i="17"/>
  <c r="E23"/>
  <c r="U35"/>
  <c r="O35" s="1"/>
  <c r="L18"/>
  <c r="N20" i="16"/>
  <c r="L20"/>
  <c r="L19" i="17"/>
  <c r="M20"/>
  <c r="O20"/>
  <c r="O16" i="16"/>
  <c r="M16"/>
  <c r="L40"/>
  <c r="L13"/>
  <c r="T23"/>
  <c r="N13" i="17"/>
  <c r="V23"/>
  <c r="M16"/>
  <c r="O16"/>
  <c r="E43"/>
  <c r="U33"/>
  <c r="U33" i="16"/>
  <c r="E43"/>
  <c r="L15"/>
  <c r="L37"/>
  <c r="U40" i="17"/>
  <c r="N15" i="16"/>
  <c r="U39" i="17"/>
  <c r="N19" i="14"/>
  <c r="L18" i="16"/>
  <c r="L19"/>
  <c r="N17" i="17"/>
  <c r="N38"/>
  <c r="N16" i="16"/>
  <c r="N19"/>
  <c r="N18" i="17"/>
  <c r="U37"/>
  <c r="U35" i="16"/>
  <c r="O19" i="17"/>
  <c r="M19"/>
  <c r="O19" i="16"/>
  <c r="M19"/>
  <c r="N33" i="17"/>
  <c r="V43"/>
  <c r="O15"/>
  <c r="M15"/>
  <c r="M17"/>
  <c r="O17"/>
  <c r="M15" i="16"/>
  <c r="O15"/>
  <c r="T43" i="17"/>
  <c r="L33"/>
  <c r="U39" i="16"/>
  <c r="N40"/>
  <c r="N16" i="17"/>
  <c r="U38" i="16"/>
  <c r="L33"/>
  <c r="T43"/>
  <c r="V23"/>
  <c r="N13"/>
  <c r="M13"/>
  <c r="U23"/>
  <c r="O13"/>
  <c r="M17"/>
  <c r="O17"/>
  <c r="N37"/>
  <c r="E23"/>
  <c r="N35" i="17"/>
  <c r="L39"/>
  <c r="L20"/>
  <c r="N19"/>
  <c r="N38" i="16"/>
  <c r="O18" i="17"/>
  <c r="M18"/>
  <c r="N20"/>
  <c r="L35"/>
  <c r="L39" i="16"/>
  <c r="L16" i="17"/>
  <c r="N35" i="16"/>
  <c r="N15" i="17"/>
  <c r="L38"/>
  <c r="T23"/>
  <c r="L13"/>
  <c r="O20" i="16"/>
  <c r="M20"/>
  <c r="M18"/>
  <c r="O18"/>
  <c r="N33"/>
  <c r="V43"/>
  <c r="U23" i="17"/>
  <c r="O13"/>
  <c r="M13"/>
  <c r="U36"/>
  <c r="L16" i="16"/>
  <c r="L15" i="17"/>
  <c r="U36" i="16"/>
  <c r="N40" i="14"/>
  <c r="N36" i="13"/>
  <c r="N38"/>
  <c r="N38" i="14"/>
  <c r="L19" i="13"/>
  <c r="L37"/>
  <c r="L40"/>
  <c r="N16" i="14"/>
  <c r="E23" i="13"/>
  <c r="N37"/>
  <c r="L17"/>
  <c r="N36" i="14"/>
  <c r="L35"/>
  <c r="L15"/>
  <c r="L38"/>
  <c r="N35"/>
  <c r="L18"/>
  <c r="U37"/>
  <c r="M37" s="1"/>
  <c r="L35" i="13"/>
  <c r="N39"/>
  <c r="N40"/>
  <c r="U39" i="14"/>
  <c r="M39" s="1"/>
  <c r="L15" i="13"/>
  <c r="N15" i="14"/>
  <c r="N15" i="13"/>
  <c r="N35"/>
  <c r="O17" i="14"/>
  <c r="M17"/>
  <c r="M15" i="13"/>
  <c r="O15"/>
  <c r="T43"/>
  <c r="L33"/>
  <c r="O16"/>
  <c r="M16"/>
  <c r="M17"/>
  <c r="O17"/>
  <c r="M19"/>
  <c r="O19"/>
  <c r="N18"/>
  <c r="N37" i="14"/>
  <c r="L36" i="13"/>
  <c r="L17" i="14"/>
  <c r="L37"/>
  <c r="N20"/>
  <c r="L39"/>
  <c r="L40"/>
  <c r="U33"/>
  <c r="E43"/>
  <c r="O19"/>
  <c r="M19"/>
  <c r="O15"/>
  <c r="M15"/>
  <c r="M16"/>
  <c r="O16"/>
  <c r="U23"/>
  <c r="M13"/>
  <c r="O13"/>
  <c r="O18" i="13"/>
  <c r="M18"/>
  <c r="N13" i="14"/>
  <c r="V23"/>
  <c r="A24" i="13"/>
  <c r="U38" i="14"/>
  <c r="L19"/>
  <c r="N20" i="13"/>
  <c r="U36"/>
  <c r="L38"/>
  <c r="U39"/>
  <c r="L13"/>
  <c r="T23"/>
  <c r="L33" i="14"/>
  <c r="T43"/>
  <c r="V43"/>
  <c r="N33"/>
  <c r="M20"/>
  <c r="O20"/>
  <c r="O13" i="13"/>
  <c r="M13"/>
  <c r="U23"/>
  <c r="L20" i="14"/>
  <c r="L16" i="13"/>
  <c r="L20"/>
  <c r="A23" i="14"/>
  <c r="N17"/>
  <c r="N19" i="13"/>
  <c r="N18" i="14"/>
  <c r="L18" i="13"/>
  <c r="U37"/>
  <c r="U40"/>
  <c r="L36" i="14"/>
  <c r="T23"/>
  <c r="L13"/>
  <c r="N33" i="13"/>
  <c r="V43"/>
  <c r="M18" i="14"/>
  <c r="O18"/>
  <c r="V23" i="13"/>
  <c r="N13"/>
  <c r="O20"/>
  <c r="M20"/>
  <c r="U33"/>
  <c r="E43"/>
  <c r="U40" i="14"/>
  <c r="U38" i="13"/>
  <c r="N16"/>
  <c r="N39" i="14"/>
  <c r="U35"/>
  <c r="L16"/>
  <c r="U36"/>
  <c r="E23"/>
  <c r="N17" i="13"/>
  <c r="U35"/>
  <c r="A23" i="1"/>
  <c r="A24" s="1"/>
  <c r="A37" i="16" l="1"/>
  <c r="A35"/>
  <c r="A36" s="1"/>
  <c r="A36" i="17"/>
  <c r="A37" s="1"/>
  <c r="A35"/>
  <c r="A35" i="12"/>
  <c r="A34"/>
  <c r="I44" i="17"/>
  <c r="J44"/>
  <c r="G44"/>
  <c r="H44"/>
  <c r="I24"/>
  <c r="J24"/>
  <c r="G24"/>
  <c r="H24"/>
  <c r="J44" i="16"/>
  <c r="J24"/>
  <c r="I44"/>
  <c r="G44"/>
  <c r="H44"/>
  <c r="I24"/>
  <c r="J44" i="14"/>
  <c r="G24" i="16"/>
  <c r="H24"/>
  <c r="I44" i="14"/>
  <c r="G44"/>
  <c r="H44"/>
  <c r="J24"/>
  <c r="G24"/>
  <c r="I24"/>
  <c r="I44" i="13"/>
  <c r="J44"/>
  <c r="G44"/>
  <c r="H44"/>
  <c r="J24"/>
  <c r="I24"/>
  <c r="G24"/>
  <c r="H24"/>
  <c r="M34" i="17"/>
  <c r="O34" i="13"/>
  <c r="M34" i="14"/>
  <c r="O34" i="16"/>
  <c r="M34"/>
  <c r="O34" i="3"/>
  <c r="M34"/>
  <c r="O34" i="2"/>
  <c r="M34"/>
  <c r="A33" i="14"/>
  <c r="A24"/>
  <c r="M40" i="16"/>
  <c r="O37"/>
  <c r="O38" i="17"/>
  <c r="M35"/>
  <c r="M36"/>
  <c r="O36"/>
  <c r="O35" i="16"/>
  <c r="M35"/>
  <c r="M40" i="17"/>
  <c r="O40"/>
  <c r="M39"/>
  <c r="O39"/>
  <c r="U43"/>
  <c r="M33"/>
  <c r="O33"/>
  <c r="M37"/>
  <c r="O37"/>
  <c r="O36" i="16"/>
  <c r="M36"/>
  <c r="M33"/>
  <c r="O33"/>
  <c r="U43"/>
  <c r="O38"/>
  <c r="M38"/>
  <c r="O39"/>
  <c r="M39"/>
  <c r="O37" i="14"/>
  <c r="O39"/>
  <c r="M36" i="13"/>
  <c r="O36"/>
  <c r="M35" i="14"/>
  <c r="O35"/>
  <c r="M40" i="13"/>
  <c r="O40"/>
  <c r="M40" i="14"/>
  <c r="O40"/>
  <c r="A33" i="13"/>
  <c r="M38"/>
  <c r="O38"/>
  <c r="M38" i="14"/>
  <c r="O38"/>
  <c r="M36"/>
  <c r="O36"/>
  <c r="O39" i="13"/>
  <c r="M39"/>
  <c r="O35"/>
  <c r="M35"/>
  <c r="U43" i="14"/>
  <c r="M33"/>
  <c r="O33"/>
  <c r="M33" i="13"/>
  <c r="O33"/>
  <c r="U43"/>
  <c r="O37"/>
  <c r="M37"/>
  <c r="A43" i="3"/>
  <c r="A44" s="1"/>
  <c r="A33" i="1"/>
  <c r="A37" i="12" l="1"/>
  <c r="A36"/>
  <c r="A38" i="16"/>
  <c r="A34" i="1"/>
  <c r="A39" i="16"/>
  <c r="A34" i="13"/>
  <c r="A36" s="1"/>
  <c r="A35"/>
  <c r="A34" i="14"/>
  <c r="A38" i="17"/>
  <c r="A24" i="2"/>
  <c r="A23"/>
  <c r="A37" i="13" l="1"/>
  <c r="A40" i="12"/>
  <c r="A43" s="1"/>
  <c r="A44" s="1"/>
  <c r="A35" i="1"/>
  <c r="A43" i="17"/>
  <c r="A44" s="1"/>
  <c r="A39"/>
  <c r="A40" s="1"/>
  <c r="A38" i="12"/>
  <c r="A39" s="1"/>
  <c r="A35" i="14"/>
  <c r="A36" s="1"/>
  <c r="A37" s="1"/>
  <c r="A36" i="1"/>
  <c r="A40" i="16"/>
  <c r="A43" s="1"/>
  <c r="A44" s="1"/>
  <c r="A33" i="2"/>
  <c r="A43" i="1" l="1"/>
  <c r="A39"/>
  <c r="A40" s="1"/>
  <c r="A34" i="2"/>
  <c r="A35"/>
  <c r="A38" i="13"/>
  <c r="A38" i="14"/>
  <c r="A37" i="1"/>
  <c r="A38" s="1"/>
  <c r="Z3" i="5"/>
  <c r="Y2"/>
  <c r="AA3"/>
  <c r="AA2"/>
  <c r="Z2"/>
  <c r="Y3"/>
  <c r="A37" i="2" l="1"/>
  <c r="A40" i="13"/>
  <c r="A39"/>
  <c r="A39" i="14"/>
  <c r="A40" s="1"/>
  <c r="A36" i="2"/>
  <c r="A44" i="1"/>
  <c r="L35" i="2"/>
  <c r="N36"/>
  <c r="U40"/>
  <c r="O40" s="1"/>
  <c r="U38"/>
  <c r="M38" s="1"/>
  <c r="N37"/>
  <c r="U20" i="3"/>
  <c r="E36" a="1"/>
  <c r="E36" s="1"/>
  <c r="T40" a="1"/>
  <c r="T40" s="1"/>
  <c r="E35" a="1"/>
  <c r="E35" s="1"/>
  <c r="T38" a="1"/>
  <c r="T38" s="1"/>
  <c r="E37" a="1"/>
  <c r="E37" s="1"/>
  <c r="V13"/>
  <c r="V33" a="1"/>
  <c r="V33" s="1"/>
  <c r="V40" a="1"/>
  <c r="V40" s="1"/>
  <c r="V39" a="1"/>
  <c r="V39" s="1"/>
  <c r="V35" a="1"/>
  <c r="V35" s="1"/>
  <c r="V20"/>
  <c r="T18"/>
  <c r="E33" a="1"/>
  <c r="E33" s="1"/>
  <c r="V18"/>
  <c r="T19"/>
  <c r="T33" a="1"/>
  <c r="T33" s="1"/>
  <c r="U18"/>
  <c r="T39" a="1"/>
  <c r="T39" s="1"/>
  <c r="V19"/>
  <c r="V16"/>
  <c r="E15" a="1"/>
  <c r="E15" s="1"/>
  <c r="J15" s="1" a="1"/>
  <c r="J15" s="1"/>
  <c r="E38" a="1"/>
  <c r="E38" s="1"/>
  <c r="V37" a="1"/>
  <c r="V37" s="1"/>
  <c r="T37" a="1"/>
  <c r="T37" s="1"/>
  <c r="T13"/>
  <c r="U15"/>
  <c r="U17"/>
  <c r="T17"/>
  <c r="U19"/>
  <c r="T15"/>
  <c r="E16" a="1"/>
  <c r="E16" s="1"/>
  <c r="J16" s="1" a="1"/>
  <c r="J16" s="1"/>
  <c r="E17" a="1"/>
  <c r="E17" s="1"/>
  <c r="J17" s="1" a="1"/>
  <c r="J17" s="1"/>
  <c r="E19" a="1"/>
  <c r="E19" s="1"/>
  <c r="J19" s="1" a="1"/>
  <c r="J19" s="1"/>
  <c r="E39" a="1"/>
  <c r="E39" s="1"/>
  <c r="V36" a="1"/>
  <c r="V36" s="1"/>
  <c r="U16"/>
  <c r="T16"/>
  <c r="V17"/>
  <c r="E13" a="1"/>
  <c r="E13" s="1"/>
  <c r="E20" a="1"/>
  <c r="E20" s="1"/>
  <c r="J20" s="1" a="1"/>
  <c r="J20" s="1"/>
  <c r="E40" a="1"/>
  <c r="E40" s="1"/>
  <c r="T35" a="1"/>
  <c r="T35" s="1"/>
  <c r="T36" a="1"/>
  <c r="T36" s="1"/>
  <c r="V38" a="1"/>
  <c r="V38" s="1"/>
  <c r="V15"/>
  <c r="T20"/>
  <c r="U13"/>
  <c r="E18" a="1"/>
  <c r="E18" s="1"/>
  <c r="J18" s="1" a="1"/>
  <c r="J18" s="1"/>
  <c r="U39" i="2"/>
  <c r="O39" s="1"/>
  <c r="J44"/>
  <c r="H44"/>
  <c r="L37"/>
  <c r="I44"/>
  <c r="L40"/>
  <c r="U36"/>
  <c r="L36"/>
  <c r="L33"/>
  <c r="T43"/>
  <c r="V23"/>
  <c r="U35"/>
  <c r="G44"/>
  <c r="N35"/>
  <c r="V43"/>
  <c r="N33"/>
  <c r="U37"/>
  <c r="N38"/>
  <c r="E43"/>
  <c r="U33"/>
  <c r="J2" i="5"/>
  <c r="U23" i="2"/>
  <c r="L38"/>
  <c r="N40"/>
  <c r="N39"/>
  <c r="L39"/>
  <c r="M18"/>
  <c r="N18"/>
  <c r="L18"/>
  <c r="O18"/>
  <c r="M20"/>
  <c r="O20"/>
  <c r="L20"/>
  <c r="N20"/>
  <c r="M17"/>
  <c r="L17"/>
  <c r="N17"/>
  <c r="O17"/>
  <c r="L15"/>
  <c r="N15"/>
  <c r="O15"/>
  <c r="M15"/>
  <c r="L19"/>
  <c r="N19"/>
  <c r="O19"/>
  <c r="M19"/>
  <c r="M13"/>
  <c r="N13"/>
  <c r="L13"/>
  <c r="O13"/>
  <c r="E23"/>
  <c r="M16"/>
  <c r="O16"/>
  <c r="N16"/>
  <c r="L16"/>
  <c r="M3" i="5"/>
  <c r="M2"/>
  <c r="R3"/>
  <c r="J3"/>
  <c r="V2"/>
  <c r="N2"/>
  <c r="V3"/>
  <c r="R2"/>
  <c r="K2"/>
  <c r="T2"/>
  <c r="S3"/>
  <c r="K3"/>
  <c r="W2"/>
  <c r="O2"/>
  <c r="U3"/>
  <c r="W3"/>
  <c r="X3"/>
  <c r="P3"/>
  <c r="L2"/>
  <c r="T3"/>
  <c r="L3"/>
  <c r="X2"/>
  <c r="P2"/>
  <c r="Q2"/>
  <c r="O3"/>
  <c r="S2"/>
  <c r="Q3"/>
  <c r="U2"/>
  <c r="N3"/>
  <c r="A40" i="2" l="1"/>
  <c r="A43" i="14"/>
  <c r="A44" s="1"/>
  <c r="A38" i="2"/>
  <c r="A39" s="1"/>
  <c r="A43" i="13"/>
  <c r="A44" s="1"/>
  <c r="J35" i="3" a="1"/>
  <c r="J35" s="1"/>
  <c r="G35" a="1"/>
  <c r="G35" s="1"/>
  <c r="I35" a="1"/>
  <c r="I35" s="1"/>
  <c r="H35" a="1"/>
  <c r="H35" s="1"/>
  <c r="H37" a="1"/>
  <c r="H37" s="1"/>
  <c r="J37" a="1"/>
  <c r="J37" s="1"/>
  <c r="G37" a="1"/>
  <c r="G37" s="1"/>
  <c r="I37" a="1"/>
  <c r="I37" s="1"/>
  <c r="H38" a="1"/>
  <c r="H38" s="1"/>
  <c r="G38" a="1"/>
  <c r="G38" s="1"/>
  <c r="J38" a="1"/>
  <c r="J38" s="1"/>
  <c r="I38" a="1"/>
  <c r="I38" s="1"/>
  <c r="J39" a="1"/>
  <c r="J39" s="1"/>
  <c r="G39" a="1"/>
  <c r="G39" s="1"/>
  <c r="I39" a="1"/>
  <c r="I39" s="1"/>
  <c r="H39" a="1"/>
  <c r="H39" s="1"/>
  <c r="H40" a="1"/>
  <c r="H40" s="1"/>
  <c r="J40" a="1"/>
  <c r="J40" s="1"/>
  <c r="G40" a="1"/>
  <c r="G40" s="1"/>
  <c r="I40" a="1"/>
  <c r="I40" s="1"/>
  <c r="H36" a="1"/>
  <c r="H36" s="1"/>
  <c r="J36" a="1"/>
  <c r="J36" s="1"/>
  <c r="G36" a="1"/>
  <c r="G36" s="1"/>
  <c r="I36" a="1"/>
  <c r="I36" s="1"/>
  <c r="I33" a="1"/>
  <c r="I33" s="1"/>
  <c r="J33" a="1"/>
  <c r="J33" s="1"/>
  <c r="G33" a="1"/>
  <c r="G33" s="1"/>
  <c r="H33" a="1"/>
  <c r="H33" s="1"/>
  <c r="I13" a="1"/>
  <c r="I13" s="1"/>
  <c r="J13" a="1"/>
  <c r="J13" s="1"/>
  <c r="J24" s="1"/>
  <c r="I19" a="1"/>
  <c r="I19" s="1"/>
  <c r="H19" a="1"/>
  <c r="H19" s="1"/>
  <c r="G19" a="1"/>
  <c r="G19" s="1"/>
  <c r="I20" a="1"/>
  <c r="I20" s="1"/>
  <c r="H20" a="1"/>
  <c r="H20" s="1"/>
  <c r="G20" a="1"/>
  <c r="G20" s="1"/>
  <c r="G18" a="1"/>
  <c r="G18" s="1"/>
  <c r="I18" a="1"/>
  <c r="I18" s="1"/>
  <c r="H18" a="1"/>
  <c r="H18" s="1"/>
  <c r="H16" a="1"/>
  <c r="H16" s="1"/>
  <c r="G16" a="1"/>
  <c r="G16" s="1"/>
  <c r="I16" a="1"/>
  <c r="I16" s="1"/>
  <c r="I17" a="1"/>
  <c r="I17" s="1"/>
  <c r="H17" a="1"/>
  <c r="H17" s="1"/>
  <c r="G17" a="1"/>
  <c r="G17" s="1"/>
  <c r="H15" a="1"/>
  <c r="H15" s="1"/>
  <c r="I15" a="1"/>
  <c r="I15" s="1"/>
  <c r="G15" a="1"/>
  <c r="G15" s="1"/>
  <c r="G13" a="1"/>
  <c r="G13" s="1"/>
  <c r="H13" a="1"/>
  <c r="H13" s="1"/>
  <c r="G24" i="2"/>
  <c r="N35" i="3"/>
  <c r="L35"/>
  <c r="O38" i="2"/>
  <c r="M16" i="3"/>
  <c r="L17"/>
  <c r="L19"/>
  <c r="N38"/>
  <c r="N37"/>
  <c r="L37"/>
  <c r="L33"/>
  <c r="M40" i="2"/>
  <c r="N33" i="3"/>
  <c r="L18"/>
  <c r="N40"/>
  <c r="U38"/>
  <c r="O38" s="1"/>
  <c r="O20"/>
  <c r="N17"/>
  <c r="L15"/>
  <c r="I24" i="2"/>
  <c r="M13" i="3"/>
  <c r="L13"/>
  <c r="N18"/>
  <c r="O16"/>
  <c r="M18"/>
  <c r="M19"/>
  <c r="N39"/>
  <c r="U35"/>
  <c r="O35" s="1"/>
  <c r="U40"/>
  <c r="M40" s="1"/>
  <c r="U39"/>
  <c r="H24" i="2"/>
  <c r="T23" i="3"/>
  <c r="L39"/>
  <c r="O19"/>
  <c r="E43"/>
  <c r="N15"/>
  <c r="M20"/>
  <c r="O17"/>
  <c r="O18"/>
  <c r="N16"/>
  <c r="E23"/>
  <c r="L16"/>
  <c r="U23"/>
  <c r="V23"/>
  <c r="V43"/>
  <c r="J24" i="2"/>
  <c r="L40" i="3"/>
  <c r="O15"/>
  <c r="N20"/>
  <c r="O13"/>
  <c r="U36"/>
  <c r="O36" s="1"/>
  <c r="L38"/>
  <c r="L36"/>
  <c r="M15"/>
  <c r="L20"/>
  <c r="M17"/>
  <c r="N36"/>
  <c r="U37"/>
  <c r="O37" s="1"/>
  <c r="N13"/>
  <c r="T43"/>
  <c r="U33"/>
  <c r="O33" s="1"/>
  <c r="N19"/>
  <c r="M39" i="2"/>
  <c r="U43"/>
  <c r="O33"/>
  <c r="M33"/>
  <c r="O37"/>
  <c r="M37"/>
  <c r="O35"/>
  <c r="M35"/>
  <c r="O36"/>
  <c r="M36"/>
  <c r="A43" l="1"/>
  <c r="A44" s="1"/>
  <c r="J44" i="3"/>
  <c r="I44"/>
  <c r="G44"/>
  <c r="H44"/>
  <c r="I24"/>
  <c r="H24"/>
  <c r="G24"/>
  <c r="M38"/>
  <c r="M35"/>
  <c r="M37"/>
  <c r="O40"/>
  <c r="M36"/>
  <c r="M33"/>
  <c r="U43"/>
  <c r="M39"/>
  <c r="O39"/>
</calcChain>
</file>

<file path=xl/sharedStrings.xml><?xml version="1.0" encoding="utf-8"?>
<sst xmlns="http://schemas.openxmlformats.org/spreadsheetml/2006/main" count="5471" uniqueCount="661">
  <si>
    <t>S&amp;P</t>
  </si>
  <si>
    <t>Rating</t>
  </si>
  <si>
    <t>Value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</si>
  <si>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</si>
  <si>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</si>
  <si>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</si>
  <si>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</si>
  <si>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</si>
  <si>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</si>
  <si>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</si>
  <si>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</si>
  <si>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</si>
  <si>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</si>
  <si>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</si>
  <si>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</si>
  <si>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</si>
  <si>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</si>
  <si>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</si>
  <si>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</si>
  <si>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</t>
  </si>
  <si>
    <t>CCC</t>
  </si>
  <si>
    <t>CCC-</t>
  </si>
  <si>
    <t>CC</t>
  </si>
  <si>
    <t>C</t>
  </si>
  <si>
    <t>Last Updated</t>
  </si>
  <si>
    <t>Subsidiary Count</t>
  </si>
  <si>
    <t>Ticker</t>
  </si>
  <si>
    <t>Parent Ticker</t>
  </si>
  <si>
    <t>Industry</t>
  </si>
  <si>
    <t>Group</t>
  </si>
  <si>
    <t>Utility</t>
  </si>
  <si>
    <t>ALE</t>
  </si>
  <si>
    <t>E</t>
  </si>
  <si>
    <t>Central</t>
  </si>
  <si>
    <t>ALLETE, Inc. (NYSE:ALE)</t>
  </si>
  <si>
    <t>LNT</t>
  </si>
  <si>
    <t>Alliant Energy Corporation (NYSE:LNT)</t>
  </si>
  <si>
    <t>AEE</t>
  </si>
  <si>
    <t>Ameren Corporation (NYSE:AEE)</t>
  </si>
  <si>
    <t>AEP</t>
  </si>
  <si>
    <t>American Electric Power Company, Inc. (NYSE:AEP)</t>
  </si>
  <si>
    <t>CMS</t>
  </si>
  <si>
    <t>CMS Energy Corporation (NYSE:CMS)</t>
  </si>
  <si>
    <t>CNP</t>
  </si>
  <si>
    <t>CenterPoint Energy, Inc. (NYSE:CNP)</t>
  </si>
  <si>
    <t>DTE</t>
  </si>
  <si>
    <t>DTE Energy Company (NYSE:DTE)</t>
  </si>
  <si>
    <t>ETR</t>
  </si>
  <si>
    <t>Entergy Corporation (NYSE:ETR)</t>
  </si>
  <si>
    <t>FTS</t>
  </si>
  <si>
    <t>Fortis Inc. (TSX:FTS)</t>
  </si>
  <si>
    <t>GXP</t>
  </si>
  <si>
    <t>Great Plains Energy Incorporated (NYSE:GXP)</t>
  </si>
  <si>
    <t>MGEE</t>
  </si>
  <si>
    <t>MGE Energy, Inc. (NasdaqGS:MGEE)</t>
  </si>
  <si>
    <t>OGE</t>
  </si>
  <si>
    <t>OGE Energy Corp. (NYSE:OGE)</t>
  </si>
  <si>
    <t>OTTR</t>
  </si>
  <si>
    <t>Otter Tail Corporation (NasdaqGS:OTTR)</t>
  </si>
  <si>
    <t>VVC</t>
  </si>
  <si>
    <t>Vectren Corporation (NYSE:VVC)</t>
  </si>
  <si>
    <t>WEC</t>
  </si>
  <si>
    <t>WEC Energy Group, Inc. (NYSE:WEC)</t>
  </si>
  <si>
    <t>WR</t>
  </si>
  <si>
    <t>Westar Energy, Inc. (NYSE:WR)</t>
  </si>
  <si>
    <t>AGR</t>
  </si>
  <si>
    <t>East</t>
  </si>
  <si>
    <t>Avangrid, Inc. (NYSE:AGR)</t>
  </si>
  <si>
    <t>ED</t>
  </si>
  <si>
    <t>Consolidated Edison, Inc. (NYSE:ED)</t>
  </si>
  <si>
    <t>D</t>
  </si>
  <si>
    <t>Dominion Energy, Inc. (NYSE:D)</t>
  </si>
  <si>
    <t>DUK</t>
  </si>
  <si>
    <t>Duke Energy Corporation (NYSE:DUK)</t>
  </si>
  <si>
    <t>ES</t>
  </si>
  <si>
    <t>Eversource Energy (NYSE:ES)</t>
  </si>
  <si>
    <t>EXC</t>
  </si>
  <si>
    <t>Exelon Corporation (NYSE:EXC)</t>
  </si>
  <si>
    <t>FE</t>
  </si>
  <si>
    <t>FirstEnergy Corp. (NYSE:FE)</t>
  </si>
  <si>
    <t>NEE</t>
  </si>
  <si>
    <t>NextEra Energy, Inc. (NYSE:NEE)</t>
  </si>
  <si>
    <t>PPL</t>
  </si>
  <si>
    <t>PPL Corporation (NYSE:PPL)</t>
  </si>
  <si>
    <t>PEG</t>
  </si>
  <si>
    <t>Public Service Enterprise Group Incorporated (NYSE:PEG)</t>
  </si>
  <si>
    <t>SCG</t>
  </si>
  <si>
    <t>SCANA Corporation (NYSE:SCG)</t>
  </si>
  <si>
    <t>SO</t>
  </si>
  <si>
    <t>The Southern Company (NYSE:SO)</t>
  </si>
  <si>
    <t>AVA</t>
  </si>
  <si>
    <t>West</t>
  </si>
  <si>
    <t>Avista Corporation (NYSE:AVA)</t>
  </si>
  <si>
    <t>BKH</t>
  </si>
  <si>
    <t>Black Hills Corporation (NYSE:BKH)</t>
  </si>
  <si>
    <t>EIX</t>
  </si>
  <si>
    <t>Edison International (NYSE:EIX)</t>
  </si>
  <si>
    <t>EE</t>
  </si>
  <si>
    <t>El Paso Electric Company (NYSE:EE)</t>
  </si>
  <si>
    <t>HE</t>
  </si>
  <si>
    <t>Hawaiian Electric Industries, Inc. (NYSE:HE)</t>
  </si>
  <si>
    <t>IDA</t>
  </si>
  <si>
    <t>IdaCorp, Inc. (NYSE:IDA)</t>
  </si>
  <si>
    <t>NWE</t>
  </si>
  <si>
    <t>Northwestern Corporation (NYSE:NWE)</t>
  </si>
  <si>
    <t>PCG</t>
  </si>
  <si>
    <t>PG&amp;E Corporation (NYSE:PCG)</t>
  </si>
  <si>
    <t>PNM</t>
  </si>
  <si>
    <t>PNM Resources, Inc. (NYSE:PNM)</t>
  </si>
  <si>
    <t>PNW</t>
  </si>
  <si>
    <t>Pinnacle West Capital Corporation (NYSE:PNW)</t>
  </si>
  <si>
    <t>POR</t>
  </si>
  <si>
    <t>Portland General Electric Company (NYSE:POR)</t>
  </si>
  <si>
    <t>SRE</t>
  </si>
  <si>
    <t>Sempra Energy (NYSE:SRE)</t>
  </si>
  <si>
    <t>XEL</t>
  </si>
  <si>
    <t>Xcel Energy Inc. (NYSE:XEL)</t>
  </si>
  <si>
    <t>ATO</t>
  </si>
  <si>
    <t>G</t>
  </si>
  <si>
    <t>Atmos Energy Corporation (NYSE:ATO)</t>
  </si>
  <si>
    <t>CPK</t>
  </si>
  <si>
    <t>Chesapeake Utilities Corporation (NYSE:CPK)</t>
  </si>
  <si>
    <t>NJR</t>
  </si>
  <si>
    <t>New Jersey Resources Corporation (NYSE:NJR)</t>
  </si>
  <si>
    <t>NI</t>
  </si>
  <si>
    <t>NiSource Inc. (NYSE:NI)</t>
  </si>
  <si>
    <t>NWN</t>
  </si>
  <si>
    <t>Northwest Natural Gas Company (NYSE:NWN)</t>
  </si>
  <si>
    <t>OGS</t>
  </si>
  <si>
    <t>ONE Gas, Inc. (NYSE:OGS)</t>
  </si>
  <si>
    <t>SJI</t>
  </si>
  <si>
    <t>South Jersey Industries, Inc. (NYSE:SJI)</t>
  </si>
  <si>
    <t>SWX</t>
  </si>
  <si>
    <t>Southwest Gas Holdings, Inc. (NYSE:SWX)</t>
  </si>
  <si>
    <t>SR</t>
  </si>
  <si>
    <t>Spire Inc. (NYSE:SR)</t>
  </si>
  <si>
    <t>UGI</t>
  </si>
  <si>
    <t>UGI Corporation (NYSE:UGI)</t>
  </si>
  <si>
    <t>WGL</t>
  </si>
  <si>
    <t>WGL Holdings, Inc. (NYSE:WGL)</t>
  </si>
  <si>
    <t>Capital IQ Company Screening Report</t>
  </si>
  <si>
    <t>:</t>
  </si>
  <si>
    <t>Company Name</t>
  </si>
  <si>
    <t>Exchange:Ticker</t>
  </si>
  <si>
    <t>S&amp;P Entity ID</t>
  </si>
  <si>
    <t>Company Comp Sets</t>
  </si>
  <si>
    <t>S&amp;P Entity Credit Rating - Issuer Credit Rating - Local Currency LT [Latest] (Rating)</t>
  </si>
  <si>
    <t>S&amp;P Entity Credit Rating Date - Issuer Credit Rating - Local Currency LT [Latest] (Rating Date)</t>
  </si>
  <si>
    <t>S&amp;P Entity Credit Rating - Issuer Credit Rating - Local Currency LT [Latest] (CreditWatch)</t>
  </si>
  <si>
    <t>S&amp;P Entity Credit Rating Date - Issuer Credit Rating - Local Currency LT [Latest] (CreditWatch Date)</t>
  </si>
  <si>
    <t>S&amp;P Entity Credit Rating - Issuer Credit Rating - Local Currency LT [Latest] (Outlook)</t>
  </si>
  <si>
    <t>S&amp;P Entity Credit Rating Date - Issuer Credit Rating - Local Currency LT [Latest] (Outlook Date)</t>
  </si>
  <si>
    <t>Parent Company</t>
  </si>
  <si>
    <t>Ultimate Corporate Parent</t>
  </si>
  <si>
    <t>Prior Parent Companies</t>
  </si>
  <si>
    <t>NYSE:ALE</t>
  </si>
  <si>
    <t>101526</t>
  </si>
  <si>
    <t>VL&amp;#32;Elec&amp;#32;Central</t>
  </si>
  <si>
    <t>NM</t>
  </si>
  <si>
    <t>Stable</t>
  </si>
  <si>
    <t>-</t>
  </si>
  <si>
    <t>NYSE:LNT</t>
  </si>
  <si>
    <t>320994</t>
  </si>
  <si>
    <t>NYSE:AEE</t>
  </si>
  <si>
    <t>319785</t>
  </si>
  <si>
    <t>NYSE:AEP</t>
  </si>
  <si>
    <t>105713</t>
  </si>
  <si>
    <t>NYSE:ATO</t>
  </si>
  <si>
    <t>316250</t>
  </si>
  <si>
    <t>VL&amp;#32;Gas</t>
  </si>
  <si>
    <t>NYSE:AGR</t>
  </si>
  <si>
    <t>330980</t>
  </si>
  <si>
    <t>VL&amp;#32;Elec&amp;#32;East</t>
  </si>
  <si>
    <t>Iberdrola, S.A. (BME:IBE)</t>
  </si>
  <si>
    <t>NYSE:AVA</t>
  </si>
  <si>
    <t>102528</t>
  </si>
  <si>
    <t>VL&amp;#32;Elec&amp;#32;West</t>
  </si>
  <si>
    <t>Positive</t>
  </si>
  <si>
    <t>Hydro One Limited (TSX:H)</t>
  </si>
  <si>
    <t>NYSE:BKH</t>
  </si>
  <si>
    <t>357848</t>
  </si>
  <si>
    <t>NYSE:CNP</t>
  </si>
  <si>
    <t>309047</t>
  </si>
  <si>
    <t>NYSE:CPK</t>
  </si>
  <si>
    <t>NYSE:CMS</t>
  </si>
  <si>
    <t>110259</t>
  </si>
  <si>
    <t>NYSE:ED</t>
  </si>
  <si>
    <t>330759</t>
  </si>
  <si>
    <t>NYSE:D</t>
  </si>
  <si>
    <t>100681</t>
  </si>
  <si>
    <t>NYSE:DTE</t>
  </si>
  <si>
    <t>304105</t>
  </si>
  <si>
    <t>NYSE:DUK</t>
  </si>
  <si>
    <t>100702</t>
  </si>
  <si>
    <t>NYSE:EIX</t>
  </si>
  <si>
    <t>111869</t>
  </si>
  <si>
    <t>NYSE:EE</t>
  </si>
  <si>
    <t>100724</t>
  </si>
  <si>
    <t>NYSE:ETR</t>
  </si>
  <si>
    <t>109358</t>
  </si>
  <si>
    <t>NYSE:ES</t>
  </si>
  <si>
    <t>109359</t>
  </si>
  <si>
    <t>NYSE:EXC</t>
  </si>
  <si>
    <t>346889</t>
  </si>
  <si>
    <t>NYSE:FE</t>
  </si>
  <si>
    <t>325549</t>
  </si>
  <si>
    <t>TSX:FTS</t>
  </si>
  <si>
    <t>349960</t>
  </si>
  <si>
    <t>NYSE:GXP</t>
  </si>
  <si>
    <t>354995</t>
  </si>
  <si>
    <t>OMERS Administration Corp.; Westar Energy, Inc. (NYSE:WR)</t>
  </si>
  <si>
    <t>NYSE:HE</t>
  </si>
  <si>
    <t>101075</t>
  </si>
  <si>
    <t>NYSE:IDA</t>
  </si>
  <si>
    <t>330988</t>
  </si>
  <si>
    <t>NasdaqGS:MGEE</t>
  </si>
  <si>
    <t>587276</t>
  </si>
  <si>
    <t>NYSE:NJR</t>
  </si>
  <si>
    <t>109375</t>
  </si>
  <si>
    <t>NYSE:NEE</t>
  </si>
  <si>
    <t>109357</t>
  </si>
  <si>
    <t>NYSE:NI</t>
  </si>
  <si>
    <t>111243</t>
  </si>
  <si>
    <t>NYSE:NWN</t>
  </si>
  <si>
    <t>101709</t>
  </si>
  <si>
    <t>NYSE:NWE</t>
  </si>
  <si>
    <t>101715</t>
  </si>
  <si>
    <t>NYSE:OGE</t>
  </si>
  <si>
    <t>309924</t>
  </si>
  <si>
    <t>NYSE:OGS</t>
  </si>
  <si>
    <t>560228</t>
  </si>
  <si>
    <t>ONEOK, Inc. (NYSE:OKE)</t>
  </si>
  <si>
    <t>NasdaqGS:OTTR</t>
  </si>
  <si>
    <t>101758</t>
  </si>
  <si>
    <t>NYSE:PCG</t>
  </si>
  <si>
    <t>309573</t>
  </si>
  <si>
    <t>NYSE:PNW</t>
  </si>
  <si>
    <t>109991</t>
  </si>
  <si>
    <t>NYSE:PNM</t>
  </si>
  <si>
    <t>371487</t>
  </si>
  <si>
    <t>NYSE:POR</t>
  </si>
  <si>
    <t>101909</t>
  </si>
  <si>
    <t>Enron Creditors Recovery Corp.; Portland General Holdings Inc.</t>
  </si>
  <si>
    <t>NYSE:PPL</t>
  </si>
  <si>
    <t>303389</t>
  </si>
  <si>
    <t>NYSE:PEG</t>
  </si>
  <si>
    <t>109364</t>
  </si>
  <si>
    <t>NYSE:SCG</t>
  </si>
  <si>
    <t>107510</t>
  </si>
  <si>
    <t>Developing</t>
  </si>
  <si>
    <t>NYSE:SRE</t>
  </si>
  <si>
    <t>331433</t>
  </si>
  <si>
    <t>NYSE:SJI</t>
  </si>
  <si>
    <t>114869</t>
  </si>
  <si>
    <t>NYSE:SWX</t>
  </si>
  <si>
    <t>589393</t>
  </si>
  <si>
    <t>NYSE:SR</t>
  </si>
  <si>
    <t>360957</t>
  </si>
  <si>
    <t>NYSE:SO</t>
  </si>
  <si>
    <t>109366</t>
  </si>
  <si>
    <t>Negative</t>
  </si>
  <si>
    <t>NYSE:UGI</t>
  </si>
  <si>
    <t>119951</t>
  </si>
  <si>
    <t>NYSE:VVC</t>
  </si>
  <si>
    <t>109373</t>
  </si>
  <si>
    <t>NYSE:WEC</t>
  </si>
  <si>
    <t>110267</t>
  </si>
  <si>
    <t>NYSE:WR</t>
  </si>
  <si>
    <t>101280</t>
  </si>
  <si>
    <t>NYSE:WGL</t>
  </si>
  <si>
    <t>348501</t>
  </si>
  <si>
    <t>AltaGas Ltd. (TSX:ALA)</t>
  </si>
  <si>
    <t>NYSE:XEL</t>
  </si>
  <si>
    <t>345602</t>
  </si>
  <si>
    <t>Debt/Debt And Equity (%) - Credit Stats Direct [CQ1 2013]</t>
  </si>
  <si>
    <t>Debt/Debt And Equity (%) - Credit Stats Direct [CQ2 2013]</t>
  </si>
  <si>
    <t>Debt/Debt And Equity (%) - Credit Stats Direct [CQ3 2013]</t>
  </si>
  <si>
    <t>Debt/Debt And Equity (%) - Credit Stats Direct [CQ4 2013]</t>
  </si>
  <si>
    <t>Debt/Debt And Equity (%) - Credit Stats Direct [CQ1 2014]</t>
  </si>
  <si>
    <t>Debt/Debt And Equity (%) - Credit Stats Direct [CQ2 2014]</t>
  </si>
  <si>
    <t>Debt/Debt And Equity (%) - Credit Stats Direct [CQ3 2014]</t>
  </si>
  <si>
    <t>Debt/Debt And Equity (%) - Credit Stats Direct [CQ4 2014]</t>
  </si>
  <si>
    <t>Debt/Debt And Equity (%) - Credit Stats Direct [CQ1 2015]</t>
  </si>
  <si>
    <t>Debt/Debt And Equity (%) - Credit Stats Direct [CQ2 2015]</t>
  </si>
  <si>
    <t>Debt/Debt And Equity (%) - Credit Stats Direct [CQ3 2015]</t>
  </si>
  <si>
    <t>Debt/Debt And Equity (%) - Credit Stats Direct [CQ4 2015]</t>
  </si>
  <si>
    <t>Debt/Debt And Equity (%) - Credit Stats Direct [CQ1 2016]</t>
  </si>
  <si>
    <t>Debt/Debt And Equity (%) - Credit Stats Direct [CQ2 2016]</t>
  </si>
  <si>
    <t>Debt/Debt And Equity (%) - Credit Stats Direct [CQ3 2016]</t>
  </si>
  <si>
    <t>Debt/Debt And Equity (%) - Credit Stats Direct [CQ4 2016]</t>
  </si>
  <si>
    <t>Debt/Debt And Equity (%) - Credit Stats Direct [CQ1 2017]</t>
  </si>
  <si>
    <t>Debt/Debt And Equity (%) - Credit Stats Direct [CQ2 2017]</t>
  </si>
  <si>
    <t>Debt/Debt And Equity (%) - Credit Stats Direct [CQ3 2017]</t>
  </si>
  <si>
    <t>Debt/Debt And Equity (%) - Credit Stats Direct [CQ4 2017]</t>
  </si>
  <si>
    <t>AEP Texas Central Company</t>
  </si>
  <si>
    <t>100423</t>
  </si>
  <si>
    <t>Elec&amp;#32;Util&amp;#32;Central&amp;#32;Operating&amp;#32;Subs
VL&amp;#32;Elect&amp;#32;Subs&amp;#32;A&amp;#32;to&amp;#32;D
made from Elec central</t>
  </si>
  <si>
    <t>AEP Texas North Company</t>
  </si>
  <si>
    <t>102545</t>
  </si>
  <si>
    <t>Alabama Power Co.</t>
  </si>
  <si>
    <t>100025</t>
  </si>
  <si>
    <t>VL&amp;#32;Elect&amp;#32;Subs&amp;#32;A&amp;#32;to&amp;#32;D
Elec&amp;#32;Util&amp;#32;East&amp;#32;Operating&amp;#32;Subs</t>
  </si>
  <si>
    <t>My ALLETE, Inc. Quick Comp
My ALLETE, Inc. Quick Comp
VL&amp;#32;Universe
Elec&amp;#32;Util&amp;#32;Central&amp;#32;Operating&amp;#32;Subs
VL&amp;#32;Elec&amp;#32;Central</t>
  </si>
  <si>
    <t>Ameren Illinois Company</t>
  </si>
  <si>
    <t>100419</t>
  </si>
  <si>
    <t>Elec&amp;#32;Util&amp;#32;Central&amp;#32;Operating&amp;#32;Subs
VL&amp;#32;Elect&amp;#32;Subs&amp;#32;A&amp;#32;to&amp;#32;D</t>
  </si>
  <si>
    <t>Appalachian Power Company</t>
  </si>
  <si>
    <t>100150</t>
  </si>
  <si>
    <t>Arizona Public Service Co.</t>
  </si>
  <si>
    <t>100157</t>
  </si>
  <si>
    <t>VL&amp;#32;Elect&amp;#32;Subs&amp;#32;A&amp;#32;to&amp;#32;D
Elec Util West Operating Subs</t>
  </si>
  <si>
    <t>Atlantic City Electric Company</t>
  </si>
  <si>
    <t>100180</t>
  </si>
  <si>
    <t>Gas
My SPiRE, Inc. Quick Comp
My Atmos Energy Corporation Quick Comp
My Atmos Energy Corporation Quick Comp
Gas&amp;#32;Operating&amp;#32;Subs
My UGI Corporation Quick Comp
VL&amp;#32;Gas
Water&amp;#32;and&amp;#32;Gas</t>
  </si>
  <si>
    <t>My ALLETE, Inc. Quick Comp
My ALLETE, Inc. Quick Comp
VL&amp;#32;Universe
VL&amp;#32;Elect&amp;#32;Subs&amp;#32;A&amp;#32;to&amp;#32;D
VL&amp;#32;Elec&amp;#32;West
Elec Util West Operating Subs</t>
  </si>
  <si>
    <t>Baltimore Gas and Electric Company</t>
  </si>
  <si>
    <t>100214</t>
  </si>
  <si>
    <t>Black Hills Power Inc.</t>
  </si>
  <si>
    <t>109346</t>
  </si>
  <si>
    <t>Centerpoint Energy Houston Electric, LLC</t>
  </si>
  <si>
    <t>105873</t>
  </si>
  <si>
    <t>Centerpoint Energy Resources Corp.</t>
  </si>
  <si>
    <t>100159</t>
  </si>
  <si>
    <t>Gas
My SPiRE, Inc. Quick Comp
My Atmos Energy Corporation Quick Comp
Elec&amp;#32;Util&amp;#32;Central&amp;#32;Operating&amp;#32;Subs
VL&amp;#32;Elect&amp;#32;Subs&amp;#32;A&amp;#32;to&amp;#32;D</t>
  </si>
  <si>
    <t>Central Hudson Gas &amp; Electric Corp.</t>
  </si>
  <si>
    <t>100416</t>
  </si>
  <si>
    <t>Elec&amp;#32;Util&amp;#32;Central&amp;#32;Operating&amp;#32;Subs</t>
  </si>
  <si>
    <t>Central Maine Power Company</t>
  </si>
  <si>
    <t>100422</t>
  </si>
  <si>
    <t>Gas&amp;#32;Operating&amp;#32;Subs
VL&amp;#32;Gas
Water&amp;#32;and&amp;#32;Gas
temp</t>
  </si>
  <si>
    <t>Commonwealth Edison Company</t>
  </si>
  <si>
    <t>100543</t>
  </si>
  <si>
    <t>Connecticut Natural Gas Corporation</t>
  </si>
  <si>
    <t>100566</t>
  </si>
  <si>
    <t>Gas
My SPiRE, Inc. Quick Comp
My Atmos Energy Corporation Quick Comp
Elec&amp;#32;Util&amp;#32;East&amp;#32;Operating&amp;#32;Subs</t>
  </si>
  <si>
    <t>Consolidated Edison Co. of New York Inc.</t>
  </si>
  <si>
    <t>100571</t>
  </si>
  <si>
    <t>Consumers Energy Company</t>
  </si>
  <si>
    <t>100578</t>
  </si>
  <si>
    <t>Delmarva Power &amp; Light Co.</t>
  </si>
  <si>
    <t>100652</t>
  </si>
  <si>
    <t>DTE Electric Company</t>
  </si>
  <si>
    <t>100660</t>
  </si>
  <si>
    <t>DTE Gas Company</t>
  </si>
  <si>
    <t>101498</t>
  </si>
  <si>
    <t>Duke Energy Carolinas, LLC</t>
  </si>
  <si>
    <t>399156</t>
  </si>
  <si>
    <t>Duke Energy Florida, LLC</t>
  </si>
  <si>
    <t>100869</t>
  </si>
  <si>
    <t>Duke Energy Indiana, LLC</t>
  </si>
  <si>
    <t>101931</t>
  </si>
  <si>
    <t>Duke Energy Kentucky, Inc.</t>
  </si>
  <si>
    <t>102406</t>
  </si>
  <si>
    <t>Duke Energy Ohio, Inc.</t>
  </si>
  <si>
    <t>100479</t>
  </si>
  <si>
    <t>Duke Energy Progress, LLC</t>
  </si>
  <si>
    <t>100389</t>
  </si>
  <si>
    <t>Sample&amp;#32;10&amp;#32;Electric&amp;#32;utilities
My ALLETE, Inc. Quick Comp
My ALLETE, Inc. Quick Comp
VL&amp;#32;Universe
VL&amp;#32;Elec&amp;#32;West
Elec Util West Operating Subs</t>
  </si>
  <si>
    <t>Entergy Arkansas, Inc.</t>
  </si>
  <si>
    <t>100158</t>
  </si>
  <si>
    <t>Elec&amp;#32;Util&amp;#32;Central&amp;#32;Operating&amp;#32;Subs
VL&amp;#32;Elect&amp;#32;Subs&amp;#32;E&amp;#32;to&amp;#32;O</t>
  </si>
  <si>
    <t>Entergy Mississippi, Inc.</t>
  </si>
  <si>
    <t>101528</t>
  </si>
  <si>
    <t>Entergy Texas, Inc.</t>
  </si>
  <si>
    <t>435579</t>
  </si>
  <si>
    <t>Florida Power &amp; Light Company</t>
  </si>
  <si>
    <t>100868</t>
  </si>
  <si>
    <t>VL&amp;#32;Elect&amp;#32;Subs&amp;#32;E&amp;#32;to&amp;#32;O
Elec&amp;#32;Util&amp;#32;East&amp;#32;Operating&amp;#32;Subs</t>
  </si>
  <si>
    <t>Georgia Power Co.</t>
  </si>
  <si>
    <t>100967</t>
  </si>
  <si>
    <t>Gulf Power Company</t>
  </si>
  <si>
    <t>101037</t>
  </si>
  <si>
    <t>Hawaiian Electric Company Inc.</t>
  </si>
  <si>
    <t>101074</t>
  </si>
  <si>
    <t>VL&amp;#32;Elect&amp;#32;Subs&amp;#32;E&amp;#32;to&amp;#32;O
Elec Util West Operating Subs</t>
  </si>
  <si>
    <t>Idaho Power Company</t>
  </si>
  <si>
    <t>101165</t>
  </si>
  <si>
    <t>Indiana Gas Company, Inc.</t>
  </si>
  <si>
    <t>101182</t>
  </si>
  <si>
    <t>Gas
My SPiRE, Inc. Quick Comp
My Atmos Energy Corporation Quick Comp
Elec&amp;#32;Util&amp;#32;Central&amp;#32;Operating&amp;#32;Subs
VL&amp;#32;Elect&amp;#32;Subs&amp;#32;E&amp;#32;to&amp;#32;O</t>
  </si>
  <si>
    <t>Indiana Michigan Power Company</t>
  </si>
  <si>
    <t>101179</t>
  </si>
  <si>
    <t>Interstate Power and Light Company</t>
  </si>
  <si>
    <t>360196</t>
  </si>
  <si>
    <t>Jersey Central Power &amp; Light Company</t>
  </si>
  <si>
    <t>101254</t>
  </si>
  <si>
    <t>Kansas City Power &amp; Light Company</t>
  </si>
  <si>
    <t>101274</t>
  </si>
  <si>
    <t>Kansas Gas and Electric Company</t>
  </si>
  <si>
    <t>101278</t>
  </si>
  <si>
    <t>KCP&amp;L Greater Missouri Operations Company</t>
  </si>
  <si>
    <t>106057</t>
  </si>
  <si>
    <t>Kentucky Power Company</t>
  </si>
  <si>
    <t>101294</t>
  </si>
  <si>
    <t>Kentucky Utilities Company</t>
  </si>
  <si>
    <t>101295</t>
  </si>
  <si>
    <t>Louisville Gas and Electric Company</t>
  </si>
  <si>
    <t>101385</t>
  </si>
  <si>
    <t>Madison Gas and Electric Company</t>
  </si>
  <si>
    <t>101416</t>
  </si>
  <si>
    <t>MCN Energy Group, Inc.</t>
  </si>
  <si>
    <t>Metropolitan Edison Company</t>
  </si>
  <si>
    <t>101496</t>
  </si>
  <si>
    <t>Mississippi Power Co.</t>
  </si>
  <si>
    <t>101529</t>
  </si>
  <si>
    <t>Monongahela Power Company</t>
  </si>
  <si>
    <t>101549</t>
  </si>
  <si>
    <t>New Jersey Natural Gas Company</t>
  </si>
  <si>
    <t>101651</t>
  </si>
  <si>
    <t>Gas
My SPiRE, Inc. Quick Comp
My Atmos Energy Corporation Quick Comp
Gas&amp;#32;Operating&amp;#32;Subs
Water&amp;#32;and&amp;#32;Gas</t>
  </si>
  <si>
    <t>New York State Electric &amp; Gas Corporation</t>
  </si>
  <si>
    <t>101660</t>
  </si>
  <si>
    <t>My ALLETE, Inc. Quick Comp
My ALLETE, Inc. Quick Comp
My Atmos Energy Corporation Quick Comp
Gas&amp;#32;Operating&amp;#32;Subs
VL&amp;#32;Gas
Water&amp;#32;and&amp;#32;Gas</t>
  </si>
  <si>
    <t>North Shore Gas Company</t>
  </si>
  <si>
    <t>101688</t>
  </si>
  <si>
    <t>Northern Illinois Gas Company</t>
  </si>
  <si>
    <t>101692</t>
  </si>
  <si>
    <t>Northern Indiana Public Service Company, Inc.</t>
  </si>
  <si>
    <t>101693</t>
  </si>
  <si>
    <t>Gas&amp;#32;Operating&amp;#32;Subs
VL&amp;#32;Elect&amp;#32;Subs&amp;#32;E&amp;#32;to&amp;#32;O</t>
  </si>
  <si>
    <t>Northern States Power Company</t>
  </si>
  <si>
    <t>101698</t>
  </si>
  <si>
    <t>101697</t>
  </si>
  <si>
    <t>Gas
My SPiRE, Inc. Quick Comp
My Atmos Energy Corporation Quick Comp
My Atmos Energy Corporation Quick Comp
Gas&amp;#32;Operating&amp;#32;Subs
My UGI Corporation Quick Comp
VL&amp;#32;Gas
Water&amp;#32;and&amp;#32;Gas
temp</t>
  </si>
  <si>
    <t>My ALLETE, Inc. Quick Comp
My ALLETE, Inc. Quick Comp
VL&amp;#32;Universe
VL&amp;#32;Elec&amp;#32;West
Elec Util West Operating Subs</t>
  </si>
  <si>
    <t>NSTAR Electric Company</t>
  </si>
  <si>
    <t>100291</t>
  </si>
  <si>
    <t>Ohio Edison Company</t>
  </si>
  <si>
    <t>101738</t>
  </si>
  <si>
    <t>Ohio Power Company</t>
  </si>
  <si>
    <t>101741</t>
  </si>
  <si>
    <t>Oklahoma Gas and Electric Company</t>
  </si>
  <si>
    <t>101742</t>
  </si>
  <si>
    <t>Gas
My SPiRE, Inc. Quick Comp
My Atmos Energy Corporation Quick Comp
Gas&amp;#32;Operating&amp;#32;Subs
My UGI Corporation Quick Comp
VL&amp;#32;Gas
Water&amp;#32;and&amp;#32;Gas
temp</t>
  </si>
  <si>
    <t>Orange and Rockland Utilities, Inc.</t>
  </si>
  <si>
    <t>101752</t>
  </si>
  <si>
    <t>Otter Tail Power Company</t>
  </si>
  <si>
    <t>473728</t>
  </si>
  <si>
    <t>Pacific Gas and Electric Company</t>
  </si>
  <si>
    <t>101779</t>
  </si>
  <si>
    <t>VL&amp;#32;Elect&amp;#32;Subs&amp;#32;P&amp;#32;to&amp;#32;Z
Elec Util West Operating Subs</t>
  </si>
  <si>
    <t>PECO Energy Company</t>
  </si>
  <si>
    <t>101866</t>
  </si>
  <si>
    <t>VL&amp;#32;Elect&amp;#32;Subs&amp;#32;P&amp;#32;to&amp;#32;Z
Elec&amp;#32;Util&amp;#32;East&amp;#32;Operating&amp;#32;Subs</t>
  </si>
  <si>
    <t>Pennsylvania Electric Company</t>
  </si>
  <si>
    <t>101834</t>
  </si>
  <si>
    <t>Peoples Energy, LLC</t>
  </si>
  <si>
    <t>105974</t>
  </si>
  <si>
    <t>Gas
My SPiRE, Inc. Quick Comp
My Atmos Energy Corporation Quick Comp
Elec&amp;#32;Util&amp;#32;Central&amp;#32;Operating&amp;#32;Subs</t>
  </si>
  <si>
    <t>Piedmont Natural Gas Co. Inc.</t>
  </si>
  <si>
    <t>101882</t>
  </si>
  <si>
    <t>Gas
My SPiRE, Inc. Quick Comp
My Atmos Energy Corporation Quick Comp
VL&amp;#32;Elect&amp;#32;Subs&amp;#32;P&amp;#32;to&amp;#32;Z
Elec&amp;#32;Util&amp;#32;East&amp;#32;Operating&amp;#32;Subs</t>
  </si>
  <si>
    <t>Potomac Electric Power Company</t>
  </si>
  <si>
    <t>101914</t>
  </si>
  <si>
    <t>Progress Energy Inc.</t>
  </si>
  <si>
    <t>347582</t>
  </si>
  <si>
    <t>Public Service Co. of Colorado</t>
  </si>
  <si>
    <t>101930</t>
  </si>
  <si>
    <t>Public Service Company of New Hampshire</t>
  </si>
  <si>
    <t>101932</t>
  </si>
  <si>
    <t>Public Service Company of New Mexico</t>
  </si>
  <si>
    <t>101933</t>
  </si>
  <si>
    <t>Public Service Company of North Carolina, Incorporated</t>
  </si>
  <si>
    <t>101934</t>
  </si>
  <si>
    <t>Public Service Company of Oklahoma</t>
  </si>
  <si>
    <t>101935</t>
  </si>
  <si>
    <t>Elec&amp;#32;Util&amp;#32;Central&amp;#32;Operating&amp;#32;Subs
VL&amp;#32;Elect&amp;#32;Subs&amp;#32;P&amp;#32;to&amp;#32;Z</t>
  </si>
  <si>
    <t>Public Service Electric and Gas Company</t>
  </si>
  <si>
    <t>101936</t>
  </si>
  <si>
    <t>Questar Gas Company</t>
  </si>
  <si>
    <t>101580</t>
  </si>
  <si>
    <t>Rochester Gas and Electric Corporation</t>
  </si>
  <si>
    <t>102015</t>
  </si>
  <si>
    <t>Elec&amp;#32;Util&amp;#32;East&amp;#32;Operating&amp;#32;Subs</t>
  </si>
  <si>
    <t>San Diego Gas &amp; Electric Company</t>
  </si>
  <si>
    <t>102065</t>
  </si>
  <si>
    <t>South Carolina Electric &amp; Gas Company</t>
  </si>
  <si>
    <t>102152</t>
  </si>
  <si>
    <t>South Jersey Gas Company</t>
  </si>
  <si>
    <t>102156</t>
  </si>
  <si>
    <t>Southern California Edison Company</t>
  </si>
  <si>
    <t>102163</t>
  </si>
  <si>
    <t>Southern California Gas Co.</t>
  </si>
  <si>
    <t>102165</t>
  </si>
  <si>
    <t>Gas
My SPiRE, Inc. Quick Comp
My Atmos Energy Corporation Quick Comp
VL&amp;#32;Elect&amp;#32;Subs&amp;#32;P&amp;#32;to&amp;#32;Z
Elec Util West Operating Subs</t>
  </si>
  <si>
    <t>Southern Company Gas</t>
  </si>
  <si>
    <t>305835</t>
  </si>
  <si>
    <t>My SPiRE, Inc. Quick Comp
My Atmos Energy Corporation Quick Comp
VL&amp;#32;Elect&amp;#32;Subs&amp;#32;P&amp;#32;to&amp;#32;Z
Elec&amp;#32;Util&amp;#32;East&amp;#32;Operating&amp;#32;Subs</t>
  </si>
  <si>
    <t>Southern Indiana Gas &amp; Electric Company, Inc.</t>
  </si>
  <si>
    <t>102170</t>
  </si>
  <si>
    <t>Southern Power Company</t>
  </si>
  <si>
    <t>357135</t>
  </si>
  <si>
    <t>Southwest Gas Corporation</t>
  </si>
  <si>
    <t>102186</t>
  </si>
  <si>
    <t>Gas&amp;#32;Operating&amp;#32;Subs
Water&amp;#32;and&amp;#32;Gas</t>
  </si>
  <si>
    <t>Southwestern Electric Power Company</t>
  </si>
  <si>
    <t>102188</t>
  </si>
  <si>
    <t>Southwestern Public Service Company</t>
  </si>
  <si>
    <t>102191</t>
  </si>
  <si>
    <t>Spire Alabama Inc.</t>
  </si>
  <si>
    <t>100023</t>
  </si>
  <si>
    <t>Gas
My SPiRE, Inc. Quick Comp
My Atmos Energy Corporation Quick Comp
Gas&amp;#32;Operating&amp;#32;Subs</t>
  </si>
  <si>
    <t>Spire Missouri Inc.</t>
  </si>
  <si>
    <t>101332</t>
  </si>
  <si>
    <t>Texas-New Mexico Power Company</t>
  </si>
  <si>
    <t>102315</t>
  </si>
  <si>
    <t>VL&amp;#32;Elect&amp;#32;Subs&amp;#32;P&amp;#32;to&amp;#32;Z
Elec Util West Operating Subs
Elec Util West Operating Subs</t>
  </si>
  <si>
    <t>The Cleveland Electric Illuminating Company</t>
  </si>
  <si>
    <t>100500</t>
  </si>
  <si>
    <t>The Connecticut Light and Power Company</t>
  </si>
  <si>
    <t>100565</t>
  </si>
  <si>
    <t>The Peoples Gas Light and Coke Company</t>
  </si>
  <si>
    <t>101848</t>
  </si>
  <si>
    <t>The Potomac Edison Company</t>
  </si>
  <si>
    <t>101913</t>
  </si>
  <si>
    <t>The Southern Connecticut Gas Company</t>
  </si>
  <si>
    <t>102167</t>
  </si>
  <si>
    <t>The Toledo Edison Company</t>
  </si>
  <si>
    <t>102339</t>
  </si>
  <si>
    <t>Gas&amp;#32;Operating&amp;#32;Subs
My UGI Corporation Quick Comp
VL&amp;#32;Gas
Water&amp;#32;and&amp;#32;Gas</t>
  </si>
  <si>
    <t>Union Electric Company</t>
  </si>
  <si>
    <t>102404</t>
  </si>
  <si>
    <t>United Illuminating Company The</t>
  </si>
  <si>
    <t>102426</t>
  </si>
  <si>
    <t>Virginia Electric and Power Company</t>
  </si>
  <si>
    <t>102500</t>
  </si>
  <si>
    <t>Washington Gas Light Company</t>
  </si>
  <si>
    <t>102524</t>
  </si>
  <si>
    <t>West Penn Power Company</t>
  </si>
  <si>
    <t>102543</t>
  </si>
  <si>
    <t>Western Massachusetts Electric Company</t>
  </si>
  <si>
    <t>102555</t>
  </si>
  <si>
    <t>Wisconsin Electric Power Company</t>
  </si>
  <si>
    <t>102591</t>
  </si>
  <si>
    <t>Wisconsin Gas LLC</t>
  </si>
  <si>
    <t>102592</t>
  </si>
  <si>
    <t>Gas
My SPiRE, Inc. Quick Comp
My Atmos Energy Corporation Quick Comp
Elec&amp;#32;Util&amp;#32;Central&amp;#32;Operating&amp;#32;Subs
VL&amp;#32;Elect&amp;#32;Subs&amp;#32;P&amp;#32;to&amp;#32;Z</t>
  </si>
  <si>
    <t>Wisconsin Power and Light Company</t>
  </si>
  <si>
    <t>102595</t>
  </si>
  <si>
    <t>Wisconsin Public Service Corporation</t>
  </si>
  <si>
    <t>102596</t>
  </si>
  <si>
    <t>VL&amp;#32;Water
Elec&amp;#32;Util&amp;#32;Central&amp;#32;Operating&amp;#32;Subs</t>
  </si>
  <si>
    <t>match</t>
  </si>
  <si>
    <t>Credit
Rating</t>
  </si>
  <si>
    <t>Rating
Value</t>
  </si>
  <si>
    <t>Qrtly. Avg.</t>
  </si>
  <si>
    <t>Count</t>
  </si>
  <si>
    <t>Total</t>
  </si>
  <si>
    <t>NR</t>
  </si>
  <si>
    <t>AEP Texas Inc.</t>
  </si>
  <si>
    <t>CIPSCO, Inc.</t>
  </si>
  <si>
    <t>Elec Util West Operating Subs</t>
  </si>
  <si>
    <t>Pepco Holdings LLC</t>
  </si>
  <si>
    <t>Conectiv, LLC</t>
  </si>
  <si>
    <t>Gas&amp;#32;Operating&amp;#32;Subs</t>
  </si>
  <si>
    <t>Constellation Energy Group, Inc.</t>
  </si>
  <si>
    <t>Utility Holding, LLC</t>
  </si>
  <si>
    <t>CH Energy Group, Inc.</t>
  </si>
  <si>
    <t>Avangrid Networks, Inc</t>
  </si>
  <si>
    <t>CMP Group, Inc.; Avangrid, Inc. (NYSE:AGR)</t>
  </si>
  <si>
    <t>Unicom Corporation</t>
  </si>
  <si>
    <t>CTG Resources, Inc.</t>
  </si>
  <si>
    <t>Avangrid, Inc. (NYSE:AGR); UIL Holdings Corporation; Connecticut Energy Corporation and Connecticut Natural Gas Corporation and The Berkshire Gas Company</t>
  </si>
  <si>
    <t>Florida Progress Corporation</t>
  </si>
  <si>
    <t>Progress Energy Inc.; Duke Energy Corporation (NYSE:DUK)</t>
  </si>
  <si>
    <t>Cinergy Corp.</t>
  </si>
  <si>
    <t>Vectren Utility Holdings, Inc.</t>
  </si>
  <si>
    <t>GPU, Inc.</t>
  </si>
  <si>
    <t>LG&amp;E and KU Energy LLC</t>
  </si>
  <si>
    <t>KU Energy Corp.</t>
  </si>
  <si>
    <t>Allegheny Energy, Inc.</t>
  </si>
  <si>
    <t>Avangrid, Inc. (NYSE:AGR); RGS Energy Group, Inc.</t>
  </si>
  <si>
    <t>Ottawa Acquisition LLC</t>
  </si>
  <si>
    <t>NSTAR LLC</t>
  </si>
  <si>
    <t>Integrys Holding, Inc.</t>
  </si>
  <si>
    <t>New Century Energies</t>
  </si>
  <si>
    <t>Dominion Energy Questar Corporation; Questar Regulated Services Co Inc.; Dominion Energy Gas Holdings, LLC</t>
  </si>
  <si>
    <t>RGS Energy Group, Inc.</t>
  </si>
  <si>
    <t>Enova Corporation</t>
  </si>
  <si>
    <t>Pacific Enterprises Inc.</t>
  </si>
  <si>
    <t>Energen Corporation (NYSE:EGN)</t>
  </si>
  <si>
    <t>UIL Holdings Corporation</t>
  </si>
  <si>
    <t>Connecticut Energy Corporation</t>
  </si>
  <si>
    <t>Dominion Energy Marketing, Inc.</t>
  </si>
  <si>
    <t>WICOR, Inc.</t>
  </si>
  <si>
    <t>Integrys Energy Group, Inc.</t>
  </si>
  <si>
    <t>Parent</t>
  </si>
  <si>
    <t>VL Utility</t>
  </si>
  <si>
    <t>S&amp;P Adjusted Debt Ratio</t>
  </si>
  <si>
    <t>(Operating Subsidiaries of Value Line Gas Utilities)</t>
  </si>
  <si>
    <t xml:space="preserve"> % Distribution of Quarterly Average</t>
  </si>
  <si>
    <t>Distribution of Quarterly Average</t>
  </si>
  <si>
    <t>Line</t>
  </si>
  <si>
    <t>Average</t>
  </si>
  <si>
    <t>Median</t>
  </si>
  <si>
    <t>High</t>
  </si>
  <si>
    <t>Low</t>
  </si>
  <si>
    <t>&lt; 50</t>
  </si>
  <si>
    <t>50 to 55</t>
  </si>
  <si>
    <t>&gt; 55</t>
  </si>
  <si>
    <r>
      <rPr>
        <b/>
        <u/>
        <sz val="11"/>
        <rFont val="UniversalMath1 BT"/>
        <family val="1"/>
        <charset val="2"/>
      </rPr>
      <t>]</t>
    </r>
    <r>
      <rPr>
        <b/>
        <u/>
        <sz val="11"/>
        <rFont val="Arial"/>
        <family val="2"/>
      </rPr>
      <t xml:space="preserve"> 50</t>
    </r>
  </si>
  <si>
    <t>% Distribution of Quarterly Average</t>
  </si>
  <si>
    <t>Source:</t>
  </si>
  <si>
    <t>(Operating Subsidiaries of Value Line Electric Utilities)</t>
  </si>
  <si>
    <t>(Operating Subsidiaries of Value Line Electric and Gas Utilities)</t>
  </si>
  <si>
    <t>/\ Investment Grade Bond Ratings</t>
  </si>
  <si>
    <t>\/ Junk Grade Bond Ratings</t>
  </si>
  <si>
    <t>Paste Values from S&amp;P Capital IQ report</t>
  </si>
  <si>
    <t>counts:</t>
  </si>
  <si>
    <t>2017Q2</t>
  </si>
  <si>
    <t>report start:</t>
  </si>
  <si>
    <t>report end:</t>
  </si>
  <si>
    <t>Quarters in Report:</t>
  </si>
  <si>
    <t>Records:</t>
  </si>
  <si>
    <t>Value Line Electric and Natural Gas Utilities</t>
  </si>
  <si>
    <t>S&amp;P Capital IQ, downloaded September 28, 2017.</t>
  </si>
  <si>
    <t>FFO/Debt (%) - Credit Stats Direct [CQ1 2013]</t>
  </si>
  <si>
    <t>FFO/Debt (%) - Credit Stats Direct [CQ2 2013]</t>
  </si>
  <si>
    <t>FFO/Debt (%) - Credit Stats Direct [CQ3 2013]</t>
  </si>
  <si>
    <t>FFO/Debt (%) - Credit Stats Direct [CQ4 2013]</t>
  </si>
  <si>
    <t>FFO/Debt (%) - Credit Stats Direct [CQ1 2014]</t>
  </si>
  <si>
    <t>FFO/Debt (%) - Credit Stats Direct [CQ2 2014]</t>
  </si>
  <si>
    <t>FFO/Debt (%) - Credit Stats Direct [CQ3 2014]</t>
  </si>
  <si>
    <t>FFO/Debt (%) - Credit Stats Direct [CQ4 2014]</t>
  </si>
  <si>
    <t>FFO/Debt (%) - Credit Stats Direct [CQ1 2015]</t>
  </si>
  <si>
    <t>FFO/Debt (%) - Credit Stats Direct [CQ2 2015]</t>
  </si>
  <si>
    <t>FFO/Debt (%) - Credit Stats Direct [CQ3 2015]</t>
  </si>
  <si>
    <t>FFO/Debt (%) - Credit Stats Direct [CQ4 2015]</t>
  </si>
  <si>
    <t>FFO/Debt (%) - Credit Stats Direct [CQ1 2016]</t>
  </si>
  <si>
    <t>FFO/Debt (%) - Credit Stats Direct [CQ2 2016]</t>
  </si>
  <si>
    <t>FFO/Debt (%) - Credit Stats Direct [CQ3 2016]</t>
  </si>
  <si>
    <t>FFO/Debt (%) - Credit Stats Direct [CQ4 2016]</t>
  </si>
  <si>
    <t>FFO/Debt (%) - Credit Stats Direct [CQ1 2017]</t>
  </si>
  <si>
    <t>FFO/Debt (%) - Credit Stats Direct [CQ2 2017]</t>
  </si>
  <si>
    <t>FFO/Debt (%) - Credit Stats Direct [CQ3 2017]</t>
  </si>
  <si>
    <t>FFO/Debt (%) - Credit Stats Direct [CQ4 2017]</t>
  </si>
  <si>
    <t>Debt/EBITDA (x) - Credit Stats Direct [CQ1 2013]</t>
  </si>
  <si>
    <t>Debt/EBITDA (x) - Credit Stats Direct [CQ2 2013]</t>
  </si>
  <si>
    <t>Debt/EBITDA (x) - Credit Stats Direct [CQ3 2013]</t>
  </si>
  <si>
    <t>Debt/EBITDA (x) - Credit Stats Direct [CQ4 2013]</t>
  </si>
  <si>
    <t>Debt/EBITDA (x) - Credit Stats Direct [CQ1 2014]</t>
  </si>
  <si>
    <t>Debt/EBITDA (x) - Credit Stats Direct [CQ2 2014]</t>
  </si>
  <si>
    <t>Debt/EBITDA (x) - Credit Stats Direct [CQ3 2014]</t>
  </si>
  <si>
    <t>Debt/EBITDA (x) - Credit Stats Direct [CQ4 2014]</t>
  </si>
  <si>
    <t>Debt/EBITDA (x) - Credit Stats Direct [CQ1 2015]</t>
  </si>
  <si>
    <t>Debt/EBITDA (x) - Credit Stats Direct [CQ2 2015]</t>
  </si>
  <si>
    <t>Debt/EBITDA (x) - Credit Stats Direct [CQ3 2015]</t>
  </si>
  <si>
    <t>Debt/EBITDA (x) - Credit Stats Direct [CQ4 2015]</t>
  </si>
  <si>
    <t>Debt/EBITDA (x) - Credit Stats Direct [CQ1 2016]</t>
  </si>
  <si>
    <t>Debt/EBITDA (x) - Credit Stats Direct [CQ2 2016]</t>
  </si>
  <si>
    <t>Debt/EBITDA (x) - Credit Stats Direct [CQ3 2016]</t>
  </si>
  <si>
    <t>Debt/EBITDA (x) - Credit Stats Direct [CQ4 2016]</t>
  </si>
  <si>
    <t>Debt/EBITDA (x) - Credit Stats Direct [CQ1 2017]</t>
  </si>
  <si>
    <t>Debt/EBITDA (x) - Credit Stats Direct [CQ2 2017]</t>
  </si>
  <si>
    <t>Debt/EBITDA (x) - Credit Stats Direct [CQ3 2017]</t>
  </si>
  <si>
    <t>Debt/EBITDA (x) - Credit Stats Direct [CQ4 2017]</t>
  </si>
  <si>
    <t>S&amp;P Capital IQ, downloaded October 17, 2017.</t>
  </si>
  <si>
    <t>S&amp;P Adjusted FFO/Debt Ratio</t>
  </si>
  <si>
    <t>S&amp;P Adjusted Debt/EBITDA Ratio</t>
  </si>
  <si>
    <t>2014Q3</t>
  </si>
  <si>
    <t>Avista Corporation</t>
  </si>
</sst>
</file>

<file path=xl/styles.xml><?xml version="1.0" encoding="utf-8"?>
<styleSheet xmlns="http://schemas.openxmlformats.org/spreadsheetml/2006/main">
  <numFmts count="3">
    <numFmt numFmtId="164" formatCode="#0.00;\-#0.00;&quot;-&quot;"/>
    <numFmt numFmtId="165" formatCode="??0%"/>
    <numFmt numFmtId="166" formatCode="0_);\(0\)"/>
  </numFmts>
  <fonts count="2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/>
      <sz val="11"/>
      <name val="UniversalMath1 BT"/>
      <family val="1"/>
      <charset val="2"/>
    </font>
    <font>
      <sz val="11"/>
      <color rgb="FF0000FF"/>
      <name val="Arial"/>
      <family val="2"/>
    </font>
    <font>
      <b/>
      <u/>
      <sz val="11"/>
      <color rgb="FF0000FF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theme="1"/>
      <name val="Arial"/>
      <family val="2"/>
    </font>
    <font>
      <sz val="8"/>
      <color indexed="8"/>
      <name val="Verdana"/>
      <family val="2"/>
    </font>
    <font>
      <sz val="8"/>
      <color rgb="FFFF0000"/>
      <name val="Arial"/>
      <family val="2"/>
    </font>
    <font>
      <sz val="8"/>
      <color rgb="FF3333FF"/>
      <name val="Arial"/>
      <family val="2"/>
    </font>
    <font>
      <sz val="11"/>
      <color rgb="FF3333FF"/>
      <name val="Arial"/>
      <family val="2"/>
    </font>
    <font>
      <sz val="11"/>
      <color theme="0" tint="-0.3499862666707357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Alignment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9" fontId="8" fillId="0" borderId="0" xfId="1" applyFont="1" applyFill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9" fontId="10" fillId="0" borderId="0" xfId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/>
    <xf numFmtId="0" fontId="12" fillId="0" borderId="0" xfId="0" applyNumberFormat="1" applyFont="1" applyAlignment="1"/>
    <xf numFmtId="0" fontId="13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 applyProtection="1">
      <alignment horizontal="left" wrapText="1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/>
    <xf numFmtId="2" fontId="2" fillId="0" borderId="0" xfId="0" applyNumberFormat="1" applyFont="1" applyAlignment="1">
      <alignment horizontal="center"/>
    </xf>
    <xf numFmtId="0" fontId="15" fillId="0" borderId="0" xfId="0" applyNumberFormat="1" applyFont="1" applyFill="1" applyBorder="1" applyAlignment="1" applyProtection="1">
      <alignment horizontal="left" indent="1"/>
    </xf>
    <xf numFmtId="0" fontId="1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0" fillId="0" borderId="2" xfId="0" applyBorder="1"/>
    <xf numFmtId="0" fontId="17" fillId="0" borderId="2" xfId="0" applyFont="1" applyFill="1" applyBorder="1" applyAlignment="1" applyProtection="1">
      <alignment horizontal="left"/>
    </xf>
    <xf numFmtId="0" fontId="0" fillId="0" borderId="0" xfId="0" applyAlignment="1"/>
    <xf numFmtId="166" fontId="9" fillId="0" borderId="0" xfId="0" applyNumberFormat="1" applyFont="1" applyFill="1" applyAlignment="1">
      <alignment horizontal="center"/>
    </xf>
    <xf numFmtId="9" fontId="0" fillId="0" borderId="0" xfId="1" applyFont="1"/>
    <xf numFmtId="0" fontId="0" fillId="0" borderId="1" xfId="0" applyBorder="1"/>
    <xf numFmtId="0" fontId="20" fillId="0" borderId="0" xfId="0" applyFont="1"/>
    <xf numFmtId="0" fontId="2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18" fillId="0" borderId="0" xfId="0" applyFont="1" applyBorder="1"/>
    <xf numFmtId="0" fontId="2" fillId="0" borderId="0" xfId="0" applyFont="1" applyBorder="1"/>
    <xf numFmtId="14" fontId="0" fillId="0" borderId="0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2" fillId="0" borderId="1" xfId="0" applyFont="1" applyBorder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/>
    </xf>
    <xf numFmtId="0" fontId="19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/>
    </xf>
    <xf numFmtId="2" fontId="3" fillId="0" borderId="0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textRotation="90"/>
    </xf>
    <xf numFmtId="0" fontId="3" fillId="0" borderId="1" xfId="0" applyNumberFormat="1" applyFont="1" applyBorder="1" applyAlignment="1">
      <alignment wrapText="1"/>
    </xf>
    <xf numFmtId="0" fontId="2" fillId="0" borderId="1" xfId="0" applyFont="1" applyBorder="1"/>
    <xf numFmtId="0" fontId="4" fillId="0" borderId="0" xfId="2" applyNumberFormat="1" applyFont="1" applyBorder="1" applyAlignment="1">
      <alignment horizontal="left" vertical="top" wrapText="1"/>
    </xf>
    <xf numFmtId="0" fontId="3" fillId="0" borderId="1" xfId="0" applyFont="1" applyBorder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8" fillId="0" borderId="2" xfId="1" applyFont="1" applyFill="1" applyBorder="1" applyAlignment="1">
      <alignment horizontal="center"/>
    </xf>
    <xf numFmtId="9" fontId="8" fillId="0" borderId="3" xfId="1" applyFont="1" applyFill="1" applyBorder="1" applyAlignment="1">
      <alignment horizontal="center"/>
    </xf>
  </cellXfs>
  <cellStyles count="3">
    <cellStyle name="Normal" xfId="0" builtinId="0"/>
    <cellStyle name="Percent" xfId="1" builtinId="5"/>
    <cellStyle name="TextNormal" xfId="2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tabSelected="1"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">
        <v>660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588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604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DebtRatios!$H$5&amp;" Quarter Average - %"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11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IFERROR(COUNT(IF((DRcr=$C13)*(DRqtrlyavg&lt;&gt;"N/A"),DRqtrlyavg)),"")</f>
        <v>1</v>
      </c>
      <c r="F13" s="24"/>
      <c r="G13" s="25">
        <f t="array" aca="1" ref="G13" ca="1">IF(E13&gt;0,IFERROR(AVERAGE(IF((DRcr=$C13)*(DRqtrlyavg&lt;&gt;"N/A"),DRqtrlyavg)),"-"),"-")</f>
        <v>42.841666666666669</v>
      </c>
      <c r="H13" s="25">
        <f t="array" aca="1" ref="H13" ca="1">IF(E13&gt;0,IFERROR(MEDIAN(IF((DRcr=$C13)*(DRqtrlyavg&lt;&gt;"N/A"),DRqtrlyavg)),"-"),"-")</f>
        <v>42.841666666666669</v>
      </c>
      <c r="I13" s="25">
        <f t="array" aca="1" ref="I13" ca="1">IF(E13&gt;0,IFERROR(MAX(IF((DRcr=$C13)*(DRqtrlyavg&lt;&gt;"N/A"),DRqtrlyavg)),"-"),"-")</f>
        <v>42.841666666666669</v>
      </c>
      <c r="J13" s="25">
        <f t="array" aca="1" ref="J13" ca="1">IF(E13&gt;0,IFERROR(MIN(IF((DRcr=$C13)*(DRqtrlyavg&lt;&gt;"N/A"),DRqtrlyavg)),"-"),"-")</f>
        <v>42.841666666666669</v>
      </c>
      <c r="K13" s="24"/>
      <c r="L13" s="26">
        <f t="shared" ref="L13:N14" ca="1" si="0">IFERROR(T13/$E13,"")</f>
        <v>1</v>
      </c>
      <c r="M13" s="26">
        <f t="shared" ca="1" si="0"/>
        <v>0</v>
      </c>
      <c r="N13" s="26">
        <f t="shared" ca="1" si="0"/>
        <v>0</v>
      </c>
      <c r="O13" s="26">
        <f t="shared" ref="O13:O19" ca="1" si="1">IFERROR((U13+V13)/$E13,"")</f>
        <v>0</v>
      </c>
      <c r="T13" s="24">
        <f t="array" aca="1" ref="T13" ca="1">COUNTIFS(DRcr,$C13,DRqtrlyavg,"&lt;50")</f>
        <v>1</v>
      </c>
      <c r="U13" s="24">
        <f t="array" aca="1" ref="U13" ca="1">COUNTIFS(DRcr,$C13,DRqtrlyavg,"&gt;=50",DRqtrlyavg,"&lt;=55")</f>
        <v>0</v>
      </c>
      <c r="V13" s="24">
        <f t="shared" ref="V13:V20" ca="1" si="2">COUNTIFS(DRcr,$C13,DRqtrlyavg,"&gt;55")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IFERROR(COUNT(IF((DRcr=$C14)*(DRqtrlyavg&lt;&gt;"N/A"),DRqtrlyavg)),"")</f>
        <v>1</v>
      </c>
      <c r="F14" s="24"/>
      <c r="G14" s="25">
        <f t="array" aca="1" ref="G14" ca="1">IF(E14&gt;0,IFERROR(AVERAGE(IF((DRcr=$C14)*(DRqtrlyavg&lt;&gt;"N/A"),DRqtrlyavg)),"-"),"-")</f>
        <v>53.266666666666652</v>
      </c>
      <c r="H14" s="25">
        <f t="array" aca="1" ref="H14" ca="1">IF(E14&gt;0,IFERROR(MEDIAN(IF((DRcr=$C14)*(DRqtrlyavg&lt;&gt;"N/A"),DRqtrlyavg)),"-"),"-")</f>
        <v>53.266666666666652</v>
      </c>
      <c r="I14" s="25">
        <f t="array" aca="1" ref="I14" ca="1">IF(E14&gt;0,IFERROR(MAX(IF((DRcr=$C14)*(DRqtrlyavg&lt;&gt;"N/A"),DRqtrlyavg)),"-"),"-")</f>
        <v>53.266666666666652</v>
      </c>
      <c r="J14" s="25">
        <f t="array" aca="1" ref="J14" ca="1">IF(E14&gt;0,IFERROR(MIN(IF((DRcr=$C14)*(DRqtrlyavg&lt;&gt;"N/A"),DRqtrlyavg)),"-"),"-")</f>
        <v>53.266666666666652</v>
      </c>
      <c r="K14" s="24"/>
      <c r="L14" s="26">
        <f t="shared" ca="1" si="0"/>
        <v>0</v>
      </c>
      <c r="M14" s="26">
        <f t="shared" ca="1" si="0"/>
        <v>1</v>
      </c>
      <c r="N14" s="26">
        <f t="shared" ca="1" si="0"/>
        <v>0</v>
      </c>
      <c r="O14" s="26">
        <f t="shared" ref="O14" ca="1" si="3">IFERROR((U14+V14)/$E14,"")</f>
        <v>1</v>
      </c>
      <c r="T14" s="24">
        <f t="array" aca="1" ref="T14" ca="1">COUNTIFS(DRcr,$C14,DRqtrlyavg,"&lt;50")</f>
        <v>0</v>
      </c>
      <c r="U14" s="24">
        <f t="array" aca="1" ref="U14" ca="1">COUNTIFS(DRcr,$C14,DRqtrlyavg,"&gt;=50",DRqtrlyavg,"&lt;=55")</f>
        <v>1</v>
      </c>
      <c r="V14" s="24">
        <f t="shared" ca="1" si="2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IFERROR(COUNT(IF((DRcr=$C15)*(DRqtrlyavg&lt;&gt;"N/A"),DRqtrlyavg)),"")</f>
        <v>12</v>
      </c>
      <c r="F15" s="24"/>
      <c r="G15" s="25">
        <f t="array" aca="1" ref="G15" ca="1">IF(E15&gt;0,IFERROR(AVERAGE(IF((DRcr=$C15)*(DRqtrlyavg&lt;&gt;"N/A"),DRqtrlyavg)),"-"),"-")</f>
        <v>48.476818181818182</v>
      </c>
      <c r="H15" s="25">
        <f t="array" aca="1" ref="H15" ca="1">IF(E15&gt;0,IFERROR(MEDIAN(IF((DRcr=$C15)*(DRqtrlyavg&lt;&gt;"N/A"),DRqtrlyavg)),"-"),"-")</f>
        <v>48.760000000000005</v>
      </c>
      <c r="I15" s="25">
        <f t="array" aca="1" ref="I15" ca="1">IF(E15&gt;0,IFERROR(MAX(IF((DRcr=$C15)*(DRqtrlyavg&lt;&gt;"N/A"),DRqtrlyavg)),"-"),"-")</f>
        <v>55.616666666666674</v>
      </c>
      <c r="J15" s="25">
        <f t="array" aca="1" ref="J15" ca="1">IF(E15&gt;0,IFERROR(MIN(IF((DRcr=$C15)*(DRqtrlyavg&lt;&gt;"N/A"),DRqtrlyavg)),"-"),"-")</f>
        <v>40.719999999999992</v>
      </c>
      <c r="K15" s="24"/>
      <c r="L15" s="26">
        <f t="shared" ref="L15:N19" ca="1" si="4">IFERROR(T15/$E15,"")</f>
        <v>0.66666666666666663</v>
      </c>
      <c r="M15" s="26">
        <f t="shared" ca="1" si="4"/>
        <v>0.25</v>
      </c>
      <c r="N15" s="26">
        <f t="shared" ca="1" si="4"/>
        <v>8.3333333333333329E-2</v>
      </c>
      <c r="O15" s="26">
        <f t="shared" ca="1" si="1"/>
        <v>0.33333333333333331</v>
      </c>
      <c r="T15" s="24">
        <f t="array" aca="1" ref="T15" ca="1">COUNTIFS(DRcr,$C15,DRqtrlyavg,"&lt;50")</f>
        <v>8</v>
      </c>
      <c r="U15" s="24">
        <f t="array" aca="1" ref="U15" ca="1">COUNTIFS(DRcr,$C15,DRqtrlyavg,"&gt;=50",DRqtrlyavg,"&lt;=55")</f>
        <v>3</v>
      </c>
      <c r="V15" s="24">
        <f t="shared" ca="1" si="2"/>
        <v>1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IFERROR(COUNT(IF((DRcr=$C16)*(DRqtrlyavg&lt;&gt;"N/A"),DRqtrlyavg)),"")</f>
        <v>49</v>
      </c>
      <c r="F16" s="24"/>
      <c r="G16" s="25">
        <f t="array" aca="1" ref="G16" ca="1">IF(E16&gt;0,IFERROR(AVERAGE(IF((DRcr=$C16)*(DRqtrlyavg&lt;&gt;"N/A"),DRqtrlyavg)),"-"),"-")</f>
        <v>50.749845098212447</v>
      </c>
      <c r="H16" s="25">
        <f t="array" aca="1" ref="H16" ca="1">IF(E16&gt;0,IFERROR(MEDIAN(IF((DRcr=$C16)*(DRqtrlyavg&lt;&gt;"N/A"),DRqtrlyavg)),"-"),"-")</f>
        <v>52.17499999999999</v>
      </c>
      <c r="I16" s="25">
        <f t="array" aca="1" ref="I16" ca="1">IF(E16&gt;0,IFERROR(MAX(IF((DRcr=$C16)*(DRqtrlyavg&lt;&gt;"N/A"),DRqtrlyavg)),"-"),"-")</f>
        <v>64.88333333333334</v>
      </c>
      <c r="J16" s="25">
        <f t="array" aca="1" ref="J16" ca="1">IF(E16&gt;0,IFERROR(MIN(IF((DRcr=$C16)*(DRqtrlyavg&lt;&gt;"N/A"),DRqtrlyavg)),"-"),"-")</f>
        <v>29.525000000000002</v>
      </c>
      <c r="K16" s="24"/>
      <c r="L16" s="26">
        <f t="shared" ca="1" si="4"/>
        <v>0.38775510204081631</v>
      </c>
      <c r="M16" s="26">
        <f t="shared" ca="1" si="4"/>
        <v>0.36734693877551022</v>
      </c>
      <c r="N16" s="26">
        <f t="shared" ca="1" si="4"/>
        <v>0.24489795918367346</v>
      </c>
      <c r="O16" s="26">
        <f t="shared" ca="1" si="1"/>
        <v>0.61224489795918369</v>
      </c>
      <c r="T16" s="24">
        <f t="array" aca="1" ref="T16" ca="1">COUNTIFS(DRcr,$C16,DRqtrlyavg,"&lt;50")</f>
        <v>19</v>
      </c>
      <c r="U16" s="24">
        <f t="array" aca="1" ref="U16" ca="1">COUNTIFS(DRcr,$C16,DRqtrlyavg,"&gt;=50",DRqtrlyavg,"&lt;=55")</f>
        <v>18</v>
      </c>
      <c r="V16" s="24">
        <f t="shared" ca="1" si="2"/>
        <v>12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IFERROR(COUNT(IF((DRcr=$C17)*(DRqtrlyavg&lt;&gt;"N/A"),DRqtrlyavg)),"")</f>
        <v>27</v>
      </c>
      <c r="F17" s="24"/>
      <c r="G17" s="25">
        <f t="array" aca="1" ref="G17" ca="1">IF(E17&gt;0,IFERROR(AVERAGE(IF((DRcr=$C17)*(DRqtrlyavg&lt;&gt;"N/A"),DRqtrlyavg)),"-"),"-")</f>
        <v>52.41636924803592</v>
      </c>
      <c r="H17" s="25">
        <f t="array" aca="1" ref="H17" ca="1">IF(E17&gt;0,IFERROR(MEDIAN(IF((DRcr=$C17)*(DRqtrlyavg&lt;&gt;"N/A"),DRqtrlyavg)),"-"),"-")</f>
        <v>52.363636363636367</v>
      </c>
      <c r="I17" s="25">
        <f t="array" aca="1" ref="I17" ca="1">IF(E17&gt;0,IFERROR(MAX(IF((DRcr=$C17)*(DRqtrlyavg&lt;&gt;"N/A"),DRqtrlyavg)),"-"),"-")</f>
        <v>64.8</v>
      </c>
      <c r="J17" s="25">
        <f t="array" aca="1" ref="J17" ca="1">IF(E17&gt;0,IFERROR(MIN(IF((DRcr=$C17)*(DRqtrlyavg&lt;&gt;"N/A"),DRqtrlyavg)),"-"),"-")</f>
        <v>39.619999999999997</v>
      </c>
      <c r="K17" s="24"/>
      <c r="L17" s="26">
        <f t="shared" ca="1" si="4"/>
        <v>0.22222222222222221</v>
      </c>
      <c r="M17" s="26">
        <f t="shared" ca="1" si="4"/>
        <v>0.48148148148148145</v>
      </c>
      <c r="N17" s="26">
        <f t="shared" ca="1" si="4"/>
        <v>0.29629629629629628</v>
      </c>
      <c r="O17" s="26">
        <f t="shared" ca="1" si="1"/>
        <v>0.77777777777777779</v>
      </c>
      <c r="T17" s="24">
        <f t="array" aca="1" ref="T17" ca="1">COUNTIFS(DRcr,$C17,DRqtrlyavg,"&lt;50")</f>
        <v>6</v>
      </c>
      <c r="U17" s="24">
        <f t="array" aca="1" ref="U17" ca="1">COUNTIFS(DRcr,$C17,DRqtrlyavg,"&gt;=50",DRqtrlyavg,"&lt;=55")</f>
        <v>13</v>
      </c>
      <c r="V17" s="24">
        <f t="shared" ca="1" si="2"/>
        <v>8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IFERROR(COUNT(IF((DRcr=$C18)*(DRqtrlyavg&lt;&gt;"N/A"),DRqtrlyavg)),"")</f>
        <v>8</v>
      </c>
      <c r="F18" s="24"/>
      <c r="G18" s="25">
        <f t="array" aca="1" ref="G18" ca="1">IF(E18&gt;0,IFERROR(AVERAGE(IF((DRcr=$C18)*(DRqtrlyavg&lt;&gt;"N/A"),DRqtrlyavg)),"-"),"-")</f>
        <v>53.146874999999994</v>
      </c>
      <c r="H18" s="25">
        <f t="array" aca="1" ref="H18" ca="1">IF(E18&gt;0,IFERROR(MEDIAN(IF((DRcr=$C18)*(DRqtrlyavg&lt;&gt;"N/A"),DRqtrlyavg)),"-"),"-")</f>
        <v>53.741666666666667</v>
      </c>
      <c r="I18" s="25">
        <f t="array" aca="1" ref="I18" ca="1">IF(E18&gt;0,IFERROR(MAX(IF((DRcr=$C18)*(DRqtrlyavg&lt;&gt;"N/A"),DRqtrlyavg)),"-"),"-")</f>
        <v>57.67499999999999</v>
      </c>
      <c r="J18" s="25">
        <f t="array" aca="1" ref="J18" ca="1">IF(E18&gt;0,IFERROR(MIN(IF((DRcr=$C18)*(DRqtrlyavg&lt;&gt;"N/A"),DRqtrlyavg)),"-"),"-")</f>
        <v>47.483333333333341</v>
      </c>
      <c r="K18" s="24"/>
      <c r="L18" s="26">
        <f t="shared" ca="1" si="4"/>
        <v>0.25</v>
      </c>
      <c r="M18" s="26">
        <f t="shared" ca="1" si="4"/>
        <v>0.375</v>
      </c>
      <c r="N18" s="26">
        <f t="shared" ca="1" si="4"/>
        <v>0.375</v>
      </c>
      <c r="O18" s="26">
        <f t="shared" ca="1" si="1"/>
        <v>0.75</v>
      </c>
      <c r="T18" s="24">
        <f t="array" aca="1" ref="T18" ca="1">COUNTIFS(DRcr,$C18,DRqtrlyavg,"&lt;50")</f>
        <v>2</v>
      </c>
      <c r="U18" s="24">
        <f t="array" aca="1" ref="U18" ca="1">COUNTIFS(DRcr,$C18,DRqtrlyavg,"&gt;=50",DRqtrlyavg,"&lt;=55")</f>
        <v>3</v>
      </c>
      <c r="V18" s="24">
        <f t="shared" ca="1" si="2"/>
        <v>3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IFERROR(COUNT(IF((DRcr=$C19)*(DRqtrlyavg&lt;&gt;"N/A"),DRqtrlyavg)),"")</f>
        <v>10</v>
      </c>
      <c r="F19" s="24"/>
      <c r="G19" s="25">
        <f t="array" aca="1" ref="G19" ca="1">IF(E19&gt;0,IFERROR(AVERAGE(IF((DRcr=$C19)*(DRqtrlyavg&lt;&gt;"N/A"),DRqtrlyavg)),"-"),"-")</f>
        <v>53.461590909090908</v>
      </c>
      <c r="H19" s="25">
        <f t="array" aca="1" ref="H19" ca="1">IF(E19&gt;0,IFERROR(MEDIAN(IF((DRcr=$C19)*(DRqtrlyavg&lt;&gt;"N/A"),DRqtrlyavg)),"-"),"-")</f>
        <v>53.05</v>
      </c>
      <c r="I19" s="25">
        <f t="array" aca="1" ref="I19" ca="1">IF(E19&gt;0,IFERROR(MAX(IF((DRcr=$C19)*(DRqtrlyavg&lt;&gt;"N/A"),DRqtrlyavg)),"-"),"-")</f>
        <v>57.166666666666657</v>
      </c>
      <c r="J19" s="25">
        <f t="array" aca="1" ref="J19" ca="1">IF(E19&gt;0,IFERROR(MIN(IF((DRcr=$C19)*(DRqtrlyavg&lt;&gt;"N/A"),DRqtrlyavg)),"-"),"-")</f>
        <v>48.875</v>
      </c>
      <c r="K19" s="24"/>
      <c r="L19" s="26">
        <f t="shared" ca="1" si="4"/>
        <v>0.1</v>
      </c>
      <c r="M19" s="26">
        <f t="shared" ca="1" si="4"/>
        <v>0.6</v>
      </c>
      <c r="N19" s="26">
        <f t="shared" ca="1" si="4"/>
        <v>0.3</v>
      </c>
      <c r="O19" s="26">
        <f t="shared" ca="1" si="1"/>
        <v>0.9</v>
      </c>
      <c r="T19" s="24">
        <f t="array" aca="1" ref="T19" ca="1">COUNTIFS(DRcr,$C19,DRqtrlyavg,"&lt;50")</f>
        <v>1</v>
      </c>
      <c r="U19" s="24">
        <f t="array" aca="1" ref="U19" ca="1">COUNTIFS(DRcr,$C19,DRqtrlyavg,"&gt;=50",DRqtrlyavg,"&lt;=55")</f>
        <v>6</v>
      </c>
      <c r="V19" s="24">
        <f t="shared" ca="1" si="2"/>
        <v>3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IFERROR(COUNT(IF((DRcr=$C20)*(DRqtrlyavg&lt;&gt;"N/A"),DRqtrlyavg)),"")</f>
        <v>0</v>
      </c>
      <c r="F20" s="24"/>
      <c r="G20" s="25" t="str">
        <f t="array" aca="1" ref="G20" ca="1">IF(E20&gt;0,IFERROR(AVERAGE(IF((DRcr=$C20)*(DRqtrlyavg&lt;&gt;"N/A"),DRqtrlyavg)),"-"),"-")</f>
        <v>-</v>
      </c>
      <c r="H20" s="25" t="str">
        <f t="array" aca="1" ref="H20" ca="1">IF(E20&gt;0,IFERROR(MEDIAN(IF((DRcr=$C20)*(DRqtrlyavg&lt;&gt;"N/A"),DRqtrlyavg)),"-"),"-")</f>
        <v>-</v>
      </c>
      <c r="I20" s="25" t="str">
        <f t="array" aca="1" ref="I20" ca="1">IF(E20&gt;0,IFERROR(MAX(IF((DRcr=$C20)*(DRqtrlyavg&lt;&gt;"N/A"),DRqtrlyavg)),"-"),"-")</f>
        <v>-</v>
      </c>
      <c r="J20" s="25" t="str">
        <f t="array" aca="1" ref="J20" ca="1">IF(E20&gt;0,IFERROR(MIN(IF((DRcr=$C20)*(DRqtrlyavg&lt;&gt;"N/A"),DRqtrlyavg)),"-"),"-")</f>
        <v>-</v>
      </c>
      <c r="K20" s="24"/>
      <c r="P20" s="39"/>
      <c r="Q20" s="39"/>
      <c r="R20" s="39"/>
      <c r="T20" s="24">
        <f t="array" aca="1" ref="T20" ca="1">COUNTIFS(DRcr,$C20,DRqtrlyavg,"&lt;50")</f>
        <v>0</v>
      </c>
      <c r="U20" s="24">
        <f t="array" aca="1" ref="U20" ca="1">COUNTIFS(DRcr,$C20,DRqtrlyavg,"&gt;=50",DRqtrlyavg,"&lt;=55")</f>
        <v>0</v>
      </c>
      <c r="V20" s="24">
        <f t="shared" ca="1" si="2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">
        <f ca="1">SUM(E13:E20)</f>
        <v>108</v>
      </c>
      <c r="F23" s="6"/>
      <c r="K23" s="4"/>
      <c r="T23" s="4">
        <f ca="1">SUM(T13:T20)</f>
        <v>37</v>
      </c>
      <c r="U23" s="4">
        <f ca="1">SUM(U13:U20)</f>
        <v>44</v>
      </c>
      <c r="V23" s="4">
        <f ca="1">SUM(V13:V20)</f>
        <v>27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50.622833110070111</v>
      </c>
      <c r="H24" s="30">
        <f ca="1">AVERAGE(H$13:H$20)</f>
        <v>50.885519480519477</v>
      </c>
      <c r="I24" s="30">
        <f ca="1">AVERAGE(I$13:I$20)</f>
        <v>56.607142857142854</v>
      </c>
      <c r="J24" s="30">
        <f ca="1">AVERAGE(J$13:J$20)</f>
        <v>43.190238095238101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"Quarter Results -  "&amp;DebtRatios!$G$1&amp;" through "&amp;DebtRatios!$G$2&amp;" - %"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11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IFERROR(COUNT(IF((DRcr=$C33)*(DRqtrlyvalues&lt;&gt;"-"),DRqtrlyvalues)),"")</f>
        <v>12</v>
      </c>
      <c r="F33" s="24"/>
      <c r="G33" s="25">
        <f t="array" aca="1" ref="G33" ca="1">IF(E33&gt;0,IFERROR(AVERAGE(IF((DRcr=$C33)*(DRqtrlyvalues&lt;&gt;"-"),DRqtrlyvalues)),"-"),"-")</f>
        <v>42.841666666666669</v>
      </c>
      <c r="H33" s="25">
        <f t="array" aca="1" ref="H33" ca="1">IF(E33&gt;0,IFERROR(MEDIAN(IF((DRcr=$C33)*(DRqtrlyvalues&lt;&gt;"-"),DRqtrlyvalues)),"-"),"-")</f>
        <v>42.9</v>
      </c>
      <c r="I33" s="25">
        <f t="array" aca="1" ref="I33" ca="1">IF(E33&gt;0,IFERROR(MAX(IF((DRcr=$C33)*(DRqtrlyvalues&lt;&gt;"-"),DRqtrlyvalues)),"-"),"-")</f>
        <v>45</v>
      </c>
      <c r="J33" s="25">
        <f t="array" aca="1" ref="J33" ca="1">IF(E33&gt;0,IFERROR(MIN(IF((DRcr=$C33)*(DRqtrlyvalues&lt;&gt;"-"),DRqtrlyvalues)),"-"),"-")</f>
        <v>40.799999999999997</v>
      </c>
      <c r="K33" s="24"/>
      <c r="L33" s="26">
        <f t="shared" ref="L33:N34" ca="1" si="5">IFERROR(T33/$E33,"")</f>
        <v>1</v>
      </c>
      <c r="M33" s="26">
        <f t="shared" ca="1" si="5"/>
        <v>0</v>
      </c>
      <c r="N33" s="26">
        <f t="shared" ca="1" si="5"/>
        <v>0</v>
      </c>
      <c r="O33" s="26">
        <f ca="1">IFERROR((U33+V33)/$E33,"")</f>
        <v>0</v>
      </c>
      <c r="T33" s="24">
        <f t="array" aca="1" ref="T33" ca="1">IFERROR(COUNT(IF((DRcr=$C33)*(DRqtrlyvalues&lt;50),DRqtrlyvalues)),"")</f>
        <v>12</v>
      </c>
      <c r="U33" s="24">
        <f t="shared" ref="U33:U40" ca="1" si="6">E33-T33-V33</f>
        <v>0</v>
      </c>
      <c r="V33" s="24">
        <f t="array" aca="1" ref="V33" ca="1">IFERROR(COUNT(IF((DRcr=$C33)*(DRqtrlyvalues&gt;55),DRqtrlyvalues)),"")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IFERROR(COUNT(IF((DRcr=$C34)*(DRqtrlyvalues&lt;&gt;"-"),DRqtrlyvalues)),"")</f>
        <v>12</v>
      </c>
      <c r="F34" s="24"/>
      <c r="G34" s="25">
        <f t="array" aca="1" ref="G34" ca="1">IF(E34&gt;0,IFERROR(AVERAGE(IF((DRcr=$C34)*(DRqtrlyvalues&lt;&gt;"-"),DRqtrlyvalues)),"-"),"-")</f>
        <v>53.266666666666652</v>
      </c>
      <c r="H34" s="25">
        <f t="array" aca="1" ref="H34" ca="1">IF(E34&gt;0,IFERROR(MEDIAN(IF((DRcr=$C34)*(DRqtrlyvalues&lt;&gt;"-"),DRqtrlyvalues)),"-"),"-")</f>
        <v>53.9</v>
      </c>
      <c r="I34" s="25">
        <f t="array" aca="1" ref="I34" ca="1">IF(E34&gt;0,IFERROR(MAX(IF((DRcr=$C34)*(DRqtrlyvalues&lt;&gt;"-"),DRqtrlyvalues)),"-"),"-")</f>
        <v>56.7</v>
      </c>
      <c r="J34" s="25">
        <f t="array" aca="1" ref="J34" ca="1">IF(E34&gt;0,IFERROR(MIN(IF((DRcr=$C34)*(DRqtrlyvalues&lt;&gt;"-"),DRqtrlyvalues)),"-"),"-")</f>
        <v>48.9</v>
      </c>
      <c r="K34" s="24"/>
      <c r="L34" s="26">
        <f t="shared" ca="1" si="5"/>
        <v>0.16666666666666666</v>
      </c>
      <c r="M34" s="26">
        <f t="shared" ca="1" si="5"/>
        <v>0.41666666666666669</v>
      </c>
      <c r="N34" s="26">
        <f t="shared" ca="1" si="5"/>
        <v>0.41666666666666669</v>
      </c>
      <c r="O34" s="26">
        <f ca="1">IFERROR((U34+V34)/$E34,"")</f>
        <v>0.83333333333333337</v>
      </c>
      <c r="T34" s="24">
        <f t="array" aca="1" ref="T34" ca="1">IFERROR(COUNT(IF((DRcr=$C34)*(DRqtrlyvalues&lt;50),DRqtrlyvalues)),"")</f>
        <v>2</v>
      </c>
      <c r="U34" s="24">
        <f t="shared" ref="U34" ca="1" si="7">E34-T34-V34</f>
        <v>5</v>
      </c>
      <c r="V34" s="24">
        <f t="array" aca="1" ref="V34" ca="1">IFERROR(COUNT(IF((DRcr=$C34)*(DRqtrlyvalues&gt;55),DRqtrlyvalues)),"")</f>
        <v>5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IFERROR(COUNT(IF((DRcr=$C35)*(DRqtrlyvalues&lt;&gt;"-"),DRqtrlyvalues)),"")</f>
        <v>134</v>
      </c>
      <c r="F35" s="24"/>
      <c r="G35" s="25">
        <f t="array" aca="1" ref="G35" ca="1">IF(E35&gt;0,IFERROR(AVERAGE(IF((DRcr=$C35)*(DRqtrlyvalues&lt;&gt;"-"),DRqtrlyvalues)),"-"),"-")</f>
        <v>48.889552238805976</v>
      </c>
      <c r="H35" s="25">
        <f t="array" aca="1" ref="H35" ca="1">IF(E35&gt;0,IFERROR(MEDIAN(IF((DRcr=$C35)*(DRqtrlyvalues&lt;&gt;"-"),DRqtrlyvalues)),"-"),"-")</f>
        <v>48.650000000000006</v>
      </c>
      <c r="I35" s="25">
        <f t="array" aca="1" ref="I35" ca="1">IF(E35&gt;0,IFERROR(MAX(IF((DRcr=$C35)*(DRqtrlyvalues&lt;&gt;"-"),DRqtrlyvalues)),"-"),"-")</f>
        <v>58.6</v>
      </c>
      <c r="J35" s="25">
        <f t="array" aca="1" ref="J35" ca="1">IF(E35&gt;0,IFERROR(MIN(IF((DRcr=$C35)*(DRqtrlyvalues&lt;&gt;"-"),DRqtrlyvalues)),"-"),"-")</f>
        <v>39</v>
      </c>
      <c r="K35" s="24"/>
      <c r="L35" s="26">
        <f t="shared" ref="L35:N40" ca="1" si="8">IFERROR(T35/$E35,"")</f>
        <v>0.60447761194029848</v>
      </c>
      <c r="M35" s="26">
        <f t="shared" ca="1" si="8"/>
        <v>0.31343283582089554</v>
      </c>
      <c r="N35" s="26">
        <f t="shared" ca="1" si="8"/>
        <v>8.2089552238805971E-2</v>
      </c>
      <c r="O35" s="26">
        <f t="shared" ref="O35:O40" ca="1" si="9">IFERROR((U35+V35)/$E35,"")</f>
        <v>0.39552238805970147</v>
      </c>
      <c r="T35" s="24">
        <f t="array" aca="1" ref="T35" ca="1">IFERROR(COUNT(IF((DRcr=$C35)*(DRqtrlyvalues&lt;50),DRqtrlyvalues)),"")</f>
        <v>81</v>
      </c>
      <c r="U35" s="24">
        <f t="shared" ca="1" si="6"/>
        <v>42</v>
      </c>
      <c r="V35" s="24">
        <f t="array" aca="1" ref="V35" ca="1">IFERROR(COUNT(IF((DRcr=$C35)*(DRqtrlyvalues&gt;55),DRqtrlyvalues)),"")</f>
        <v>11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IFERROR(COUNT(IF((DRcr=$C36)*(DRqtrlyvalues&lt;&gt;"-"),DRqtrlyvalues)),"")</f>
        <v>559</v>
      </c>
      <c r="F36" s="24"/>
      <c r="G36" s="25">
        <f t="array" aca="1" ref="G36" ca="1">IF(E36&gt;0,IFERROR(AVERAGE(IF((DRcr=$C36)*(DRqtrlyvalues&lt;&gt;"-"),DRqtrlyvalues)),"-"),"-")</f>
        <v>50.765474060822903</v>
      </c>
      <c r="H36" s="25">
        <f t="array" aca="1" ref="H36" ca="1">IF(E36&gt;0,IFERROR(MEDIAN(IF((DRcr=$C36)*(DRqtrlyvalues&lt;&gt;"-"),DRqtrlyvalues)),"-"),"-")</f>
        <v>52.3</v>
      </c>
      <c r="I36" s="25">
        <f t="array" aca="1" ref="I36" ca="1">IF(E36&gt;0,IFERROR(MAX(IF((DRcr=$C36)*(DRqtrlyvalues&lt;&gt;"-"),DRqtrlyvalues)),"-"),"-")</f>
        <v>68</v>
      </c>
      <c r="J36" s="25">
        <f t="array" aca="1" ref="J36" ca="1">IF(E36&gt;0,IFERROR(MIN(IF((DRcr=$C36)*(DRqtrlyvalues&lt;&gt;"-"),DRqtrlyvalues)),"-"),"-")</f>
        <v>21.5</v>
      </c>
      <c r="K36" s="24"/>
      <c r="L36" s="26">
        <f t="shared" ca="1" si="8"/>
        <v>0.38640429338103754</v>
      </c>
      <c r="M36" s="26">
        <f t="shared" ca="1" si="8"/>
        <v>0.34168157423971379</v>
      </c>
      <c r="N36" s="26">
        <f t="shared" ca="1" si="8"/>
        <v>0.27191413237924866</v>
      </c>
      <c r="O36" s="26">
        <f t="shared" ca="1" si="9"/>
        <v>0.61359570661896246</v>
      </c>
      <c r="T36" s="24">
        <f t="array" aca="1" ref="T36" ca="1">IFERROR(COUNT(IF((DRcr=$C36)*(DRqtrlyvalues&lt;50),DRqtrlyvalues)),"")</f>
        <v>216</v>
      </c>
      <c r="U36" s="24">
        <f t="shared" ca="1" si="6"/>
        <v>191</v>
      </c>
      <c r="V36" s="24">
        <f t="array" aca="1" ref="V36" ca="1">IFERROR(COUNT(IF((DRcr=$C36)*(DRqtrlyvalues&gt;55),DRqtrlyvalues)),"")</f>
        <v>152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IFERROR(COUNT(IF((DRcr=$C37)*(DRqtrlyvalues&lt;&gt;"-"),DRqtrlyvalues)),"")</f>
        <v>311</v>
      </c>
      <c r="F37" s="24"/>
      <c r="G37" s="25">
        <f t="array" aca="1" ref="G37" ca="1">IF(E37&gt;0,IFERROR(AVERAGE(IF((DRcr=$C37)*(DRqtrlyvalues&lt;&gt;"-"),DRqtrlyvalues)),"-"),"-")</f>
        <v>52.531511254019314</v>
      </c>
      <c r="H37" s="25">
        <f t="array" aca="1" ref="H37" ca="1">IF(E37&gt;0,IFERROR(MEDIAN(IF((DRcr=$C37)*(DRqtrlyvalues&lt;&gt;"-"),DRqtrlyvalues)),"-"),"-")</f>
        <v>52.5</v>
      </c>
      <c r="I37" s="25">
        <f t="array" aca="1" ref="I37" ca="1">IF(E37&gt;0,IFERROR(MAX(IF((DRcr=$C37)*(DRqtrlyvalues&lt;&gt;"-"),DRqtrlyvalues)),"-"),"-")</f>
        <v>68.5</v>
      </c>
      <c r="J37" s="25">
        <f t="array" aca="1" ref="J37" ca="1">IF(E37&gt;0,IFERROR(MIN(IF((DRcr=$C37)*(DRqtrlyvalues&lt;&gt;"-"),DRqtrlyvalues)),"-"),"-")</f>
        <v>35.6</v>
      </c>
      <c r="K37" s="24"/>
      <c r="L37" s="26">
        <f t="shared" ca="1" si="8"/>
        <v>0.26366559485530544</v>
      </c>
      <c r="M37" s="26">
        <f t="shared" ca="1" si="8"/>
        <v>0.44694533762057875</v>
      </c>
      <c r="N37" s="26">
        <f t="shared" ca="1" si="8"/>
        <v>0.28938906752411575</v>
      </c>
      <c r="O37" s="26">
        <f t="shared" ca="1" si="9"/>
        <v>0.7363344051446945</v>
      </c>
      <c r="T37" s="24">
        <f t="array" aca="1" ref="T37" ca="1">IFERROR(COUNT(IF((DRcr=$C37)*(DRqtrlyvalues&lt;50),DRqtrlyvalues)),"")</f>
        <v>82</v>
      </c>
      <c r="U37" s="24">
        <f t="shared" ca="1" si="6"/>
        <v>139</v>
      </c>
      <c r="V37" s="24">
        <f t="array" aca="1" ref="V37" ca="1">IFERROR(COUNT(IF((DRcr=$C37)*(DRqtrlyvalues&gt;55),DRqtrlyvalues)),"")</f>
        <v>90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IFERROR(COUNT(IF((DRcr=$C38)*(DRqtrlyvalues&lt;&gt;"-"),DRqtrlyvalues)),"")</f>
        <v>96</v>
      </c>
      <c r="F38" s="24"/>
      <c r="G38" s="25">
        <f t="array" aca="1" ref="G38" ca="1">IF(E38&gt;0,IFERROR(AVERAGE(IF((DRcr=$C38)*(DRqtrlyvalues&lt;&gt;"-"),DRqtrlyvalues)),"-"),"-")</f>
        <v>53.146875000000016</v>
      </c>
      <c r="H38" s="25">
        <f t="array" aca="1" ref="H38" ca="1">IF(E38&gt;0,IFERROR(MEDIAN(IF((DRcr=$C38)*(DRqtrlyvalues&lt;&gt;"-"),DRqtrlyvalues)),"-"),"-")</f>
        <v>53.849999999999994</v>
      </c>
      <c r="I38" s="25">
        <f t="array" aca="1" ref="I38" ca="1">IF(E38&gt;0,IFERROR(MAX(IF((DRcr=$C38)*(DRqtrlyvalues&lt;&gt;"-"),DRqtrlyvalues)),"-"),"-")</f>
        <v>60</v>
      </c>
      <c r="J38" s="25">
        <f t="array" aca="1" ref="J38" ca="1">IF(E38&gt;0,IFERROR(MIN(IF((DRcr=$C38)*(DRqtrlyvalues&lt;&gt;"-"),DRqtrlyvalues)),"-"),"-")</f>
        <v>44.6</v>
      </c>
      <c r="K38" s="24"/>
      <c r="L38" s="26">
        <f t="shared" ca="1" si="8"/>
        <v>0.25</v>
      </c>
      <c r="M38" s="26">
        <f t="shared" ca="1" si="8"/>
        <v>0.38541666666666669</v>
      </c>
      <c r="N38" s="26">
        <f t="shared" ca="1" si="8"/>
        <v>0.36458333333333331</v>
      </c>
      <c r="O38" s="26">
        <f t="shared" ca="1" si="9"/>
        <v>0.75</v>
      </c>
      <c r="T38" s="24">
        <f t="array" aca="1" ref="T38" ca="1">IFERROR(COUNT(IF((DRcr=$C38)*(DRqtrlyvalues&lt;50),DRqtrlyvalues)),"")</f>
        <v>24</v>
      </c>
      <c r="U38" s="24">
        <f t="shared" ca="1" si="6"/>
        <v>37</v>
      </c>
      <c r="V38" s="24">
        <f t="array" aca="1" ref="V38" ca="1">IFERROR(COUNT(IF((DRcr=$C38)*(DRqtrlyvalues&gt;55),DRqtrlyvalues)),"")</f>
        <v>35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IFERROR(COUNT(IF((DRcr=$C39)*(DRqtrlyvalues&lt;&gt;"-"),DRqtrlyvalues)),"")</f>
        <v>118</v>
      </c>
      <c r="F39" s="24"/>
      <c r="G39" s="25">
        <f t="array" aca="1" ref="G39" ca="1">IF(E39&gt;0,IFERROR(AVERAGE(IF((DRcr=$C39)*(DRqtrlyvalues&lt;&gt;"-"),DRqtrlyvalues)),"-"),"-")</f>
        <v>53.424576271186453</v>
      </c>
      <c r="H39" s="25">
        <f t="array" aca="1" ref="H39" ca="1">IF(E39&gt;0,IFERROR(MEDIAN(IF((DRcr=$C39)*(DRqtrlyvalues&lt;&gt;"-"),DRqtrlyvalues)),"-"),"-")</f>
        <v>53.150000000000006</v>
      </c>
      <c r="I39" s="25">
        <f t="array" aca="1" ref="I39" ca="1">IF(E39&gt;0,IFERROR(MAX(IF((DRcr=$C39)*(DRqtrlyvalues&lt;&gt;"-"),DRqtrlyvalues)),"-"),"-")</f>
        <v>67</v>
      </c>
      <c r="J39" s="25">
        <f t="array" aca="1" ref="J39" ca="1">IF(E39&gt;0,IFERROR(MIN(IF((DRcr=$C39)*(DRqtrlyvalues&lt;&gt;"-"),DRqtrlyvalues)),"-"),"-")</f>
        <v>40.700000000000003</v>
      </c>
      <c r="K39" s="24"/>
      <c r="L39" s="26">
        <f t="shared" ca="1" si="8"/>
        <v>0.17796610169491525</v>
      </c>
      <c r="M39" s="26">
        <f t="shared" ca="1" si="8"/>
        <v>0.47457627118644069</v>
      </c>
      <c r="N39" s="26">
        <f t="shared" ca="1" si="8"/>
        <v>0.34745762711864409</v>
      </c>
      <c r="O39" s="26">
        <f t="shared" ca="1" si="9"/>
        <v>0.82203389830508478</v>
      </c>
      <c r="T39" s="24">
        <f t="array" aca="1" ref="T39" ca="1">IFERROR(COUNT(IF((DRcr=$C39)*(DRqtrlyvalues&lt;50),DRqtrlyvalues)),"")</f>
        <v>21</v>
      </c>
      <c r="U39" s="24">
        <f t="shared" ca="1" si="6"/>
        <v>56</v>
      </c>
      <c r="V39" s="24">
        <f t="array" aca="1" ref="V39" ca="1">IFERROR(COUNT(IF((DRcr=$C39)*(DRqtrlyvalues&gt;55),DRqtrlyvalues)),"")</f>
        <v>41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IFERROR(COUNT(IF((DRcr=$C40)*(DRqtrlyvalues&lt;&gt;"-"),DRqtrlyvalues)),"")</f>
        <v>0</v>
      </c>
      <c r="F40" s="24"/>
      <c r="G40" s="25" t="str">
        <f t="array" aca="1" ref="G40" ca="1">IF(E40&gt;0,IFERROR(AVERAGE(IF((DRcr=$C40)*(DRqtrlyvalues&lt;&gt;"-"),DRqtrlyvalues)),"-"),"-")</f>
        <v>-</v>
      </c>
      <c r="H40" s="25" t="str">
        <f t="array" aca="1" ref="H40" ca="1">IF(E40&gt;0,IFERROR(MEDIAN(IF((DRcr=$C40)*(DRqtrlyvalues&lt;&gt;"-"),DRqtrlyvalues)),"-"),"-")</f>
        <v>-</v>
      </c>
      <c r="I40" s="25" t="str">
        <f t="array" aca="1" ref="I40" ca="1">IF(E40&gt;0,IFERROR(MAX(IF((DRcr=$C40)*(DRqtrlyvalues&lt;&gt;"-"),DRqtrlyvalues)),"-"),"-")</f>
        <v>-</v>
      </c>
      <c r="J40" s="25" t="str">
        <f t="array" aca="1" ref="J40" ca="1">IF(E40&gt;0,IFERROR(MIN(IF((DRcr=$C40)*(DRqtrlyvalues&lt;&gt;"-"),DRqtrlyvalues)),"-"),"-")</f>
        <v>-</v>
      </c>
      <c r="K40" s="24"/>
      <c r="L40" s="26" t="str">
        <f t="shared" ca="1" si="8"/>
        <v/>
      </c>
      <c r="M40" s="26" t="str">
        <f t="shared" ca="1" si="8"/>
        <v/>
      </c>
      <c r="N40" s="26" t="str">
        <f t="shared" ca="1" si="8"/>
        <v/>
      </c>
      <c r="O40" s="26" t="str">
        <f t="shared" ca="1" si="9"/>
        <v/>
      </c>
      <c r="T40" s="24">
        <f t="array" aca="1" ref="T40" ca="1">IFERROR(COUNT(IF((DRcr=$C40)*(DRqtrlyvalues&lt;50),DRqtrlyvalues)),"")</f>
        <v>0</v>
      </c>
      <c r="U40" s="24">
        <f t="shared" ca="1" si="6"/>
        <v>0</v>
      </c>
      <c r="V40" s="24">
        <f t="array" aca="1" ref="V40" ca="1">IFERROR(COUNT(IF((DRcr=$C40)*(DRqtrlyvalues&gt;55),DRqtrlyvalues)),"")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1242</v>
      </c>
      <c r="F43" s="6"/>
      <c r="K43" s="4"/>
      <c r="T43" s="4">
        <f ca="1">SUM(T33:T40)</f>
        <v>438</v>
      </c>
      <c r="U43" s="4">
        <f ca="1">SUM(U33:U40)</f>
        <v>470</v>
      </c>
      <c r="V43" s="4">
        <f ca="1">SUM(V33:V40)</f>
        <v>334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50.695188879738275</v>
      </c>
      <c r="H44" s="33">
        <f ca="1">AVERAGE(H$33:H$40)</f>
        <v>51.035714285714285</v>
      </c>
      <c r="I44" s="33">
        <f ca="1">AVERAGE(I$33:I$40)</f>
        <v>60.542857142857144</v>
      </c>
      <c r="J44" s="33">
        <f ca="1">AVERAGE(J$33:J$40)</f>
        <v>38.728571428571421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">
        <v>615</v>
      </c>
    </row>
  </sheetData>
  <mergeCells count="12">
    <mergeCell ref="T9:V9"/>
    <mergeCell ref="A28:N28"/>
    <mergeCell ref="G29:H29"/>
    <mergeCell ref="J29:K29"/>
    <mergeCell ref="L29:N29"/>
    <mergeCell ref="A1:N1"/>
    <mergeCell ref="A4:N4"/>
    <mergeCell ref="A5:N5"/>
    <mergeCell ref="A8:N8"/>
    <mergeCell ref="G9:H9"/>
    <mergeCell ref="J9:K9"/>
    <mergeCell ref="L9:N9"/>
  </mergeCells>
  <printOptions horizontalCentered="1"/>
  <pageMargins left="0.7" right="0.7" top="1" bottom="0.75" header="0.55000000000000004" footer="0.51"/>
  <pageSetup scale="80" orientation="portrait" r:id="rId1"/>
  <headerFooter>
    <oddHeader>&amp;R&amp;13Exhibit MPG-22
Page 4 of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588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603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'Debt Ratio Electric and Gas'!A8:N8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11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IFERROR(COUNT(IF((DRind="E")*(DRcr=$C13)*(DRqtrlyavg&lt;&gt;"N/A"),DRqtrlyavg)),"")</f>
        <v>1</v>
      </c>
      <c r="F13" s="24"/>
      <c r="G13" s="25">
        <f t="array" aca="1" ref="G13" ca="1">IF(E13&gt;0,IFERROR(AVERAGE(IF((DRind="E")*(DRcr=$C13)*(DRqtrlyavg&lt;&gt;"N/A"),DRqtrlyavg)),"-"),"-")</f>
        <v>42.841666666666669</v>
      </c>
      <c r="H13" s="25">
        <f t="array" aca="1" ref="H13" ca="1">IF(E13&gt;0,IFERROR(MEDIAN(IF((DRind="E")*(DRcr=$C13)*(DRqtrlyavg&lt;&gt;"N/A"),DRqtrlyavg)),"-"),"-")</f>
        <v>42.841666666666669</v>
      </c>
      <c r="I13" s="25">
        <f t="array" aca="1" ref="I13" ca="1">IF(E13&gt;0,IFERROR(MAX(IF((DRind="E")*(DRcr=$C13)*(DRqtrlyavg&lt;&gt;"N/A"),DRqtrlyavg)),"-"),"-")</f>
        <v>42.841666666666669</v>
      </c>
      <c r="J13" s="25">
        <f t="array" aca="1" ref="J13" ca="1">IF(E13&gt;0,IFERROR(MIN(IF((DRind="E")*(DRcr=$C13)*(DRqtrlyavg&lt;&gt;"N/A"),DRqtrlyavg)),"-"),"-")</f>
        <v>42.841666666666669</v>
      </c>
      <c r="K13" s="24"/>
      <c r="L13" s="26">
        <f t="shared" ref="L13:N14" ca="1" si="0">IFERROR(T13/$E13,"")</f>
        <v>1</v>
      </c>
      <c r="M13" s="26">
        <f t="shared" ca="1" si="0"/>
        <v>0</v>
      </c>
      <c r="N13" s="26">
        <f t="shared" ca="1" si="0"/>
        <v>0</v>
      </c>
      <c r="O13" s="26">
        <f ca="1">IFERROR((U13+V13)/$E13,"")</f>
        <v>0</v>
      </c>
      <c r="T13" s="24">
        <f t="shared" ref="T13:T20" ca="1" si="1">COUNTIFS(DRind,"E",DRcr,$C13,DRqtrlyavg,"&lt;50")</f>
        <v>1</v>
      </c>
      <c r="U13" s="24">
        <f t="shared" ref="U13:U20" ca="1" si="2">COUNTIFS(DRind,"E",DRcr,$C13,DRqtrlyavg,"&gt;=50",DRqtrlyavg,"&lt;=55")</f>
        <v>0</v>
      </c>
      <c r="V13" s="24">
        <f t="shared" ref="V13:V20" ca="1" si="3">COUNTIFS(DRind,"E",DRcr,$C13,DRqtrlyavg,"&gt;55")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IFERROR(COUNT(IF((DRind="E")*(DRcr=$C14)*(DRqtrlyavg&lt;&gt;"N/A"),DRqtrlyavg)),"")</f>
        <v>0</v>
      </c>
      <c r="F14" s="24"/>
      <c r="G14" s="25" t="str">
        <f t="array" aca="1" ref="G14" ca="1">IF(E14&gt;0,IFERROR(AVERAGE(IF((DRind="E")*(DRcr=$C14)*(DRqtrlyavg&lt;&gt;"N/A"),DRqtrlyavg)),"-"),"-")</f>
        <v>-</v>
      </c>
      <c r="H14" s="25" t="str">
        <f t="array" aca="1" ref="H14" ca="1">IF(E14&gt;0,IFERROR(MEDIAN(IF((DRind="E")*(DRcr=$C14)*(DRqtrlyavg&lt;&gt;"N/A"),DRqtrlyavg)),"-"),"-")</f>
        <v>-</v>
      </c>
      <c r="I14" s="25" t="str">
        <f t="array" aca="1" ref="I14" ca="1">IF(E14&gt;0,IFERROR(MAX(IF((DRind="E")*(DRcr=$C14)*(DRqtrlyavg&lt;&gt;"N/A"),DRqtrlyavg)),"-"),"-")</f>
        <v>-</v>
      </c>
      <c r="J14" s="25" t="str">
        <f t="array" aca="1" ref="J14" ca="1">IF(E14&gt;0,IFERROR(MIN(IF((DRind="E")*(DRcr=$C14)*(DRqtrlyavg&lt;&gt;"N/A"),DRqtrlyavg)),"-"),"-")</f>
        <v>-</v>
      </c>
      <c r="K14" s="24"/>
      <c r="L14" s="26" t="str">
        <f t="shared" ca="1" si="0"/>
        <v/>
      </c>
      <c r="M14" s="26" t="str">
        <f t="shared" ca="1" si="0"/>
        <v/>
      </c>
      <c r="N14" s="26" t="str">
        <f t="shared" ca="1" si="0"/>
        <v/>
      </c>
      <c r="O14" s="26" t="str">
        <f ca="1">IFERROR((U14+V14)/$E14,"")</f>
        <v/>
      </c>
      <c r="T14" s="24">
        <f t="shared" ca="1" si="1"/>
        <v>0</v>
      </c>
      <c r="U14" s="24">
        <f t="shared" ca="1" si="2"/>
        <v>0</v>
      </c>
      <c r="V14" s="24">
        <f t="shared" ca="1" si="3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IFERROR(COUNT(IF((DRind="E")*(DRcr=$C15)*(DRqtrlyavg&lt;&gt;"N/A"),DRqtrlyavg)),"")</f>
        <v>8</v>
      </c>
      <c r="F15" s="24"/>
      <c r="G15" s="25">
        <f t="array" aca="1" ref="G15" ca="1">IF(E15&gt;0,IFERROR(AVERAGE(IF((DRind="E")*(DRcr=$C15)*(DRqtrlyavg&lt;&gt;"N/A"),DRqtrlyavg)),"-"),"-")</f>
        <v>49.641458333333333</v>
      </c>
      <c r="H15" s="25">
        <f t="array" aca="1" ref="H15" ca="1">IF(E15&gt;0,IFERROR(MEDIAN(IF((DRind="E")*(DRcr=$C15)*(DRqtrlyavg&lt;&gt;"N/A"),DRqtrlyavg)),"-"),"-")</f>
        <v>50.204166666666673</v>
      </c>
      <c r="I15" s="25">
        <f t="array" aca="1" ref="I15" ca="1">IF(E15&gt;0,IFERROR(MAX(IF((DRind="E")*(DRcr=$C15)*(DRqtrlyavg&lt;&gt;"N/A"),DRqtrlyavg)),"-"),"-")</f>
        <v>55.616666666666674</v>
      </c>
      <c r="J15" s="25">
        <f t="array" aca="1" ref="J15" ca="1">IF(E15&gt;0,IFERROR(MIN(IF((DRind="E")*(DRcr=$C15)*(DRqtrlyavg&lt;&gt;"N/A"),DRqtrlyavg)),"-"),"-")</f>
        <v>40.719999999999992</v>
      </c>
      <c r="K15" s="24"/>
      <c r="L15" s="26">
        <f t="shared" ref="L15:N20" ca="1" si="4">IFERROR(T15/$E15,"")</f>
        <v>0.5</v>
      </c>
      <c r="M15" s="26">
        <f t="shared" ca="1" si="4"/>
        <v>0.375</v>
      </c>
      <c r="N15" s="26">
        <f t="shared" ca="1" si="4"/>
        <v>0.125</v>
      </c>
      <c r="O15" s="26">
        <f t="shared" ref="O15:O20" ca="1" si="5">IFERROR((U15+V15)/$E15,"")</f>
        <v>0.5</v>
      </c>
      <c r="T15" s="24">
        <f t="shared" ca="1" si="1"/>
        <v>4</v>
      </c>
      <c r="U15" s="24">
        <f t="shared" ca="1" si="2"/>
        <v>3</v>
      </c>
      <c r="V15" s="24">
        <f t="shared" ca="1" si="3"/>
        <v>1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IFERROR(COUNT(IF((DRind="E")*(DRcr=$C16)*(DRqtrlyavg&lt;&gt;"N/A"),DRqtrlyavg)),"")</f>
        <v>47</v>
      </c>
      <c r="F16" s="24"/>
      <c r="G16" s="25">
        <f t="array" aca="1" ref="G16" ca="1">IF(E16&gt;0,IFERROR(AVERAGE(IF((DRind="E")*(DRcr=$C16)*(DRqtrlyavg&lt;&gt;"N/A"),DRqtrlyavg)),"-"),"-")</f>
        <v>51.193632832888149</v>
      </c>
      <c r="H16" s="25">
        <f t="array" aca="1" ref="H16" ca="1">IF(E16&gt;0,IFERROR(MEDIAN(IF((DRind="E")*(DRcr=$C16)*(DRqtrlyavg&lt;&gt;"N/A"),DRqtrlyavg)),"-"),"-")</f>
        <v>52.216666666666661</v>
      </c>
      <c r="I16" s="25">
        <f t="array" aca="1" ref="I16" ca="1">IF(E16&gt;0,IFERROR(MAX(IF((DRind="E")*(DRcr=$C16)*(DRqtrlyavg&lt;&gt;"N/A"),DRqtrlyavg)),"-"),"-")</f>
        <v>64.88333333333334</v>
      </c>
      <c r="J16" s="25">
        <f t="array" aca="1" ref="J16" ca="1">IF(E16&gt;0,IFERROR(MIN(IF((DRind="E")*(DRcr=$C16)*(DRqtrlyavg&lt;&gt;"N/A"),DRqtrlyavg)),"-"),"-")</f>
        <v>34.633333333333333</v>
      </c>
      <c r="K16" s="24"/>
      <c r="L16" s="26">
        <f t="shared" ca="1" si="4"/>
        <v>0.38297872340425532</v>
      </c>
      <c r="M16" s="26">
        <f t="shared" ca="1" si="4"/>
        <v>0.36170212765957449</v>
      </c>
      <c r="N16" s="26">
        <f t="shared" ca="1" si="4"/>
        <v>0.25531914893617019</v>
      </c>
      <c r="O16" s="26">
        <f t="shared" ca="1" si="5"/>
        <v>0.61702127659574468</v>
      </c>
      <c r="T16" s="24">
        <f t="shared" ca="1" si="1"/>
        <v>18</v>
      </c>
      <c r="U16" s="24">
        <f t="shared" ca="1" si="2"/>
        <v>17</v>
      </c>
      <c r="V16" s="24">
        <f t="shared" ca="1" si="3"/>
        <v>12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IFERROR(COUNT(IF((DRind="E")*(DRcr=$C17)*(DRqtrlyavg&lt;&gt;"N/A"),DRqtrlyavg)),"")</f>
        <v>23</v>
      </c>
      <c r="F17" s="24"/>
      <c r="G17" s="25">
        <f t="array" aca="1" ref="G17" ca="1">IF(E17&gt;0,IFERROR(AVERAGE(IF((DRind="E")*(DRcr=$C17)*(DRqtrlyavg&lt;&gt;"N/A"),DRqtrlyavg)),"-"),"-")</f>
        <v>52.011245059288541</v>
      </c>
      <c r="H17" s="25">
        <f t="array" aca="1" ref="H17" ca="1">IF(E17&gt;0,IFERROR(MEDIAN(IF((DRind="E")*(DRcr=$C17)*(DRqtrlyavg&lt;&gt;"N/A"),DRqtrlyavg)),"-"),"-")</f>
        <v>52.363636363636367</v>
      </c>
      <c r="I17" s="25">
        <f t="array" aca="1" ref="I17" ca="1">IF(E17&gt;0,IFERROR(MAX(IF((DRind="E")*(DRcr=$C17)*(DRqtrlyavg&lt;&gt;"N/A"),DRqtrlyavg)),"-"),"-")</f>
        <v>60.32500000000001</v>
      </c>
      <c r="J17" s="25">
        <f t="array" aca="1" ref="J17" ca="1">IF(E17&gt;0,IFERROR(MIN(IF((DRind="E")*(DRcr=$C17)*(DRqtrlyavg&lt;&gt;"N/A"),DRqtrlyavg)),"-"),"-")</f>
        <v>39.619999999999997</v>
      </c>
      <c r="K17" s="24"/>
      <c r="L17" s="26">
        <f t="shared" ca="1" si="4"/>
        <v>0.2608695652173913</v>
      </c>
      <c r="M17" s="26">
        <f t="shared" ca="1" si="4"/>
        <v>0.43478260869565216</v>
      </c>
      <c r="N17" s="26">
        <f t="shared" ca="1" si="4"/>
        <v>0.30434782608695654</v>
      </c>
      <c r="O17" s="26">
        <f t="shared" ca="1" si="5"/>
        <v>0.73913043478260865</v>
      </c>
      <c r="T17" s="24">
        <f t="shared" ca="1" si="1"/>
        <v>6</v>
      </c>
      <c r="U17" s="24">
        <f t="shared" ca="1" si="2"/>
        <v>10</v>
      </c>
      <c r="V17" s="24">
        <f t="shared" ca="1" si="3"/>
        <v>7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IFERROR(COUNT(IF((DRind="E")*(DRcr=$C18)*(DRqtrlyavg&lt;&gt;"N/A"),DRqtrlyavg)),"")</f>
        <v>8</v>
      </c>
      <c r="F18" s="24"/>
      <c r="G18" s="25">
        <f t="array" aca="1" ref="G18" ca="1">IF(E18&gt;0,IFERROR(AVERAGE(IF((DRind="E")*(DRcr=$C18)*(DRqtrlyavg&lt;&gt;"N/A"),DRqtrlyavg)),"-"),"-")</f>
        <v>53.146874999999994</v>
      </c>
      <c r="H18" s="25">
        <f t="array" aca="1" ref="H18" ca="1">IF(E18&gt;0,IFERROR(MEDIAN(IF((DRind="E")*(DRcr=$C18)*(DRqtrlyavg&lt;&gt;"N/A"),DRqtrlyavg)),"-"),"-")</f>
        <v>53.741666666666667</v>
      </c>
      <c r="I18" s="25">
        <f t="array" aca="1" ref="I18" ca="1">IF(E18&gt;0,IFERROR(MAX(IF((DRind="E")*(DRcr=$C18)*(DRqtrlyavg&lt;&gt;"N/A"),DRqtrlyavg)),"-"),"-")</f>
        <v>57.67499999999999</v>
      </c>
      <c r="J18" s="25">
        <f t="array" aca="1" ref="J18" ca="1">IF(E18&gt;0,IFERROR(MIN(IF((DRind="E")*(DRcr=$C18)*(DRqtrlyavg&lt;&gt;"N/A"),DRqtrlyavg)),"-"),"-")</f>
        <v>47.483333333333341</v>
      </c>
      <c r="K18" s="24"/>
      <c r="L18" s="26">
        <f t="shared" ca="1" si="4"/>
        <v>0.25</v>
      </c>
      <c r="M18" s="26">
        <f t="shared" ca="1" si="4"/>
        <v>0.375</v>
      </c>
      <c r="N18" s="26">
        <f t="shared" ca="1" si="4"/>
        <v>0.375</v>
      </c>
      <c r="O18" s="26">
        <f t="shared" ca="1" si="5"/>
        <v>0.75</v>
      </c>
      <c r="T18" s="24">
        <f t="shared" ca="1" si="1"/>
        <v>2</v>
      </c>
      <c r="U18" s="24">
        <f t="shared" ca="1" si="2"/>
        <v>3</v>
      </c>
      <c r="V18" s="24">
        <f t="shared" ca="1" si="3"/>
        <v>3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IFERROR(COUNT(IF((DRind="E")*(DRcr=$C19)*(DRqtrlyavg&lt;&gt;"N/A"),DRqtrlyavg)),"")</f>
        <v>10</v>
      </c>
      <c r="F19" s="24"/>
      <c r="G19" s="25">
        <f t="array" aca="1" ref="G19" ca="1">IF(E19&gt;0,IFERROR(AVERAGE(IF((DRind="E")*(DRcr=$C19)*(DRqtrlyavg&lt;&gt;"N/A"),DRqtrlyavg)),"-"),"-")</f>
        <v>53.461590909090908</v>
      </c>
      <c r="H19" s="25">
        <f t="array" aca="1" ref="H19" ca="1">IF(E19&gt;0,IFERROR(MEDIAN(IF((DRind="E")*(DRcr=$C19)*(DRqtrlyavg&lt;&gt;"N/A"),DRqtrlyavg)),"-"),"-")</f>
        <v>53.05</v>
      </c>
      <c r="I19" s="25">
        <f t="array" aca="1" ref="I19" ca="1">IF(E19&gt;0,IFERROR(MAX(IF((DRind="E")*(DRcr=$C19)*(DRqtrlyavg&lt;&gt;"N/A"),DRqtrlyavg)),"-"),"-")</f>
        <v>57.166666666666657</v>
      </c>
      <c r="J19" s="25">
        <f t="array" aca="1" ref="J19" ca="1">IF(E19&gt;0,IFERROR(MIN(IF((DRind="E")*(DRcr=$C19)*(DRqtrlyavg&lt;&gt;"N/A"),DRqtrlyavg)),"-"),"-")</f>
        <v>48.875</v>
      </c>
      <c r="K19" s="24"/>
      <c r="L19" s="26">
        <f t="shared" ca="1" si="4"/>
        <v>0.1</v>
      </c>
      <c r="M19" s="26">
        <f t="shared" ca="1" si="4"/>
        <v>0.6</v>
      </c>
      <c r="N19" s="26">
        <f t="shared" ca="1" si="4"/>
        <v>0.3</v>
      </c>
      <c r="O19" s="26">
        <f t="shared" ca="1" si="5"/>
        <v>0.9</v>
      </c>
      <c r="T19" s="24">
        <f t="shared" ca="1" si="1"/>
        <v>1</v>
      </c>
      <c r="U19" s="24">
        <f t="shared" ca="1" si="2"/>
        <v>6</v>
      </c>
      <c r="V19" s="24">
        <f t="shared" ca="1" si="3"/>
        <v>3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IFERROR(COUNT(IF((DRind="E")*(DRcr=$C20)*(DRqtrlyavg&lt;&gt;"N/A"),DRqtrlyavg)),"")</f>
        <v>0</v>
      </c>
      <c r="F20" s="24"/>
      <c r="G20" s="25" t="str">
        <f t="array" aca="1" ref="G20" ca="1">IF(E20&gt;0,IFERROR(AVERAGE(IF((DRind="E")*(DRcr=$C20)*(DRqtrlyavg&lt;&gt;"N/A"),DRqtrlyavg)),"-"),"-")</f>
        <v>-</v>
      </c>
      <c r="H20" s="25" t="str">
        <f t="array" aca="1" ref="H20" ca="1">IF(E20&gt;0,IFERROR(MEDIAN(IF((DRind="E")*(DRcr=$C20)*(DRqtrlyavg&lt;&gt;"N/A"),DRqtrlyavg)),"-"),"-")</f>
        <v>-</v>
      </c>
      <c r="I20" s="25" t="str">
        <f t="array" aca="1" ref="I20" ca="1">IF(E20&gt;0,IFERROR(MAX(IF((DRind="E")*(DRcr=$C20)*(DRqtrlyavg&lt;&gt;"N/A"),DRqtrlyavg)),"-"),"-")</f>
        <v>-</v>
      </c>
      <c r="J20" s="25" t="str">
        <f t="array" aca="1" ref="J20" ca="1">IF(E20&gt;0,IFERROR(MIN(IF((DRind="E")*(DRcr=$C20)*(DRqtrlyavg&lt;&gt;"N/A"),DRqtrlyavg)),"-"),"-")</f>
        <v>-</v>
      </c>
      <c r="K20" s="24"/>
      <c r="L20" s="26" t="str">
        <f t="shared" ca="1" si="4"/>
        <v/>
      </c>
      <c r="M20" s="26" t="str">
        <f t="shared" ca="1" si="4"/>
        <v/>
      </c>
      <c r="N20" s="26" t="str">
        <f t="shared" ca="1" si="4"/>
        <v/>
      </c>
      <c r="O20" s="26" t="str">
        <f t="shared" ca="1" si="5"/>
        <v/>
      </c>
      <c r="T20" s="24">
        <f t="shared" ca="1" si="1"/>
        <v>0</v>
      </c>
      <c r="U20" s="24">
        <f t="shared" ca="1" si="2"/>
        <v>0</v>
      </c>
      <c r="V20" s="24">
        <f t="shared" ca="1" si="3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">
        <f ca="1">SUM(E13:E20)</f>
        <v>97</v>
      </c>
      <c r="F23" s="6"/>
      <c r="K23" s="4"/>
      <c r="T23" s="4">
        <f ca="1">SUM(T13:T20)</f>
        <v>32</v>
      </c>
      <c r="U23" s="4">
        <f ca="1">SUM(U13:U20)</f>
        <v>39</v>
      </c>
      <c r="V23" s="4">
        <f ca="1">SUM(V13:V20)</f>
        <v>26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50.382744800211263</v>
      </c>
      <c r="H24" s="30">
        <f ca="1">AVERAGE(H$13:H$20)</f>
        <v>50.736300505050508</v>
      </c>
      <c r="I24" s="30">
        <f ca="1">AVERAGE(I$13:I$20)</f>
        <v>56.418055555555554</v>
      </c>
      <c r="J24" s="30">
        <f ca="1">AVERAGE(J$13:J$20)</f>
        <v>42.362222222222222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'Debt Ratio Electric and Gas'!A28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11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IFERROR(COUNT(IF((DRind="E")*(DRcr=$C33)*(DRqtrlyvalues&lt;&gt;"-"),DRqtrlyvalues)),"")</f>
        <v>12</v>
      </c>
      <c r="F33" s="24"/>
      <c r="G33" s="25">
        <f t="array" aca="1" ref="G33" ca="1">IF(E33&gt;0,IFERROR(AVERAGE(IF((DRind="E")*(DRcr=$C33)*(DRqtrlyvalues&lt;&gt;"-"),DRqtrlyvalues)),"-"),"-")</f>
        <v>42.841666666666669</v>
      </c>
      <c r="H33" s="25">
        <f t="array" aca="1" ref="H33" ca="1">IF(E33&gt;0,IFERROR(MEDIAN(IF((DRind="E")*(DRcr=$C33)*(DRqtrlyvalues&lt;&gt;"-"),DRqtrlyvalues)),"-"),"-")</f>
        <v>42.9</v>
      </c>
      <c r="I33" s="25">
        <f t="array" aca="1" ref="I33" ca="1">IF(E33&gt;0,IFERROR(MAX(IF((DRind="E")*(DRcr=$C33)*(DRqtrlyvalues&lt;&gt;"-"),DRqtrlyvalues)),"-"),"-")</f>
        <v>45</v>
      </c>
      <c r="J33" s="25">
        <f t="array" aca="1" ref="J33" ca="1">IF(E33&gt;0,IFERROR(MIN(IF((DRind="E")*(DRcr=$C33)*(DRqtrlyvalues&lt;&gt;"-"),DRqtrlyvalues)),"-"),"-")</f>
        <v>40.799999999999997</v>
      </c>
      <c r="K33" s="24"/>
      <c r="L33" s="26">
        <f t="shared" ref="L33:N34" ca="1" si="6">IFERROR(T33/$E33,"")</f>
        <v>1</v>
      </c>
      <c r="M33" s="26">
        <f t="shared" ca="1" si="6"/>
        <v>0</v>
      </c>
      <c r="N33" s="26">
        <f t="shared" ca="1" si="6"/>
        <v>0</v>
      </c>
      <c r="O33" s="26">
        <f ca="1">IFERROR((U33+V33)/$E33,"")</f>
        <v>0</v>
      </c>
      <c r="T33" s="24">
        <f t="array" aca="1" ref="T33" ca="1">IFERROR(COUNT(IF((DRind="E")*(DRcr=$C33)*(DRqtrlyvalues&lt;50),DRqtrlyvalues)),"")</f>
        <v>12</v>
      </c>
      <c r="U33" s="24">
        <f ca="1">E33-T33-V33</f>
        <v>0</v>
      </c>
      <c r="V33" s="24">
        <f t="array" aca="1" ref="V33" ca="1">IFERROR(COUNT(IF((DRind="E")*(DRcr=$C33)*(DRqtrlyvalues&gt;55),DRqtrlyvalues)),"")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IFERROR(COUNT(IF((DRind="E")*(DRcr=$C34)*(DRqtrlyvalues&lt;&gt;"-"),DRqtrlyvalues)),"")</f>
        <v>0</v>
      </c>
      <c r="F34" s="24"/>
      <c r="G34" s="25" t="str">
        <f t="array" aca="1" ref="G34" ca="1">IF(E34&gt;0,IFERROR(AVERAGE(IF((DRind="E")*(DRcr=$C34)*(DRqtrlyvalues&lt;&gt;"-"),DRqtrlyvalues)),"-"),"-")</f>
        <v>-</v>
      </c>
      <c r="H34" s="25" t="str">
        <f t="array" aca="1" ref="H34" ca="1">IF(E34&gt;0,IFERROR(MEDIAN(IF((DRind="E")*(DRcr=$C34)*(DRqtrlyvalues&lt;&gt;"-"),DRqtrlyvalues)),"-"),"-")</f>
        <v>-</v>
      </c>
      <c r="I34" s="25" t="str">
        <f t="array" aca="1" ref="I34" ca="1">IF(E34&gt;0,IFERROR(MAX(IF((DRind="E")*(DRcr=$C34)*(DRqtrlyvalues&lt;&gt;"-"),DRqtrlyvalues)),"-"),"-")</f>
        <v>-</v>
      </c>
      <c r="J34" s="25" t="str">
        <f t="array" aca="1" ref="J34" ca="1">IF(E34&gt;0,IFERROR(MIN(IF((DRind="E")*(DRcr=$C34)*(DRqtrlyvalues&lt;&gt;"-"),DRqtrlyvalues)),"-"),"-")</f>
        <v>-</v>
      </c>
      <c r="K34" s="24"/>
      <c r="L34" s="26" t="str">
        <f t="shared" ca="1" si="6"/>
        <v/>
      </c>
      <c r="M34" s="26" t="str">
        <f t="shared" ca="1" si="6"/>
        <v/>
      </c>
      <c r="N34" s="26" t="str">
        <f t="shared" ca="1" si="6"/>
        <v/>
      </c>
      <c r="O34" s="26" t="str">
        <f ca="1">IFERROR((U34+V34)/$E34,"")</f>
        <v/>
      </c>
      <c r="T34" s="24">
        <f t="array" aca="1" ref="T34" ca="1">IFERROR(COUNT(IF((DRind="E")*(DRcr=$C34)*(DRqtrlyvalues&lt;50),DRqtrlyvalues)),"")</f>
        <v>0</v>
      </c>
      <c r="U34" s="24">
        <f ca="1">E34-T34-V34</f>
        <v>0</v>
      </c>
      <c r="V34" s="24">
        <f t="array" aca="1" ref="V34" ca="1">IFERROR(COUNT(IF((DRind="E")*(DRcr=$C34)*(DRqtrlyvalues&gt;55),DRqtrlyvalues)),"")</f>
        <v>0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IFERROR(COUNT(IF((DRind="E")*(DRcr=$C35)*(DRqtrlyvalues&lt;&gt;"-"),DRqtrlyvalues)),"")</f>
        <v>87</v>
      </c>
      <c r="F35" s="24"/>
      <c r="G35" s="25">
        <f t="array" aca="1" ref="G35" ca="1">IF(E35&gt;0,IFERROR(AVERAGE(IF((DRind="E")*(DRcr=$C35)*(DRqtrlyvalues&lt;&gt;"-"),DRqtrlyvalues)),"-"),"-")</f>
        <v>50.371264367816082</v>
      </c>
      <c r="H35" s="25">
        <f t="array" aca="1" ref="H35" ca="1">IF(E35&gt;0,IFERROR(MEDIAN(IF((DRind="E")*(DRcr=$C35)*(DRqtrlyvalues&lt;&gt;"-"),DRqtrlyvalues)),"-"),"-")</f>
        <v>50.5</v>
      </c>
      <c r="I35" s="25">
        <f t="array" aca="1" ref="I35" ca="1">IF(E35&gt;0,IFERROR(MAX(IF((DRind="E")*(DRcr=$C35)*(DRqtrlyvalues&lt;&gt;"-"),DRqtrlyvalues)),"-"),"-")</f>
        <v>58.6</v>
      </c>
      <c r="J35" s="25">
        <f t="array" aca="1" ref="J35" ca="1">IF(E35&gt;0,IFERROR(MIN(IF((DRind="E")*(DRcr=$C35)*(DRqtrlyvalues&lt;&gt;"-"),DRqtrlyvalues)),"-"),"-")</f>
        <v>39</v>
      </c>
      <c r="K35" s="24"/>
      <c r="L35" s="26">
        <f t="shared" ref="L35:N40" ca="1" si="7">IFERROR(T35/$E35,"")</f>
        <v>0.43678160919540232</v>
      </c>
      <c r="M35" s="26">
        <f t="shared" ca="1" si="7"/>
        <v>0.43678160919540232</v>
      </c>
      <c r="N35" s="26">
        <f t="shared" ca="1" si="7"/>
        <v>0.12643678160919541</v>
      </c>
      <c r="O35" s="26">
        <f t="shared" ref="O35:O40" ca="1" si="8">IFERROR((U35+V35)/$E35,"")</f>
        <v>0.56321839080459768</v>
      </c>
      <c r="T35" s="24">
        <f t="array" aca="1" ref="T35" ca="1">IFERROR(COUNT(IF((DRind="E")*(DRcr=$C35)*(DRqtrlyvalues&lt;50),DRqtrlyvalues)),"")</f>
        <v>38</v>
      </c>
      <c r="U35" s="24">
        <f t="shared" ref="U35:U40" ca="1" si="9">E35-T35-V35</f>
        <v>38</v>
      </c>
      <c r="V35" s="24">
        <f t="array" aca="1" ref="V35" ca="1">IFERROR(COUNT(IF((DRind="E")*(DRcr=$C35)*(DRqtrlyvalues&gt;55),DRqtrlyvalues)),"")</f>
        <v>11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IFERROR(COUNT(IF((DRind="E")*(DRcr=$C36)*(DRqtrlyvalues&lt;&gt;"-"),DRqtrlyvalues)),"")</f>
        <v>535</v>
      </c>
      <c r="F36" s="24"/>
      <c r="G36" s="25">
        <f t="array" aca="1" ref="G36" ca="1">IF(E36&gt;0,IFERROR(AVERAGE(IF((DRind="E")*(DRcr=$C36)*(DRqtrlyvalues&lt;&gt;"-"),DRqtrlyvalues)),"-"),"-")</f>
        <v>51.234018691588787</v>
      </c>
      <c r="H36" s="25">
        <f t="array" aca="1" ref="H36" ca="1">IF(E36&gt;0,IFERROR(MEDIAN(IF((DRind="E")*(DRcr=$C36)*(DRqtrlyvalues&lt;&gt;"-"),DRqtrlyvalues)),"-"),"-")</f>
        <v>52.5</v>
      </c>
      <c r="I36" s="25">
        <f t="array" aca="1" ref="I36" ca="1">IF(E36&gt;0,IFERROR(MAX(IF((DRind="E")*(DRcr=$C36)*(DRqtrlyvalues&lt;&gt;"-"),DRqtrlyvalues)),"-"),"-")</f>
        <v>68</v>
      </c>
      <c r="J36" s="25">
        <f t="array" aca="1" ref="J36" ca="1">IF(E36&gt;0,IFERROR(MIN(IF((DRind="E")*(DRcr=$C36)*(DRqtrlyvalues&lt;&gt;"-"),DRqtrlyvalues)),"-"),"-")</f>
        <v>30</v>
      </c>
      <c r="K36" s="24"/>
      <c r="L36" s="26">
        <f t="shared" ca="1" si="7"/>
        <v>0.3775700934579439</v>
      </c>
      <c r="M36" s="26">
        <f t="shared" ca="1" si="7"/>
        <v>0.3383177570093458</v>
      </c>
      <c r="N36" s="26">
        <f t="shared" ca="1" si="7"/>
        <v>0.2841121495327103</v>
      </c>
      <c r="O36" s="26">
        <f t="shared" ca="1" si="8"/>
        <v>0.6224299065420561</v>
      </c>
      <c r="T36" s="24">
        <f t="array" aca="1" ref="T36" ca="1">IFERROR(COUNT(IF((DRind="E")*(DRcr=$C36)*(DRqtrlyvalues&lt;50),DRqtrlyvalues)),"")</f>
        <v>202</v>
      </c>
      <c r="U36" s="24">
        <f t="shared" ca="1" si="9"/>
        <v>181</v>
      </c>
      <c r="V36" s="24">
        <f t="array" aca="1" ref="V36" ca="1">IFERROR(COUNT(IF((DRind="E")*(DRcr=$C36)*(DRqtrlyvalues&gt;55),DRqtrlyvalues)),"")</f>
        <v>152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IFERROR(COUNT(IF((DRind="E")*(DRcr=$C37)*(DRqtrlyvalues&lt;&gt;"-"),DRqtrlyvalues)),"")</f>
        <v>273</v>
      </c>
      <c r="F37" s="24"/>
      <c r="G37" s="25">
        <f t="array" aca="1" ref="G37" ca="1">IF(E37&gt;0,IFERROR(AVERAGE(IF((DRind="E")*(DRcr=$C37)*(DRqtrlyvalues&lt;&gt;"-"),DRqtrlyvalues)),"-"),"-")</f>
        <v>52.10073260073262</v>
      </c>
      <c r="H37" s="25">
        <f t="array" aca="1" ref="H37" ca="1">IF(E37&gt;0,IFERROR(MEDIAN(IF((DRind="E")*(DRcr=$C37)*(DRqtrlyvalues&lt;&gt;"-"),DRqtrlyvalues)),"-"),"-")</f>
        <v>52.4</v>
      </c>
      <c r="I37" s="25">
        <f t="array" aca="1" ref="I37" ca="1">IF(E37&gt;0,IFERROR(MAX(IF((DRind="E")*(DRcr=$C37)*(DRqtrlyvalues&lt;&gt;"-"),DRqtrlyvalues)),"-"),"-")</f>
        <v>61.8</v>
      </c>
      <c r="J37" s="25">
        <f t="array" aca="1" ref="J37" ca="1">IF(E37&gt;0,IFERROR(MIN(IF((DRind="E")*(DRcr=$C37)*(DRqtrlyvalues&lt;&gt;"-"),DRqtrlyvalues)),"-"),"-")</f>
        <v>35.6</v>
      </c>
      <c r="K37" s="24"/>
      <c r="L37" s="26">
        <f t="shared" ca="1" si="7"/>
        <v>0.2783882783882784</v>
      </c>
      <c r="M37" s="26">
        <f t="shared" ca="1" si="7"/>
        <v>0.43956043956043955</v>
      </c>
      <c r="N37" s="26">
        <f t="shared" ca="1" si="7"/>
        <v>0.28205128205128205</v>
      </c>
      <c r="O37" s="26">
        <f t="shared" ca="1" si="8"/>
        <v>0.7216117216117216</v>
      </c>
      <c r="T37" s="24">
        <f t="array" aca="1" ref="T37" ca="1">IFERROR(COUNT(IF((DRind="E")*(DRcr=$C37)*(DRqtrlyvalues&lt;50),DRqtrlyvalues)),"")</f>
        <v>76</v>
      </c>
      <c r="U37" s="24">
        <f t="shared" ca="1" si="9"/>
        <v>120</v>
      </c>
      <c r="V37" s="24">
        <f t="array" aca="1" ref="V37" ca="1">IFERROR(COUNT(IF((DRind="E")*(DRcr=$C37)*(DRqtrlyvalues&gt;55),DRqtrlyvalues)),"")</f>
        <v>77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IFERROR(COUNT(IF((DRind="E")*(DRcr=$C38)*(DRqtrlyvalues&lt;&gt;"-"),DRqtrlyvalues)),"")</f>
        <v>96</v>
      </c>
      <c r="F38" s="24"/>
      <c r="G38" s="25">
        <f t="array" aca="1" ref="G38" ca="1">IF(E38&gt;0,IFERROR(AVERAGE(IF((DRind="E")*(DRcr=$C38)*(DRqtrlyvalues&lt;&gt;"-"),DRqtrlyvalues)),"-"),"-")</f>
        <v>53.146875000000016</v>
      </c>
      <c r="H38" s="25">
        <f t="array" aca="1" ref="H38" ca="1">IF(E38&gt;0,IFERROR(MEDIAN(IF((DRind="E")*(DRcr=$C38)*(DRqtrlyvalues&lt;&gt;"-"),DRqtrlyvalues)),"-"),"-")</f>
        <v>53.849999999999994</v>
      </c>
      <c r="I38" s="25">
        <f t="array" aca="1" ref="I38" ca="1">IF(E38&gt;0,IFERROR(MAX(IF((DRind="E")*(DRcr=$C38)*(DRqtrlyvalues&lt;&gt;"-"),DRqtrlyvalues)),"-"),"-")</f>
        <v>60</v>
      </c>
      <c r="J38" s="25">
        <f t="array" aca="1" ref="J38" ca="1">IF(E38&gt;0,IFERROR(MIN(IF((DRind="E")*(DRcr=$C38)*(DRqtrlyvalues&lt;&gt;"-"),DRqtrlyvalues)),"-"),"-")</f>
        <v>44.6</v>
      </c>
      <c r="K38" s="24"/>
      <c r="L38" s="26">
        <f t="shared" ca="1" si="7"/>
        <v>0.25</v>
      </c>
      <c r="M38" s="26">
        <f t="shared" ca="1" si="7"/>
        <v>0.38541666666666669</v>
      </c>
      <c r="N38" s="26">
        <f t="shared" ca="1" si="7"/>
        <v>0.36458333333333331</v>
      </c>
      <c r="O38" s="26">
        <f t="shared" ca="1" si="8"/>
        <v>0.75</v>
      </c>
      <c r="T38" s="24">
        <f t="array" aca="1" ref="T38" ca="1">IFERROR(COUNT(IF((DRind="E")*(DRcr=$C38)*(DRqtrlyvalues&lt;50),DRqtrlyvalues)),"")</f>
        <v>24</v>
      </c>
      <c r="U38" s="24">
        <f t="shared" ca="1" si="9"/>
        <v>37</v>
      </c>
      <c r="V38" s="24">
        <f t="array" aca="1" ref="V38" ca="1">IFERROR(COUNT(IF((DRind="E")*(DRcr=$C38)*(DRqtrlyvalues&gt;55),DRqtrlyvalues)),"")</f>
        <v>35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IFERROR(COUNT(IF((DRind="E")*(DRcr=$C39)*(DRqtrlyvalues&lt;&gt;"-"),DRqtrlyvalues)),"")</f>
        <v>118</v>
      </c>
      <c r="F39" s="24"/>
      <c r="G39" s="25">
        <f t="array" aca="1" ref="G39" ca="1">IF(E39&gt;0,IFERROR(AVERAGE(IF((DRind="E")*(DRcr=$C39)*(DRqtrlyvalues&lt;&gt;"-"),DRqtrlyvalues)),"-"),"-")</f>
        <v>53.424576271186453</v>
      </c>
      <c r="H39" s="25">
        <f t="array" aca="1" ref="H39" ca="1">IF(E39&gt;0,IFERROR(MEDIAN(IF((DRind="E")*(DRcr=$C39)*(DRqtrlyvalues&lt;&gt;"-"),DRqtrlyvalues)),"-"),"-")</f>
        <v>53.150000000000006</v>
      </c>
      <c r="I39" s="25">
        <f t="array" aca="1" ref="I39" ca="1">IF(E39&gt;0,IFERROR(MAX(IF((DRind="E")*(DRcr=$C39)*(DRqtrlyvalues&lt;&gt;"-"),DRqtrlyvalues)),"-"),"-")</f>
        <v>67</v>
      </c>
      <c r="J39" s="25">
        <f t="array" aca="1" ref="J39" ca="1">IF(E39&gt;0,IFERROR(MIN(IF((DRind="E")*(DRcr=$C39)*(DRqtrlyvalues&lt;&gt;"-"),DRqtrlyvalues)),"-"),"-")</f>
        <v>40.700000000000003</v>
      </c>
      <c r="K39" s="24"/>
      <c r="L39" s="26">
        <f t="shared" ca="1" si="7"/>
        <v>0.17796610169491525</v>
      </c>
      <c r="M39" s="26">
        <f t="shared" ca="1" si="7"/>
        <v>0.47457627118644069</v>
      </c>
      <c r="N39" s="26">
        <f t="shared" ca="1" si="7"/>
        <v>0.34745762711864409</v>
      </c>
      <c r="O39" s="26">
        <f t="shared" ca="1" si="8"/>
        <v>0.82203389830508478</v>
      </c>
      <c r="T39" s="24">
        <f t="array" aca="1" ref="T39" ca="1">IFERROR(COUNT(IF((DRind="E")*(DRcr=$C39)*(DRqtrlyvalues&lt;50),DRqtrlyvalues)),"")</f>
        <v>21</v>
      </c>
      <c r="U39" s="24">
        <f t="shared" ca="1" si="9"/>
        <v>56</v>
      </c>
      <c r="V39" s="24">
        <f t="array" aca="1" ref="V39" ca="1">IFERROR(COUNT(IF((DRind="E")*(DRcr=$C39)*(DRqtrlyvalues&gt;55),DRqtrlyvalues)),"")</f>
        <v>41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IFERROR(COUNT(IF((DRind="E")*(DRcr=$C40)*(DRqtrlyvalues&lt;&gt;"-"),DRqtrlyvalues)),"")</f>
        <v>0</v>
      </c>
      <c r="F40" s="24"/>
      <c r="G40" s="25" t="str">
        <f t="array" aca="1" ref="G40" ca="1">IF(E40&gt;0,IFERROR(AVERAGE(IF((DRind="E")*(DRcr=$C40)*(DRqtrlyvalues&lt;&gt;"-"),DRqtrlyvalues)),"-"),"-")</f>
        <v>-</v>
      </c>
      <c r="H40" s="25" t="str">
        <f t="array" aca="1" ref="H40" ca="1">IF(E40&gt;0,IFERROR(MEDIAN(IF((DRind="E")*(DRcr=$C40)*(DRqtrlyvalues&lt;&gt;"-"),DRqtrlyvalues)),"-"),"-")</f>
        <v>-</v>
      </c>
      <c r="I40" s="25" t="str">
        <f t="array" aca="1" ref="I40" ca="1">IF(E40&gt;0,IFERROR(MAX(IF((DRind="E")*(DRcr=$C40)*(DRqtrlyvalues&lt;&gt;"-"),DRqtrlyvalues)),"-"),"-")</f>
        <v>-</v>
      </c>
      <c r="J40" s="25" t="str">
        <f t="array" aca="1" ref="J40" ca="1">IF(E40&gt;0,IFERROR(MIN(IF((DRind="E")*(DRcr=$C40)*(DRqtrlyvalues&lt;&gt;"-"),DRqtrlyvalues)),"-"),"-")</f>
        <v>-</v>
      </c>
      <c r="K40" s="24"/>
      <c r="L40" s="26" t="str">
        <f t="shared" ca="1" si="7"/>
        <v/>
      </c>
      <c r="M40" s="26" t="str">
        <f t="shared" ca="1" si="7"/>
        <v/>
      </c>
      <c r="N40" s="26" t="str">
        <f t="shared" ca="1" si="7"/>
        <v/>
      </c>
      <c r="O40" s="26" t="str">
        <f t="shared" ca="1" si="8"/>
        <v/>
      </c>
      <c r="T40" s="24">
        <f t="array" aca="1" ref="T40" ca="1">IFERROR(COUNT(IF((DRind="E")*(DRcr=$C40)*(DRqtrlyvalues&lt;50),DRqtrlyvalues)),"")</f>
        <v>0</v>
      </c>
      <c r="U40" s="24">
        <f t="shared" ca="1" si="9"/>
        <v>0</v>
      </c>
      <c r="V40" s="24">
        <f t="array" aca="1" ref="V40" ca="1">IFERROR(COUNT(IF((DRind="E")*(DRcr=$C40)*(DRqtrlyvalues&gt;55),DRqtrlyvalues)),"")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1121</v>
      </c>
      <c r="F43" s="6"/>
      <c r="K43" s="4"/>
      <c r="T43" s="4">
        <f ca="1">SUM(T33:T40)</f>
        <v>373</v>
      </c>
      <c r="U43" s="4">
        <f ca="1">SUM(U33:U40)</f>
        <v>432</v>
      </c>
      <c r="V43" s="4">
        <f ca="1">SUM(V33:V40)</f>
        <v>316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50.519855599665107</v>
      </c>
      <c r="H44" s="33">
        <f ca="1">AVERAGE(H$33:H$40)</f>
        <v>50.883333333333333</v>
      </c>
      <c r="I44" s="33">
        <f ca="1">AVERAGE(I$33:I$40)</f>
        <v>60.066666666666663</v>
      </c>
      <c r="J44" s="33">
        <f ca="1">AVERAGE(J$33:J$40)</f>
        <v>38.449999999999996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tr">
        <f>'Debt Ratio Electric and Gas'!$C$49</f>
        <v>S&amp;P Capital IQ, downloaded September 28, 2017.</v>
      </c>
    </row>
  </sheetData>
  <mergeCells count="12">
    <mergeCell ref="T9:V9"/>
    <mergeCell ref="A28:N28"/>
    <mergeCell ref="G29:H29"/>
    <mergeCell ref="J29:K29"/>
    <mergeCell ref="L29:N29"/>
    <mergeCell ref="A1:N1"/>
    <mergeCell ref="A4:N4"/>
    <mergeCell ref="A5:N5"/>
    <mergeCell ref="A8:N8"/>
    <mergeCell ref="G9:H9"/>
    <mergeCell ref="J9:K9"/>
    <mergeCell ref="L9:N9"/>
  </mergeCells>
  <printOptions horizontalCentered="1"/>
  <pageMargins left="0.7" right="0.7" top="1" bottom="0.75" header="0.55000000000000004" footer="0.51"/>
  <pageSetup scale="80" orientation="portrait" r:id="rId1"/>
  <headerFooter>
    <oddHeader>&amp;R&amp;13Exhibit MPG-22
Page 5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588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589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'Debt Ratio Electric and Gas'!A8:N8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11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IFERROR(COUNT(IF((DRind="G")*(DRcr=$C13)*(DRqtrlyavg&lt;&gt;"N/A"),DRqtrlyavg)),"")</f>
        <v>0</v>
      </c>
      <c r="F13" s="24"/>
      <c r="G13" s="25" t="str">
        <f t="array" aca="1" ref="G13" ca="1">IF(E13&gt;0,IFERROR(AVERAGE(IF((DRind="G")*(DRcr=$C13)*(DRqtrlyavg&lt;&gt;"N/A"),DRqtrlyavg)),"-"),"-")</f>
        <v>-</v>
      </c>
      <c r="H13" s="25" t="str">
        <f t="array" aca="1" ref="H13" ca="1">IF(E13&gt;0,IFERROR(MEDIAN(IF((DRind="G")*(DRcr=$C13)*(DRqtrlyavg&lt;&gt;"N/A"),DRqtrlyavg)),"-"),"-")</f>
        <v>-</v>
      </c>
      <c r="I13" s="25" t="str">
        <f t="array" aca="1" ref="I13" ca="1">IF(E13&gt;0,IFERROR(MAX(IF((DRind="G")*(DRcr=$C13)*(DRqtrlyavg&lt;&gt;"N/A"),DRqtrlyavg)),"-"),"-")</f>
        <v>-</v>
      </c>
      <c r="J13" s="25" t="str">
        <f t="array" aca="1" ref="J13" ca="1">IF(E13&gt;0,IFERROR(MIN(IF((DRind="G")*(DRcr=$C13)*(DRqtrlyavg&lt;&gt;"N/A"),DRqtrlyavg)),"-"),"-")</f>
        <v>-</v>
      </c>
      <c r="K13" s="24"/>
      <c r="L13" s="26" t="str">
        <f t="shared" ref="L13:N14" ca="1" si="0">IFERROR(T13/$E13,"")</f>
        <v/>
      </c>
      <c r="M13" s="26" t="str">
        <f t="shared" ca="1" si="0"/>
        <v/>
      </c>
      <c r="N13" s="26" t="str">
        <f t="shared" ca="1" si="0"/>
        <v/>
      </c>
      <c r="O13" s="26" t="str">
        <f ca="1">IFERROR((U13+V13)/$E13,"")</f>
        <v/>
      </c>
      <c r="T13" s="24">
        <f t="shared" ref="T13:T20" ca="1" si="1">COUNTIFS(DRind,"G",DRcr,$C13,DRqtrlyavg,"&lt;50")</f>
        <v>0</v>
      </c>
      <c r="U13" s="24">
        <f t="shared" ref="U13:U20" ca="1" si="2">COUNTIFS(DRind,"G",DRcr,$C13,DRqtrlyavg,"&gt;=50",DRqtrlyavg,"&lt;=55")</f>
        <v>0</v>
      </c>
      <c r="V13" s="24">
        <f t="shared" ref="V13:V20" ca="1" si="3">COUNTIFS(DRind,"G",DRcr,$C13,DRqtrlyavg,"&gt;55")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IFERROR(COUNT(IF((DRind="G")*(DRcr=$C14)*(DRqtrlyavg&lt;&gt;"N/A"),DRqtrlyavg)),"")</f>
        <v>1</v>
      </c>
      <c r="F14" s="24"/>
      <c r="G14" s="25">
        <f t="array" aca="1" ref="G14" ca="1">IF(E14&gt;0,IFERROR(AVERAGE(IF((DRind="G")*(DRcr=$C14)*(DRqtrlyavg&lt;&gt;"N/A"),DRqtrlyavg)),"-"),"-")</f>
        <v>53.266666666666652</v>
      </c>
      <c r="H14" s="25">
        <f t="array" aca="1" ref="H14" ca="1">IF(E14&gt;0,IFERROR(MEDIAN(IF((DRind="G")*(DRcr=$C14)*(DRqtrlyavg&lt;&gt;"N/A"),DRqtrlyavg)),"-"),"-")</f>
        <v>53.266666666666652</v>
      </c>
      <c r="I14" s="25">
        <f t="array" aca="1" ref="I14" ca="1">IF(E14&gt;0,IFERROR(MAX(IF((DRind="G")*(DRcr=$C14)*(DRqtrlyavg&lt;&gt;"N/A"),DRqtrlyavg)),"-"),"-")</f>
        <v>53.266666666666652</v>
      </c>
      <c r="J14" s="25">
        <f t="array" aca="1" ref="J14" ca="1">IF(E14&gt;0,IFERROR(MIN(IF((DRind="G")*(DRcr=$C14)*(DRqtrlyavg&lt;&gt;"N/A"),DRqtrlyavg)),"-"),"-")</f>
        <v>53.266666666666652</v>
      </c>
      <c r="K14" s="24"/>
      <c r="L14" s="26">
        <f t="shared" ca="1" si="0"/>
        <v>0</v>
      </c>
      <c r="M14" s="26">
        <f t="shared" ca="1" si="0"/>
        <v>1</v>
      </c>
      <c r="N14" s="26">
        <f t="shared" ca="1" si="0"/>
        <v>0</v>
      </c>
      <c r="O14" s="26">
        <f ca="1">IFERROR((U14+V14)/$E14,"")</f>
        <v>1</v>
      </c>
      <c r="T14" s="24">
        <f t="shared" ca="1" si="1"/>
        <v>0</v>
      </c>
      <c r="U14" s="24">
        <f t="shared" ca="1" si="2"/>
        <v>1</v>
      </c>
      <c r="V14" s="24">
        <f t="shared" ca="1" si="3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IFERROR(COUNT(IF((DRind="G")*(DRcr=$C15)*(DRqtrlyavg&lt;&gt;"N/A"),DRqtrlyavg)),"")</f>
        <v>4</v>
      </c>
      <c r="F15" s="24"/>
      <c r="G15" s="25">
        <f t="array" aca="1" ref="G15" ca="1">IF(E15&gt;0,IFERROR(AVERAGE(IF((DRind="G")*(DRcr=$C15)*(DRqtrlyavg&lt;&gt;"N/A"),DRqtrlyavg)),"-"),"-")</f>
        <v>46.147537878787887</v>
      </c>
      <c r="H15" s="25">
        <f t="array" aca="1" ref="H15" ca="1">IF(E15&gt;0,IFERROR(MEDIAN(IF((DRind="G")*(DRcr=$C15)*(DRqtrlyavg&lt;&gt;"N/A"),DRqtrlyavg)),"-"),"-")</f>
        <v>46.990909090909092</v>
      </c>
      <c r="I15" s="25">
        <f t="array" aca="1" ref="I15" ca="1">IF(E15&gt;0,IFERROR(MAX(IF((DRind="G")*(DRcr=$C15)*(DRqtrlyavg&lt;&gt;"N/A"),DRqtrlyavg)),"-"),"-")</f>
        <v>48.400000000000006</v>
      </c>
      <c r="J15" s="25">
        <f t="array" aca="1" ref="J15" ca="1">IF(E15&gt;0,IFERROR(MIN(IF((DRind="G")*(DRcr=$C15)*(DRqtrlyavg&lt;&gt;"N/A"),DRqtrlyavg)),"-"),"-")</f>
        <v>42.208333333333336</v>
      </c>
      <c r="K15" s="24"/>
      <c r="L15" s="26">
        <f t="shared" ref="L15:N20" ca="1" si="4">IFERROR(T15/$E15,"")</f>
        <v>1</v>
      </c>
      <c r="M15" s="26">
        <f t="shared" ca="1" si="4"/>
        <v>0</v>
      </c>
      <c r="N15" s="26">
        <f t="shared" ca="1" si="4"/>
        <v>0</v>
      </c>
      <c r="O15" s="26">
        <f t="shared" ref="O15:O20" ca="1" si="5">IFERROR((U15+V15)/$E15,"")</f>
        <v>0</v>
      </c>
      <c r="T15" s="24">
        <f t="shared" ca="1" si="1"/>
        <v>4</v>
      </c>
      <c r="U15" s="24">
        <f t="shared" ca="1" si="2"/>
        <v>0</v>
      </c>
      <c r="V15" s="24">
        <f t="shared" ca="1" si="3"/>
        <v>0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IFERROR(COUNT(IF((DRind="G")*(DRcr=$C16)*(DRqtrlyavg&lt;&gt;"N/A"),DRqtrlyavg)),"")</f>
        <v>2</v>
      </c>
      <c r="F16" s="24"/>
      <c r="G16" s="25">
        <f t="array" aca="1" ref="G16" ca="1">IF(E16&gt;0,IFERROR(AVERAGE(IF((DRind="G")*(DRcr=$C16)*(DRqtrlyavg&lt;&gt;"N/A"),DRqtrlyavg)),"-"),"-")</f>
        <v>40.320833333333333</v>
      </c>
      <c r="H16" s="25">
        <f t="array" aca="1" ref="H16" ca="1">IF(E16&gt;0,IFERROR(MEDIAN(IF((DRind="G")*(DRcr=$C16)*(DRqtrlyavg&lt;&gt;"N/A"),DRqtrlyavg)),"-"),"-")</f>
        <v>40.320833333333333</v>
      </c>
      <c r="I16" s="25">
        <f t="array" aca="1" ref="I16" ca="1">IF(E16&gt;0,IFERROR(MAX(IF((DRind="G")*(DRcr=$C16)*(DRqtrlyavg&lt;&gt;"N/A"),DRqtrlyavg)),"-"),"-")</f>
        <v>51.116666666666667</v>
      </c>
      <c r="J16" s="25">
        <f t="array" aca="1" ref="J16" ca="1">IF(E16&gt;0,IFERROR(MIN(IF((DRind="G")*(DRcr=$C16)*(DRqtrlyavg&lt;&gt;"N/A"),DRqtrlyavg)),"-"),"-")</f>
        <v>29.525000000000002</v>
      </c>
      <c r="K16" s="24"/>
      <c r="L16" s="26">
        <f t="shared" ca="1" si="4"/>
        <v>0.5</v>
      </c>
      <c r="M16" s="26">
        <f t="shared" ca="1" si="4"/>
        <v>0.5</v>
      </c>
      <c r="N16" s="26">
        <f t="shared" ca="1" si="4"/>
        <v>0</v>
      </c>
      <c r="O16" s="26">
        <f t="shared" ca="1" si="5"/>
        <v>0.5</v>
      </c>
      <c r="T16" s="24">
        <f t="shared" ca="1" si="1"/>
        <v>1</v>
      </c>
      <c r="U16" s="24">
        <f t="shared" ca="1" si="2"/>
        <v>1</v>
      </c>
      <c r="V16" s="24">
        <f t="shared" ca="1" si="3"/>
        <v>0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IFERROR(COUNT(IF((DRind="G")*(DRcr=$C17)*(DRqtrlyavg&lt;&gt;"N/A"),DRqtrlyavg)),"")</f>
        <v>4</v>
      </c>
      <c r="F17" s="24"/>
      <c r="G17" s="25">
        <f t="array" aca="1" ref="G17" ca="1">IF(E17&gt;0,IFERROR(AVERAGE(IF((DRind="G")*(DRcr=$C17)*(DRqtrlyavg&lt;&gt;"N/A"),DRqtrlyavg)),"-"),"-")</f>
        <v>54.74583333333333</v>
      </c>
      <c r="H17" s="25">
        <f t="array" aca="1" ref="H17" ca="1">IF(E17&gt;0,IFERROR(MEDIAN(IF((DRind="G")*(DRcr=$C17)*(DRqtrlyavg&lt;&gt;"N/A"),DRqtrlyavg)),"-"),"-")</f>
        <v>52.020833333333336</v>
      </c>
      <c r="I17" s="25">
        <f t="array" aca="1" ref="I17" ca="1">IF(E17&gt;0,IFERROR(MAX(IF((DRind="G")*(DRcr=$C17)*(DRqtrlyavg&lt;&gt;"N/A"),DRqtrlyavg)),"-"),"-")</f>
        <v>64.8</v>
      </c>
      <c r="J17" s="25">
        <f t="array" aca="1" ref="J17" ca="1">IF(E17&gt;0,IFERROR(MIN(IF((DRind="G")*(DRcr=$C17)*(DRqtrlyavg&lt;&gt;"N/A"),DRqtrlyavg)),"-"),"-")</f>
        <v>50.141666666666659</v>
      </c>
      <c r="K17" s="24"/>
      <c r="L17" s="26">
        <f t="shared" ca="1" si="4"/>
        <v>0</v>
      </c>
      <c r="M17" s="26">
        <f t="shared" ca="1" si="4"/>
        <v>0.75</v>
      </c>
      <c r="N17" s="26">
        <f t="shared" ca="1" si="4"/>
        <v>0.25</v>
      </c>
      <c r="O17" s="26">
        <f t="shared" ca="1" si="5"/>
        <v>1</v>
      </c>
      <c r="T17" s="24">
        <f t="shared" ca="1" si="1"/>
        <v>0</v>
      </c>
      <c r="U17" s="24">
        <f t="shared" ca="1" si="2"/>
        <v>3</v>
      </c>
      <c r="V17" s="24">
        <f t="shared" ca="1" si="3"/>
        <v>1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IFERROR(COUNT(IF((DRind="G")*(DRcr=$C18)*(DRqtrlyavg&lt;&gt;"N/A"),DRqtrlyavg)),"")</f>
        <v>0</v>
      </c>
      <c r="F18" s="24"/>
      <c r="G18" s="25" t="str">
        <f t="array" aca="1" ref="G18" ca="1">IF(E18&gt;0,IFERROR(AVERAGE(IF((DRind="G")*(DRcr=$C18)*(DRqtrlyavg&lt;&gt;"N/A"),DRqtrlyavg)),"-"),"-")</f>
        <v>-</v>
      </c>
      <c r="H18" s="25" t="str">
        <f t="array" aca="1" ref="H18" ca="1">IF(E18&gt;0,IFERROR(MEDIAN(IF((DRind="G")*(DRcr=$C18)*(DRqtrlyavg&lt;&gt;"N/A"),DRqtrlyavg)),"-"),"-")</f>
        <v>-</v>
      </c>
      <c r="I18" s="25" t="str">
        <f t="array" aca="1" ref="I18" ca="1">IF(E18&gt;0,IFERROR(MAX(IF((DRind="G")*(DRcr=$C18)*(DRqtrlyavg&lt;&gt;"N/A"),DRqtrlyavg)),"-"),"-")</f>
        <v>-</v>
      </c>
      <c r="J18" s="25" t="str">
        <f t="array" aca="1" ref="J18" ca="1">IF(E18&gt;0,IFERROR(MIN(IF((DRind="G")*(DRcr=$C18)*(DRqtrlyavg&lt;&gt;"N/A"),DRqtrlyavg)),"-"),"-")</f>
        <v>-</v>
      </c>
      <c r="K18" s="24"/>
      <c r="L18" s="26" t="str">
        <f t="shared" ca="1" si="4"/>
        <v/>
      </c>
      <c r="M18" s="26" t="str">
        <f t="shared" ca="1" si="4"/>
        <v/>
      </c>
      <c r="N18" s="26" t="str">
        <f t="shared" ca="1" si="4"/>
        <v/>
      </c>
      <c r="O18" s="26" t="str">
        <f t="shared" ca="1" si="5"/>
        <v/>
      </c>
      <c r="T18" s="24">
        <f t="shared" ca="1" si="1"/>
        <v>0</v>
      </c>
      <c r="U18" s="24">
        <f t="shared" ca="1" si="2"/>
        <v>0</v>
      </c>
      <c r="V18" s="24">
        <f t="shared" ca="1" si="3"/>
        <v>0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IFERROR(COUNT(IF((DRind="G")*(DRcr=$C19)*(DRqtrlyavg&lt;&gt;"N/A"),DRqtrlyavg)),"")</f>
        <v>0</v>
      </c>
      <c r="F19" s="24"/>
      <c r="G19" s="25" t="str">
        <f t="array" aca="1" ref="G19" ca="1">IF(E19&gt;0,IFERROR(AVERAGE(IF((DRind="G")*(DRcr=$C19)*(DRqtrlyavg&lt;&gt;"N/A"),DRqtrlyavg)),"-"),"-")</f>
        <v>-</v>
      </c>
      <c r="H19" s="25" t="str">
        <f t="array" aca="1" ref="H19" ca="1">IF(E19&gt;0,IFERROR(MEDIAN(IF((DRind="G")*(DRcr=$C19)*(DRqtrlyavg&lt;&gt;"N/A"),DRqtrlyavg)),"-"),"-")</f>
        <v>-</v>
      </c>
      <c r="I19" s="25" t="str">
        <f t="array" aca="1" ref="I19" ca="1">IF(E19&gt;0,IFERROR(MAX(IF((DRind="G")*(DRcr=$C19)*(DRqtrlyavg&lt;&gt;"N/A"),DRqtrlyavg)),"-"),"-")</f>
        <v>-</v>
      </c>
      <c r="J19" s="25" t="str">
        <f t="array" aca="1" ref="J19" ca="1">IF(E19&gt;0,IFERROR(MIN(IF((DRind="G")*(DRcr=$C19)*(DRqtrlyavg&lt;&gt;"N/A"),DRqtrlyavg)),"-"),"-")</f>
        <v>-</v>
      </c>
      <c r="K19" s="24"/>
      <c r="L19" s="26" t="str">
        <f t="shared" ca="1" si="4"/>
        <v/>
      </c>
      <c r="M19" s="26" t="str">
        <f t="shared" ca="1" si="4"/>
        <v/>
      </c>
      <c r="N19" s="26" t="str">
        <f t="shared" ca="1" si="4"/>
        <v/>
      </c>
      <c r="O19" s="26" t="str">
        <f t="shared" ca="1" si="5"/>
        <v/>
      </c>
      <c r="T19" s="24">
        <f t="shared" ca="1" si="1"/>
        <v>0</v>
      </c>
      <c r="U19" s="24">
        <f t="shared" ca="1" si="2"/>
        <v>0</v>
      </c>
      <c r="V19" s="24">
        <f t="shared" ca="1" si="3"/>
        <v>0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IFERROR(COUNT(IF((DRind="G")*(DRcr=$C20)*(DRqtrlyavg&lt;&gt;"N/A"),DRqtrlyavg)),"")</f>
        <v>0</v>
      </c>
      <c r="F20" s="24"/>
      <c r="G20" s="25" t="str">
        <f t="array" aca="1" ref="G20" ca="1">IF(E20&gt;0,IFERROR(AVERAGE(IF((DRind="G")*(DRcr=$C20)*(DRqtrlyavg&lt;&gt;"N/A"),DRqtrlyavg)),"-"),"-")</f>
        <v>-</v>
      </c>
      <c r="H20" s="25" t="str">
        <f t="array" aca="1" ref="H20" ca="1">IF(E20&gt;0,IFERROR(MEDIAN(IF((DRind="G")*(DRcr=$C20)*(DRqtrlyavg&lt;&gt;"N/A"),DRqtrlyavg)),"-"),"-")</f>
        <v>-</v>
      </c>
      <c r="I20" s="25" t="str">
        <f t="array" aca="1" ref="I20" ca="1">IF(E20&gt;0,IFERROR(MAX(IF((DRind="G")*(DRcr=$C20)*(DRqtrlyavg&lt;&gt;"N/A"),DRqtrlyavg)),"-"),"-")</f>
        <v>-</v>
      </c>
      <c r="J20" s="25" t="str">
        <f t="array" aca="1" ref="J20" ca="1">IF(E20&gt;0,IFERROR(MIN(IF((DRind="G")*(DRcr=$C20)*(DRqtrlyavg&lt;&gt;"N/A"),DRqtrlyavg)),"-"),"-")</f>
        <v>-</v>
      </c>
      <c r="K20" s="24"/>
      <c r="L20" s="26" t="str">
        <f t="shared" ca="1" si="4"/>
        <v/>
      </c>
      <c r="M20" s="26" t="str">
        <f t="shared" ca="1" si="4"/>
        <v/>
      </c>
      <c r="N20" s="26" t="str">
        <f t="shared" ca="1" si="4"/>
        <v/>
      </c>
      <c r="O20" s="26" t="str">
        <f t="shared" ca="1" si="5"/>
        <v/>
      </c>
      <c r="T20" s="24">
        <f t="shared" ca="1" si="1"/>
        <v>0</v>
      </c>
      <c r="U20" s="24">
        <f t="shared" ca="1" si="2"/>
        <v>0</v>
      </c>
      <c r="V20" s="24">
        <f t="shared" ca="1" si="3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">
        <f ca="1">SUM(E13:E20)</f>
        <v>11</v>
      </c>
      <c r="F23" s="6"/>
      <c r="K23" s="4"/>
      <c r="T23" s="4">
        <f ca="1">SUM(T13:T20)</f>
        <v>5</v>
      </c>
      <c r="U23" s="4">
        <f ca="1">SUM(U13:U20)</f>
        <v>5</v>
      </c>
      <c r="V23" s="4">
        <f ca="1">SUM(V13:V20)</f>
        <v>1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48.6202178030303</v>
      </c>
      <c r="H24" s="30">
        <f ca="1">AVERAGE(H$13:H$20)</f>
        <v>48.149810606060605</v>
      </c>
      <c r="I24" s="30">
        <f ca="1">AVERAGE(I$13:I$20)</f>
        <v>54.395833333333329</v>
      </c>
      <c r="J24" s="30">
        <f ca="1">AVERAGE(J$13:J$20)</f>
        <v>43.785416666666663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'Debt Ratio Electric and Gas'!A28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11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IFERROR(COUNT(IF((DRind="G")*(DRcr=$C33)*(DRqtrlyvalues&lt;&gt;"-"),DRqtrlyvalues)),"")</f>
        <v>0</v>
      </c>
      <c r="F33" s="24"/>
      <c r="G33" s="25" t="str">
        <f t="array" aca="1" ref="G33" ca="1">IF(E33&gt;0,IFERROR(AVERAGE(IF((DRind="G")*(DRcr=$C33)*(DRqtrlyvalues&lt;&gt;"-"),DRqtrlyvalues)),"-"),"-")</f>
        <v>-</v>
      </c>
      <c r="H33" s="25" t="str">
        <f t="array" aca="1" ref="H33" ca="1">IF(E33&gt;0,IFERROR(MEDIAN(IF((DRind="G")*(DRcr=$C33)*(DRqtrlyvalues&lt;&gt;"-"),DRqtrlyvalues)),"-"),"-")</f>
        <v>-</v>
      </c>
      <c r="I33" s="25" t="str">
        <f t="array" aca="1" ref="I33" ca="1">IF(E33&gt;0,IFERROR(MAX(IF((DRind="G")*(DRcr=$C33)*(DRqtrlyvalues&lt;&gt;"-"),DRqtrlyvalues)),"-"),"-")</f>
        <v>-</v>
      </c>
      <c r="J33" s="25" t="str">
        <f t="array" aca="1" ref="J33" ca="1">IF(E33&gt;0,IFERROR(MIN(IF((DRind="G")*(DRcr=$C33)*(DRqtrlyvalues&lt;&gt;"-"),DRqtrlyvalues)),"-"),"-")</f>
        <v>-</v>
      </c>
      <c r="K33" s="24"/>
      <c r="L33" s="26" t="str">
        <f t="shared" ref="L33:N34" ca="1" si="6">IFERROR(T33/$E33,"")</f>
        <v/>
      </c>
      <c r="M33" s="26" t="str">
        <f t="shared" ca="1" si="6"/>
        <v/>
      </c>
      <c r="N33" s="26" t="str">
        <f t="shared" ca="1" si="6"/>
        <v/>
      </c>
      <c r="O33" s="26" t="str">
        <f ca="1">IFERROR((U33+V33)/$E33,"")</f>
        <v/>
      </c>
      <c r="T33" s="24">
        <f t="array" aca="1" ref="T33" ca="1">IFERROR(COUNT(IF((DRind="G")*(DRcr=$C33)*(DRqtrlyvalues&lt;50),DRqtrlyvalues)),"")</f>
        <v>0</v>
      </c>
      <c r="U33" s="24">
        <f t="shared" ref="U33:U40" ca="1" si="7">E33-T33-V33</f>
        <v>0</v>
      </c>
      <c r="V33" s="24">
        <f t="array" aca="1" ref="V33" ca="1">IFERROR(COUNT(IF((DRind="G")*(DRcr=$C33)*(DRqtrlyvalues&gt;55),DRqtrlyvalues)),"")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IFERROR(COUNT(IF((DRind="G")*(DRcr=$C34)*(DRqtrlyvalues&lt;&gt;"-"),DRqtrlyvalues)),"")</f>
        <v>12</v>
      </c>
      <c r="F34" s="24"/>
      <c r="G34" s="25">
        <f t="array" aca="1" ref="G34" ca="1">IF(E34&gt;0,IFERROR(AVERAGE(IF((DRind="G")*(DRcr=$C34)*(DRqtrlyvalues&lt;&gt;"-"),DRqtrlyvalues)),"-"),"-")</f>
        <v>53.266666666666652</v>
      </c>
      <c r="H34" s="25">
        <f t="array" aca="1" ref="H34" ca="1">IF(E34&gt;0,IFERROR(MEDIAN(IF((DRind="G")*(DRcr=$C34)*(DRqtrlyvalues&lt;&gt;"-"),DRqtrlyvalues)),"-"),"-")</f>
        <v>53.9</v>
      </c>
      <c r="I34" s="25">
        <f t="array" aca="1" ref="I34" ca="1">IF(E34&gt;0,IFERROR(MAX(IF((DRind="G")*(DRcr=$C34)*(DRqtrlyvalues&lt;&gt;"-"),DRqtrlyvalues)),"-"),"-")</f>
        <v>56.7</v>
      </c>
      <c r="J34" s="25">
        <f t="array" aca="1" ref="J34" ca="1">IF(E34&gt;0,IFERROR(MIN(IF((DRind="G")*(DRcr=$C34)*(DRqtrlyvalues&lt;&gt;"-"),DRqtrlyvalues)),"-"),"-")</f>
        <v>48.9</v>
      </c>
      <c r="K34" s="24"/>
      <c r="L34" s="26">
        <f t="shared" ca="1" si="6"/>
        <v>0.16666666666666666</v>
      </c>
      <c r="M34" s="26">
        <f t="shared" ca="1" si="6"/>
        <v>0.41666666666666669</v>
      </c>
      <c r="N34" s="26">
        <f t="shared" ca="1" si="6"/>
        <v>0.41666666666666669</v>
      </c>
      <c r="O34" s="26">
        <f ca="1">IFERROR((U34+V34)/$E34,"")</f>
        <v>0.83333333333333337</v>
      </c>
      <c r="T34" s="24">
        <f t="array" aca="1" ref="T34" ca="1">IFERROR(COUNT(IF((DRind="G")*(DRcr=$C34)*(DRqtrlyvalues&lt;50),DRqtrlyvalues)),"")</f>
        <v>2</v>
      </c>
      <c r="U34" s="24">
        <f t="shared" ref="U34" ca="1" si="8">E34-T34-V34</f>
        <v>5</v>
      </c>
      <c r="V34" s="24">
        <f t="array" aca="1" ref="V34" ca="1">IFERROR(COUNT(IF((DRind="G")*(DRcr=$C34)*(DRqtrlyvalues&gt;55),DRqtrlyvalues)),"")</f>
        <v>5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IFERROR(COUNT(IF((DRind="G")*(DRcr=$C35)*(DRqtrlyvalues&lt;&gt;"-"),DRqtrlyvalues)),"")</f>
        <v>47</v>
      </c>
      <c r="F35" s="24"/>
      <c r="G35" s="25">
        <f t="array" aca="1" ref="G35" ca="1">IF(E35&gt;0,IFERROR(AVERAGE(IF((DRind="G")*(DRcr=$C35)*(DRqtrlyvalues&lt;&gt;"-"),DRqtrlyvalues)),"-"),"-")</f>
        <v>46.146808510638309</v>
      </c>
      <c r="H35" s="25">
        <f t="array" aca="1" ref="H35" ca="1">IF(E35&gt;0,IFERROR(MEDIAN(IF((DRind="G")*(DRcr=$C35)*(DRqtrlyvalues&lt;&gt;"-"),DRqtrlyvalues)),"-"),"-")</f>
        <v>46.8</v>
      </c>
      <c r="I35" s="25">
        <f t="array" aca="1" ref="I35" ca="1">IF(E35&gt;0,IFERROR(MAX(IF((DRind="G")*(DRcr=$C35)*(DRqtrlyvalues&lt;&gt;"-"),DRqtrlyvalues)),"-"),"-")</f>
        <v>53.5</v>
      </c>
      <c r="J35" s="25">
        <f t="array" aca="1" ref="J35" ca="1">IF(E35&gt;0,IFERROR(MIN(IF((DRind="G")*(DRcr=$C35)*(DRqtrlyvalues&lt;&gt;"-"),DRqtrlyvalues)),"-"),"-")</f>
        <v>39.700000000000003</v>
      </c>
      <c r="K35" s="24"/>
      <c r="L35" s="26">
        <f t="shared" ref="L35:N40" ca="1" si="9">IFERROR(T35/$E35,"")</f>
        <v>0.91489361702127658</v>
      </c>
      <c r="M35" s="26">
        <f t="shared" ca="1" si="9"/>
        <v>8.5106382978723402E-2</v>
      </c>
      <c r="N35" s="26">
        <f t="shared" ca="1" si="9"/>
        <v>0</v>
      </c>
      <c r="O35" s="26">
        <f t="shared" ref="O35:O40" ca="1" si="10">IFERROR((U35+V35)/$E35,"")</f>
        <v>8.5106382978723402E-2</v>
      </c>
      <c r="T35" s="24">
        <f t="array" aca="1" ref="T35" ca="1">IFERROR(COUNT(IF((DRind="G")*(DRcr=$C35)*(DRqtrlyvalues&lt;50),DRqtrlyvalues)),"")</f>
        <v>43</v>
      </c>
      <c r="U35" s="24">
        <f t="shared" ca="1" si="7"/>
        <v>4</v>
      </c>
      <c r="V35" s="24">
        <f t="array" aca="1" ref="V35" ca="1">IFERROR(COUNT(IF((DRind="G")*(DRcr=$C35)*(DRqtrlyvalues&gt;55),DRqtrlyvalues)),"")</f>
        <v>0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IFERROR(COUNT(IF((DRind="G")*(DRcr=$C36)*(DRqtrlyvalues&lt;&gt;"-"),DRqtrlyvalues)),"")</f>
        <v>24</v>
      </c>
      <c r="F36" s="24"/>
      <c r="G36" s="25">
        <f t="array" aca="1" ref="G36" ca="1">IF(E36&gt;0,IFERROR(AVERAGE(IF((DRind="G")*(DRcr=$C36)*(DRqtrlyvalues&lt;&gt;"-"),DRqtrlyvalues)),"-"),"-")</f>
        <v>40.320833333333333</v>
      </c>
      <c r="H36" s="25">
        <f t="array" aca="1" ref="H36" ca="1">IF(E36&gt;0,IFERROR(MEDIAN(IF((DRind="G")*(DRcr=$C36)*(DRqtrlyvalues&lt;&gt;"-"),DRqtrlyvalues)),"-"),"-")</f>
        <v>41.650000000000006</v>
      </c>
      <c r="I36" s="25">
        <f t="array" aca="1" ref="I36" ca="1">IF(E36&gt;0,IFERROR(MAX(IF((DRind="G")*(DRcr=$C36)*(DRqtrlyvalues&lt;&gt;"-"),DRqtrlyvalues)),"-"),"-")</f>
        <v>53.6</v>
      </c>
      <c r="J36" s="25">
        <f t="array" aca="1" ref="J36" ca="1">IF(E36&gt;0,IFERROR(MIN(IF((DRind="G")*(DRcr=$C36)*(DRqtrlyvalues&lt;&gt;"-"),DRqtrlyvalues)),"-"),"-")</f>
        <v>21.5</v>
      </c>
      <c r="K36" s="24"/>
      <c r="L36" s="26">
        <f t="shared" ca="1" si="9"/>
        <v>0.58333333333333337</v>
      </c>
      <c r="M36" s="26">
        <f t="shared" ca="1" si="9"/>
        <v>0.41666666666666669</v>
      </c>
      <c r="N36" s="26">
        <f t="shared" ca="1" si="9"/>
        <v>0</v>
      </c>
      <c r="O36" s="26">
        <f t="shared" ca="1" si="10"/>
        <v>0.41666666666666669</v>
      </c>
      <c r="T36" s="24">
        <f t="array" aca="1" ref="T36" ca="1">IFERROR(COUNT(IF((DRind="G")*(DRcr=$C36)*(DRqtrlyvalues&lt;50),DRqtrlyvalues)),"")</f>
        <v>14</v>
      </c>
      <c r="U36" s="24">
        <f t="shared" ca="1" si="7"/>
        <v>10</v>
      </c>
      <c r="V36" s="24">
        <f t="array" aca="1" ref="V36" ca="1">IFERROR(COUNT(IF((DRind="G")*(DRcr=$C36)*(DRqtrlyvalues&gt;55),DRqtrlyvalues)),"")</f>
        <v>0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IFERROR(COUNT(IF((DRind="G")*(DRcr=$C37)*(DRqtrlyvalues&lt;&gt;"-"),DRqtrlyvalues)),"")</f>
        <v>38</v>
      </c>
      <c r="F37" s="24"/>
      <c r="G37" s="25">
        <f t="array" aca="1" ref="G37" ca="1">IF(E37&gt;0,IFERROR(AVERAGE(IF((DRind="G")*(DRcr=$C37)*(DRqtrlyvalues&lt;&gt;"-"),DRqtrlyvalues)),"-"),"-")</f>
        <v>55.626315789473686</v>
      </c>
      <c r="H37" s="25">
        <f t="array" aca="1" ref="H37" ca="1">IF(E37&gt;0,IFERROR(MEDIAN(IF((DRind="G")*(DRcr=$C37)*(DRqtrlyvalues&lt;&gt;"-"),DRqtrlyvalues)),"-"),"-")</f>
        <v>52.8</v>
      </c>
      <c r="I37" s="25">
        <f t="array" aca="1" ref="I37" ca="1">IF(E37&gt;0,IFERROR(MAX(IF((DRind="G")*(DRcr=$C37)*(DRqtrlyvalues&lt;&gt;"-"),DRqtrlyvalues)),"-"),"-")</f>
        <v>68.5</v>
      </c>
      <c r="J37" s="25">
        <f t="array" aca="1" ref="J37" ca="1">IF(E37&gt;0,IFERROR(MIN(IF((DRind="G")*(DRcr=$C37)*(DRqtrlyvalues&lt;&gt;"-"),DRqtrlyvalues)),"-"),"-")</f>
        <v>46.7</v>
      </c>
      <c r="K37" s="24"/>
      <c r="L37" s="26">
        <f t="shared" ca="1" si="9"/>
        <v>0.15789473684210525</v>
      </c>
      <c r="M37" s="26">
        <f t="shared" ca="1" si="9"/>
        <v>0.5</v>
      </c>
      <c r="N37" s="26">
        <f t="shared" ca="1" si="9"/>
        <v>0.34210526315789475</v>
      </c>
      <c r="O37" s="26">
        <f t="shared" ca="1" si="10"/>
        <v>0.84210526315789469</v>
      </c>
      <c r="T37" s="24">
        <f t="array" aca="1" ref="T37" ca="1">IFERROR(COUNT(IF((DRind="G")*(DRcr=$C37)*(DRqtrlyvalues&lt;50),DRqtrlyvalues)),"")</f>
        <v>6</v>
      </c>
      <c r="U37" s="24">
        <f t="shared" ca="1" si="7"/>
        <v>19</v>
      </c>
      <c r="V37" s="24">
        <f t="array" aca="1" ref="V37" ca="1">IFERROR(COUNT(IF((DRind="G")*(DRcr=$C37)*(DRqtrlyvalues&gt;55),DRqtrlyvalues)),"")</f>
        <v>13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IFERROR(COUNT(IF((DRind="G")*(DRcr=$C38)*(DRqtrlyvalues&lt;&gt;"-"),DRqtrlyvalues)),"")</f>
        <v>0</v>
      </c>
      <c r="F38" s="24"/>
      <c r="G38" s="25" t="str">
        <f t="array" aca="1" ref="G38" ca="1">IF(E38&gt;0,IFERROR(AVERAGE(IF((DRind="G")*(DRcr=$C38)*(DRqtrlyvalues&lt;&gt;"-"),DRqtrlyvalues)),"-"),"-")</f>
        <v>-</v>
      </c>
      <c r="H38" s="25" t="str">
        <f t="array" aca="1" ref="H38" ca="1">IF(E38&gt;0,IFERROR(MEDIAN(IF((DRind="G")*(DRcr=$C38)*(DRqtrlyvalues&lt;&gt;"-"),DRqtrlyvalues)),"-"),"-")</f>
        <v>-</v>
      </c>
      <c r="I38" s="25" t="str">
        <f t="array" aca="1" ref="I38" ca="1">IF(E38&gt;0,IFERROR(MAX(IF((DRind="G")*(DRcr=$C38)*(DRqtrlyvalues&lt;&gt;"-"),DRqtrlyvalues)),"-"),"-")</f>
        <v>-</v>
      </c>
      <c r="J38" s="25" t="str">
        <f t="array" aca="1" ref="J38" ca="1">IF(E38&gt;0,IFERROR(MIN(IF((DRind="G")*(DRcr=$C38)*(DRqtrlyvalues&lt;&gt;"-"),DRqtrlyvalues)),"-"),"-")</f>
        <v>-</v>
      </c>
      <c r="K38" s="24"/>
      <c r="L38" s="26" t="str">
        <f t="shared" ca="1" si="9"/>
        <v/>
      </c>
      <c r="M38" s="26" t="str">
        <f t="shared" ca="1" si="9"/>
        <v/>
      </c>
      <c r="N38" s="26" t="str">
        <f t="shared" ca="1" si="9"/>
        <v/>
      </c>
      <c r="O38" s="26" t="str">
        <f t="shared" ca="1" si="10"/>
        <v/>
      </c>
      <c r="T38" s="24">
        <f t="array" aca="1" ref="T38" ca="1">IFERROR(COUNT(IF((DRind="G")*(DRcr=$C38)*(DRqtrlyvalues&lt;50),DRqtrlyvalues)),"")</f>
        <v>0</v>
      </c>
      <c r="U38" s="24">
        <f t="shared" ca="1" si="7"/>
        <v>0</v>
      </c>
      <c r="V38" s="24">
        <f t="array" aca="1" ref="V38" ca="1">IFERROR(COUNT(IF((DRind="G")*(DRcr=$C38)*(DRqtrlyvalues&gt;55),DRqtrlyvalues)),"")</f>
        <v>0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IFERROR(COUNT(IF((DRind="G")*(DRcr=$C39)*(DRqtrlyvalues&lt;&gt;"-"),DRqtrlyvalues)),"")</f>
        <v>0</v>
      </c>
      <c r="F39" s="24"/>
      <c r="G39" s="25" t="str">
        <f t="array" aca="1" ref="G39" ca="1">IF(E39&gt;0,IFERROR(AVERAGE(IF((DRind="G")*(DRcr=$C39)*(DRqtrlyvalues&lt;&gt;"-"),DRqtrlyvalues)),"-"),"-")</f>
        <v>-</v>
      </c>
      <c r="H39" s="25" t="str">
        <f t="array" aca="1" ref="H39" ca="1">IF(E39&gt;0,IFERROR(MEDIAN(IF((DRind="G")*(DRcr=$C39)*(DRqtrlyvalues&lt;&gt;"-"),DRqtrlyvalues)),"-"),"-")</f>
        <v>-</v>
      </c>
      <c r="I39" s="25" t="str">
        <f t="array" aca="1" ref="I39" ca="1">IF(E39&gt;0,IFERROR(MAX(IF((DRind="G")*(DRcr=$C39)*(DRqtrlyvalues&lt;&gt;"-"),DRqtrlyvalues)),"-"),"-")</f>
        <v>-</v>
      </c>
      <c r="J39" s="25" t="str">
        <f t="array" aca="1" ref="J39" ca="1">IF(E39&gt;0,IFERROR(MIN(IF((DRind="G")*(DRcr=$C39)*(DRqtrlyvalues&lt;&gt;"-"),DRqtrlyvalues)),"-"),"-")</f>
        <v>-</v>
      </c>
      <c r="K39" s="24"/>
      <c r="L39" s="26" t="str">
        <f t="shared" ca="1" si="9"/>
        <v/>
      </c>
      <c r="M39" s="26" t="str">
        <f t="shared" ca="1" si="9"/>
        <v/>
      </c>
      <c r="N39" s="26" t="str">
        <f t="shared" ca="1" si="9"/>
        <v/>
      </c>
      <c r="O39" s="26" t="str">
        <f t="shared" ca="1" si="10"/>
        <v/>
      </c>
      <c r="T39" s="24">
        <f t="array" aca="1" ref="T39" ca="1">IFERROR(COUNT(IF((DRind="G")*(DRcr=$C39)*(DRqtrlyvalues&lt;50),DRqtrlyvalues)),"")</f>
        <v>0</v>
      </c>
      <c r="U39" s="24">
        <f t="shared" ca="1" si="7"/>
        <v>0</v>
      </c>
      <c r="V39" s="24">
        <f t="array" aca="1" ref="V39" ca="1">IFERROR(COUNT(IF((DRind="G")*(DRcr=$C39)*(DRqtrlyvalues&gt;55),DRqtrlyvalues)),"")</f>
        <v>0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IFERROR(COUNT(IF((DRind="G")*(DRcr=$C40)*(DRqtrlyvalues&lt;&gt;"-"),DRqtrlyvalues)),"")</f>
        <v>0</v>
      </c>
      <c r="F40" s="24"/>
      <c r="G40" s="25" t="str">
        <f t="array" aca="1" ref="G40" ca="1">IF(E40&gt;0,IFERROR(AVERAGE(IF((DRind="G")*(DRcr=$C40)*(DRqtrlyvalues&lt;&gt;"-"),DRqtrlyvalues)),"-"),"-")</f>
        <v>-</v>
      </c>
      <c r="H40" s="25" t="str">
        <f t="array" aca="1" ref="H40" ca="1">IF(E40&gt;0,IFERROR(MEDIAN(IF((DRind="G")*(DRcr=$C40)*(DRqtrlyvalues&lt;&gt;"-"),DRqtrlyvalues)),"-"),"-")</f>
        <v>-</v>
      </c>
      <c r="I40" s="25" t="str">
        <f t="array" aca="1" ref="I40" ca="1">IF(E40&gt;0,IFERROR(MAX(IF((DRind="G")*(DRcr=$C40)*(DRqtrlyvalues&lt;&gt;"-"),DRqtrlyvalues)),"-"),"-")</f>
        <v>-</v>
      </c>
      <c r="J40" s="25" t="str">
        <f t="array" aca="1" ref="J40" ca="1">IF(E40&gt;0,IFERROR(MIN(IF((DRind="G")*(DRcr=$C40)*(DRqtrlyvalues&lt;&gt;"-"),DRqtrlyvalues)),"-"),"-")</f>
        <v>-</v>
      </c>
      <c r="K40" s="24"/>
      <c r="L40" s="26" t="str">
        <f t="shared" ca="1" si="9"/>
        <v/>
      </c>
      <c r="M40" s="26" t="str">
        <f t="shared" ca="1" si="9"/>
        <v/>
      </c>
      <c r="N40" s="26" t="str">
        <f t="shared" ca="1" si="9"/>
        <v/>
      </c>
      <c r="O40" s="26" t="str">
        <f t="shared" ca="1" si="10"/>
        <v/>
      </c>
      <c r="T40" s="24">
        <f t="array" aca="1" ref="T40" ca="1">IFERROR(COUNT(IF((DRind="G")*(DRcr=$C40)*(DRqtrlyvalues&lt;50),DRqtrlyvalues)),"")</f>
        <v>0</v>
      </c>
      <c r="U40" s="24">
        <f t="shared" ca="1" si="7"/>
        <v>0</v>
      </c>
      <c r="V40" s="24">
        <f t="array" aca="1" ref="V40" ca="1">IFERROR(COUNT(IF((DRind="G")*(DRcr=$C40)*(DRqtrlyvalues&gt;55),DRqtrlyvalues)),"")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121</v>
      </c>
      <c r="F43" s="6"/>
      <c r="K43" s="4"/>
      <c r="T43" s="4">
        <f ca="1">SUM(T33:T40)</f>
        <v>65</v>
      </c>
      <c r="U43" s="4">
        <f ca="1">SUM(U33:U40)</f>
        <v>38</v>
      </c>
      <c r="V43" s="4">
        <f ca="1">SUM(V33:V40)</f>
        <v>18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48.840156075027998</v>
      </c>
      <c r="H44" s="33">
        <f ca="1">AVERAGE(H$33:H$40)</f>
        <v>48.787499999999994</v>
      </c>
      <c r="I44" s="33">
        <f ca="1">AVERAGE(I$33:I$40)</f>
        <v>58.075000000000003</v>
      </c>
      <c r="J44" s="33">
        <f ca="1">AVERAGE(J$33:J$40)</f>
        <v>39.200000000000003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tr">
        <f>'Debt Ratio Electric and Gas'!$C$49</f>
        <v>S&amp;P Capital IQ, downloaded September 28, 2017.</v>
      </c>
    </row>
  </sheetData>
  <mergeCells count="12">
    <mergeCell ref="T9:V9"/>
    <mergeCell ref="A28:N28"/>
    <mergeCell ref="G29:H29"/>
    <mergeCell ref="J29:K29"/>
    <mergeCell ref="L29:N29"/>
    <mergeCell ref="A1:N1"/>
    <mergeCell ref="A4:N4"/>
    <mergeCell ref="A5:N5"/>
    <mergeCell ref="A8:N8"/>
    <mergeCell ref="G9:H9"/>
    <mergeCell ref="J9:K9"/>
    <mergeCell ref="L9:N9"/>
  </mergeCells>
  <printOptions horizontalCentered="1"/>
  <pageMargins left="0.7" right="0.7" top="1" bottom="0.75" header="0.55000000000000004" footer="0.51"/>
  <pageSetup scale="80" orientation="portrait" r:id="rId1"/>
  <headerFooter>
    <oddHeader>&amp;R&amp;13Exhibit MPG-2
Page 6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657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604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DebtRatios!$H$5&amp;" Quarter Average - %"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43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IFERROR(COUNT(IF((FFOcr=$C13)*(FFOqtrlyavg&lt;&gt;"N/A"),FFOqtrlyavg)),"")</f>
        <v>1</v>
      </c>
      <c r="F13" s="24"/>
      <c r="G13" s="25">
        <f t="array" aca="1" ref="G13" ca="1">IF(E13&gt;0,IFERROR(AVERAGE(IF((FFOcr=$C13)*(FFOqtrlyavg&lt;&gt;"N/A"),FFOqtrlyavg)),"-"),"-")</f>
        <v>28.883333333333336</v>
      </c>
      <c r="H13" s="25">
        <f t="array" aca="1" ref="H13" ca="1">IF(E13&gt;0,IFERROR(MEDIAN(IF((FFOcr=$C13)*(FFOqtrlyavg&lt;&gt;"N/A"),FFOqtrlyavg)),"-"),"-")</f>
        <v>28.883333333333336</v>
      </c>
      <c r="I13" s="25">
        <f t="array" aca="1" ref="I13" ca="1">IF(E13&gt;0,IFERROR(MAX(IF((FFOcr=$C13)*(FFOqtrlyavg&lt;&gt;"N/A"),FFOqtrlyavg)),"-"),"-")</f>
        <v>28.883333333333336</v>
      </c>
      <c r="J13" s="25">
        <f t="array" aca="1" ref="J13" ca="1">IF(E13&gt;0,IFERROR(MIN(IF((FFOcr=$C13)*(FFOqtrlyavg&lt;&gt;"N/A"),FFOqtrlyavg)),"-"),"-")</f>
        <v>28.883333333333336</v>
      </c>
      <c r="K13" s="24"/>
      <c r="L13" s="26">
        <f t="shared" ref="L13:N14" ca="1" si="0">IFERROR(T13/$E13,"")</f>
        <v>1</v>
      </c>
      <c r="M13" s="26">
        <f t="shared" ca="1" si="0"/>
        <v>0</v>
      </c>
      <c r="N13" s="26">
        <f t="shared" ca="1" si="0"/>
        <v>0</v>
      </c>
      <c r="O13" s="26">
        <f t="shared" ref="O13:O19" ca="1" si="1">IFERROR((U13+V13)/$E13,"")</f>
        <v>0</v>
      </c>
      <c r="T13" s="24">
        <f t="array" aca="1" ref="T13" ca="1">COUNTIFS(FFOcr,$C13,FFOqtrlyavg,"&lt;50")</f>
        <v>1</v>
      </c>
      <c r="U13" s="24">
        <f t="array" aca="1" ref="U13" ca="1">COUNTIFS(FFOcr,$C13,FFOqtrlyavg,"&gt;=50",FFOqtrlyavg,"&lt;=55")</f>
        <v>0</v>
      </c>
      <c r="V13" s="24">
        <f t="shared" ref="V13:V20" ca="1" si="2">COUNTIFS(FFOcr,$C13,FFOqtrlyavg,"&gt;55")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IFERROR(COUNT(IF((FFOcr=$C14)*(FFOqtrlyavg&lt;&gt;"N/A"),FFOqtrlyavg)),"")</f>
        <v>1</v>
      </c>
      <c r="F14" s="24"/>
      <c r="G14" s="25">
        <f t="array" aca="1" ref="G14" ca="1">IF(E14&gt;0,IFERROR(AVERAGE(IF((FFOcr=$C14)*(FFOqtrlyavg&lt;&gt;"N/A"),FFOqtrlyavg)),"-"),"-")</f>
        <v>20.639999999999997</v>
      </c>
      <c r="H14" s="25">
        <f t="array" aca="1" ref="H14" ca="1">IF(E14&gt;0,IFERROR(MEDIAN(IF((FFOcr=$C14)*(FFOqtrlyavg&lt;&gt;"N/A"),FFOqtrlyavg)),"-"),"-")</f>
        <v>20.639999999999997</v>
      </c>
      <c r="I14" s="25">
        <f t="array" aca="1" ref="I14" ca="1">IF(E14&gt;0,IFERROR(MAX(IF((FFOcr=$C14)*(FFOqtrlyavg&lt;&gt;"N/A"),FFOqtrlyavg)),"-"),"-")</f>
        <v>20.639999999999997</v>
      </c>
      <c r="J14" s="25">
        <f t="array" aca="1" ref="J14" ca="1">IF(E14&gt;0,IFERROR(MIN(IF((FFOcr=$C14)*(FFOqtrlyavg&lt;&gt;"N/A"),FFOqtrlyavg)),"-"),"-")</f>
        <v>20.639999999999997</v>
      </c>
      <c r="K14" s="24"/>
      <c r="L14" s="26">
        <f t="shared" ca="1" si="0"/>
        <v>1</v>
      </c>
      <c r="M14" s="26">
        <f t="shared" ca="1" si="0"/>
        <v>0</v>
      </c>
      <c r="N14" s="26">
        <f t="shared" ca="1" si="0"/>
        <v>0</v>
      </c>
      <c r="O14" s="26">
        <f t="shared" ref="O14" ca="1" si="3">IFERROR((U14+V14)/$E14,"")</f>
        <v>0</v>
      </c>
      <c r="T14" s="24">
        <f t="array" aca="1" ref="T14" ca="1">COUNTIFS(FFOcr,$C14,FFOqtrlyavg,"&lt;50")</f>
        <v>1</v>
      </c>
      <c r="U14" s="24">
        <f t="array" aca="1" ref="U14" ca="1">COUNTIFS(FFOcr,$C14,FFOqtrlyavg,"&gt;=50",FFOqtrlyavg,"&lt;=55")</f>
        <v>0</v>
      </c>
      <c r="V14" s="24">
        <f t="shared" ca="1" si="2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IFERROR(COUNT(IF((FFOcr=$C15)*(FFOqtrlyavg&lt;&gt;"N/A"),FFOqtrlyavg)),"")</f>
        <v>12</v>
      </c>
      <c r="F15" s="24"/>
      <c r="G15" s="25">
        <f t="array" aca="1" ref="G15" ca="1">IF(E15&gt;0,IFERROR(AVERAGE(IF((FFOcr=$C15)*(FFOqtrlyavg&lt;&gt;"N/A"),FFOqtrlyavg)),"-"),"-")</f>
        <v>25.946515151515158</v>
      </c>
      <c r="H15" s="25">
        <f t="array" aca="1" ref="H15" ca="1">IF(E15&gt;0,IFERROR(MEDIAN(IF((FFOcr=$C15)*(FFOqtrlyavg&lt;&gt;"N/A"),FFOqtrlyavg)),"-"),"-")</f>
        <v>25.295833333333327</v>
      </c>
      <c r="I15" s="25">
        <f t="array" aca="1" ref="I15" ca="1">IF(E15&gt;0,IFERROR(MAX(IF((FFOcr=$C15)*(FFOqtrlyavg&lt;&gt;"N/A"),FFOqtrlyavg)),"-"),"-")</f>
        <v>34.448666666666668</v>
      </c>
      <c r="J15" s="25">
        <f t="array" aca="1" ref="J15" ca="1">IF(E15&gt;0,IFERROR(MIN(IF((FFOcr=$C15)*(FFOqtrlyavg&lt;&gt;"N/A"),FFOqtrlyavg)),"-"),"-")</f>
        <v>22.091666666666669</v>
      </c>
      <c r="K15" s="24"/>
      <c r="L15" s="26">
        <f t="shared" ref="L15:N19" ca="1" si="4">IFERROR(T15/$E15,"")</f>
        <v>1</v>
      </c>
      <c r="M15" s="26">
        <f t="shared" ca="1" si="4"/>
        <v>0</v>
      </c>
      <c r="N15" s="26">
        <f t="shared" ca="1" si="4"/>
        <v>0</v>
      </c>
      <c r="O15" s="26">
        <f t="shared" ca="1" si="1"/>
        <v>0</v>
      </c>
      <c r="T15" s="24">
        <f t="array" aca="1" ref="T15" ca="1">COUNTIFS(FFOcr,$C15,FFOqtrlyavg,"&lt;50")</f>
        <v>12</v>
      </c>
      <c r="U15" s="24">
        <f t="array" aca="1" ref="U15" ca="1">COUNTIFS(FFOcr,$C15,FFOqtrlyavg,"&gt;=50",FFOqtrlyavg,"&lt;=55")</f>
        <v>0</v>
      </c>
      <c r="V15" s="24">
        <f t="shared" ca="1" si="2"/>
        <v>0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IFERROR(COUNT(IF((FFOcr=$C16)*(FFOqtrlyavg&lt;&gt;"N/A"),FFOqtrlyavg)),"")</f>
        <v>49</v>
      </c>
      <c r="F16" s="24"/>
      <c r="G16" s="25">
        <f t="array" aca="1" ref="G16" ca="1">IF(E16&gt;0,IFERROR(AVERAGE(IF((FFOcr=$C16)*(FFOqtrlyavg&lt;&gt;"N/A"),FFOqtrlyavg)),"-"),"-")</f>
        <v>23.862410813676117</v>
      </c>
      <c r="H16" s="25">
        <f t="array" aca="1" ref="H16" ca="1">IF(E16&gt;0,IFERROR(MEDIAN(IF((FFOcr=$C16)*(FFOqtrlyavg&lt;&gt;"N/A"),FFOqtrlyavg)),"-"),"-")</f>
        <v>23.141666666666666</v>
      </c>
      <c r="I16" s="25">
        <f t="array" aca="1" ref="I16" ca="1">IF(E16&gt;0,IFERROR(MAX(IF((FFOcr=$C16)*(FFOqtrlyavg&lt;&gt;"N/A"),FFOqtrlyavg)),"-"),"-")</f>
        <v>41.826666666666668</v>
      </c>
      <c r="J16" s="25">
        <f t="array" aca="1" ref="J16" ca="1">IF(E16&gt;0,IFERROR(MIN(IF((FFOcr=$C16)*(FFOqtrlyavg&lt;&gt;"N/A"),FFOqtrlyavg)),"-"),"-")</f>
        <v>13.304166666666665</v>
      </c>
      <c r="K16" s="24"/>
      <c r="L16" s="26">
        <f t="shared" ca="1" si="4"/>
        <v>1</v>
      </c>
      <c r="M16" s="26">
        <f t="shared" ca="1" si="4"/>
        <v>0</v>
      </c>
      <c r="N16" s="26">
        <f t="shared" ca="1" si="4"/>
        <v>0</v>
      </c>
      <c r="O16" s="26">
        <f t="shared" ca="1" si="1"/>
        <v>0</v>
      </c>
      <c r="T16" s="24">
        <f t="array" aca="1" ref="T16" ca="1">COUNTIFS(FFOcr,$C16,FFOqtrlyavg,"&lt;50")</f>
        <v>49</v>
      </c>
      <c r="U16" s="24">
        <f t="array" aca="1" ref="U16" ca="1">COUNTIFS(FFOcr,$C16,FFOqtrlyavg,"&gt;=50",FFOqtrlyavg,"&lt;=55")</f>
        <v>0</v>
      </c>
      <c r="V16" s="24">
        <f t="shared" ca="1" si="2"/>
        <v>0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IFERROR(COUNT(IF((FFOcr=$C17)*(FFOqtrlyavg&lt;&gt;"N/A"),FFOqtrlyavg)),"")</f>
        <v>27</v>
      </c>
      <c r="F17" s="24"/>
      <c r="G17" s="25">
        <f t="array" aca="1" ref="G17" ca="1">IF(E17&gt;0,IFERROR(AVERAGE(IF((FFOcr=$C17)*(FFOqtrlyavg&lt;&gt;"N/A"),FFOqtrlyavg)),"-"),"-")</f>
        <v>21.590925925925923</v>
      </c>
      <c r="H17" s="25">
        <f t="array" aca="1" ref="H17" ca="1">IF(E17&gt;0,IFERROR(MEDIAN(IF((FFOcr=$C17)*(FFOqtrlyavg&lt;&gt;"N/A"),FFOqtrlyavg)),"-"),"-")</f>
        <v>23.324999999999999</v>
      </c>
      <c r="I17" s="25">
        <f t="array" aca="1" ref="I17" ca="1">IF(E17&gt;0,IFERROR(MAX(IF((FFOcr=$C17)*(FFOqtrlyavg&lt;&gt;"N/A"),FFOqtrlyavg)),"-"),"-")</f>
        <v>30.733333333333334</v>
      </c>
      <c r="J17" s="25">
        <f t="array" aca="1" ref="J17" ca="1">IF(E17&gt;0,IFERROR(MIN(IF((FFOcr=$C17)*(FFOqtrlyavg&lt;&gt;"N/A"),FFOqtrlyavg)),"-"),"-")</f>
        <v>11.203333333333333</v>
      </c>
      <c r="K17" s="24"/>
      <c r="L17" s="26">
        <f t="shared" ca="1" si="4"/>
        <v>1</v>
      </c>
      <c r="M17" s="26">
        <f t="shared" ca="1" si="4"/>
        <v>0</v>
      </c>
      <c r="N17" s="26">
        <f t="shared" ca="1" si="4"/>
        <v>0</v>
      </c>
      <c r="O17" s="26">
        <f t="shared" ca="1" si="1"/>
        <v>0</v>
      </c>
      <c r="T17" s="24">
        <f t="array" aca="1" ref="T17" ca="1">COUNTIFS(FFOcr,$C17,FFOqtrlyavg,"&lt;50")</f>
        <v>27</v>
      </c>
      <c r="U17" s="24">
        <f t="array" aca="1" ref="U17" ca="1">COUNTIFS(FFOcr,$C17,FFOqtrlyavg,"&gt;=50",FFOqtrlyavg,"&lt;=55")</f>
        <v>0</v>
      </c>
      <c r="V17" s="24">
        <f t="shared" ca="1" si="2"/>
        <v>0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IFERROR(COUNT(IF((FFOcr=$C18)*(FFOqtrlyavg&lt;&gt;"N/A"),FFOqtrlyavg)),"")</f>
        <v>8</v>
      </c>
      <c r="F18" s="24"/>
      <c r="G18" s="25">
        <f t="array" aca="1" ref="G18" ca="1">IF(E18&gt;0,IFERROR(AVERAGE(IF((FFOcr=$C18)*(FFOqtrlyavg&lt;&gt;"N/A"),FFOqtrlyavg)),"-"),"-")</f>
        <v>19.839062499999997</v>
      </c>
      <c r="H18" s="25">
        <f t="array" aca="1" ref="H18" ca="1">IF(E18&gt;0,IFERROR(MEDIAN(IF((FFOcr=$C18)*(FFOqtrlyavg&lt;&gt;"N/A"),FFOqtrlyavg)),"-"),"-")</f>
        <v>19.399999999999999</v>
      </c>
      <c r="I18" s="25">
        <f t="array" aca="1" ref="I18" ca="1">IF(E18&gt;0,IFERROR(MAX(IF((FFOcr=$C18)*(FFOqtrlyavg&lt;&gt;"N/A"),FFOqtrlyavg)),"-"),"-")</f>
        <v>25.566666666666666</v>
      </c>
      <c r="J18" s="25">
        <f t="array" aca="1" ref="J18" ca="1">IF(E18&gt;0,IFERROR(MIN(IF((FFOcr=$C18)*(FFOqtrlyavg&lt;&gt;"N/A"),FFOqtrlyavg)),"-"),"-")</f>
        <v>14.2875</v>
      </c>
      <c r="K18" s="24"/>
      <c r="L18" s="26">
        <f t="shared" ca="1" si="4"/>
        <v>1</v>
      </c>
      <c r="M18" s="26">
        <f t="shared" ca="1" si="4"/>
        <v>0</v>
      </c>
      <c r="N18" s="26">
        <f t="shared" ca="1" si="4"/>
        <v>0</v>
      </c>
      <c r="O18" s="26">
        <f t="shared" ca="1" si="1"/>
        <v>0</v>
      </c>
      <c r="T18" s="24">
        <f t="array" aca="1" ref="T18" ca="1">COUNTIFS(FFOcr,$C18,FFOqtrlyavg,"&lt;50")</f>
        <v>8</v>
      </c>
      <c r="U18" s="24">
        <f t="array" aca="1" ref="U18" ca="1">COUNTIFS(FFOcr,$C18,FFOqtrlyavg,"&gt;=50",FFOqtrlyavg,"&lt;=55")</f>
        <v>0</v>
      </c>
      <c r="V18" s="24">
        <f t="shared" ca="1" si="2"/>
        <v>0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IFERROR(COUNT(IF((FFOcr=$C19)*(FFOqtrlyavg&lt;&gt;"N/A"),FFOqtrlyavg)),"")</f>
        <v>10</v>
      </c>
      <c r="F19" s="24"/>
      <c r="G19" s="25">
        <f t="array" aca="1" ref="G19" ca="1">IF(E19&gt;0,IFERROR(AVERAGE(IF((FFOcr=$C19)*(FFOqtrlyavg&lt;&gt;"N/A"),FFOqtrlyavg)),"-"),"-")</f>
        <v>19.319347727272724</v>
      </c>
      <c r="H19" s="25">
        <f t="array" aca="1" ref="H19" ca="1">IF(E19&gt;0,IFERROR(MEDIAN(IF((FFOcr=$C19)*(FFOqtrlyavg&lt;&gt;"N/A"),FFOqtrlyavg)),"-"),"-")</f>
        <v>18.408333333333335</v>
      </c>
      <c r="I19" s="25">
        <f t="array" aca="1" ref="I19" ca="1">IF(E19&gt;0,IFERROR(MAX(IF((FFOcr=$C19)*(FFOqtrlyavg&lt;&gt;"N/A"),FFOqtrlyavg)),"-"),"-")</f>
        <v>33.169999999999995</v>
      </c>
      <c r="J19" s="25">
        <f t="array" aca="1" ref="J19" ca="1">IF(E19&gt;0,IFERROR(MIN(IF((FFOcr=$C19)*(FFOqtrlyavg&lt;&gt;"N/A"),FFOqtrlyavg)),"-"),"-")</f>
        <v>8.0627272727272725</v>
      </c>
      <c r="K19" s="24"/>
      <c r="L19" s="26">
        <f t="shared" ca="1" si="4"/>
        <v>1</v>
      </c>
      <c r="M19" s="26">
        <f t="shared" ca="1" si="4"/>
        <v>0</v>
      </c>
      <c r="N19" s="26">
        <f t="shared" ca="1" si="4"/>
        <v>0</v>
      </c>
      <c r="O19" s="26">
        <f t="shared" ca="1" si="1"/>
        <v>0</v>
      </c>
      <c r="T19" s="24">
        <f t="array" aca="1" ref="T19" ca="1">COUNTIFS(FFOcr,$C19,FFOqtrlyavg,"&lt;50")</f>
        <v>10</v>
      </c>
      <c r="U19" s="24">
        <f t="array" aca="1" ref="U19" ca="1">COUNTIFS(FFOcr,$C19,FFOqtrlyavg,"&gt;=50",FFOqtrlyavg,"&lt;=55")</f>
        <v>0</v>
      </c>
      <c r="V19" s="24">
        <f t="shared" ca="1" si="2"/>
        <v>0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IFERROR(COUNT(IF((FFOcr=$C20)*(FFOqtrlyavg&lt;&gt;"N/A"),FFOqtrlyavg)),"")</f>
        <v>0</v>
      </c>
      <c r="F20" s="24"/>
      <c r="G20" s="25" t="str">
        <f t="array" aca="1" ref="G20" ca="1">IF(E20&gt;0,IFERROR(AVERAGE(IF((FFOcr=$C20)*(FFOqtrlyavg&lt;&gt;"N/A"),FFOqtrlyavg)),"-"),"-")</f>
        <v>-</v>
      </c>
      <c r="H20" s="25" t="str">
        <f t="array" aca="1" ref="H20" ca="1">IF(E20&gt;0,IFERROR(MEDIAN(IF((FFOcr=$C20)*(FFOqtrlyavg&lt;&gt;"N/A"),FFOqtrlyavg)),"-"),"-")</f>
        <v>-</v>
      </c>
      <c r="I20" s="25" t="str">
        <f t="array" aca="1" ref="I20" ca="1">IF(E20&gt;0,IFERROR(MAX(IF((FFOcr=$C20)*(FFOqtrlyavg&lt;&gt;"N/A"),FFOqtrlyavg)),"-"),"-")</f>
        <v>-</v>
      </c>
      <c r="J20" s="25" t="str">
        <f t="array" aca="1" ref="J20" ca="1">IF(E20&gt;0,IFERROR(MIN(IF((FFOcr=$C20)*(FFOqtrlyavg&lt;&gt;"N/A"),FFOqtrlyavg)),"-"),"-")</f>
        <v>-</v>
      </c>
      <c r="K20" s="24"/>
      <c r="L20" s="26" t="str">
        <f t="shared" ref="L20" ca="1" si="5">IFERROR(T20/$E20,"")</f>
        <v/>
      </c>
      <c r="M20" s="26" t="str">
        <f t="shared" ref="M20" ca="1" si="6">IFERROR(U20/$E20,"")</f>
        <v/>
      </c>
      <c r="N20" s="26" t="str">
        <f t="shared" ref="N20" ca="1" si="7">IFERROR(V20/$E20,"")</f>
        <v/>
      </c>
      <c r="O20" s="26" t="str">
        <f t="shared" ref="O20" ca="1" si="8">IFERROR((U20+V20)/$E20,"")</f>
        <v/>
      </c>
      <c r="P20" s="39"/>
      <c r="Q20" s="39"/>
      <c r="R20" s="39"/>
      <c r="T20" s="24">
        <f t="array" aca="1" ref="T20" ca="1">COUNTIFS(FFOcr,$C20,FFOqtrlyavg,"&lt;50")</f>
        <v>0</v>
      </c>
      <c r="U20" s="24">
        <f t="array" aca="1" ref="U20" ca="1">COUNTIFS(FFOcr,$C20,FFOqtrlyavg,"&gt;=50",FFOqtrlyavg,"&lt;=55")</f>
        <v>0</v>
      </c>
      <c r="V20" s="24">
        <f t="shared" ca="1" si="2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4">
        <f ca="1">SUM(E13:E20)</f>
        <v>108</v>
      </c>
      <c r="F23" s="6"/>
      <c r="K23" s="4"/>
      <c r="T23" s="4">
        <f ca="1">SUM(T13:T20)</f>
        <v>108</v>
      </c>
      <c r="U23" s="4">
        <f ca="1">SUM(U13:U20)</f>
        <v>0</v>
      </c>
      <c r="V23" s="4">
        <f ca="1">SUM(V13:V20)</f>
        <v>0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22.868799350246174</v>
      </c>
      <c r="H24" s="30">
        <f ca="1">AVERAGE(H$13:H$20)</f>
        <v>22.727738095238095</v>
      </c>
      <c r="I24" s="30">
        <f ca="1">AVERAGE(I$13:I$20)</f>
        <v>30.752666666666666</v>
      </c>
      <c r="J24" s="30">
        <f ca="1">AVERAGE(J$13:J$20)</f>
        <v>16.924675324675324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"Quarter Results -  "&amp;DebtRatios!$G$1&amp;" through "&amp;DebtRatios!$G$2&amp;" - %"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43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IFERROR(COUNT(IF((FFOcr=$C33)*(FFOqtrlyvalues&lt;&gt;"-"),FFOqtrlyvalues)),"")</f>
        <v>12</v>
      </c>
      <c r="F33" s="24"/>
      <c r="G33" s="25">
        <f t="array" aca="1" ref="G33" ca="1">IF(E33&gt;0,IFERROR(AVERAGE(IF((FFOcr=$C33)*(FFOqtrlyvalues&lt;&gt;"-"),FFOqtrlyvalues)),"-"),"-")</f>
        <v>28.883333333333336</v>
      </c>
      <c r="H33" s="25">
        <f t="array" aca="1" ref="H33" ca="1">IF(E33&gt;0,IFERROR(MEDIAN(IF((FFOcr=$C33)*(FFOqtrlyvalues&lt;&gt;"-"),FFOqtrlyvalues)),"-"),"-")</f>
        <v>27.700000000000003</v>
      </c>
      <c r="I33" s="25">
        <f t="array" aca="1" ref="I33" ca="1">IF(E33&gt;0,IFERROR(MAX(IF((FFOcr=$C33)*(FFOqtrlyvalues&lt;&gt;"-"),FFOqtrlyvalues)),"-"),"-")</f>
        <v>44.5</v>
      </c>
      <c r="J33" s="25">
        <f t="array" aca="1" ref="J33" ca="1">IF(E33&gt;0,IFERROR(MIN(IF((FFOcr=$C33)*(FFOqtrlyvalues&lt;&gt;"-"),FFOqtrlyvalues)),"-"),"-")</f>
        <v>19.7</v>
      </c>
      <c r="K33" s="24"/>
      <c r="L33" s="26">
        <f t="shared" ref="L33:N34" ca="1" si="9">IFERROR(T33/$E33,"")</f>
        <v>1</v>
      </c>
      <c r="M33" s="26">
        <f t="shared" ca="1" si="9"/>
        <v>0</v>
      </c>
      <c r="N33" s="26">
        <f t="shared" ca="1" si="9"/>
        <v>0</v>
      </c>
      <c r="O33" s="26">
        <f ca="1">IFERROR((U33+V33)/$E33,"")</f>
        <v>0</v>
      </c>
      <c r="T33" s="24">
        <f t="array" aca="1" ref="T33" ca="1">IFERROR(COUNT(IF((FFOcr=$C33)*(FFOqtrlyvalues&lt;50),FFOqtrlyvalues)),"")</f>
        <v>12</v>
      </c>
      <c r="U33" s="24">
        <f t="shared" ref="U33:U40" ca="1" si="10">E33-T33-V33</f>
        <v>0</v>
      </c>
      <c r="V33" s="24">
        <f t="array" aca="1" ref="V33" ca="1">IFERROR(COUNT(IF((FFOcr=$C33)*(FFOqtrlyvalues&gt;55),FFOqtrlyvalues)),"")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IFERROR(COUNT(IF((FFOcr=$C34)*(FFOqtrlyvalues&lt;&gt;"-"),FFOqtrlyvalues)),"")</f>
        <v>12</v>
      </c>
      <c r="F34" s="24"/>
      <c r="G34" s="25">
        <f t="array" aca="1" ref="G34" ca="1">IF(E34&gt;0,IFERROR(AVERAGE(IF((FFOcr=$C34)*(FFOqtrlyvalues&lt;&gt;"-"),FFOqtrlyvalues)),"-"),"-")</f>
        <v>20.639999999999997</v>
      </c>
      <c r="H34" s="25">
        <f t="array" aca="1" ref="H34" ca="1">IF(E34&gt;0,IFERROR(MEDIAN(IF((FFOcr=$C34)*(FFOqtrlyvalues&lt;&gt;"-"),FFOqtrlyvalues)),"-"),"-")</f>
        <v>17.55</v>
      </c>
      <c r="I34" s="25">
        <f t="array" aca="1" ref="I34" ca="1">IF(E34&gt;0,IFERROR(MAX(IF((FFOcr=$C34)*(FFOqtrlyvalues&lt;&gt;"-"),FFOqtrlyvalues)),"-"),"-")</f>
        <v>40.700000000000003</v>
      </c>
      <c r="J34" s="25">
        <f t="array" aca="1" ref="J34" ca="1">IF(E34&gt;0,IFERROR(MIN(IF((FFOcr=$C34)*(FFOqtrlyvalues&lt;&gt;"-"),FFOqtrlyvalues)),"-"),"-")</f>
        <v>-1.88</v>
      </c>
      <c r="K34" s="24"/>
      <c r="L34" s="26">
        <f t="shared" ca="1" si="9"/>
        <v>1</v>
      </c>
      <c r="M34" s="26">
        <f t="shared" ca="1" si="9"/>
        <v>0</v>
      </c>
      <c r="N34" s="26">
        <f t="shared" ca="1" si="9"/>
        <v>0</v>
      </c>
      <c r="O34" s="26">
        <f ca="1">IFERROR((U34+V34)/$E34,"")</f>
        <v>0</v>
      </c>
      <c r="T34" s="24">
        <f t="array" aca="1" ref="T34" ca="1">IFERROR(COUNT(IF((FFOcr=$C34)*(FFOqtrlyvalues&lt;50),FFOqtrlyvalues)),"")</f>
        <v>12</v>
      </c>
      <c r="U34" s="24">
        <f t="shared" ref="U34" ca="1" si="11">E34-T34-V34</f>
        <v>0</v>
      </c>
      <c r="V34" s="24">
        <f t="array" aca="1" ref="V34" ca="1">IFERROR(COUNT(IF((FFOcr=$C34)*(FFOqtrlyvalues&gt;55),FFOqtrlyvalues)),"")</f>
        <v>0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IFERROR(COUNT(IF((FFOcr=$C35)*(FFOqtrlyvalues&lt;&gt;"-"),FFOqtrlyvalues)),"")</f>
        <v>134</v>
      </c>
      <c r="F35" s="24"/>
      <c r="G35" s="25">
        <f t="array" aca="1" ref="G35" ca="1">IF(E35&gt;0,IFERROR(AVERAGE(IF((FFOcr=$C35)*(FFOqtrlyvalues&lt;&gt;"-"),FFOqtrlyvalues)),"-"),"-")</f>
        <v>25.98144776119404</v>
      </c>
      <c r="H35" s="25">
        <f t="array" aca="1" ref="H35" ca="1">IF(E35&gt;0,IFERROR(MEDIAN(IF((FFOcr=$C35)*(FFOqtrlyvalues&lt;&gt;"-"),FFOqtrlyvalues)),"-"),"-")</f>
        <v>24.9</v>
      </c>
      <c r="I35" s="25">
        <f t="array" aca="1" ref="I35" ca="1">IF(E35&gt;0,IFERROR(MAX(IF((FFOcr=$C35)*(FFOqtrlyvalues&lt;&gt;"-"),FFOqtrlyvalues)),"-"),"-")</f>
        <v>65.900000000000006</v>
      </c>
      <c r="J35" s="25">
        <f t="array" aca="1" ref="J35" ca="1">IF(E35&gt;0,IFERROR(MIN(IF((FFOcr=$C35)*(FFOqtrlyvalues&lt;&gt;"-"),FFOqtrlyvalues)),"-"),"-")</f>
        <v>-0.216</v>
      </c>
      <c r="K35" s="24"/>
      <c r="L35" s="26">
        <f t="shared" ref="L35:N40" ca="1" si="12">IFERROR(T35/$E35,"")</f>
        <v>0.97761194029850751</v>
      </c>
      <c r="M35" s="26">
        <f t="shared" ca="1" si="12"/>
        <v>0</v>
      </c>
      <c r="N35" s="26">
        <f t="shared" ca="1" si="12"/>
        <v>2.2388059701492536E-2</v>
      </c>
      <c r="O35" s="26">
        <f t="shared" ref="O35:O40" ca="1" si="13">IFERROR((U35+V35)/$E35,"")</f>
        <v>2.2388059701492536E-2</v>
      </c>
      <c r="T35" s="24">
        <f t="array" aca="1" ref="T35" ca="1">IFERROR(COUNT(IF((FFOcr=$C35)*(FFOqtrlyvalues&lt;50),FFOqtrlyvalues)),"")</f>
        <v>131</v>
      </c>
      <c r="U35" s="24">
        <f t="shared" ca="1" si="10"/>
        <v>0</v>
      </c>
      <c r="V35" s="24">
        <f t="array" aca="1" ref="V35" ca="1">IFERROR(COUNT(IF((FFOcr=$C35)*(FFOqtrlyvalues&gt;55),FFOqtrlyvalues)),"")</f>
        <v>3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IFERROR(COUNT(IF((FFOcr=$C36)*(FFOqtrlyvalues&lt;&gt;"-"),FFOqtrlyvalues)),"")</f>
        <v>561</v>
      </c>
      <c r="F36" s="24"/>
      <c r="G36" s="25">
        <f t="array" aca="1" ref="G36" ca="1">IF(E36&gt;0,IFERROR(AVERAGE(IF((FFOcr=$C36)*(FFOqtrlyvalues&lt;&gt;"-"),FFOqtrlyvalues)),"-"),"-")</f>
        <v>23.743778966131913</v>
      </c>
      <c r="H36" s="25">
        <f t="array" aca="1" ref="H36" ca="1">IF(E36&gt;0,IFERROR(MEDIAN(IF((FFOcr=$C36)*(FFOqtrlyvalues&lt;&gt;"-"),FFOqtrlyvalues)),"-"),"-")</f>
        <v>22.5</v>
      </c>
      <c r="I36" s="25">
        <f t="array" aca="1" ref="I36" ca="1">IF(E36&gt;0,IFERROR(MAX(IF((FFOcr=$C36)*(FFOqtrlyvalues&lt;&gt;"-"),FFOqtrlyvalues)),"-"),"-")</f>
        <v>115.8</v>
      </c>
      <c r="J36" s="25">
        <f t="array" aca="1" ref="J36" ca="1">IF(E36&gt;0,IFERROR(MIN(IF((FFOcr=$C36)*(FFOqtrlyvalues&lt;&gt;"-"),FFOqtrlyvalues)),"-"),"-")</f>
        <v>-43.1</v>
      </c>
      <c r="K36" s="24"/>
      <c r="L36" s="26">
        <f t="shared" ca="1" si="12"/>
        <v>0.9732620320855615</v>
      </c>
      <c r="M36" s="26">
        <f t="shared" ca="1" si="12"/>
        <v>5.3475935828877002E-3</v>
      </c>
      <c r="N36" s="26">
        <f t="shared" ca="1" si="12"/>
        <v>2.1390374331550801E-2</v>
      </c>
      <c r="O36" s="26">
        <f t="shared" ca="1" si="13"/>
        <v>2.6737967914438502E-2</v>
      </c>
      <c r="T36" s="24">
        <f t="array" aca="1" ref="T36" ca="1">IFERROR(COUNT(IF((FFOcr=$C36)*(FFOqtrlyvalues&lt;50),FFOqtrlyvalues)),"")</f>
        <v>546</v>
      </c>
      <c r="U36" s="24">
        <f t="shared" ca="1" si="10"/>
        <v>3</v>
      </c>
      <c r="V36" s="24">
        <f t="array" aca="1" ref="V36" ca="1">IFERROR(COUNT(IF((FFOcr=$C36)*(FFOqtrlyvalues&gt;55),FFOqtrlyvalues)),"")</f>
        <v>12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IFERROR(COUNT(IF((FFOcr=$C37)*(FFOqtrlyvalues&lt;&gt;"-"),FFOqtrlyvalues)),"")</f>
        <v>312</v>
      </c>
      <c r="F37" s="24"/>
      <c r="G37" s="25">
        <f t="array" aca="1" ref="G37" ca="1">IF(E37&gt;0,IFERROR(AVERAGE(IF((FFOcr=$C37)*(FFOqtrlyvalues&lt;&gt;"-"),FFOqtrlyvalues)),"-"),"-")</f>
        <v>21.33446794871794</v>
      </c>
      <c r="H37" s="25">
        <f t="array" aca="1" ref="H37" ca="1">IF(E37&gt;0,IFERROR(MEDIAN(IF((FFOcr=$C37)*(FFOqtrlyvalues&lt;&gt;"-"),FFOqtrlyvalues)),"-"),"-")</f>
        <v>21.3</v>
      </c>
      <c r="I37" s="25">
        <f t="array" aca="1" ref="I37" ca="1">IF(E37&gt;0,IFERROR(MAX(IF((FFOcr=$C37)*(FFOqtrlyvalues&lt;&gt;"-"),FFOqtrlyvalues)),"-"),"-")</f>
        <v>101.7</v>
      </c>
      <c r="J37" s="25">
        <f t="array" aca="1" ref="J37" ca="1">IF(E37&gt;0,IFERROR(MIN(IF((FFOcr=$C37)*(FFOqtrlyvalues&lt;&gt;"-"),FFOqtrlyvalues)),"-"),"-")</f>
        <v>-72.5</v>
      </c>
      <c r="K37" s="24"/>
      <c r="L37" s="26">
        <f t="shared" ca="1" si="12"/>
        <v>0.98076923076923073</v>
      </c>
      <c r="M37" s="26">
        <f t="shared" ca="1" si="12"/>
        <v>6.41025641025641E-3</v>
      </c>
      <c r="N37" s="26">
        <f t="shared" ca="1" si="12"/>
        <v>1.282051282051282E-2</v>
      </c>
      <c r="O37" s="26">
        <f t="shared" ca="1" si="13"/>
        <v>1.9230769230769232E-2</v>
      </c>
      <c r="T37" s="24">
        <f t="array" aca="1" ref="T37" ca="1">IFERROR(COUNT(IF((FFOcr=$C37)*(FFOqtrlyvalues&lt;50),FFOqtrlyvalues)),"")</f>
        <v>306</v>
      </c>
      <c r="U37" s="24">
        <f t="shared" ca="1" si="10"/>
        <v>2</v>
      </c>
      <c r="V37" s="24">
        <f t="array" aca="1" ref="V37" ca="1">IFERROR(COUNT(IF((FFOcr=$C37)*(FFOqtrlyvalues&gt;55),FFOqtrlyvalues)),"")</f>
        <v>4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IFERROR(COUNT(IF((FFOcr=$C38)*(FFOqtrlyvalues&lt;&gt;"-"),FFOqtrlyvalues)),"")</f>
        <v>96</v>
      </c>
      <c r="F38" s="24"/>
      <c r="G38" s="25">
        <f t="array" aca="1" ref="G38" ca="1">IF(E38&gt;0,IFERROR(AVERAGE(IF((FFOcr=$C38)*(FFOqtrlyvalues&lt;&gt;"-"),FFOqtrlyvalues)),"-"),"-")</f>
        <v>19.839062500000001</v>
      </c>
      <c r="H38" s="25">
        <f t="array" aca="1" ref="H38" ca="1">IF(E38&gt;0,IFERROR(MEDIAN(IF((FFOcr=$C38)*(FFOqtrlyvalues&lt;&gt;"-"),FFOqtrlyvalues)),"-"),"-")</f>
        <v>18.850000000000001</v>
      </c>
      <c r="I38" s="25">
        <f t="array" aca="1" ref="I38" ca="1">IF(E38&gt;0,IFERROR(MAX(IF((FFOcr=$C38)*(FFOqtrlyvalues&lt;&gt;"-"),FFOqtrlyvalues)),"-"),"-")</f>
        <v>42.9</v>
      </c>
      <c r="J38" s="25">
        <f t="array" aca="1" ref="J38" ca="1">IF(E38&gt;0,IFERROR(MIN(IF((FFOcr=$C38)*(FFOqtrlyvalues&lt;&gt;"-"),FFOqtrlyvalues)),"-"),"-")</f>
        <v>-4.75</v>
      </c>
      <c r="K38" s="24"/>
      <c r="L38" s="26">
        <f t="shared" ca="1" si="12"/>
        <v>1</v>
      </c>
      <c r="M38" s="26">
        <f t="shared" ca="1" si="12"/>
        <v>0</v>
      </c>
      <c r="N38" s="26">
        <f t="shared" ca="1" si="12"/>
        <v>0</v>
      </c>
      <c r="O38" s="26">
        <f t="shared" ca="1" si="13"/>
        <v>0</v>
      </c>
      <c r="T38" s="24">
        <f t="array" aca="1" ref="T38" ca="1">IFERROR(COUNT(IF((FFOcr=$C38)*(FFOqtrlyvalues&lt;50),FFOqtrlyvalues)),"")</f>
        <v>96</v>
      </c>
      <c r="U38" s="24">
        <f t="shared" ca="1" si="10"/>
        <v>0</v>
      </c>
      <c r="V38" s="24">
        <f t="array" aca="1" ref="V38" ca="1">IFERROR(COUNT(IF((FFOcr=$C38)*(FFOqtrlyvalues&gt;55),FFOqtrlyvalues)),"")</f>
        <v>0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IFERROR(COUNT(IF((FFOcr=$C39)*(FFOqtrlyvalues&lt;&gt;"-"),FFOqtrlyvalues)),"")</f>
        <v>118</v>
      </c>
      <c r="F39" s="24"/>
      <c r="G39" s="25">
        <f t="array" aca="1" ref="G39" ca="1">IF(E39&gt;0,IFERROR(AVERAGE(IF((FFOcr=$C39)*(FFOqtrlyvalues&lt;&gt;"-"),FFOqtrlyvalues)),"-"),"-")</f>
        <v>19.445957627118641</v>
      </c>
      <c r="H39" s="25">
        <f t="array" aca="1" ref="H39" ca="1">IF(E39&gt;0,IFERROR(MEDIAN(IF((FFOcr=$C39)*(FFOqtrlyvalues&lt;&gt;"-"),FFOqtrlyvalues)),"-"),"-")</f>
        <v>19.600000000000001</v>
      </c>
      <c r="I39" s="25">
        <f t="array" aca="1" ref="I39" ca="1">IF(E39&gt;0,IFERROR(MAX(IF((FFOcr=$C39)*(FFOqtrlyvalues&lt;&gt;"-"),FFOqtrlyvalues)),"-"),"-")</f>
        <v>52.1</v>
      </c>
      <c r="J39" s="25">
        <f t="array" aca="1" ref="J39" ca="1">IF(E39&gt;0,IFERROR(MIN(IF((FFOcr=$C39)*(FFOqtrlyvalues&lt;&gt;"-"),FFOqtrlyvalues)),"-"),"-")</f>
        <v>-14.7</v>
      </c>
      <c r="K39" s="24"/>
      <c r="L39" s="26">
        <f t="shared" ca="1" si="12"/>
        <v>0.99152542372881358</v>
      </c>
      <c r="M39" s="26">
        <f t="shared" ca="1" si="12"/>
        <v>8.4745762711864406E-3</v>
      </c>
      <c r="N39" s="26">
        <f t="shared" ca="1" si="12"/>
        <v>0</v>
      </c>
      <c r="O39" s="26">
        <f t="shared" ca="1" si="13"/>
        <v>8.4745762711864406E-3</v>
      </c>
      <c r="T39" s="24">
        <f t="array" aca="1" ref="T39" ca="1">IFERROR(COUNT(IF((FFOcr=$C39)*(FFOqtrlyvalues&lt;50),FFOqtrlyvalues)),"")</f>
        <v>117</v>
      </c>
      <c r="U39" s="24">
        <f t="shared" ca="1" si="10"/>
        <v>1</v>
      </c>
      <c r="V39" s="24">
        <f t="array" aca="1" ref="V39" ca="1">IFERROR(COUNT(IF((FFOcr=$C39)*(FFOqtrlyvalues&gt;55),FFOqtrlyvalues)),"")</f>
        <v>0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IFERROR(COUNT(IF((FFOcr=$C40)*(FFOqtrlyvalues&lt;&gt;"-"),FFOqtrlyvalues)),"")</f>
        <v>0</v>
      </c>
      <c r="F40" s="24"/>
      <c r="G40" s="25" t="str">
        <f t="array" aca="1" ref="G40" ca="1">IF(E40&gt;0,IFERROR(AVERAGE(IF((FFOcr=$C40)*(FFOqtrlyvalues&lt;&gt;"-"),FFOqtrlyvalues)),"-"),"-")</f>
        <v>-</v>
      </c>
      <c r="H40" s="25" t="str">
        <f t="array" aca="1" ref="H40" ca="1">IF(E40&gt;0,IFERROR(MEDIAN(IF((FFOcr=$C40)*(FFOqtrlyvalues&lt;&gt;"-"),FFOqtrlyvalues)),"-"),"-")</f>
        <v>-</v>
      </c>
      <c r="I40" s="25" t="str">
        <f t="array" aca="1" ref="I40" ca="1">IF(E40&gt;0,IFERROR(MAX(IF((FFOcr=$C40)*(FFOqtrlyvalues&lt;&gt;"-"),FFOqtrlyvalues)),"-"),"-")</f>
        <v>-</v>
      </c>
      <c r="J40" s="25" t="str">
        <f t="array" aca="1" ref="J40" ca="1">IF(E40&gt;0,IFERROR(MIN(IF((FFOcr=$C40)*(FFOqtrlyvalues&lt;&gt;"-"),FFOqtrlyvalues)),"-"),"-")</f>
        <v>-</v>
      </c>
      <c r="K40" s="24"/>
      <c r="L40" s="26" t="str">
        <f t="shared" ca="1" si="12"/>
        <v/>
      </c>
      <c r="M40" s="26" t="str">
        <f t="shared" ca="1" si="12"/>
        <v/>
      </c>
      <c r="N40" s="26" t="str">
        <f t="shared" ca="1" si="12"/>
        <v/>
      </c>
      <c r="O40" s="26" t="str">
        <f t="shared" ca="1" si="13"/>
        <v/>
      </c>
      <c r="T40" s="24">
        <f t="array" aca="1" ref="T40" ca="1">IFERROR(COUNT(IF((FFOcr=$C40)*(FFOqtrlyvalues&lt;50),FFOqtrlyvalues)),"")</f>
        <v>0</v>
      </c>
      <c r="U40" s="24">
        <f t="shared" ca="1" si="10"/>
        <v>0</v>
      </c>
      <c r="V40" s="24">
        <f t="array" aca="1" ref="V40" ca="1">IFERROR(COUNT(IF((FFOcr=$C40)*(FFOqtrlyvalues&gt;55),FFOqtrlyvalues)),"")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1245</v>
      </c>
      <c r="F43" s="6"/>
      <c r="K43" s="4"/>
      <c r="T43" s="4">
        <f ca="1">SUM(T33:T40)</f>
        <v>1220</v>
      </c>
      <c r="U43" s="4">
        <f ca="1">SUM(U33:U40)</f>
        <v>6</v>
      </c>
      <c r="V43" s="4">
        <f ca="1">SUM(V33:V40)</f>
        <v>19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22.838292590927981</v>
      </c>
      <c r="H44" s="33">
        <f ca="1">AVERAGE(H$33:H$40)</f>
        <v>21.771428571428572</v>
      </c>
      <c r="I44" s="33">
        <f ca="1">AVERAGE(I$33:I$40)</f>
        <v>66.228571428571428</v>
      </c>
      <c r="J44" s="33">
        <f ca="1">AVERAGE(J$33:J$40)</f>
        <v>-16.778000000000002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">
        <v>656</v>
      </c>
    </row>
  </sheetData>
  <mergeCells count="12">
    <mergeCell ref="A1:N1"/>
    <mergeCell ref="A4:N4"/>
    <mergeCell ref="A5:N5"/>
    <mergeCell ref="A8:N8"/>
    <mergeCell ref="G9:H9"/>
    <mergeCell ref="J9:K9"/>
    <mergeCell ref="L9:N9"/>
    <mergeCell ref="T9:V9"/>
    <mergeCell ref="A28:N28"/>
    <mergeCell ref="G29:H29"/>
    <mergeCell ref="J29:K29"/>
    <mergeCell ref="L29:N29"/>
  </mergeCells>
  <printOptions horizontalCentered="1"/>
  <pageMargins left="0.7" right="0.7" top="1" bottom="0.75" header="0.55000000000000004" footer="0.51"/>
  <pageSetup scale="80" orientation="portrait" r:id="rId1"/>
  <headerFooter>
    <oddHeader>&amp;R&amp;13MPG-2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657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603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'FFO to Debt Ratio Electric Gas'!A8:N8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43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IFERROR(COUNT(IF((FFOind="E")*(FFOcr=$C13)*(FFOqtrlyavg&lt;&gt;"N/A"),FFOqtrlyavg)),"")</f>
        <v>1</v>
      </c>
      <c r="F13" s="24"/>
      <c r="G13" s="25">
        <f t="array" aca="1" ref="G13" ca="1">IF(E13&gt;0,IFERROR(AVERAGE(IF((FFOind="E")*(FFOcr=$C13)*(FFOqtrlyavg&lt;&gt;"N/A"),FFOqtrlyavg)),"-"),"-")</f>
        <v>28.883333333333336</v>
      </c>
      <c r="H13" s="25">
        <f t="array" aca="1" ref="H13" ca="1">IF(E13&gt;0,IFERROR(MEDIAN(IF((FFOind="E")*(FFOcr=$C13)*(FFOqtrlyavg&lt;&gt;"N/A"),FFOqtrlyavg)),"-"),"-")</f>
        <v>28.883333333333336</v>
      </c>
      <c r="I13" s="25">
        <f t="array" aca="1" ref="I13" ca="1">IF(E13&gt;0,IFERROR(MAX(IF((FFOind="E")*(FFOcr=$C13)*(FFOqtrlyavg&lt;&gt;"N/A"),FFOqtrlyavg)),"-"),"-")</f>
        <v>28.883333333333336</v>
      </c>
      <c r="J13" s="25">
        <f t="array" aca="1" ref="J13" ca="1">IF(E13&gt;0,IFERROR(MIN(IF((FFOind="E")*(FFOcr=$C13)*(FFOqtrlyavg&lt;&gt;"N/A"),FFOqtrlyavg)),"-"),"-")</f>
        <v>28.883333333333336</v>
      </c>
      <c r="K13" s="24"/>
      <c r="L13" s="26">
        <f t="shared" ref="L13:N14" ca="1" si="0">IFERROR(T13/$E13,"")</f>
        <v>1</v>
      </c>
      <c r="M13" s="26">
        <f t="shared" ca="1" si="0"/>
        <v>0</v>
      </c>
      <c r="N13" s="26">
        <f t="shared" ca="1" si="0"/>
        <v>0</v>
      </c>
      <c r="O13" s="26">
        <f ca="1">IFERROR((U13+V13)/$E13,"")</f>
        <v>0</v>
      </c>
      <c r="T13" s="24">
        <f t="shared" ref="T13:T20" ca="1" si="1">COUNTIFS(FFOind,"E",FFOcr,$C13,FFOqtrlyavg,"&lt;50")</f>
        <v>1</v>
      </c>
      <c r="U13" s="24">
        <f t="shared" ref="U13:U20" ca="1" si="2">COUNTIFS(FFOind,"E",FFOcr,$C13,FFOqtrlyavg,"&gt;=50",FFOqtrlyavg,"&lt;=55")</f>
        <v>0</v>
      </c>
      <c r="V13" s="24">
        <f t="shared" ref="V13:V20" ca="1" si="3">COUNTIFS(FFOind,"E",FFOcr,$C13,FFOqtrlyavg,"&gt;55")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IFERROR(COUNT(IF((FFOind="E")*(FFOcr=$C14)*(FFOqtrlyavg&lt;&gt;"N/A"),FFOqtrlyavg)),"")</f>
        <v>0</v>
      </c>
      <c r="F14" s="24"/>
      <c r="G14" s="25" t="str">
        <f t="array" aca="1" ref="G14" ca="1">IF(E14&gt;0,IFERROR(AVERAGE(IF((FFOind="E")*(FFOcr=$C14)*(FFOqtrlyavg&lt;&gt;"N/A"),FFOqtrlyavg)),"-"),"-")</f>
        <v>-</v>
      </c>
      <c r="H14" s="25" t="str">
        <f t="array" aca="1" ref="H14" ca="1">IF(E14&gt;0,IFERROR(MEDIAN(IF((FFOind="E")*(FFOcr=$C14)*(FFOqtrlyavg&lt;&gt;"N/A"),FFOqtrlyavg)),"-"),"-")</f>
        <v>-</v>
      </c>
      <c r="I14" s="25" t="str">
        <f t="array" aca="1" ref="I14" ca="1">IF(E14&gt;0,IFERROR(MAX(IF((FFOind="E")*(FFOcr=$C14)*(FFOqtrlyavg&lt;&gt;"N/A"),FFOqtrlyavg)),"-"),"-")</f>
        <v>-</v>
      </c>
      <c r="J14" s="25" t="str">
        <f t="array" aca="1" ref="J14" ca="1">IF(E14&gt;0,IFERROR(MIN(IF((FFOind="E")*(FFOcr=$C14)*(FFOqtrlyavg&lt;&gt;"N/A"),FFOqtrlyavg)),"-"),"-")</f>
        <v>-</v>
      </c>
      <c r="K14" s="24"/>
      <c r="L14" s="26" t="str">
        <f t="shared" ca="1" si="0"/>
        <v/>
      </c>
      <c r="M14" s="26" t="str">
        <f t="shared" ca="1" si="0"/>
        <v/>
      </c>
      <c r="N14" s="26" t="str">
        <f t="shared" ca="1" si="0"/>
        <v/>
      </c>
      <c r="O14" s="26" t="str">
        <f ca="1">IFERROR((U14+V14)/$E14,"")</f>
        <v/>
      </c>
      <c r="T14" s="24">
        <f t="shared" ca="1" si="1"/>
        <v>0</v>
      </c>
      <c r="U14" s="24">
        <f t="shared" ca="1" si="2"/>
        <v>0</v>
      </c>
      <c r="V14" s="24">
        <f t="shared" ca="1" si="3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IFERROR(COUNT(IF((FFOind="E")*(FFOcr=$C15)*(FFOqtrlyavg&lt;&gt;"N/A"),FFOqtrlyavg)),"")</f>
        <v>8</v>
      </c>
      <c r="F15" s="24"/>
      <c r="G15" s="25">
        <f t="array" aca="1" ref="G15" ca="1">IF(E15&gt;0,IFERROR(AVERAGE(IF((FFOind="E")*(FFOcr=$C15)*(FFOqtrlyavg&lt;&gt;"N/A"),FFOqtrlyavg)),"-"),"-")</f>
        <v>24.812041666666666</v>
      </c>
      <c r="H15" s="25">
        <f t="array" aca="1" ref="H15" ca="1">IF(E15&gt;0,IFERROR(MEDIAN(IF((FFOind="E")*(FFOcr=$C15)*(FFOqtrlyavg&lt;&gt;"N/A"),FFOqtrlyavg)),"-"),"-")</f>
        <v>24.72</v>
      </c>
      <c r="I15" s="25">
        <f t="array" aca="1" ref="I15" ca="1">IF(E15&gt;0,IFERROR(MAX(IF((FFOind="E")*(FFOcr=$C15)*(FFOqtrlyavg&lt;&gt;"N/A"),FFOqtrlyavg)),"-"),"-")</f>
        <v>28.05</v>
      </c>
      <c r="J15" s="25">
        <f t="array" aca="1" ref="J15" ca="1">IF(E15&gt;0,IFERROR(MIN(IF((FFOind="E")*(FFOcr=$C15)*(FFOqtrlyavg&lt;&gt;"N/A"),FFOqtrlyavg)),"-"),"-")</f>
        <v>22.091666666666669</v>
      </c>
      <c r="K15" s="24"/>
      <c r="L15" s="26">
        <f t="shared" ref="L15:N20" ca="1" si="4">IFERROR(T15/$E15,"")</f>
        <v>1</v>
      </c>
      <c r="M15" s="26">
        <f t="shared" ca="1" si="4"/>
        <v>0</v>
      </c>
      <c r="N15" s="26">
        <f t="shared" ca="1" si="4"/>
        <v>0</v>
      </c>
      <c r="O15" s="26">
        <f t="shared" ref="O15:O20" ca="1" si="5">IFERROR((U15+V15)/$E15,"")</f>
        <v>0</v>
      </c>
      <c r="T15" s="24">
        <f t="shared" ca="1" si="1"/>
        <v>8</v>
      </c>
      <c r="U15" s="24">
        <f t="shared" ca="1" si="2"/>
        <v>0</v>
      </c>
      <c r="V15" s="24">
        <f t="shared" ca="1" si="3"/>
        <v>0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IFERROR(COUNT(IF((FFOind="E")*(FFOcr=$C16)*(FFOqtrlyavg&lt;&gt;"N/A"),FFOqtrlyavg)),"")</f>
        <v>47</v>
      </c>
      <c r="F16" s="24"/>
      <c r="G16" s="25">
        <f t="array" aca="1" ref="G16" ca="1">IF(E16&gt;0,IFERROR(AVERAGE(IF((FFOind="E")*(FFOcr=$C16)*(FFOqtrlyavg&lt;&gt;"N/A"),FFOqtrlyavg)),"-"),"-")</f>
        <v>23.496201344754532</v>
      </c>
      <c r="H16" s="25">
        <f t="array" aca="1" ref="H16" ca="1">IF(E16&gt;0,IFERROR(MEDIAN(IF((FFOind="E")*(FFOcr=$C16)*(FFOqtrlyavg&lt;&gt;"N/A"),FFOqtrlyavg)),"-"),"-")</f>
        <v>23.141666666666666</v>
      </c>
      <c r="I16" s="25">
        <f t="array" aca="1" ref="I16" ca="1">IF(E16&gt;0,IFERROR(MAX(IF((FFOind="E")*(FFOcr=$C16)*(FFOqtrlyavg&lt;&gt;"N/A"),FFOqtrlyavg)),"-"),"-")</f>
        <v>39.133333333333333</v>
      </c>
      <c r="J16" s="25">
        <f t="array" aca="1" ref="J16" ca="1">IF(E16&gt;0,IFERROR(MIN(IF((FFOind="E")*(FFOcr=$C16)*(FFOqtrlyavg&lt;&gt;"N/A"),FFOqtrlyavg)),"-"),"-")</f>
        <v>13.304166666666665</v>
      </c>
      <c r="K16" s="24"/>
      <c r="L16" s="26">
        <f t="shared" ca="1" si="4"/>
        <v>1</v>
      </c>
      <c r="M16" s="26">
        <f t="shared" ca="1" si="4"/>
        <v>0</v>
      </c>
      <c r="N16" s="26">
        <f t="shared" ca="1" si="4"/>
        <v>0</v>
      </c>
      <c r="O16" s="26">
        <f t="shared" ca="1" si="5"/>
        <v>0</v>
      </c>
      <c r="T16" s="24">
        <f t="shared" ca="1" si="1"/>
        <v>47</v>
      </c>
      <c r="U16" s="24">
        <f t="shared" ca="1" si="2"/>
        <v>0</v>
      </c>
      <c r="V16" s="24">
        <f t="shared" ca="1" si="3"/>
        <v>0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IFERROR(COUNT(IF((FFOind="E")*(FFOcr=$C17)*(FFOqtrlyavg&lt;&gt;"N/A"),FFOqtrlyavg)),"")</f>
        <v>23</v>
      </c>
      <c r="F17" s="24"/>
      <c r="G17" s="25">
        <f t="array" aca="1" ref="G17" ca="1">IF(E17&gt;0,IFERROR(AVERAGE(IF((FFOind="E")*(FFOcr=$C17)*(FFOqtrlyavg&lt;&gt;"N/A"),FFOqtrlyavg)),"-"),"-")</f>
        <v>21.437355072463767</v>
      </c>
      <c r="H17" s="25">
        <f t="array" aca="1" ref="H17" ca="1">IF(E17&gt;0,IFERROR(MEDIAN(IF((FFOind="E")*(FFOcr=$C17)*(FFOqtrlyavg&lt;&gt;"N/A"),FFOqtrlyavg)),"-"),"-")</f>
        <v>23.324999999999999</v>
      </c>
      <c r="I17" s="25">
        <f t="array" aca="1" ref="I17" ca="1">IF(E17&gt;0,IFERROR(MAX(IF((FFOind="E")*(FFOcr=$C17)*(FFOqtrlyavg&lt;&gt;"N/A"),FFOqtrlyavg)),"-"),"-")</f>
        <v>30.733333333333334</v>
      </c>
      <c r="J17" s="25">
        <f t="array" aca="1" ref="J17" ca="1">IF(E17&gt;0,IFERROR(MIN(IF((FFOind="E")*(FFOcr=$C17)*(FFOqtrlyavg&lt;&gt;"N/A"),FFOqtrlyavg)),"-"),"-")</f>
        <v>11.203333333333333</v>
      </c>
      <c r="K17" s="24"/>
      <c r="L17" s="26">
        <f t="shared" ca="1" si="4"/>
        <v>1</v>
      </c>
      <c r="M17" s="26">
        <f t="shared" ca="1" si="4"/>
        <v>0</v>
      </c>
      <c r="N17" s="26">
        <f t="shared" ca="1" si="4"/>
        <v>0</v>
      </c>
      <c r="O17" s="26">
        <f t="shared" ca="1" si="5"/>
        <v>0</v>
      </c>
      <c r="T17" s="24">
        <f t="shared" ca="1" si="1"/>
        <v>23</v>
      </c>
      <c r="U17" s="24">
        <f t="shared" ca="1" si="2"/>
        <v>0</v>
      </c>
      <c r="V17" s="24">
        <f t="shared" ca="1" si="3"/>
        <v>0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IFERROR(COUNT(IF((FFOind="E")*(FFOcr=$C18)*(FFOqtrlyavg&lt;&gt;"N/A"),FFOqtrlyavg)),"")</f>
        <v>8</v>
      </c>
      <c r="F18" s="24"/>
      <c r="G18" s="25">
        <f t="array" aca="1" ref="G18" ca="1">IF(E18&gt;0,IFERROR(AVERAGE(IF((FFOind="E")*(FFOcr=$C18)*(FFOqtrlyavg&lt;&gt;"N/A"),FFOqtrlyavg)),"-"),"-")</f>
        <v>19.839062499999997</v>
      </c>
      <c r="H18" s="25">
        <f t="array" aca="1" ref="H18" ca="1">IF(E18&gt;0,IFERROR(MEDIAN(IF((FFOind="E")*(FFOcr=$C18)*(FFOqtrlyavg&lt;&gt;"N/A"),FFOqtrlyavg)),"-"),"-")</f>
        <v>19.399999999999999</v>
      </c>
      <c r="I18" s="25">
        <f t="array" aca="1" ref="I18" ca="1">IF(E18&gt;0,IFERROR(MAX(IF((FFOind="E")*(FFOcr=$C18)*(FFOqtrlyavg&lt;&gt;"N/A"),FFOqtrlyavg)),"-"),"-")</f>
        <v>25.566666666666666</v>
      </c>
      <c r="J18" s="25">
        <f t="array" aca="1" ref="J18" ca="1">IF(E18&gt;0,IFERROR(MIN(IF((FFOind="E")*(FFOcr=$C18)*(FFOqtrlyavg&lt;&gt;"N/A"),FFOqtrlyavg)),"-"),"-")</f>
        <v>14.2875</v>
      </c>
      <c r="K18" s="24"/>
      <c r="L18" s="26">
        <f t="shared" ca="1" si="4"/>
        <v>1</v>
      </c>
      <c r="M18" s="26">
        <f t="shared" ca="1" si="4"/>
        <v>0</v>
      </c>
      <c r="N18" s="26">
        <f t="shared" ca="1" si="4"/>
        <v>0</v>
      </c>
      <c r="O18" s="26">
        <f t="shared" ca="1" si="5"/>
        <v>0</v>
      </c>
      <c r="T18" s="24">
        <f t="shared" ca="1" si="1"/>
        <v>8</v>
      </c>
      <c r="U18" s="24">
        <f t="shared" ca="1" si="2"/>
        <v>0</v>
      </c>
      <c r="V18" s="24">
        <f t="shared" ca="1" si="3"/>
        <v>0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IFERROR(COUNT(IF((FFOind="E")*(FFOcr=$C19)*(FFOqtrlyavg&lt;&gt;"N/A"),FFOqtrlyavg)),"")</f>
        <v>10</v>
      </c>
      <c r="F19" s="24"/>
      <c r="G19" s="25">
        <f t="array" aca="1" ref="G19" ca="1">IF(E19&gt;0,IFERROR(AVERAGE(IF((FFOind="E")*(FFOcr=$C19)*(FFOqtrlyavg&lt;&gt;"N/A"),FFOqtrlyavg)),"-"),"-")</f>
        <v>19.319347727272724</v>
      </c>
      <c r="H19" s="25">
        <f t="array" aca="1" ref="H19" ca="1">IF(E19&gt;0,IFERROR(MEDIAN(IF((FFOind="E")*(FFOcr=$C19)*(FFOqtrlyavg&lt;&gt;"N/A"),FFOqtrlyavg)),"-"),"-")</f>
        <v>18.408333333333335</v>
      </c>
      <c r="I19" s="25">
        <f t="array" aca="1" ref="I19" ca="1">IF(E19&gt;0,IFERROR(MAX(IF((FFOind="E")*(FFOcr=$C19)*(FFOqtrlyavg&lt;&gt;"N/A"),FFOqtrlyavg)),"-"),"-")</f>
        <v>33.169999999999995</v>
      </c>
      <c r="J19" s="25">
        <f t="array" aca="1" ref="J19" ca="1">IF(E19&gt;0,IFERROR(MIN(IF((FFOind="E")*(FFOcr=$C19)*(FFOqtrlyavg&lt;&gt;"N/A"),FFOqtrlyavg)),"-"),"-")</f>
        <v>8.0627272727272725</v>
      </c>
      <c r="K19" s="24"/>
      <c r="L19" s="26">
        <f t="shared" ca="1" si="4"/>
        <v>1</v>
      </c>
      <c r="M19" s="26">
        <f t="shared" ca="1" si="4"/>
        <v>0</v>
      </c>
      <c r="N19" s="26">
        <f t="shared" ca="1" si="4"/>
        <v>0</v>
      </c>
      <c r="O19" s="26">
        <f t="shared" ca="1" si="5"/>
        <v>0</v>
      </c>
      <c r="T19" s="24">
        <f t="shared" ca="1" si="1"/>
        <v>10</v>
      </c>
      <c r="U19" s="24">
        <f t="shared" ca="1" si="2"/>
        <v>0</v>
      </c>
      <c r="V19" s="24">
        <f t="shared" ca="1" si="3"/>
        <v>0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IFERROR(COUNT(IF((FFOind="E")*(FFOcr=$C20)*(FFOqtrlyavg&lt;&gt;"N/A"),FFOqtrlyavg)),"")</f>
        <v>0</v>
      </c>
      <c r="F20" s="24"/>
      <c r="G20" s="25" t="str">
        <f t="array" aca="1" ref="G20" ca="1">IF(E20&gt;0,IFERROR(AVERAGE(IF((FFOind="E")*(FFOcr=$C20)*(FFOqtrlyavg&lt;&gt;"N/A"),FFOqtrlyavg)),"-"),"-")</f>
        <v>-</v>
      </c>
      <c r="H20" s="25" t="str">
        <f t="array" aca="1" ref="H20" ca="1">IF(E20&gt;0,IFERROR(MEDIAN(IF((FFOind="E")*(FFOcr=$C20)*(FFOqtrlyavg&lt;&gt;"N/A"),FFOqtrlyavg)),"-"),"-")</f>
        <v>-</v>
      </c>
      <c r="I20" s="25" t="str">
        <f t="array" aca="1" ref="I20" ca="1">IF(E20&gt;0,IFERROR(MAX(IF((FFOind="E")*(FFOcr=$C20)*(FFOqtrlyavg&lt;&gt;"N/A"),FFOqtrlyavg)),"-"),"-")</f>
        <v>-</v>
      </c>
      <c r="J20" s="25" t="str">
        <f t="array" aca="1" ref="J20" ca="1">IF(E20&gt;0,IFERROR(MIN(IF((FFOind="E")*(FFOcr=$C20)*(FFOqtrlyavg&lt;&gt;"N/A"),FFOqtrlyavg)),"-"),"-")</f>
        <v>-</v>
      </c>
      <c r="K20" s="24"/>
      <c r="L20" s="26" t="str">
        <f t="shared" ca="1" si="4"/>
        <v/>
      </c>
      <c r="M20" s="26" t="str">
        <f t="shared" ca="1" si="4"/>
        <v/>
      </c>
      <c r="N20" s="26" t="str">
        <f t="shared" ca="1" si="4"/>
        <v/>
      </c>
      <c r="O20" s="26" t="str">
        <f t="shared" ca="1" si="5"/>
        <v/>
      </c>
      <c r="T20" s="24">
        <f t="shared" ca="1" si="1"/>
        <v>0</v>
      </c>
      <c r="U20" s="24">
        <f t="shared" ca="1" si="2"/>
        <v>0</v>
      </c>
      <c r="V20" s="24">
        <f t="shared" ca="1" si="3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">
        <f ca="1">SUM(E13:E20)</f>
        <v>97</v>
      </c>
      <c r="F23" s="6"/>
      <c r="K23" s="4"/>
      <c r="T23" s="4">
        <f ca="1">SUM(T13:T20)</f>
        <v>97</v>
      </c>
      <c r="U23" s="4">
        <f ca="1">SUM(U13:U20)</f>
        <v>0</v>
      </c>
      <c r="V23" s="4">
        <f ca="1">SUM(V13:V20)</f>
        <v>0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22.964556940748505</v>
      </c>
      <c r="H24" s="30">
        <f ca="1">AVERAGE(H$13:H$20)</f>
        <v>22.979722222222222</v>
      </c>
      <c r="I24" s="30">
        <f ca="1">AVERAGE(I$13:I$20)</f>
        <v>30.922777777777778</v>
      </c>
      <c r="J24" s="30">
        <f ca="1">AVERAGE(J$13:J$20)</f>
        <v>16.305454545454545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'FFO to Debt Ratio Electric Gas'!A28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43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IFERROR(COUNT(IF((FFOind="E")*(FFOcr=$C33)*(FFOqtrlyvalues&lt;&gt;"-"),FFOqtrlyvalues)),"")</f>
        <v>12</v>
      </c>
      <c r="F33" s="24"/>
      <c r="G33" s="25">
        <f t="array" aca="1" ref="G33" ca="1">IF(E33&gt;0,IFERROR(AVERAGE(IF((FFOind="E")*(FFOcr=$C33)*(FFOqtrlyvalues&lt;&gt;"-"),FFOqtrlyvalues)),"-"),"-")</f>
        <v>28.883333333333336</v>
      </c>
      <c r="H33" s="25">
        <f t="array" aca="1" ref="H33" ca="1">IF(E33&gt;0,IFERROR(MEDIAN(IF((FFOind="E")*(FFOcr=$C33)*(FFOqtrlyvalues&lt;&gt;"-"),FFOqtrlyvalues)),"-"),"-")</f>
        <v>27.700000000000003</v>
      </c>
      <c r="I33" s="25">
        <f t="array" aca="1" ref="I33" ca="1">IF(E33&gt;0,IFERROR(MAX(IF((FFOind="E")*(FFOcr=$C33)*(FFOqtrlyvalues&lt;&gt;"-"),FFOqtrlyvalues)),"-"),"-")</f>
        <v>44.5</v>
      </c>
      <c r="J33" s="25">
        <f t="array" aca="1" ref="J33" ca="1">IF(E33&gt;0,IFERROR(MIN(IF((FFOind="E")*(FFOcr=$C33)*(FFOqtrlyvalues&lt;&gt;"-"),FFOqtrlyvalues)),"-"),"-")</f>
        <v>19.7</v>
      </c>
      <c r="K33" s="24"/>
      <c r="L33" s="26">
        <f t="shared" ref="L33:N34" ca="1" si="6">IFERROR(T33/$E33,"")</f>
        <v>1</v>
      </c>
      <c r="M33" s="26">
        <f t="shared" ca="1" si="6"/>
        <v>0</v>
      </c>
      <c r="N33" s="26">
        <f t="shared" ca="1" si="6"/>
        <v>0</v>
      </c>
      <c r="O33" s="26">
        <f ca="1">IFERROR((U33+V33)/$E33,"")</f>
        <v>0</v>
      </c>
      <c r="T33" s="24">
        <f t="array" aca="1" ref="T33" ca="1">IFERROR(COUNT(IF((FFOind="E")*(FFOcr=$C33)*(FFOqtrlyvalues&lt;50),FFOqtrlyvalues)),"")</f>
        <v>12</v>
      </c>
      <c r="U33" s="24">
        <f ca="1">E33-T33-V33</f>
        <v>0</v>
      </c>
      <c r="V33" s="24">
        <f t="array" aca="1" ref="V33" ca="1">IFERROR(COUNT(IF((FFOind="E")*(FFOcr=$C33)*(FFOqtrlyvalues&gt;55),FFOqtrlyvalues)),"")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IFERROR(COUNT(IF((FFOind="E")*(FFOcr=$C34)*(FFOqtrlyvalues&lt;&gt;"-"),FFOqtrlyvalues)),"")</f>
        <v>0</v>
      </c>
      <c r="F34" s="24"/>
      <c r="G34" s="25" t="str">
        <f t="array" aca="1" ref="G34" ca="1">IF(E34&gt;0,IFERROR(AVERAGE(IF((FFOind="E")*(FFOcr=$C34)*(FFOqtrlyvalues&lt;&gt;"-"),FFOqtrlyvalues)),"-"),"-")</f>
        <v>-</v>
      </c>
      <c r="H34" s="25" t="str">
        <f t="array" aca="1" ref="H34" ca="1">IF(E34&gt;0,IFERROR(MEDIAN(IF((FFOind="E")*(FFOcr=$C34)*(FFOqtrlyvalues&lt;&gt;"-"),FFOqtrlyvalues)),"-"),"-")</f>
        <v>-</v>
      </c>
      <c r="I34" s="25" t="str">
        <f t="array" aca="1" ref="I34" ca="1">IF(E34&gt;0,IFERROR(MAX(IF((FFOind="E")*(FFOcr=$C34)*(FFOqtrlyvalues&lt;&gt;"-"),FFOqtrlyvalues)),"-"),"-")</f>
        <v>-</v>
      </c>
      <c r="J34" s="25" t="str">
        <f t="array" aca="1" ref="J34" ca="1">IF(E34&gt;0,IFERROR(MIN(IF((FFOind="E")*(FFOcr=$C34)*(FFOqtrlyvalues&lt;&gt;"-"),FFOqtrlyvalues)),"-"),"-")</f>
        <v>-</v>
      </c>
      <c r="K34" s="24"/>
      <c r="L34" s="26" t="str">
        <f t="shared" ca="1" si="6"/>
        <v/>
      </c>
      <c r="M34" s="26" t="str">
        <f t="shared" ca="1" si="6"/>
        <v/>
      </c>
      <c r="N34" s="26" t="str">
        <f t="shared" ca="1" si="6"/>
        <v/>
      </c>
      <c r="O34" s="26" t="str">
        <f ca="1">IFERROR((U34+V34)/$E34,"")</f>
        <v/>
      </c>
      <c r="T34" s="24">
        <f t="array" aca="1" ref="T34" ca="1">IFERROR(COUNT(IF((FFOind="E")*(FFOcr=$C34)*(FFOqtrlyvalues&lt;50),FFOqtrlyvalues)),"")</f>
        <v>0</v>
      </c>
      <c r="U34" s="24">
        <f ca="1">E34-T34-V34</f>
        <v>0</v>
      </c>
      <c r="V34" s="24">
        <f t="array" aca="1" ref="V34" ca="1">IFERROR(COUNT(IF((FFOind="E")*(FFOcr=$C34)*(FFOqtrlyvalues&gt;55),FFOqtrlyvalues)),"")</f>
        <v>0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IFERROR(COUNT(IF((FFOind="E")*(FFOcr=$C35)*(FFOqtrlyvalues&lt;&gt;"-"),FFOqtrlyvalues)),"")</f>
        <v>87</v>
      </c>
      <c r="F35" s="24"/>
      <c r="G35" s="25">
        <f t="array" aca="1" ref="G35" ca="1">IF(E35&gt;0,IFERROR(AVERAGE(IF((FFOind="E")*(FFOcr=$C35)*(FFOqtrlyvalues&lt;&gt;"-"),FFOqtrlyvalues)),"-"),"-")</f>
        <v>24.72425287356322</v>
      </c>
      <c r="H35" s="25">
        <f t="array" aca="1" ref="H35" ca="1">IF(E35&gt;0,IFERROR(MEDIAN(IF((FFOind="E")*(FFOcr=$C35)*(FFOqtrlyvalues&lt;&gt;"-"),FFOqtrlyvalues)),"-"),"-")</f>
        <v>24.4</v>
      </c>
      <c r="I35" s="25">
        <f t="array" aca="1" ref="I35" ca="1">IF(E35&gt;0,IFERROR(MAX(IF((FFOind="E")*(FFOcr=$C35)*(FFOqtrlyvalues&lt;&gt;"-"),FFOqtrlyvalues)),"-"),"-")</f>
        <v>44</v>
      </c>
      <c r="J35" s="25">
        <f t="array" aca="1" ref="J35" ca="1">IF(E35&gt;0,IFERROR(MIN(IF((FFOind="E")*(FFOcr=$C35)*(FFOqtrlyvalues&lt;&gt;"-"),FFOqtrlyvalues)),"-"),"-")</f>
        <v>6.18</v>
      </c>
      <c r="K35" s="24"/>
      <c r="L35" s="26">
        <f t="shared" ref="L35:N40" ca="1" si="7">IFERROR(T35/$E35,"")</f>
        <v>1</v>
      </c>
      <c r="M35" s="26">
        <f t="shared" ca="1" si="7"/>
        <v>0</v>
      </c>
      <c r="N35" s="26">
        <f t="shared" ca="1" si="7"/>
        <v>0</v>
      </c>
      <c r="O35" s="26">
        <f t="shared" ref="O35:O40" ca="1" si="8">IFERROR((U35+V35)/$E35,"")</f>
        <v>0</v>
      </c>
      <c r="T35" s="24">
        <f t="array" aca="1" ref="T35" ca="1">IFERROR(COUNT(IF((FFOind="E")*(FFOcr=$C35)*(FFOqtrlyvalues&lt;50),FFOqtrlyvalues)),"")</f>
        <v>87</v>
      </c>
      <c r="U35" s="24">
        <f t="shared" ref="U35:U40" ca="1" si="9">E35-T35-V35</f>
        <v>0</v>
      </c>
      <c r="V35" s="24">
        <f t="array" aca="1" ref="V35" ca="1">IFERROR(COUNT(IF((FFOind="E")*(FFOcr=$C35)*(FFOqtrlyvalues&gt;55),FFOqtrlyvalues)),"")</f>
        <v>0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IFERROR(COUNT(IF((FFOind="E")*(FFOcr=$C36)*(FFOqtrlyvalues&lt;&gt;"-"),FFOqtrlyvalues)),"")</f>
        <v>537</v>
      </c>
      <c r="F36" s="24"/>
      <c r="G36" s="25">
        <f t="array" aca="1" ref="G36" ca="1">IF(E36&gt;0,IFERROR(AVERAGE(IF((FFOind="E")*(FFOcr=$C36)*(FFOqtrlyvalues&lt;&gt;"-"),FFOqtrlyvalues)),"-"),"-")</f>
        <v>23.353854748603357</v>
      </c>
      <c r="H36" s="25">
        <f t="array" aca="1" ref="H36" ca="1">IF(E36&gt;0,IFERROR(MEDIAN(IF((FFOind="E")*(FFOcr=$C36)*(FFOqtrlyvalues&lt;&gt;"-"),FFOqtrlyvalues)),"-"),"-")</f>
        <v>22.3</v>
      </c>
      <c r="I36" s="25">
        <f t="array" aca="1" ref="I36" ca="1">IF(E36&gt;0,IFERROR(MAX(IF((FFOind="E")*(FFOcr=$C36)*(FFOqtrlyvalues&lt;&gt;"-"),FFOqtrlyvalues)),"-"),"-")</f>
        <v>73.7</v>
      </c>
      <c r="J36" s="25">
        <f t="array" aca="1" ref="J36" ca="1">IF(E36&gt;0,IFERROR(MIN(IF((FFOind="E")*(FFOcr=$C36)*(FFOqtrlyvalues&lt;&gt;"-"),FFOqtrlyvalues)),"-"),"-")</f>
        <v>-43.1</v>
      </c>
      <c r="K36" s="24"/>
      <c r="L36" s="26">
        <f t="shared" ca="1" si="7"/>
        <v>0.97951582867783982</v>
      </c>
      <c r="M36" s="26">
        <f t="shared" ca="1" si="7"/>
        <v>5.5865921787709499E-3</v>
      </c>
      <c r="N36" s="26">
        <f t="shared" ca="1" si="7"/>
        <v>1.4897579143389199E-2</v>
      </c>
      <c r="O36" s="26">
        <f t="shared" ca="1" si="8"/>
        <v>2.0484171322160148E-2</v>
      </c>
      <c r="T36" s="24">
        <f t="array" aca="1" ref="T36" ca="1">IFERROR(COUNT(IF((FFOind="E")*(FFOcr=$C36)*(FFOqtrlyvalues&lt;50),FFOqtrlyvalues)),"")</f>
        <v>526</v>
      </c>
      <c r="U36" s="24">
        <f t="shared" ca="1" si="9"/>
        <v>3</v>
      </c>
      <c r="V36" s="24">
        <f t="array" aca="1" ref="V36" ca="1">IFERROR(COUNT(IF((FFOind="E")*(FFOcr=$C36)*(FFOqtrlyvalues&gt;55),FFOqtrlyvalues)),"")</f>
        <v>8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IFERROR(COUNT(IF((FFOind="E")*(FFOcr=$C37)*(FFOqtrlyvalues&lt;&gt;"-"),FFOqtrlyvalues)),"")</f>
        <v>274</v>
      </c>
      <c r="F37" s="24"/>
      <c r="G37" s="25">
        <f t="array" aca="1" ref="G37" ca="1">IF(E37&gt;0,IFERROR(AVERAGE(IF((FFOind="E")*(FFOcr=$C37)*(FFOqtrlyvalues&lt;&gt;"-"),FFOqtrlyvalues)),"-"),"-")</f>
        <v>21.403664233576638</v>
      </c>
      <c r="H37" s="25">
        <f t="array" aca="1" ref="H37" ca="1">IF(E37&gt;0,IFERROR(MEDIAN(IF((FFOind="E")*(FFOcr=$C37)*(FFOqtrlyvalues&lt;&gt;"-"),FFOqtrlyvalues)),"-"),"-")</f>
        <v>21.3</v>
      </c>
      <c r="I37" s="25">
        <f t="array" aca="1" ref="I37" ca="1">IF(E37&gt;0,IFERROR(MAX(IF((FFOind="E")*(FFOcr=$C37)*(FFOqtrlyvalues&lt;&gt;"-"),FFOqtrlyvalues)),"-"),"-")</f>
        <v>101.7</v>
      </c>
      <c r="J37" s="25">
        <f t="array" aca="1" ref="J37" ca="1">IF(E37&gt;0,IFERROR(MIN(IF((FFOind="E")*(FFOcr=$C37)*(FFOqtrlyvalues&lt;&gt;"-"),FFOqtrlyvalues)),"-"),"-")</f>
        <v>-72.5</v>
      </c>
      <c r="K37" s="24"/>
      <c r="L37" s="26">
        <f t="shared" ca="1" si="7"/>
        <v>0.97810218978102192</v>
      </c>
      <c r="M37" s="26">
        <f t="shared" ca="1" si="7"/>
        <v>7.2992700729927005E-3</v>
      </c>
      <c r="N37" s="26">
        <f t="shared" ca="1" si="7"/>
        <v>1.4598540145985401E-2</v>
      </c>
      <c r="O37" s="26">
        <f t="shared" ca="1" si="8"/>
        <v>2.1897810218978103E-2</v>
      </c>
      <c r="T37" s="24">
        <f t="array" aca="1" ref="T37" ca="1">IFERROR(COUNT(IF((FFOind="E")*(FFOcr=$C37)*(FFOqtrlyvalues&lt;50),FFOqtrlyvalues)),"")</f>
        <v>268</v>
      </c>
      <c r="U37" s="24">
        <f t="shared" ca="1" si="9"/>
        <v>2</v>
      </c>
      <c r="V37" s="24">
        <f t="array" aca="1" ref="V37" ca="1">IFERROR(COUNT(IF((FFOind="E")*(FFOcr=$C37)*(FFOqtrlyvalues&gt;55),FFOqtrlyvalues)),"")</f>
        <v>4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IFERROR(COUNT(IF((FFOind="E")*(FFOcr=$C38)*(FFOqtrlyvalues&lt;&gt;"-"),FFOqtrlyvalues)),"")</f>
        <v>96</v>
      </c>
      <c r="F38" s="24"/>
      <c r="G38" s="25">
        <f t="array" aca="1" ref="G38" ca="1">IF(E38&gt;0,IFERROR(AVERAGE(IF((FFOind="E")*(FFOcr=$C38)*(FFOqtrlyvalues&lt;&gt;"-"),FFOqtrlyvalues)),"-"),"-")</f>
        <v>19.839062500000001</v>
      </c>
      <c r="H38" s="25">
        <f t="array" aca="1" ref="H38" ca="1">IF(E38&gt;0,IFERROR(MEDIAN(IF((FFOind="E")*(FFOcr=$C38)*(FFOqtrlyvalues&lt;&gt;"-"),FFOqtrlyvalues)),"-"),"-")</f>
        <v>18.850000000000001</v>
      </c>
      <c r="I38" s="25">
        <f t="array" aca="1" ref="I38" ca="1">IF(E38&gt;0,IFERROR(MAX(IF((FFOind="E")*(FFOcr=$C38)*(FFOqtrlyvalues&lt;&gt;"-"),FFOqtrlyvalues)),"-"),"-")</f>
        <v>42.9</v>
      </c>
      <c r="J38" s="25">
        <f t="array" aca="1" ref="J38" ca="1">IF(E38&gt;0,IFERROR(MIN(IF((FFOind="E")*(FFOcr=$C38)*(FFOqtrlyvalues&lt;&gt;"-"),FFOqtrlyvalues)),"-"),"-")</f>
        <v>-4.75</v>
      </c>
      <c r="K38" s="24"/>
      <c r="L38" s="26">
        <f t="shared" ca="1" si="7"/>
        <v>1</v>
      </c>
      <c r="M38" s="26">
        <f t="shared" ca="1" si="7"/>
        <v>0</v>
      </c>
      <c r="N38" s="26">
        <f t="shared" ca="1" si="7"/>
        <v>0</v>
      </c>
      <c r="O38" s="26">
        <f t="shared" ca="1" si="8"/>
        <v>0</v>
      </c>
      <c r="T38" s="24">
        <f t="array" aca="1" ref="T38" ca="1">IFERROR(COUNT(IF((FFOind="E")*(FFOcr=$C38)*(FFOqtrlyvalues&lt;50),FFOqtrlyvalues)),"")</f>
        <v>96</v>
      </c>
      <c r="U38" s="24">
        <f t="shared" ca="1" si="9"/>
        <v>0</v>
      </c>
      <c r="V38" s="24">
        <f t="array" aca="1" ref="V38" ca="1">IFERROR(COUNT(IF((FFOind="E")*(FFOcr=$C38)*(FFOqtrlyvalues&gt;55),FFOqtrlyvalues)),"")</f>
        <v>0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IFERROR(COUNT(IF((FFOind="E")*(FFOcr=$C39)*(FFOqtrlyvalues&lt;&gt;"-"),FFOqtrlyvalues)),"")</f>
        <v>118</v>
      </c>
      <c r="F39" s="24"/>
      <c r="G39" s="25">
        <f t="array" aca="1" ref="G39" ca="1">IF(E39&gt;0,IFERROR(AVERAGE(IF((FFOind="E")*(FFOcr=$C39)*(FFOqtrlyvalues&lt;&gt;"-"),FFOqtrlyvalues)),"-"),"-")</f>
        <v>19.445957627118641</v>
      </c>
      <c r="H39" s="25">
        <f t="array" aca="1" ref="H39" ca="1">IF(E39&gt;0,IFERROR(MEDIAN(IF((FFOind="E")*(FFOcr=$C39)*(FFOqtrlyvalues&lt;&gt;"-"),FFOqtrlyvalues)),"-"),"-")</f>
        <v>19.600000000000001</v>
      </c>
      <c r="I39" s="25">
        <f t="array" aca="1" ref="I39" ca="1">IF(E39&gt;0,IFERROR(MAX(IF((FFOind="E")*(FFOcr=$C39)*(FFOqtrlyvalues&lt;&gt;"-"),FFOqtrlyvalues)),"-"),"-")</f>
        <v>52.1</v>
      </c>
      <c r="J39" s="25">
        <f t="array" aca="1" ref="J39" ca="1">IF(E39&gt;0,IFERROR(MIN(IF((FFOind="E")*(FFOcr=$C39)*(FFOqtrlyvalues&lt;&gt;"-"),FFOqtrlyvalues)),"-"),"-")</f>
        <v>-14.7</v>
      </c>
      <c r="K39" s="24"/>
      <c r="L39" s="26">
        <f t="shared" ca="1" si="7"/>
        <v>0.99152542372881358</v>
      </c>
      <c r="M39" s="26">
        <f t="shared" ca="1" si="7"/>
        <v>8.4745762711864406E-3</v>
      </c>
      <c r="N39" s="26">
        <f t="shared" ca="1" si="7"/>
        <v>0</v>
      </c>
      <c r="O39" s="26">
        <f t="shared" ca="1" si="8"/>
        <v>8.4745762711864406E-3</v>
      </c>
      <c r="T39" s="24">
        <f t="array" aca="1" ref="T39" ca="1">IFERROR(COUNT(IF((FFOind="E")*(FFOcr=$C39)*(FFOqtrlyvalues&lt;50),FFOqtrlyvalues)),"")</f>
        <v>117</v>
      </c>
      <c r="U39" s="24">
        <f t="shared" ca="1" si="9"/>
        <v>1</v>
      </c>
      <c r="V39" s="24">
        <f t="array" aca="1" ref="V39" ca="1">IFERROR(COUNT(IF((FFOind="E")*(FFOcr=$C39)*(FFOqtrlyvalues&gt;55),FFOqtrlyvalues)),"")</f>
        <v>0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IFERROR(COUNT(IF((FFOind="E")*(FFOcr=$C40)*(FFOqtrlyvalues&lt;&gt;"-"),FFOqtrlyvalues)),"")</f>
        <v>0</v>
      </c>
      <c r="F40" s="24"/>
      <c r="G40" s="25" t="str">
        <f t="array" aca="1" ref="G40" ca="1">IF(E40&gt;0,IFERROR(AVERAGE(IF((FFOind="E")*(FFOcr=$C40)*(FFOqtrlyvalues&lt;&gt;"-"),FFOqtrlyvalues)),"-"),"-")</f>
        <v>-</v>
      </c>
      <c r="H40" s="25" t="str">
        <f t="array" aca="1" ref="H40" ca="1">IF(E40&gt;0,IFERROR(MEDIAN(IF((FFOind="E")*(FFOcr=$C40)*(FFOqtrlyvalues&lt;&gt;"-"),FFOqtrlyvalues)),"-"),"-")</f>
        <v>-</v>
      </c>
      <c r="I40" s="25" t="str">
        <f t="array" aca="1" ref="I40" ca="1">IF(E40&gt;0,IFERROR(MAX(IF((FFOind="E")*(FFOcr=$C40)*(FFOqtrlyvalues&lt;&gt;"-"),FFOqtrlyvalues)),"-"),"-")</f>
        <v>-</v>
      </c>
      <c r="J40" s="25" t="str">
        <f t="array" aca="1" ref="J40" ca="1">IF(E40&gt;0,IFERROR(MIN(IF((FFOind="E")*(FFOcr=$C40)*(FFOqtrlyvalues&lt;&gt;"-"),FFOqtrlyvalues)),"-"),"-")</f>
        <v>-</v>
      </c>
      <c r="K40" s="24"/>
      <c r="L40" s="26" t="str">
        <f t="shared" ca="1" si="7"/>
        <v/>
      </c>
      <c r="M40" s="26" t="str">
        <f t="shared" ca="1" si="7"/>
        <v/>
      </c>
      <c r="N40" s="26" t="str">
        <f t="shared" ca="1" si="7"/>
        <v/>
      </c>
      <c r="O40" s="26" t="str">
        <f t="shared" ca="1" si="8"/>
        <v/>
      </c>
      <c r="T40" s="24">
        <f t="array" aca="1" ref="T40" ca="1">IFERROR(COUNT(IF((FFOind="E")*(FFOcr=$C40)*(FFOqtrlyvalues&lt;50),FFOqtrlyvalues)),"")</f>
        <v>0</v>
      </c>
      <c r="U40" s="24">
        <f t="shared" ca="1" si="9"/>
        <v>0</v>
      </c>
      <c r="V40" s="24">
        <f t="array" aca="1" ref="V40" ca="1">IFERROR(COUNT(IF((FFOind="E")*(FFOcr=$C40)*(FFOqtrlyvalues&gt;55),FFOqtrlyvalues)),"")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1124</v>
      </c>
      <c r="F43" s="6"/>
      <c r="K43" s="4"/>
      <c r="T43" s="4">
        <f ca="1">SUM(T33:T40)</f>
        <v>1106</v>
      </c>
      <c r="U43" s="4">
        <f ca="1">SUM(U33:U40)</f>
        <v>6</v>
      </c>
      <c r="V43" s="4">
        <f ca="1">SUM(V33:V40)</f>
        <v>12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22.941687552699197</v>
      </c>
      <c r="H44" s="33">
        <f ca="1">AVERAGE(H$33:H$40)</f>
        <v>22.358333333333334</v>
      </c>
      <c r="I44" s="33">
        <f ca="1">AVERAGE(I$33:I$40)</f>
        <v>59.816666666666663</v>
      </c>
      <c r="J44" s="33">
        <f ca="1">AVERAGE(J$33:J$40)</f>
        <v>-18.195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tr">
        <f>'FFO to Debt Ratio Electric Gas'!$C$49</f>
        <v>S&amp;P Capital IQ, downloaded October 17, 2017.</v>
      </c>
    </row>
  </sheetData>
  <mergeCells count="12">
    <mergeCell ref="A1:N1"/>
    <mergeCell ref="A4:N4"/>
    <mergeCell ref="A5:N5"/>
    <mergeCell ref="A8:N8"/>
    <mergeCell ref="G9:H9"/>
    <mergeCell ref="J9:K9"/>
    <mergeCell ref="L9:N9"/>
    <mergeCell ref="T9:V9"/>
    <mergeCell ref="A28:N28"/>
    <mergeCell ref="G29:H29"/>
    <mergeCell ref="J29:K29"/>
    <mergeCell ref="L29:N29"/>
  </mergeCells>
  <printOptions horizontalCentered="1"/>
  <pageMargins left="0.7" right="0.7" top="1" bottom="0.75" header="0.55000000000000004" footer="0.51"/>
  <pageSetup scale="81" orientation="portrait" r:id="rId1"/>
  <headerFooter>
    <oddHeader>&amp;R&amp;13Exhibit MPG-2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657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589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'FFO to Debt Ratio Electric Gas'!A8:N8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43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IFERROR(COUNT(IF((FFOind="G")*(FFOcr=$C13)*(FFOqtrlyavg&lt;&gt;"N/A"),FFOqtrlyavg)),"")</f>
        <v>0</v>
      </c>
      <c r="F13" s="24"/>
      <c r="G13" s="25" t="str">
        <f t="array" aca="1" ref="G13" ca="1">IF(E13&gt;0,IFERROR(AVERAGE(IF((FFOind="G")*(FFOcr=$C13)*(FFOqtrlyavg&lt;&gt;"N/A"),FFOqtrlyavg)),"-"),"-")</f>
        <v>-</v>
      </c>
      <c r="H13" s="25" t="str">
        <f t="array" aca="1" ref="H13" ca="1">IF(E13&gt;0,IFERROR(MEDIAN(IF((FFOind="G")*(FFOcr=$C13)*(FFOqtrlyavg&lt;&gt;"N/A"),FFOqtrlyavg)),"-"),"-")</f>
        <v>-</v>
      </c>
      <c r="I13" s="25" t="str">
        <f t="array" aca="1" ref="I13" ca="1">IF(E13&gt;0,IFERROR(MAX(IF((FFOind="G")*(FFOcr=$C13)*(FFOqtrlyavg&lt;&gt;"N/A"),FFOqtrlyavg)),"-"),"-")</f>
        <v>-</v>
      </c>
      <c r="J13" s="25" t="str">
        <f t="array" aca="1" ref="J13" ca="1">IF(E13&gt;0,IFERROR(MIN(IF((FFOind="G")*(FFOcr=$C13)*(FFOqtrlyavg&lt;&gt;"N/A"),FFOqtrlyavg)),"-"),"-")</f>
        <v>-</v>
      </c>
      <c r="K13" s="24"/>
      <c r="L13" s="26" t="str">
        <f t="shared" ref="L13:N14" ca="1" si="0">IFERROR(T13/$E13,"")</f>
        <v/>
      </c>
      <c r="M13" s="26" t="str">
        <f t="shared" ca="1" si="0"/>
        <v/>
      </c>
      <c r="N13" s="26" t="str">
        <f t="shared" ca="1" si="0"/>
        <v/>
      </c>
      <c r="O13" s="26" t="str">
        <f ca="1">IFERROR((U13+V13)/$E13,"")</f>
        <v/>
      </c>
      <c r="T13" s="24">
        <f t="shared" ref="T13:T20" ca="1" si="1">COUNTIFS(FFOind,"G",FFOcr,$C13,FFOqtrlyavg,"&lt;50")</f>
        <v>0</v>
      </c>
      <c r="U13" s="24">
        <f t="shared" ref="U13:U20" ca="1" si="2">COUNTIFS(FFOind,"G",FFOcr,$C13,FFOqtrlyavg,"&gt;=50",FFOqtrlyavg,"&lt;=55")</f>
        <v>0</v>
      </c>
      <c r="V13" s="24">
        <f t="shared" ref="V13:V20" ca="1" si="3">COUNTIFS(FFOind,"G",FFOcr,$C13,FFOqtrlyavg,"&gt;55")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IFERROR(COUNT(IF((FFOind="G")*(FFOcr=$C14)*(FFOqtrlyavg&lt;&gt;"N/A"),FFOqtrlyavg)),"")</f>
        <v>1</v>
      </c>
      <c r="F14" s="24"/>
      <c r="G14" s="25">
        <f t="array" aca="1" ref="G14" ca="1">IF(E14&gt;0,IFERROR(AVERAGE(IF((FFOind="G")*(FFOcr=$C14)*(FFOqtrlyavg&lt;&gt;"N/A"),FFOqtrlyavg)),"-"),"-")</f>
        <v>20.639999999999997</v>
      </c>
      <c r="H14" s="25">
        <f t="array" aca="1" ref="H14" ca="1">IF(E14&gt;0,IFERROR(MEDIAN(IF((FFOind="G")*(FFOcr=$C14)*(FFOqtrlyavg&lt;&gt;"N/A"),FFOqtrlyavg)),"-"),"-")</f>
        <v>20.639999999999997</v>
      </c>
      <c r="I14" s="25">
        <f t="array" aca="1" ref="I14" ca="1">IF(E14&gt;0,IFERROR(MAX(IF((FFOind="G")*(FFOcr=$C14)*(FFOqtrlyavg&lt;&gt;"N/A"),FFOqtrlyavg)),"-"),"-")</f>
        <v>20.639999999999997</v>
      </c>
      <c r="J14" s="25">
        <f t="array" aca="1" ref="J14" ca="1">IF(E14&gt;0,IFERROR(MIN(IF((FFOind="G")*(FFOcr=$C14)*(FFOqtrlyavg&lt;&gt;"N/A"),FFOqtrlyavg)),"-"),"-")</f>
        <v>20.639999999999997</v>
      </c>
      <c r="K14" s="24"/>
      <c r="L14" s="26">
        <f t="shared" ca="1" si="0"/>
        <v>1</v>
      </c>
      <c r="M14" s="26">
        <f t="shared" ca="1" si="0"/>
        <v>0</v>
      </c>
      <c r="N14" s="26">
        <f t="shared" ca="1" si="0"/>
        <v>0</v>
      </c>
      <c r="O14" s="26">
        <f ca="1">IFERROR((U14+V14)/$E14,"")</f>
        <v>0</v>
      </c>
      <c r="T14" s="24">
        <f t="shared" ca="1" si="1"/>
        <v>1</v>
      </c>
      <c r="U14" s="24">
        <f t="shared" ca="1" si="2"/>
        <v>0</v>
      </c>
      <c r="V14" s="24">
        <f t="shared" ca="1" si="3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IFERROR(COUNT(IF((FFOind="G")*(FFOcr=$C15)*(FFOqtrlyavg&lt;&gt;"N/A"),FFOqtrlyavg)),"")</f>
        <v>4</v>
      </c>
      <c r="F15" s="24"/>
      <c r="G15" s="25">
        <f t="array" aca="1" ref="G15" ca="1">IF(E15&gt;0,IFERROR(AVERAGE(IF((FFOind="G")*(FFOcr=$C15)*(FFOqtrlyavg&lt;&gt;"N/A"),FFOqtrlyavg)),"-"),"-")</f>
        <v>28.215462121212123</v>
      </c>
      <c r="H15" s="25">
        <f t="array" aca="1" ref="H15" ca="1">IF(E15&gt;0,IFERROR(MEDIAN(IF((FFOind="G")*(FFOcr=$C15)*(FFOqtrlyavg&lt;&gt;"N/A"),FFOqtrlyavg)),"-"),"-")</f>
        <v>27.287500000000001</v>
      </c>
      <c r="I15" s="25">
        <f t="array" aca="1" ref="I15" ca="1">IF(E15&gt;0,IFERROR(MAX(IF((FFOind="G")*(FFOcr=$C15)*(FFOqtrlyavg&lt;&gt;"N/A"),FFOqtrlyavg)),"-"),"-")</f>
        <v>34.448666666666668</v>
      </c>
      <c r="J15" s="25">
        <f t="array" aca="1" ref="J15" ca="1">IF(E15&gt;0,IFERROR(MIN(IF((FFOind="G")*(FFOcr=$C15)*(FFOqtrlyavg&lt;&gt;"N/A"),FFOqtrlyavg)),"-"),"-")</f>
        <v>23.83818181818182</v>
      </c>
      <c r="K15" s="24"/>
      <c r="L15" s="26">
        <f t="shared" ref="L15:N20" ca="1" si="4">IFERROR(T15/$E15,"")</f>
        <v>1</v>
      </c>
      <c r="M15" s="26">
        <f t="shared" ca="1" si="4"/>
        <v>0</v>
      </c>
      <c r="N15" s="26">
        <f t="shared" ca="1" si="4"/>
        <v>0</v>
      </c>
      <c r="O15" s="26">
        <f t="shared" ref="O15:O20" ca="1" si="5">IFERROR((U15+V15)/$E15,"")</f>
        <v>0</v>
      </c>
      <c r="T15" s="24">
        <f t="shared" ca="1" si="1"/>
        <v>4</v>
      </c>
      <c r="U15" s="24">
        <f t="shared" ca="1" si="2"/>
        <v>0</v>
      </c>
      <c r="V15" s="24">
        <f t="shared" ca="1" si="3"/>
        <v>0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IFERROR(COUNT(IF((FFOind="G")*(FFOcr=$C16)*(FFOqtrlyavg&lt;&gt;"N/A"),FFOqtrlyavg)),"")</f>
        <v>2</v>
      </c>
      <c r="F16" s="24"/>
      <c r="G16" s="25">
        <f t="array" aca="1" ref="G16" ca="1">IF(E16&gt;0,IFERROR(AVERAGE(IF((FFOind="G")*(FFOcr=$C16)*(FFOqtrlyavg&lt;&gt;"N/A"),FFOqtrlyavg)),"-"),"-")</f>
        <v>32.468333333333334</v>
      </c>
      <c r="H16" s="25">
        <f t="array" aca="1" ref="H16" ca="1">IF(E16&gt;0,IFERROR(MEDIAN(IF((FFOind="G")*(FFOcr=$C16)*(FFOqtrlyavg&lt;&gt;"N/A"),FFOqtrlyavg)),"-"),"-")</f>
        <v>32.468333333333334</v>
      </c>
      <c r="I16" s="25">
        <f t="array" aca="1" ref="I16" ca="1">IF(E16&gt;0,IFERROR(MAX(IF((FFOind="G")*(FFOcr=$C16)*(FFOqtrlyavg&lt;&gt;"N/A"),FFOqtrlyavg)),"-"),"-")</f>
        <v>41.826666666666668</v>
      </c>
      <c r="J16" s="25">
        <f t="array" aca="1" ref="J16" ca="1">IF(E16&gt;0,IFERROR(MIN(IF((FFOind="G")*(FFOcr=$C16)*(FFOqtrlyavg&lt;&gt;"N/A"),FFOqtrlyavg)),"-"),"-")</f>
        <v>23.109999999999996</v>
      </c>
      <c r="K16" s="24"/>
      <c r="L16" s="26">
        <f t="shared" ca="1" si="4"/>
        <v>1</v>
      </c>
      <c r="M16" s="26">
        <f t="shared" ca="1" si="4"/>
        <v>0</v>
      </c>
      <c r="N16" s="26">
        <f t="shared" ca="1" si="4"/>
        <v>0</v>
      </c>
      <c r="O16" s="26">
        <f t="shared" ca="1" si="5"/>
        <v>0</v>
      </c>
      <c r="T16" s="24">
        <f t="shared" ca="1" si="1"/>
        <v>2</v>
      </c>
      <c r="U16" s="24">
        <f t="shared" ca="1" si="2"/>
        <v>0</v>
      </c>
      <c r="V16" s="24">
        <f t="shared" ca="1" si="3"/>
        <v>0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IFERROR(COUNT(IF((FFOind="G")*(FFOcr=$C17)*(FFOqtrlyavg&lt;&gt;"N/A"),FFOqtrlyavg)),"")</f>
        <v>4</v>
      </c>
      <c r="F17" s="24"/>
      <c r="G17" s="25">
        <f t="array" aca="1" ref="G17" ca="1">IF(E17&gt;0,IFERROR(AVERAGE(IF((FFOind="G")*(FFOcr=$C17)*(FFOqtrlyavg&lt;&gt;"N/A"),FFOqtrlyavg)),"-"),"-")</f>
        <v>22.473958333333332</v>
      </c>
      <c r="H17" s="25">
        <f t="array" aca="1" ref="H17" ca="1">IF(E17&gt;0,IFERROR(MEDIAN(IF((FFOind="G")*(FFOcr=$C17)*(FFOqtrlyavg&lt;&gt;"N/A"),FFOqtrlyavg)),"-"),"-")</f>
        <v>24.149583333333332</v>
      </c>
      <c r="I17" s="25">
        <f t="array" aca="1" ref="I17" ca="1">IF(E17&gt;0,IFERROR(MAX(IF((FFOind="G")*(FFOcr=$C17)*(FFOqtrlyavg&lt;&gt;"N/A"),FFOqtrlyavg)),"-"),"-")</f>
        <v>28.7</v>
      </c>
      <c r="J17" s="25">
        <f t="array" aca="1" ref="J17" ca="1">IF(E17&gt;0,IFERROR(MIN(IF((FFOind="G")*(FFOcr=$C17)*(FFOqtrlyavg&lt;&gt;"N/A"),FFOqtrlyavg)),"-"),"-")</f>
        <v>12.896666666666667</v>
      </c>
      <c r="K17" s="24"/>
      <c r="L17" s="26">
        <f t="shared" ca="1" si="4"/>
        <v>1</v>
      </c>
      <c r="M17" s="26">
        <f t="shared" ca="1" si="4"/>
        <v>0</v>
      </c>
      <c r="N17" s="26">
        <f t="shared" ca="1" si="4"/>
        <v>0</v>
      </c>
      <c r="O17" s="26">
        <f t="shared" ca="1" si="5"/>
        <v>0</v>
      </c>
      <c r="T17" s="24">
        <f t="shared" ca="1" si="1"/>
        <v>4</v>
      </c>
      <c r="U17" s="24">
        <f t="shared" ca="1" si="2"/>
        <v>0</v>
      </c>
      <c r="V17" s="24">
        <f t="shared" ca="1" si="3"/>
        <v>0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IFERROR(COUNT(IF((FFOind="G")*(FFOcr=$C18)*(FFOqtrlyavg&lt;&gt;"N/A"),FFOqtrlyavg)),"")</f>
        <v>0</v>
      </c>
      <c r="F18" s="24"/>
      <c r="G18" s="25" t="str">
        <f t="array" aca="1" ref="G18" ca="1">IF(E18&gt;0,IFERROR(AVERAGE(IF((FFOind="G")*(FFOcr=$C18)*(FFOqtrlyavg&lt;&gt;"N/A"),FFOqtrlyavg)),"-"),"-")</f>
        <v>-</v>
      </c>
      <c r="H18" s="25" t="str">
        <f t="array" aca="1" ref="H18" ca="1">IF(E18&gt;0,IFERROR(MEDIAN(IF((FFOind="G")*(FFOcr=$C18)*(FFOqtrlyavg&lt;&gt;"N/A"),FFOqtrlyavg)),"-"),"-")</f>
        <v>-</v>
      </c>
      <c r="I18" s="25" t="str">
        <f t="array" aca="1" ref="I18" ca="1">IF(E18&gt;0,IFERROR(MAX(IF((FFOind="G")*(FFOcr=$C18)*(FFOqtrlyavg&lt;&gt;"N/A"),FFOqtrlyavg)),"-"),"-")</f>
        <v>-</v>
      </c>
      <c r="J18" s="25" t="str">
        <f t="array" aca="1" ref="J18" ca="1">IF(E18&gt;0,IFERROR(MIN(IF((FFOind="G")*(FFOcr=$C18)*(FFOqtrlyavg&lt;&gt;"N/A"),FFOqtrlyavg)),"-"),"-")</f>
        <v>-</v>
      </c>
      <c r="K18" s="24"/>
      <c r="L18" s="26" t="str">
        <f t="shared" ca="1" si="4"/>
        <v/>
      </c>
      <c r="M18" s="26" t="str">
        <f t="shared" ca="1" si="4"/>
        <v/>
      </c>
      <c r="N18" s="26" t="str">
        <f t="shared" ca="1" si="4"/>
        <v/>
      </c>
      <c r="O18" s="26" t="str">
        <f t="shared" ca="1" si="5"/>
        <v/>
      </c>
      <c r="T18" s="24">
        <f t="shared" ca="1" si="1"/>
        <v>0</v>
      </c>
      <c r="U18" s="24">
        <f t="shared" ca="1" si="2"/>
        <v>0</v>
      </c>
      <c r="V18" s="24">
        <f t="shared" ca="1" si="3"/>
        <v>0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IFERROR(COUNT(IF((FFOind="G")*(FFOcr=$C19)*(FFOqtrlyavg&lt;&gt;"N/A"),FFOqtrlyavg)),"")</f>
        <v>0</v>
      </c>
      <c r="F19" s="24"/>
      <c r="G19" s="25" t="str">
        <f t="array" aca="1" ref="G19" ca="1">IF(E19&gt;0,IFERROR(AVERAGE(IF((FFOind="G")*(FFOcr=$C19)*(FFOqtrlyavg&lt;&gt;"N/A"),FFOqtrlyavg)),"-"),"-")</f>
        <v>-</v>
      </c>
      <c r="H19" s="25" t="str">
        <f t="array" aca="1" ref="H19" ca="1">IF(E19&gt;0,IFERROR(MEDIAN(IF((FFOind="G")*(FFOcr=$C19)*(FFOqtrlyavg&lt;&gt;"N/A"),FFOqtrlyavg)),"-"),"-")</f>
        <v>-</v>
      </c>
      <c r="I19" s="25" t="str">
        <f t="array" aca="1" ref="I19" ca="1">IF(E19&gt;0,IFERROR(MAX(IF((FFOind="G")*(FFOcr=$C19)*(FFOqtrlyavg&lt;&gt;"N/A"),FFOqtrlyavg)),"-"),"-")</f>
        <v>-</v>
      </c>
      <c r="J19" s="25" t="str">
        <f t="array" aca="1" ref="J19" ca="1">IF(E19&gt;0,IFERROR(MIN(IF((FFOind="G")*(FFOcr=$C19)*(FFOqtrlyavg&lt;&gt;"N/A"),FFOqtrlyavg)),"-"),"-")</f>
        <v>-</v>
      </c>
      <c r="K19" s="24"/>
      <c r="L19" s="26" t="str">
        <f t="shared" ca="1" si="4"/>
        <v/>
      </c>
      <c r="M19" s="26" t="str">
        <f t="shared" ca="1" si="4"/>
        <v/>
      </c>
      <c r="N19" s="26" t="str">
        <f t="shared" ca="1" si="4"/>
        <v/>
      </c>
      <c r="O19" s="26" t="str">
        <f t="shared" ca="1" si="5"/>
        <v/>
      </c>
      <c r="T19" s="24">
        <f t="shared" ca="1" si="1"/>
        <v>0</v>
      </c>
      <c r="U19" s="24">
        <f t="shared" ca="1" si="2"/>
        <v>0</v>
      </c>
      <c r="V19" s="24">
        <f t="shared" ca="1" si="3"/>
        <v>0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IFERROR(COUNT(IF((FFOind="G")*(FFOcr=$C20)*(FFOqtrlyavg&lt;&gt;"N/A"),FFOqtrlyavg)),"")</f>
        <v>0</v>
      </c>
      <c r="F20" s="24"/>
      <c r="G20" s="25" t="str">
        <f t="array" aca="1" ref="G20" ca="1">IF(E20&gt;0,IFERROR(AVERAGE(IF((FFOind="G")*(FFOcr=$C20)*(FFOqtrlyavg&lt;&gt;"N/A"),FFOqtrlyavg)),"-"),"-")</f>
        <v>-</v>
      </c>
      <c r="H20" s="25" t="str">
        <f t="array" aca="1" ref="H20" ca="1">IF(E20&gt;0,IFERROR(MEDIAN(IF((FFOind="G")*(FFOcr=$C20)*(FFOqtrlyavg&lt;&gt;"N/A"),FFOqtrlyavg)),"-"),"-")</f>
        <v>-</v>
      </c>
      <c r="I20" s="25" t="str">
        <f t="array" aca="1" ref="I20" ca="1">IF(E20&gt;0,IFERROR(MAX(IF((FFOind="G")*(FFOcr=$C20)*(FFOqtrlyavg&lt;&gt;"N/A"),FFOqtrlyavg)),"-"),"-")</f>
        <v>-</v>
      </c>
      <c r="J20" s="25" t="str">
        <f t="array" aca="1" ref="J20" ca="1">IF(E20&gt;0,IFERROR(MIN(IF((FFOind="G")*(FFOcr=$C20)*(FFOqtrlyavg&lt;&gt;"N/A"),FFOqtrlyavg)),"-"),"-")</f>
        <v>-</v>
      </c>
      <c r="K20" s="24"/>
      <c r="L20" s="26" t="str">
        <f t="shared" ca="1" si="4"/>
        <v/>
      </c>
      <c r="M20" s="26" t="str">
        <f t="shared" ca="1" si="4"/>
        <v/>
      </c>
      <c r="N20" s="26" t="str">
        <f t="shared" ca="1" si="4"/>
        <v/>
      </c>
      <c r="O20" s="26" t="str">
        <f t="shared" ca="1" si="5"/>
        <v/>
      </c>
      <c r="T20" s="24">
        <f t="shared" ca="1" si="1"/>
        <v>0</v>
      </c>
      <c r="U20" s="24">
        <f t="shared" ca="1" si="2"/>
        <v>0</v>
      </c>
      <c r="V20" s="24">
        <f t="shared" ca="1" si="3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">
        <f ca="1">SUM(E13:E20)</f>
        <v>11</v>
      </c>
      <c r="F23" s="6"/>
      <c r="K23" s="4"/>
      <c r="T23" s="4">
        <f ca="1">SUM(T13:T20)</f>
        <v>11</v>
      </c>
      <c r="U23" s="4">
        <f ca="1">SUM(U13:U20)</f>
        <v>0</v>
      </c>
      <c r="V23" s="4">
        <f ca="1">SUM(V13:V20)</f>
        <v>0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25.949438446969697</v>
      </c>
      <c r="H24" s="30">
        <f ca="1">AVERAGE(H$13:H$20)</f>
        <v>26.136354166666663</v>
      </c>
      <c r="I24" s="30">
        <f ca="1">AVERAGE(I$13:I$20)</f>
        <v>31.403833333333335</v>
      </c>
      <c r="J24" s="30">
        <f ca="1">AVERAGE(J$13:J$20)</f>
        <v>20.121212121212118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'FFO to Debt Ratio Electric Gas'!A28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43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IFERROR(COUNT(IF((FFOind="G")*(FFOcr=$C33)*(FFOqtrlyvalues&lt;&gt;"-"),FFOqtrlyvalues)),"")</f>
        <v>0</v>
      </c>
      <c r="F33" s="24"/>
      <c r="G33" s="25" t="str">
        <f t="array" aca="1" ref="G33" ca="1">IF(E33&gt;0,IFERROR(AVERAGE(IF((FFOind="G")*(FFOcr=$C33)*(FFOqtrlyvalues&lt;&gt;"-"),FFOqtrlyvalues)),"-"),"-")</f>
        <v>-</v>
      </c>
      <c r="H33" s="25" t="str">
        <f t="array" aca="1" ref="H33" ca="1">IF(E33&gt;0,IFERROR(MEDIAN(IF((FFOind="G")*(FFOcr=$C33)*(FFOqtrlyvalues&lt;&gt;"-"),FFOqtrlyvalues)),"-"),"-")</f>
        <v>-</v>
      </c>
      <c r="I33" s="25" t="str">
        <f t="array" aca="1" ref="I33" ca="1">IF(E33&gt;0,IFERROR(MAX(IF((FFOind="G")*(FFOcr=$C33)*(FFOqtrlyvalues&lt;&gt;"-"),FFOqtrlyvalues)),"-"),"-")</f>
        <v>-</v>
      </c>
      <c r="J33" s="25" t="str">
        <f t="array" aca="1" ref="J33" ca="1">IF(E33&gt;0,IFERROR(MIN(IF((FFOind="G")*(FFOcr=$C33)*(FFOqtrlyvalues&lt;&gt;"-"),FFOqtrlyvalues)),"-"),"-")</f>
        <v>-</v>
      </c>
      <c r="K33" s="24"/>
      <c r="L33" s="26" t="str">
        <f t="shared" ref="L33:N34" ca="1" si="6">IFERROR(T33/$E33,"")</f>
        <v/>
      </c>
      <c r="M33" s="26" t="str">
        <f t="shared" ca="1" si="6"/>
        <v/>
      </c>
      <c r="N33" s="26" t="str">
        <f t="shared" ca="1" si="6"/>
        <v/>
      </c>
      <c r="O33" s="26" t="str">
        <f ca="1">IFERROR((U33+V33)/$E33,"")</f>
        <v/>
      </c>
      <c r="T33" s="24">
        <f t="array" aca="1" ref="T33" ca="1">IFERROR(COUNT(IF((FFOind="G")*(FFOcr=$C33)*(FFOqtrlyvalues&lt;50),FFOqtrlyvalues)),"")</f>
        <v>0</v>
      </c>
      <c r="U33" s="24">
        <f t="shared" ref="U33:U40" ca="1" si="7">E33-T33-V33</f>
        <v>0</v>
      </c>
      <c r="V33" s="24">
        <f t="array" aca="1" ref="V33" ca="1">IFERROR(COUNT(IF((FFOind="G")*(FFOcr=$C33)*(FFOqtrlyvalues&gt;55),FFOqtrlyvalues)),"")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IFERROR(COUNT(IF((FFOind="G")*(FFOcr=$C34)*(FFOqtrlyvalues&lt;&gt;"-"),FFOqtrlyvalues)),"")</f>
        <v>12</v>
      </c>
      <c r="F34" s="24"/>
      <c r="G34" s="25">
        <f t="array" aca="1" ref="G34" ca="1">IF(E34&gt;0,IFERROR(AVERAGE(IF((FFOind="G")*(FFOcr=$C34)*(FFOqtrlyvalues&lt;&gt;"-"),FFOqtrlyvalues)),"-"),"-")</f>
        <v>20.639999999999997</v>
      </c>
      <c r="H34" s="25">
        <f t="array" aca="1" ref="H34" ca="1">IF(E34&gt;0,IFERROR(MEDIAN(IF((FFOind="G")*(FFOcr=$C34)*(FFOqtrlyvalues&lt;&gt;"-"),FFOqtrlyvalues)),"-"),"-")</f>
        <v>17.55</v>
      </c>
      <c r="I34" s="25">
        <f t="array" aca="1" ref="I34" ca="1">IF(E34&gt;0,IFERROR(MAX(IF((FFOind="G")*(FFOcr=$C34)*(FFOqtrlyvalues&lt;&gt;"-"),FFOqtrlyvalues)),"-"),"-")</f>
        <v>40.700000000000003</v>
      </c>
      <c r="J34" s="25">
        <f t="array" aca="1" ref="J34" ca="1">IF(E34&gt;0,IFERROR(MIN(IF((FFOind="G")*(FFOcr=$C34)*(FFOqtrlyvalues&lt;&gt;"-"),FFOqtrlyvalues)),"-"),"-")</f>
        <v>-1.88</v>
      </c>
      <c r="K34" s="24"/>
      <c r="L34" s="26">
        <f t="shared" ca="1" si="6"/>
        <v>1</v>
      </c>
      <c r="M34" s="26">
        <f t="shared" ca="1" si="6"/>
        <v>0</v>
      </c>
      <c r="N34" s="26">
        <f t="shared" ca="1" si="6"/>
        <v>0</v>
      </c>
      <c r="O34" s="26">
        <f ca="1">IFERROR((U34+V34)/$E34,"")</f>
        <v>0</v>
      </c>
      <c r="T34" s="24">
        <f t="array" aca="1" ref="T34" ca="1">IFERROR(COUNT(IF((FFOind="G")*(FFOcr=$C34)*(FFOqtrlyvalues&lt;50),FFOqtrlyvalues)),"")</f>
        <v>12</v>
      </c>
      <c r="U34" s="24">
        <f t="shared" ref="U34" ca="1" si="8">E34-T34-V34</f>
        <v>0</v>
      </c>
      <c r="V34" s="24">
        <f t="array" aca="1" ref="V34" ca="1">IFERROR(COUNT(IF((FFOind="G")*(FFOcr=$C34)*(FFOqtrlyvalues&gt;55),FFOqtrlyvalues)),"")</f>
        <v>0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IFERROR(COUNT(IF((FFOind="G")*(FFOcr=$C35)*(FFOqtrlyvalues&lt;&gt;"-"),FFOqtrlyvalues)),"")</f>
        <v>47</v>
      </c>
      <c r="F35" s="24"/>
      <c r="G35" s="25">
        <f t="array" aca="1" ref="G35" ca="1">IF(E35&gt;0,IFERROR(AVERAGE(IF((FFOind="G")*(FFOcr=$C35)*(FFOqtrlyvalues&lt;&gt;"-"),FFOqtrlyvalues)),"-"),"-")</f>
        <v>28.308595744680854</v>
      </c>
      <c r="H35" s="25">
        <f t="array" aca="1" ref="H35" ca="1">IF(E35&gt;0,IFERROR(MEDIAN(IF((FFOind="G")*(FFOcr=$C35)*(FFOqtrlyvalues&lt;&gt;"-"),FFOqtrlyvalues)),"-"),"-")</f>
        <v>28.6</v>
      </c>
      <c r="I35" s="25">
        <f t="array" aca="1" ref="I35" ca="1">IF(E35&gt;0,IFERROR(MAX(IF((FFOind="G")*(FFOcr=$C35)*(FFOqtrlyvalues&lt;&gt;"-"),FFOqtrlyvalues)),"-"),"-")</f>
        <v>65.900000000000006</v>
      </c>
      <c r="J35" s="25">
        <f t="array" aca="1" ref="J35" ca="1">IF(E35&gt;0,IFERROR(MIN(IF((FFOind="G")*(FFOcr=$C35)*(FFOqtrlyvalues&lt;&gt;"-"),FFOqtrlyvalues)),"-"),"-")</f>
        <v>-0.216</v>
      </c>
      <c r="K35" s="24"/>
      <c r="L35" s="26">
        <f t="shared" ref="L35:N40" ca="1" si="9">IFERROR(T35/$E35,"")</f>
        <v>0.93617021276595747</v>
      </c>
      <c r="M35" s="26">
        <f t="shared" ca="1" si="9"/>
        <v>0</v>
      </c>
      <c r="N35" s="26">
        <f t="shared" ca="1" si="9"/>
        <v>6.3829787234042548E-2</v>
      </c>
      <c r="O35" s="26">
        <f t="shared" ref="O35:O40" ca="1" si="10">IFERROR((U35+V35)/$E35,"")</f>
        <v>6.3829787234042548E-2</v>
      </c>
      <c r="T35" s="24">
        <f t="array" aca="1" ref="T35" ca="1">IFERROR(COUNT(IF((FFOind="G")*(FFOcr=$C35)*(FFOqtrlyvalues&lt;50),FFOqtrlyvalues)),"")</f>
        <v>44</v>
      </c>
      <c r="U35" s="24">
        <f t="shared" ca="1" si="7"/>
        <v>0</v>
      </c>
      <c r="V35" s="24">
        <f t="array" aca="1" ref="V35" ca="1">IFERROR(COUNT(IF((FFOind="G")*(FFOcr=$C35)*(FFOqtrlyvalues&gt;55),FFOqtrlyvalues)),"")</f>
        <v>3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IFERROR(COUNT(IF((FFOind="G")*(FFOcr=$C36)*(FFOqtrlyvalues&lt;&gt;"-"),FFOqtrlyvalues)),"")</f>
        <v>24</v>
      </c>
      <c r="F36" s="24"/>
      <c r="G36" s="25">
        <f t="array" aca="1" ref="G36" ca="1">IF(E36&gt;0,IFERROR(AVERAGE(IF((FFOind="G")*(FFOcr=$C36)*(FFOqtrlyvalues&lt;&gt;"-"),FFOqtrlyvalues)),"-"),"-")</f>
        <v>32.468333333333334</v>
      </c>
      <c r="H36" s="25">
        <f t="array" aca="1" ref="H36" ca="1">IF(E36&gt;0,IFERROR(MEDIAN(IF((FFOind="G")*(FFOcr=$C36)*(FFOqtrlyvalues&lt;&gt;"-"),FFOqtrlyvalues)),"-"),"-")</f>
        <v>27.5</v>
      </c>
      <c r="I36" s="25">
        <f t="array" aca="1" ref="I36" ca="1">IF(E36&gt;0,IFERROR(MAX(IF((FFOind="G")*(FFOcr=$C36)*(FFOqtrlyvalues&lt;&gt;"-"),FFOqtrlyvalues)),"-"),"-")</f>
        <v>115.8</v>
      </c>
      <c r="J36" s="25">
        <f t="array" aca="1" ref="J36" ca="1">IF(E36&gt;0,IFERROR(MIN(IF((FFOind="G")*(FFOcr=$C36)*(FFOqtrlyvalues&lt;&gt;"-"),FFOqtrlyvalues)),"-"),"-")</f>
        <v>-16.8</v>
      </c>
      <c r="K36" s="24"/>
      <c r="L36" s="26">
        <f t="shared" ca="1" si="9"/>
        <v>0.83333333333333337</v>
      </c>
      <c r="M36" s="26">
        <f t="shared" ca="1" si="9"/>
        <v>0</v>
      </c>
      <c r="N36" s="26">
        <f t="shared" ca="1" si="9"/>
        <v>0.16666666666666666</v>
      </c>
      <c r="O36" s="26">
        <f t="shared" ca="1" si="10"/>
        <v>0.16666666666666666</v>
      </c>
      <c r="T36" s="24">
        <f t="array" aca="1" ref="T36" ca="1">IFERROR(COUNT(IF((FFOind="G")*(FFOcr=$C36)*(FFOqtrlyvalues&lt;50),FFOqtrlyvalues)),"")</f>
        <v>20</v>
      </c>
      <c r="U36" s="24">
        <f t="shared" ca="1" si="7"/>
        <v>0</v>
      </c>
      <c r="V36" s="24">
        <f t="array" aca="1" ref="V36" ca="1">IFERROR(COUNT(IF((FFOind="G")*(FFOcr=$C36)*(FFOqtrlyvalues&gt;55),FFOqtrlyvalues)),"")</f>
        <v>4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IFERROR(COUNT(IF((FFOind="G")*(FFOcr=$C37)*(FFOqtrlyvalues&lt;&gt;"-"),FFOqtrlyvalues)),"")</f>
        <v>38</v>
      </c>
      <c r="F37" s="24"/>
      <c r="G37" s="25">
        <f t="array" aca="1" ref="G37" ca="1">IF(E37&gt;0,IFERROR(AVERAGE(IF((FFOind="G")*(FFOcr=$C37)*(FFOqtrlyvalues&lt;&gt;"-"),FFOqtrlyvalues)),"-"),"-")</f>
        <v>20.835526315789473</v>
      </c>
      <c r="H37" s="25">
        <f t="array" aca="1" ref="H37" ca="1">IF(E37&gt;0,IFERROR(MEDIAN(IF((FFOind="G")*(FFOcr=$C37)*(FFOqtrlyvalues&lt;&gt;"-"),FFOqtrlyvalues)),"-"),"-")</f>
        <v>18.45</v>
      </c>
      <c r="I37" s="25">
        <f t="array" aca="1" ref="I37" ca="1">IF(E37&gt;0,IFERROR(MAX(IF((FFOind="G")*(FFOcr=$C37)*(FFOqtrlyvalues&lt;&gt;"-"),FFOqtrlyvalues)),"-"),"-")</f>
        <v>44.4</v>
      </c>
      <c r="J37" s="25">
        <f t="array" aca="1" ref="J37" ca="1">IF(E37&gt;0,IFERROR(MIN(IF((FFOind="G")*(FFOcr=$C37)*(FFOqtrlyvalues&lt;&gt;"-"),FFOqtrlyvalues)),"-"),"-")</f>
        <v>0.63</v>
      </c>
      <c r="K37" s="24"/>
      <c r="L37" s="26">
        <f t="shared" ca="1" si="9"/>
        <v>1</v>
      </c>
      <c r="M37" s="26">
        <f t="shared" ca="1" si="9"/>
        <v>0</v>
      </c>
      <c r="N37" s="26">
        <f t="shared" ca="1" si="9"/>
        <v>0</v>
      </c>
      <c r="O37" s="26">
        <f t="shared" ca="1" si="10"/>
        <v>0</v>
      </c>
      <c r="T37" s="24">
        <f t="array" aca="1" ref="T37" ca="1">IFERROR(COUNT(IF((FFOind="G")*(FFOcr=$C37)*(FFOqtrlyvalues&lt;50),FFOqtrlyvalues)),"")</f>
        <v>38</v>
      </c>
      <c r="U37" s="24">
        <f t="shared" ca="1" si="7"/>
        <v>0</v>
      </c>
      <c r="V37" s="24">
        <f t="array" aca="1" ref="V37" ca="1">IFERROR(COUNT(IF((FFOind="G")*(FFOcr=$C37)*(FFOqtrlyvalues&gt;55),FFOqtrlyvalues)),"")</f>
        <v>0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IFERROR(COUNT(IF((FFOind="G")*(FFOcr=$C38)*(FFOqtrlyvalues&lt;&gt;"-"),FFOqtrlyvalues)),"")</f>
        <v>0</v>
      </c>
      <c r="F38" s="24"/>
      <c r="G38" s="25" t="str">
        <f t="array" aca="1" ref="G38" ca="1">IF(E38&gt;0,IFERROR(AVERAGE(IF((FFOind="G")*(FFOcr=$C38)*(FFOqtrlyvalues&lt;&gt;"-"),FFOqtrlyvalues)),"-"),"-")</f>
        <v>-</v>
      </c>
      <c r="H38" s="25" t="str">
        <f t="array" aca="1" ref="H38" ca="1">IF(E38&gt;0,IFERROR(MEDIAN(IF((FFOind="G")*(FFOcr=$C38)*(FFOqtrlyvalues&lt;&gt;"-"),FFOqtrlyvalues)),"-"),"-")</f>
        <v>-</v>
      </c>
      <c r="I38" s="25" t="str">
        <f t="array" aca="1" ref="I38" ca="1">IF(E38&gt;0,IFERROR(MAX(IF((FFOind="G")*(FFOcr=$C38)*(FFOqtrlyvalues&lt;&gt;"-"),FFOqtrlyvalues)),"-"),"-")</f>
        <v>-</v>
      </c>
      <c r="J38" s="25" t="str">
        <f t="array" aca="1" ref="J38" ca="1">IF(E38&gt;0,IFERROR(MIN(IF((FFOind="G")*(FFOcr=$C38)*(FFOqtrlyvalues&lt;&gt;"-"),FFOqtrlyvalues)),"-"),"-")</f>
        <v>-</v>
      </c>
      <c r="K38" s="24"/>
      <c r="L38" s="26" t="str">
        <f t="shared" ca="1" si="9"/>
        <v/>
      </c>
      <c r="M38" s="26" t="str">
        <f t="shared" ca="1" si="9"/>
        <v/>
      </c>
      <c r="N38" s="26" t="str">
        <f t="shared" ca="1" si="9"/>
        <v/>
      </c>
      <c r="O38" s="26" t="str">
        <f t="shared" ca="1" si="10"/>
        <v/>
      </c>
      <c r="T38" s="24">
        <f t="array" aca="1" ref="T38" ca="1">IFERROR(COUNT(IF((FFOind="G")*(FFOcr=$C38)*(FFOqtrlyvalues&lt;50),FFOqtrlyvalues)),"")</f>
        <v>0</v>
      </c>
      <c r="U38" s="24">
        <f t="shared" ca="1" si="7"/>
        <v>0</v>
      </c>
      <c r="V38" s="24">
        <f t="array" aca="1" ref="V38" ca="1">IFERROR(COUNT(IF((FFOind="G")*(FFOcr=$C38)*(FFOqtrlyvalues&gt;55),FFOqtrlyvalues)),"")</f>
        <v>0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IFERROR(COUNT(IF((FFOind="G")*(FFOcr=$C39)*(FFOqtrlyvalues&lt;&gt;"-"),FFOqtrlyvalues)),"")</f>
        <v>0</v>
      </c>
      <c r="F39" s="24"/>
      <c r="G39" s="25" t="str">
        <f t="array" aca="1" ref="G39" ca="1">IF(E39&gt;0,IFERROR(AVERAGE(IF((FFOind="G")*(FFOcr=$C39)*(FFOqtrlyvalues&lt;&gt;"-"),FFOqtrlyvalues)),"-"),"-")</f>
        <v>-</v>
      </c>
      <c r="H39" s="25" t="str">
        <f t="array" aca="1" ref="H39" ca="1">IF(E39&gt;0,IFERROR(MEDIAN(IF((FFOind="G")*(FFOcr=$C39)*(FFOqtrlyvalues&lt;&gt;"-"),FFOqtrlyvalues)),"-"),"-")</f>
        <v>-</v>
      </c>
      <c r="I39" s="25" t="str">
        <f t="array" aca="1" ref="I39" ca="1">IF(E39&gt;0,IFERROR(MAX(IF((FFOind="G")*(FFOcr=$C39)*(FFOqtrlyvalues&lt;&gt;"-"),FFOqtrlyvalues)),"-"),"-")</f>
        <v>-</v>
      </c>
      <c r="J39" s="25" t="str">
        <f t="array" aca="1" ref="J39" ca="1">IF(E39&gt;0,IFERROR(MIN(IF((FFOind="G")*(FFOcr=$C39)*(FFOqtrlyvalues&lt;&gt;"-"),FFOqtrlyvalues)),"-"),"-")</f>
        <v>-</v>
      </c>
      <c r="K39" s="24"/>
      <c r="L39" s="26" t="str">
        <f t="shared" ca="1" si="9"/>
        <v/>
      </c>
      <c r="M39" s="26" t="str">
        <f t="shared" ca="1" si="9"/>
        <v/>
      </c>
      <c r="N39" s="26" t="str">
        <f t="shared" ca="1" si="9"/>
        <v/>
      </c>
      <c r="O39" s="26" t="str">
        <f t="shared" ca="1" si="10"/>
        <v/>
      </c>
      <c r="T39" s="24">
        <f t="array" aca="1" ref="T39" ca="1">IFERROR(COUNT(IF((FFOind="G")*(FFOcr=$C39)*(FFOqtrlyvalues&lt;50),FFOqtrlyvalues)),"")</f>
        <v>0</v>
      </c>
      <c r="U39" s="24">
        <f t="shared" ca="1" si="7"/>
        <v>0</v>
      </c>
      <c r="V39" s="24">
        <f t="array" aca="1" ref="V39" ca="1">IFERROR(COUNT(IF((FFOind="G")*(FFOcr=$C39)*(FFOqtrlyvalues&gt;55),FFOqtrlyvalues)),"")</f>
        <v>0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IFERROR(COUNT(IF((FFOind="G")*(FFOcr=$C40)*(FFOqtrlyvalues&lt;&gt;"-"),FFOqtrlyvalues)),"")</f>
        <v>0</v>
      </c>
      <c r="F40" s="24"/>
      <c r="G40" s="25" t="str">
        <f t="array" aca="1" ref="G40" ca="1">IF(E40&gt;0,IFERROR(AVERAGE(IF((FFOind="G")*(FFOcr=$C40)*(FFOqtrlyvalues&lt;&gt;"-"),FFOqtrlyvalues)),"-"),"-")</f>
        <v>-</v>
      </c>
      <c r="H40" s="25" t="str">
        <f t="array" aca="1" ref="H40" ca="1">IF(E40&gt;0,IFERROR(MEDIAN(IF((FFOind="G")*(FFOcr=$C40)*(FFOqtrlyvalues&lt;&gt;"-"),FFOqtrlyvalues)),"-"),"-")</f>
        <v>-</v>
      </c>
      <c r="I40" s="25" t="str">
        <f t="array" aca="1" ref="I40" ca="1">IF(E40&gt;0,IFERROR(MAX(IF((FFOind="G")*(FFOcr=$C40)*(FFOqtrlyvalues&lt;&gt;"-"),FFOqtrlyvalues)),"-"),"-")</f>
        <v>-</v>
      </c>
      <c r="J40" s="25" t="str">
        <f t="array" aca="1" ref="J40" ca="1">IF(E40&gt;0,IFERROR(MIN(IF((FFOind="G")*(FFOcr=$C40)*(FFOqtrlyvalues&lt;&gt;"-"),FFOqtrlyvalues)),"-"),"-")</f>
        <v>-</v>
      </c>
      <c r="K40" s="24"/>
      <c r="L40" s="26" t="str">
        <f t="shared" ca="1" si="9"/>
        <v/>
      </c>
      <c r="M40" s="26" t="str">
        <f t="shared" ca="1" si="9"/>
        <v/>
      </c>
      <c r="N40" s="26" t="str">
        <f t="shared" ca="1" si="9"/>
        <v/>
      </c>
      <c r="O40" s="26" t="str">
        <f t="shared" ca="1" si="10"/>
        <v/>
      </c>
      <c r="T40" s="24">
        <f t="array" aca="1" ref="T40" ca="1">IFERROR(COUNT(IF((FFOind="G")*(FFOcr=$C40)*(FFOqtrlyvalues&lt;50),FFOqtrlyvalues)),"")</f>
        <v>0</v>
      </c>
      <c r="U40" s="24">
        <f t="shared" ca="1" si="7"/>
        <v>0</v>
      </c>
      <c r="V40" s="24">
        <f t="array" aca="1" ref="V40" ca="1">IFERROR(COUNT(IF((FFOind="G")*(FFOcr=$C40)*(FFOqtrlyvalues&gt;55),FFOqtrlyvalues)),"")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121</v>
      </c>
      <c r="F43" s="6"/>
      <c r="K43" s="4"/>
      <c r="T43" s="4">
        <f ca="1">SUM(T33:T40)</f>
        <v>114</v>
      </c>
      <c r="U43" s="4">
        <f ca="1">SUM(U33:U40)</f>
        <v>0</v>
      </c>
      <c r="V43" s="4">
        <f ca="1">SUM(V33:V40)</f>
        <v>7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25.563113848450918</v>
      </c>
      <c r="H44" s="33">
        <f ca="1">AVERAGE(H$33:H$40)</f>
        <v>23.025000000000002</v>
      </c>
      <c r="I44" s="33">
        <f ca="1">AVERAGE(I$33:I$40)</f>
        <v>66.7</v>
      </c>
      <c r="J44" s="33">
        <f ca="1">AVERAGE(J$33:J$40)</f>
        <v>-4.5665000000000004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tr">
        <f>'FFO to Debt Ratio Electric Gas'!$C$49</f>
        <v>S&amp;P Capital IQ, downloaded October 17, 2017.</v>
      </c>
    </row>
  </sheetData>
  <mergeCells count="12">
    <mergeCell ref="A1:N1"/>
    <mergeCell ref="A4:N4"/>
    <mergeCell ref="A5:N5"/>
    <mergeCell ref="A8:N8"/>
    <mergeCell ref="G9:H9"/>
    <mergeCell ref="J9:K9"/>
    <mergeCell ref="L9:N9"/>
    <mergeCell ref="T9:V9"/>
    <mergeCell ref="A28:N28"/>
    <mergeCell ref="G29:H29"/>
    <mergeCell ref="J29:K29"/>
    <mergeCell ref="L29:N29"/>
  </mergeCells>
  <printOptions horizontalCentered="1"/>
  <pageMargins left="0.7" right="0.7" top="1" bottom="0.75" header="0.55000000000000004" footer="0.51"/>
  <pageSetup scale="81" orientation="portrait" r:id="rId1"/>
  <headerFooter>
    <oddHeader>&amp;R&amp;13Exhibit MPG-2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658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604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DebtRatios!$H$5&amp;" Quarter Average - %"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43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IFERROR(COUNT(IF((EBITDAcr=$C13)*(EBITDAqtrlyavg&lt;&gt;"N/A"),EBITDAqtrlyavg)),"")</f>
        <v>1</v>
      </c>
      <c r="F13" s="24"/>
      <c r="G13" s="25">
        <f t="array" aca="1" ref="G13" ca="1">IF(E13&gt;0,IFERROR(AVERAGE(IF((EBITDAcr=$C13)*(EBITDAqtrlyavg&lt;&gt;"N/A"),EBITDAqtrlyavg)),"-"),"-")</f>
        <v>2.6583333333333337</v>
      </c>
      <c r="H13" s="25">
        <f t="array" aca="1" ref="H13" ca="1">IF(E13&gt;0,IFERROR(MEDIAN(IF((EBITDAcr=$C13)*(EBITDAqtrlyavg&lt;&gt;"N/A"),EBITDAqtrlyavg)),"-"),"-")</f>
        <v>2.6583333333333337</v>
      </c>
      <c r="I13" s="25">
        <f t="array" aca="1" ref="I13" ca="1">IF(E13&gt;0,IFERROR(MAX(IF((EBITDAcr=$C13)*(EBITDAqtrlyavg&lt;&gt;"N/A"),EBITDAqtrlyavg)),"-"),"-")</f>
        <v>2.6583333333333337</v>
      </c>
      <c r="J13" s="25">
        <f t="array" aca="1" ref="J13" ca="1">IF(E13&gt;0,IFERROR(MIN(IF((EBITDAcr=$C13)*(EBITDAqtrlyavg&lt;&gt;"N/A"),EBITDAqtrlyavg)),"-"),"-")</f>
        <v>2.6583333333333337</v>
      </c>
      <c r="K13" s="24"/>
      <c r="L13" s="26">
        <f t="shared" ref="L13:N14" ca="1" si="0">IFERROR(T13/$E13,"")</f>
        <v>1</v>
      </c>
      <c r="M13" s="26">
        <f t="shared" ca="1" si="0"/>
        <v>0</v>
      </c>
      <c r="N13" s="26">
        <f t="shared" ca="1" si="0"/>
        <v>0</v>
      </c>
      <c r="O13" s="26">
        <f t="shared" ref="O13:O20" ca="1" si="1">IFERROR((U13+V13)/$E13,"")</f>
        <v>0</v>
      </c>
      <c r="T13" s="24">
        <f t="array" aca="1" ref="T13" ca="1">COUNTIFS(EBITDAcr,$C13,EBITDAqtrlyavg,"&lt;50")</f>
        <v>1</v>
      </c>
      <c r="U13" s="24">
        <f t="array" aca="1" ref="U13" ca="1">COUNTIFS(EBITDAcr,$C13,EBITDAqtrlyavg,"&gt;=50",EBITDAqtrlyavg,"&lt;=55")</f>
        <v>0</v>
      </c>
      <c r="V13" s="24">
        <f t="shared" ref="V13:V20" ca="1" si="2">COUNTIFS(EBITDAcr,$C13,EBITDAqtrlyavg,"&gt;55")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IFERROR(COUNT(IF((EBITDAcr=$C14)*(EBITDAqtrlyavg&lt;&gt;"N/A"),EBITDAqtrlyavg)),"")</f>
        <v>1</v>
      </c>
      <c r="F14" s="24"/>
      <c r="G14" s="25">
        <f t="array" aca="1" ref="G14" ca="1">IF(E14&gt;0,IFERROR(AVERAGE(IF((EBITDAcr=$C14)*(EBITDAqtrlyavg&lt;&gt;"N/A"),EBITDAqtrlyavg)),"-"),"-")</f>
        <v>5.336666666666666</v>
      </c>
      <c r="H14" s="25">
        <f t="array" aca="1" ref="H14" ca="1">IF(E14&gt;0,IFERROR(MEDIAN(IF((EBITDAcr=$C14)*(EBITDAqtrlyavg&lt;&gt;"N/A"),EBITDAqtrlyavg)),"-"),"-")</f>
        <v>5.336666666666666</v>
      </c>
      <c r="I14" s="25">
        <f t="array" aca="1" ref="I14" ca="1">IF(E14&gt;0,IFERROR(MAX(IF((EBITDAcr=$C14)*(EBITDAqtrlyavg&lt;&gt;"N/A"),EBITDAqtrlyavg)),"-"),"-")</f>
        <v>5.336666666666666</v>
      </c>
      <c r="J14" s="25">
        <f t="array" aca="1" ref="J14" ca="1">IF(E14&gt;0,IFERROR(MIN(IF((EBITDAcr=$C14)*(EBITDAqtrlyavg&lt;&gt;"N/A"),EBITDAqtrlyavg)),"-"),"-")</f>
        <v>5.336666666666666</v>
      </c>
      <c r="K14" s="24"/>
      <c r="L14" s="26">
        <f t="shared" ca="1" si="0"/>
        <v>1</v>
      </c>
      <c r="M14" s="26">
        <f t="shared" ca="1" si="0"/>
        <v>0</v>
      </c>
      <c r="N14" s="26">
        <f t="shared" ca="1" si="0"/>
        <v>0</v>
      </c>
      <c r="O14" s="26">
        <f t="shared" ref="O14" ca="1" si="3">IFERROR((U14+V14)/$E14,"")</f>
        <v>0</v>
      </c>
      <c r="T14" s="24">
        <f t="array" aca="1" ref="T14" ca="1">COUNTIFS(EBITDAcr,$C14,EBITDAqtrlyavg,"&lt;50")</f>
        <v>1</v>
      </c>
      <c r="U14" s="24">
        <f t="array" aca="1" ref="U14" ca="1">COUNTIFS(EBITDAcr,$C14,EBITDAqtrlyavg,"&gt;=50",EBITDAqtrlyavg,"&lt;=55")</f>
        <v>0</v>
      </c>
      <c r="V14" s="24">
        <f t="shared" ca="1" si="2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IFERROR(COUNT(IF((EBITDAcr=$C15)*(EBITDAqtrlyavg&lt;&gt;"N/A"),EBITDAqtrlyavg)),"")</f>
        <v>12</v>
      </c>
      <c r="F15" s="24"/>
      <c r="G15" s="25">
        <f t="array" aca="1" ref="G15" ca="1">IF(E15&gt;0,IFERROR(AVERAGE(IF((EBITDAcr=$C15)*(EBITDAqtrlyavg&lt;&gt;"N/A"),EBITDAqtrlyavg)),"-"),"-")</f>
        <v>4.4457916666666657</v>
      </c>
      <c r="H15" s="25">
        <f t="array" aca="1" ref="H15" ca="1">IF(E15&gt;0,IFERROR(MEDIAN(IF((EBITDAcr=$C15)*(EBITDAqtrlyavg&lt;&gt;"N/A"),EBITDAqtrlyavg)),"-"),"-")</f>
        <v>3.6312500000000001</v>
      </c>
      <c r="I15" s="25">
        <f t="array" aca="1" ref="I15" ca="1">IF(E15&gt;0,IFERROR(MAX(IF((EBITDAcr=$C15)*(EBITDAqtrlyavg&lt;&gt;"N/A"),EBITDAqtrlyavg)),"-"),"-")</f>
        <v>9.3899999999999988</v>
      </c>
      <c r="J15" s="25">
        <f t="array" aca="1" ref="J15" ca="1">IF(E15&gt;0,IFERROR(MIN(IF((EBITDAcr=$C15)*(EBITDAqtrlyavg&lt;&gt;"N/A"),EBITDAqtrlyavg)),"-"),"-")</f>
        <v>2.9183333333333334</v>
      </c>
      <c r="K15" s="24"/>
      <c r="L15" s="26">
        <f t="shared" ref="L15:N20" ca="1" si="4">IFERROR(T15/$E15,"")</f>
        <v>1</v>
      </c>
      <c r="M15" s="26">
        <f t="shared" ca="1" si="4"/>
        <v>0</v>
      </c>
      <c r="N15" s="26">
        <f t="shared" ca="1" si="4"/>
        <v>0</v>
      </c>
      <c r="O15" s="26">
        <f t="shared" ca="1" si="1"/>
        <v>0</v>
      </c>
      <c r="T15" s="24">
        <f t="array" aca="1" ref="T15" ca="1">COUNTIFS(EBITDAcr,$C15,EBITDAqtrlyavg,"&lt;50")</f>
        <v>12</v>
      </c>
      <c r="U15" s="24">
        <f t="array" aca="1" ref="U15" ca="1">COUNTIFS(EBITDAcr,$C15,EBITDAqtrlyavg,"&gt;=50",EBITDAqtrlyavg,"&lt;=55")</f>
        <v>0</v>
      </c>
      <c r="V15" s="24">
        <f t="shared" ca="1" si="2"/>
        <v>0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IFERROR(COUNT(IF((EBITDAcr=$C16)*(EBITDAqtrlyavg&lt;&gt;"N/A"),EBITDAqtrlyavg)),"")</f>
        <v>49</v>
      </c>
      <c r="F16" s="24"/>
      <c r="G16" s="25">
        <f t="array" aca="1" ref="G16" ca="1">IF(E16&gt;0,IFERROR(AVERAGE(IF((EBITDAcr=$C16)*(EBITDAqtrlyavg&lt;&gt;"N/A"),EBITDAqtrlyavg)),"-"),"-")</f>
        <v>4.4355075610330719</v>
      </c>
      <c r="H16" s="25">
        <f t="array" aca="1" ref="H16" ca="1">IF(E16&gt;0,IFERROR(MEDIAN(IF((EBITDAcr=$C16)*(EBITDAqtrlyavg&lt;&gt;"N/A"),EBITDAqtrlyavg)),"-"),"-")</f>
        <v>3.8358333333333334</v>
      </c>
      <c r="I16" s="25">
        <f t="array" aca="1" ref="I16" ca="1">IF(E16&gt;0,IFERROR(MAX(IF((EBITDAcr=$C16)*(EBITDAqtrlyavg&lt;&gt;"N/A"),EBITDAqtrlyavg)),"-"),"-")</f>
        <v>15.69</v>
      </c>
      <c r="J16" s="25">
        <f t="array" aca="1" ref="J16" ca="1">IF(E16&gt;0,IFERROR(MIN(IF((EBITDAcr=$C16)*(EBITDAqtrlyavg&lt;&gt;"N/A"),EBITDAqtrlyavg)),"-"),"-")</f>
        <v>1.9966666666666668</v>
      </c>
      <c r="K16" s="24"/>
      <c r="L16" s="26">
        <f t="shared" ca="1" si="4"/>
        <v>1</v>
      </c>
      <c r="M16" s="26">
        <f t="shared" ca="1" si="4"/>
        <v>0</v>
      </c>
      <c r="N16" s="26">
        <f t="shared" ca="1" si="4"/>
        <v>0</v>
      </c>
      <c r="O16" s="26">
        <f t="shared" ca="1" si="1"/>
        <v>0</v>
      </c>
      <c r="T16" s="24">
        <f t="array" aca="1" ref="T16" ca="1">COUNTIFS(EBITDAcr,$C16,EBITDAqtrlyavg,"&lt;50")</f>
        <v>49</v>
      </c>
      <c r="U16" s="24">
        <f t="array" aca="1" ref="U16" ca="1">COUNTIFS(EBITDAcr,$C16,EBITDAqtrlyavg,"&gt;=50",EBITDAqtrlyavg,"&lt;=55")</f>
        <v>0</v>
      </c>
      <c r="V16" s="24">
        <f t="shared" ca="1" si="2"/>
        <v>0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IFERROR(COUNT(IF((EBITDAcr=$C17)*(EBITDAqtrlyavg&lt;&gt;"N/A"),EBITDAqtrlyavg)),"")</f>
        <v>27</v>
      </c>
      <c r="F17" s="24"/>
      <c r="G17" s="25">
        <f t="array" aca="1" ref="G17" ca="1">IF(E17&gt;0,IFERROR(AVERAGE(IF((EBITDAcr=$C17)*(EBITDAqtrlyavg&lt;&gt;"N/A"),EBITDAqtrlyavg)),"-"),"-")</f>
        <v>4.5979259259259253</v>
      </c>
      <c r="H17" s="25">
        <f t="array" aca="1" ref="H17" ca="1">IF(E17&gt;0,IFERROR(MEDIAN(IF((EBITDAcr=$C17)*(EBITDAqtrlyavg&lt;&gt;"N/A"),EBITDAqtrlyavg)),"-"),"-")</f>
        <v>3.7816666666666658</v>
      </c>
      <c r="I17" s="25">
        <f t="array" aca="1" ref="I17" ca="1">IF(E17&gt;0,IFERROR(MAX(IF((EBITDAcr=$C17)*(EBITDAqtrlyavg&lt;&gt;"N/A"),EBITDAqtrlyavg)),"-"),"-")</f>
        <v>10.065</v>
      </c>
      <c r="J17" s="25">
        <f t="array" aca="1" ref="J17" ca="1">IF(E17&gt;0,IFERROR(MIN(IF((EBITDAcr=$C17)*(EBITDAqtrlyavg&lt;&gt;"N/A"),EBITDAqtrlyavg)),"-"),"-")</f>
        <v>1.615</v>
      </c>
      <c r="K17" s="24"/>
      <c r="L17" s="26">
        <f t="shared" ca="1" si="4"/>
        <v>1</v>
      </c>
      <c r="M17" s="26">
        <f t="shared" ca="1" si="4"/>
        <v>0</v>
      </c>
      <c r="N17" s="26">
        <f t="shared" ca="1" si="4"/>
        <v>0</v>
      </c>
      <c r="O17" s="26">
        <f t="shared" ca="1" si="1"/>
        <v>0</v>
      </c>
      <c r="T17" s="24">
        <f t="array" aca="1" ref="T17" ca="1">COUNTIFS(EBITDAcr,$C17,EBITDAqtrlyavg,"&lt;50")</f>
        <v>27</v>
      </c>
      <c r="U17" s="24">
        <f t="array" aca="1" ref="U17" ca="1">COUNTIFS(EBITDAcr,$C17,EBITDAqtrlyavg,"&gt;=50",EBITDAqtrlyavg,"&lt;=55")</f>
        <v>0</v>
      </c>
      <c r="V17" s="24">
        <f t="shared" ca="1" si="2"/>
        <v>0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IFERROR(COUNT(IF((EBITDAcr=$C18)*(EBITDAqtrlyavg&lt;&gt;"N/A"),EBITDAqtrlyavg)),"")</f>
        <v>8</v>
      </c>
      <c r="F18" s="24"/>
      <c r="G18" s="25">
        <f t="array" aca="1" ref="G18" ca="1">IF(E18&gt;0,IFERROR(AVERAGE(IF((EBITDAcr=$C18)*(EBITDAqtrlyavg&lt;&gt;"N/A"),EBITDAqtrlyavg)),"-"),"-")</f>
        <v>1.7753125000000001</v>
      </c>
      <c r="H18" s="25">
        <f t="array" aca="1" ref="H18" ca="1">IF(E18&gt;0,IFERROR(MEDIAN(IF((EBITDAcr=$C18)*(EBITDAqtrlyavg&lt;&gt;"N/A"),EBITDAqtrlyavg)),"-"),"-")</f>
        <v>4.1929166666666662</v>
      </c>
      <c r="I18" s="25">
        <f t="array" aca="1" ref="I18" ca="1">IF(E18&gt;0,IFERROR(MAX(IF((EBITDAcr=$C18)*(EBITDAqtrlyavg&lt;&gt;"N/A"),EBITDAqtrlyavg)),"-"),"-")</f>
        <v>5.1741666666666672</v>
      </c>
      <c r="J18" s="25">
        <f t="array" aca="1" ref="J18" ca="1">IF(E18&gt;0,IFERROR(MIN(IF((EBITDAcr=$C18)*(EBITDAqtrlyavg&lt;&gt;"N/A"),EBITDAqtrlyavg)),"-"),"-")</f>
        <v>-14.623333333333333</v>
      </c>
      <c r="K18" s="24"/>
      <c r="L18" s="26">
        <f t="shared" ca="1" si="4"/>
        <v>1</v>
      </c>
      <c r="M18" s="26">
        <f t="shared" ca="1" si="4"/>
        <v>0</v>
      </c>
      <c r="N18" s="26">
        <f t="shared" ca="1" si="4"/>
        <v>0</v>
      </c>
      <c r="O18" s="26">
        <f t="shared" ca="1" si="1"/>
        <v>0</v>
      </c>
      <c r="T18" s="24">
        <f t="array" aca="1" ref="T18" ca="1">COUNTIFS(EBITDAcr,$C18,EBITDAqtrlyavg,"&lt;50")</f>
        <v>8</v>
      </c>
      <c r="U18" s="24">
        <f t="array" aca="1" ref="U18" ca="1">COUNTIFS(EBITDAcr,$C18,EBITDAqtrlyavg,"&gt;=50",EBITDAqtrlyavg,"&lt;=55")</f>
        <v>0</v>
      </c>
      <c r="V18" s="24">
        <f t="shared" ca="1" si="2"/>
        <v>0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IFERROR(COUNT(IF((EBITDAcr=$C19)*(EBITDAqtrlyavg&lt;&gt;"N/A"),EBITDAqtrlyavg)),"")</f>
        <v>10</v>
      </c>
      <c r="F19" s="24"/>
      <c r="G19" s="25">
        <f t="array" aca="1" ref="G19" ca="1">IF(E19&gt;0,IFERROR(AVERAGE(IF((EBITDAcr=$C19)*(EBITDAqtrlyavg&lt;&gt;"N/A"),EBITDAqtrlyavg)),"-"),"-")</f>
        <v>5.0890909090909089</v>
      </c>
      <c r="H19" s="25">
        <f t="array" aca="1" ref="H19" ca="1">IF(E19&gt;0,IFERROR(MEDIAN(IF((EBITDAcr=$C19)*(EBITDAqtrlyavg&lt;&gt;"N/A"),EBITDAqtrlyavg)),"-"),"-")</f>
        <v>4.605833333333333</v>
      </c>
      <c r="I19" s="25">
        <f t="array" aca="1" ref="I19" ca="1">IF(E19&gt;0,IFERROR(MAX(IF((EBITDAcr=$C19)*(EBITDAqtrlyavg&lt;&gt;"N/A"),EBITDAqtrlyavg)),"-"),"-")</f>
        <v>10.200833333333334</v>
      </c>
      <c r="J19" s="25">
        <f t="array" aca="1" ref="J19" ca="1">IF(E19&gt;0,IFERROR(MIN(IF((EBITDAcr=$C19)*(EBITDAqtrlyavg&lt;&gt;"N/A"),EBITDAqtrlyavg)),"-"),"-")</f>
        <v>2.3983333333333339</v>
      </c>
      <c r="K19" s="24"/>
      <c r="L19" s="26">
        <f t="shared" ca="1" si="4"/>
        <v>1</v>
      </c>
      <c r="M19" s="26">
        <f t="shared" ca="1" si="4"/>
        <v>0</v>
      </c>
      <c r="N19" s="26">
        <f t="shared" ca="1" si="4"/>
        <v>0</v>
      </c>
      <c r="O19" s="26">
        <f t="shared" ca="1" si="1"/>
        <v>0</v>
      </c>
      <c r="T19" s="24">
        <f t="array" aca="1" ref="T19" ca="1">COUNTIFS(EBITDAcr,$C19,EBITDAqtrlyavg,"&lt;50")</f>
        <v>10</v>
      </c>
      <c r="U19" s="24">
        <f t="array" aca="1" ref="U19" ca="1">COUNTIFS(EBITDAcr,$C19,EBITDAqtrlyavg,"&gt;=50",EBITDAqtrlyavg,"&lt;=55")</f>
        <v>0</v>
      </c>
      <c r="V19" s="24">
        <f t="shared" ca="1" si="2"/>
        <v>0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IFERROR(COUNT(IF((EBITDAcr=$C20)*(EBITDAqtrlyavg&lt;&gt;"N/A"),EBITDAqtrlyavg)),"")</f>
        <v>0</v>
      </c>
      <c r="F20" s="24"/>
      <c r="G20" s="25" t="str">
        <f t="array" aca="1" ref="G20" ca="1">IF(E20&gt;0,IFERROR(AVERAGE(IF((EBITDAcr=$C20)*(EBITDAqtrlyavg&lt;&gt;"N/A"),EBITDAqtrlyavg)),"-"),"-")</f>
        <v>-</v>
      </c>
      <c r="H20" s="25" t="str">
        <f t="array" aca="1" ref="H20" ca="1">IF(E20&gt;0,IFERROR(MEDIAN(IF((EBITDAcr=$C20)*(EBITDAqtrlyavg&lt;&gt;"N/A"),EBITDAqtrlyavg)),"-"),"-")</f>
        <v>-</v>
      </c>
      <c r="I20" s="25" t="str">
        <f t="array" aca="1" ref="I20" ca="1">IF(E20&gt;0,IFERROR(MAX(IF((EBITDAcr=$C20)*(EBITDAqtrlyavg&lt;&gt;"N/A"),EBITDAqtrlyavg)),"-"),"-")</f>
        <v>-</v>
      </c>
      <c r="J20" s="25" t="str">
        <f t="array" aca="1" ref="J20" ca="1">IF(E20&gt;0,IFERROR(MIN(IF((EBITDAcr=$C20)*(EBITDAqtrlyavg&lt;&gt;"N/A"),EBITDAqtrlyavg)),"-"),"-")</f>
        <v>-</v>
      </c>
      <c r="K20" s="24"/>
      <c r="L20" s="26" t="str">
        <f t="shared" ca="1" si="4"/>
        <v/>
      </c>
      <c r="M20" s="26" t="str">
        <f t="shared" ca="1" si="4"/>
        <v/>
      </c>
      <c r="N20" s="26" t="str">
        <f t="shared" ca="1" si="4"/>
        <v/>
      </c>
      <c r="O20" s="26" t="str">
        <f t="shared" ca="1" si="1"/>
        <v/>
      </c>
      <c r="P20" s="39"/>
      <c r="Q20" s="39"/>
      <c r="R20" s="39"/>
      <c r="T20" s="24">
        <f t="array" aca="1" ref="T20" ca="1">COUNTIFS(EBITDAcr,$C20,EBITDAqtrlyavg,"&lt;50")</f>
        <v>0</v>
      </c>
      <c r="U20" s="24">
        <f t="array" aca="1" ref="U20" ca="1">COUNTIFS(EBITDAcr,$C20,EBITDAqtrlyavg,"&gt;=50",EBITDAqtrlyavg,"&lt;=55")</f>
        <v>0</v>
      </c>
      <c r="V20" s="24">
        <f t="shared" ca="1" si="2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4">
        <f ca="1">SUM(E13:E20)</f>
        <v>108</v>
      </c>
      <c r="F23" s="6"/>
      <c r="K23" s="4"/>
      <c r="T23" s="4">
        <f ca="1">SUM(T13:T20)</f>
        <v>108</v>
      </c>
      <c r="U23" s="4">
        <f ca="1">SUM(U13:U20)</f>
        <v>0</v>
      </c>
      <c r="V23" s="4">
        <f ca="1">SUM(V13:V20)</f>
        <v>0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4.048375508959511</v>
      </c>
      <c r="H24" s="30">
        <f ca="1">AVERAGE(H$13:H$20)</f>
        <v>4.0060714285714285</v>
      </c>
      <c r="I24" s="30">
        <f ca="1">AVERAGE(I$13:I$20)</f>
        <v>8.3592857142857131</v>
      </c>
      <c r="J24" s="30">
        <f ca="1">AVERAGE(J$13:J$20)</f>
        <v>0.32857142857142846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"Quarter Results -  "&amp;DebtRatios!$G$1&amp;" through "&amp;DebtRatios!$G$2&amp;" - %"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43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IFERROR(COUNT(IF((EBITDAcr=$C33)*(EBITDAqtrlyvalues&lt;&gt;"-"),EBITDAqtrlyvalues)),"")</f>
        <v>12</v>
      </c>
      <c r="F33" s="24"/>
      <c r="G33" s="25">
        <f t="array" aca="1" ref="G33" ca="1">IF(E33&gt;0,IFERROR(AVERAGE(IF((EBITDAcr=$C33)*(EBITDAqtrlyvalues&lt;&gt;"-"),EBITDAqtrlyvalues)),"-"),"-")</f>
        <v>2.6583333333333337</v>
      </c>
      <c r="H33" s="25">
        <f t="array" aca="1" ref="H33" ca="1">IF(E33&gt;0,IFERROR(MEDIAN(IF((EBITDAcr=$C33)*(EBITDAqtrlyvalues&lt;&gt;"-"),EBITDAqtrlyvalues)),"-"),"-")</f>
        <v>2.7</v>
      </c>
      <c r="I33" s="25">
        <f t="array" aca="1" ref="I33" ca="1">IF(E33&gt;0,IFERROR(MAX(IF((EBITDAcr=$C33)*(EBITDAqtrlyvalues&lt;&gt;"-"),EBITDAqtrlyvalues)),"-"),"-")</f>
        <v>3.37</v>
      </c>
      <c r="J33" s="25">
        <f t="array" aca="1" ref="J33" ca="1">IF(E33&gt;0,IFERROR(MIN(IF((EBITDAcr=$C33)*(EBITDAqtrlyvalues&lt;&gt;"-"),EBITDAqtrlyvalues)),"-"),"-")</f>
        <v>1.94</v>
      </c>
      <c r="K33" s="24"/>
      <c r="L33" s="26">
        <f t="shared" ref="L33:N34" ca="1" si="5">IFERROR(T33/$E33,"")</f>
        <v>1</v>
      </c>
      <c r="M33" s="26">
        <f t="shared" ca="1" si="5"/>
        <v>0</v>
      </c>
      <c r="N33" s="26">
        <f t="shared" ca="1" si="5"/>
        <v>0</v>
      </c>
      <c r="O33" s="26">
        <f ca="1">IFERROR((U33+V33)/$E33,"")</f>
        <v>0</v>
      </c>
      <c r="T33" s="24">
        <f t="array" aca="1" ref="T33" ca="1">IFERROR(COUNT(IF((EBITDAcr=$C33)*(EBITDAqtrlyvalues&lt;50),EBITDAqtrlyvalues)),"")</f>
        <v>12</v>
      </c>
      <c r="U33" s="24">
        <f t="shared" ref="U33:U40" ca="1" si="6">E33-T33-V33</f>
        <v>0</v>
      </c>
      <c r="V33" s="24">
        <f t="array" aca="1" ref="V33" ca="1">IFERROR(COUNT(IF((EBITDAcr=$C33)*(EBITDAqtrlyvalues&gt;55),EBITDAqtrlyvalues)),"")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IFERROR(COUNT(IF((EBITDAcr=$C34)*(EBITDAqtrlyvalues&lt;&gt;"-"),EBITDAqtrlyvalues)),"")</f>
        <v>12</v>
      </c>
      <c r="F34" s="24"/>
      <c r="G34" s="25">
        <f t="array" aca="1" ref="G34" ca="1">IF(E34&gt;0,IFERROR(AVERAGE(IF((EBITDAcr=$C34)*(EBITDAqtrlyvalues&lt;&gt;"-"),EBITDAqtrlyvalues)),"-"),"-")</f>
        <v>5.336666666666666</v>
      </c>
      <c r="H34" s="25">
        <f t="array" aca="1" ref="H34" ca="1">IF(E34&gt;0,IFERROR(MEDIAN(IF((EBITDAcr=$C34)*(EBITDAqtrlyvalues&lt;&gt;"-"),EBITDAqtrlyvalues)),"-"),"-")</f>
        <v>4.2</v>
      </c>
      <c r="I34" s="25">
        <f t="array" aca="1" ref="I34" ca="1">IF(E34&gt;0,IFERROR(MAX(IF((EBITDAcr=$C34)*(EBITDAqtrlyvalues&lt;&gt;"-"),EBITDAqtrlyvalues)),"-"),"-")</f>
        <v>11.2</v>
      </c>
      <c r="J34" s="25">
        <f t="array" aca="1" ref="J34" ca="1">IF(E34&gt;0,IFERROR(MIN(IF((EBITDAcr=$C34)*(EBITDAqtrlyvalues&lt;&gt;"-"),EBITDAqtrlyvalues)),"-"),"-")</f>
        <v>2.0299999999999998</v>
      </c>
      <c r="K34" s="24"/>
      <c r="L34" s="26">
        <f t="shared" ca="1" si="5"/>
        <v>1</v>
      </c>
      <c r="M34" s="26">
        <f t="shared" ca="1" si="5"/>
        <v>0</v>
      </c>
      <c r="N34" s="26">
        <f t="shared" ca="1" si="5"/>
        <v>0</v>
      </c>
      <c r="O34" s="26">
        <f ca="1">IFERROR((U34+V34)/$E34,"")</f>
        <v>0</v>
      </c>
      <c r="T34" s="24">
        <f t="array" aca="1" ref="T34" ca="1">IFERROR(COUNT(IF((EBITDAcr=$C34)*(EBITDAqtrlyvalues&lt;50),EBITDAqtrlyvalues)),"")</f>
        <v>12</v>
      </c>
      <c r="U34" s="24">
        <f t="shared" ref="U34" ca="1" si="7">E34-T34-V34</f>
        <v>0</v>
      </c>
      <c r="V34" s="24">
        <f t="array" aca="1" ref="V34" ca="1">IFERROR(COUNT(IF((EBITDAcr=$C34)*(EBITDAqtrlyvalues&gt;55),EBITDAqtrlyvalues)),"")</f>
        <v>0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IFERROR(COUNT(IF((EBITDAcr=$C35)*(EBITDAqtrlyvalues&lt;&gt;"-"),EBITDAqtrlyvalues)),"")</f>
        <v>134</v>
      </c>
      <c r="F35" s="24"/>
      <c r="G35" s="25">
        <f t="array" aca="1" ref="G35" ca="1">IF(E35&gt;0,IFERROR(AVERAGE(IF((EBITDAcr=$C35)*(EBITDAqtrlyvalues&lt;&gt;"-"),EBITDAqtrlyvalues)),"-"),"-")</f>
        <v>4.3456716417910455</v>
      </c>
      <c r="H35" s="25">
        <f t="array" aca="1" ref="H35" ca="1">IF(E35&gt;0,IFERROR(MEDIAN(IF((EBITDAcr=$C35)*(EBITDAqtrlyvalues&lt;&gt;"-"),EBITDAqtrlyvalues)),"-"),"-")</f>
        <v>3.45</v>
      </c>
      <c r="I35" s="25">
        <f t="array" aca="1" ref="I35" ca="1">IF(E35&gt;0,IFERROR(MAX(IF((EBITDAcr=$C35)*(EBITDAqtrlyvalues&lt;&gt;"-"),EBITDAqtrlyvalues)),"-"),"-")</f>
        <v>27.8</v>
      </c>
      <c r="J35" s="25">
        <f t="array" aca="1" ref="J35" ca="1">IF(E35&gt;0,IFERROR(MIN(IF((EBITDAcr=$C35)*(EBITDAqtrlyvalues&lt;&gt;"-"),EBITDAqtrlyvalues)),"-"),"-")</f>
        <v>1.3</v>
      </c>
      <c r="K35" s="24"/>
      <c r="L35" s="26">
        <f t="shared" ref="L35:N40" ca="1" si="8">IFERROR(T35/$E35,"")</f>
        <v>1</v>
      </c>
      <c r="M35" s="26">
        <f t="shared" ca="1" si="8"/>
        <v>0</v>
      </c>
      <c r="N35" s="26">
        <f t="shared" ca="1" si="8"/>
        <v>0</v>
      </c>
      <c r="O35" s="26">
        <f t="shared" ref="O35:O40" ca="1" si="9">IFERROR((U35+V35)/$E35,"")</f>
        <v>0</v>
      </c>
      <c r="T35" s="24">
        <f t="array" aca="1" ref="T35" ca="1">IFERROR(COUNT(IF((EBITDAcr=$C35)*(EBITDAqtrlyvalues&lt;50),EBITDAqtrlyvalues)),"")</f>
        <v>134</v>
      </c>
      <c r="U35" s="24">
        <f t="shared" ca="1" si="6"/>
        <v>0</v>
      </c>
      <c r="V35" s="24">
        <f t="array" aca="1" ref="V35" ca="1">IFERROR(COUNT(IF((EBITDAcr=$C35)*(EBITDAqtrlyvalues&gt;55),EBITDAqtrlyvalues)),"")</f>
        <v>0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IFERROR(COUNT(IF((EBITDAcr=$C36)*(EBITDAqtrlyvalues&lt;&gt;"-"),EBITDAqtrlyvalues)),"")</f>
        <v>561</v>
      </c>
      <c r="F36" s="24"/>
      <c r="G36" s="25">
        <f t="array" aca="1" ref="G36" ca="1">IF(E36&gt;0,IFERROR(AVERAGE(IF((EBITDAcr=$C36)*(EBITDAqtrlyvalues&lt;&gt;"-"),EBITDAqtrlyvalues)),"-"),"-")</f>
        <v>4.4623582887700524</v>
      </c>
      <c r="H36" s="25">
        <f t="array" aca="1" ref="H36" ca="1">IF(E36&gt;0,IFERROR(MEDIAN(IF((EBITDAcr=$C36)*(EBITDAqtrlyvalues&lt;&gt;"-"),EBITDAqtrlyvalues)),"-"),"-")</f>
        <v>3.65</v>
      </c>
      <c r="I36" s="25">
        <f t="array" aca="1" ref="I36" ca="1">IF(E36&gt;0,IFERROR(MAX(IF((EBITDAcr=$C36)*(EBITDAqtrlyvalues&lt;&gt;"-"),EBITDAqtrlyvalues)),"-"),"-")</f>
        <v>143.4</v>
      </c>
      <c r="J36" s="25">
        <f t="array" aca="1" ref="J36" ca="1">IF(E36&gt;0,IFERROR(MIN(IF((EBITDAcr=$C36)*(EBITDAqtrlyvalues&lt;&gt;"-"),EBITDAqtrlyvalues)),"-"),"-")</f>
        <v>-29.5</v>
      </c>
      <c r="K36" s="24"/>
      <c r="L36" s="26">
        <f t="shared" ca="1" si="8"/>
        <v>0.99643493761140822</v>
      </c>
      <c r="M36" s="26">
        <f t="shared" ca="1" si="8"/>
        <v>0</v>
      </c>
      <c r="N36" s="26">
        <f t="shared" ca="1" si="8"/>
        <v>3.5650623885918001E-3</v>
      </c>
      <c r="O36" s="26">
        <f t="shared" ca="1" si="9"/>
        <v>3.5650623885918001E-3</v>
      </c>
      <c r="T36" s="24">
        <f t="array" aca="1" ref="T36" ca="1">IFERROR(COUNT(IF((EBITDAcr=$C36)*(EBITDAqtrlyvalues&lt;50),EBITDAqtrlyvalues)),"")</f>
        <v>559</v>
      </c>
      <c r="U36" s="24">
        <f t="shared" ca="1" si="6"/>
        <v>0</v>
      </c>
      <c r="V36" s="24">
        <f t="array" aca="1" ref="V36" ca="1">IFERROR(COUNT(IF((EBITDAcr=$C36)*(EBITDAqtrlyvalues&gt;55),EBITDAqtrlyvalues)),"")</f>
        <v>2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IFERROR(COUNT(IF((EBITDAcr=$C37)*(EBITDAqtrlyvalues&lt;&gt;"-"),EBITDAqtrlyvalues)),"")</f>
        <v>312</v>
      </c>
      <c r="F37" s="24"/>
      <c r="G37" s="25">
        <f t="array" aca="1" ref="G37" ca="1">IF(E37&gt;0,IFERROR(AVERAGE(IF((EBITDAcr=$C37)*(EBITDAqtrlyvalues&lt;&gt;"-"),EBITDAqtrlyvalues)),"-"),"-")</f>
        <v>4.6256410256410305</v>
      </c>
      <c r="H37" s="25">
        <f t="array" aca="1" ref="H37" ca="1">IF(E37&gt;0,IFERROR(MEDIAN(IF((EBITDAcr=$C37)*(EBITDAqtrlyvalues&lt;&gt;"-"),EBITDAqtrlyvalues)),"-"),"-")</f>
        <v>3.87</v>
      </c>
      <c r="I37" s="25">
        <f t="array" aca="1" ref="I37" ca="1">IF(E37&gt;0,IFERROR(MAX(IF((EBITDAcr=$C37)*(EBITDAqtrlyvalues&lt;&gt;"-"),EBITDAqtrlyvalues)),"-"),"-")</f>
        <v>35</v>
      </c>
      <c r="J37" s="25">
        <f t="array" aca="1" ref="J37" ca="1">IF(E37&gt;0,IFERROR(MIN(IF((EBITDAcr=$C37)*(EBITDAqtrlyvalues&lt;&gt;"-"),EBITDAqtrlyvalues)),"-"),"-")</f>
        <v>-50.3</v>
      </c>
      <c r="K37" s="24"/>
      <c r="L37" s="26">
        <f t="shared" ca="1" si="8"/>
        <v>1</v>
      </c>
      <c r="M37" s="26">
        <f t="shared" ca="1" si="8"/>
        <v>0</v>
      </c>
      <c r="N37" s="26">
        <f t="shared" ca="1" si="8"/>
        <v>0</v>
      </c>
      <c r="O37" s="26">
        <f t="shared" ca="1" si="9"/>
        <v>0</v>
      </c>
      <c r="T37" s="24">
        <f t="array" aca="1" ref="T37" ca="1">IFERROR(COUNT(IF((EBITDAcr=$C37)*(EBITDAqtrlyvalues&lt;50),EBITDAqtrlyvalues)),"")</f>
        <v>312</v>
      </c>
      <c r="U37" s="24">
        <f t="shared" ca="1" si="6"/>
        <v>0</v>
      </c>
      <c r="V37" s="24">
        <f t="array" aca="1" ref="V37" ca="1">IFERROR(COUNT(IF((EBITDAcr=$C37)*(EBITDAqtrlyvalues&gt;55),EBITDAqtrlyvalues)),"")</f>
        <v>0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IFERROR(COUNT(IF((EBITDAcr=$C38)*(EBITDAqtrlyvalues&lt;&gt;"-"),EBITDAqtrlyvalues)),"")</f>
        <v>96</v>
      </c>
      <c r="F38" s="24"/>
      <c r="G38" s="25">
        <f t="array" aca="1" ref="G38" ca="1">IF(E38&gt;0,IFERROR(AVERAGE(IF((EBITDAcr=$C38)*(EBITDAqtrlyvalues&lt;&gt;"-"),EBITDAqtrlyvalues)),"-"),"-")</f>
        <v>1.7753124999999998</v>
      </c>
      <c r="H38" s="25">
        <f t="array" aca="1" ref="H38" ca="1">IF(E38&gt;0,IFERROR(MEDIAN(IF((EBITDAcr=$C38)*(EBITDAqtrlyvalues&lt;&gt;"-"),EBITDAqtrlyvalues)),"-"),"-")</f>
        <v>4.1150000000000002</v>
      </c>
      <c r="I38" s="25">
        <f t="array" aca="1" ref="I38" ca="1">IF(E38&gt;0,IFERROR(MAX(IF((EBITDAcr=$C38)*(EBITDAqtrlyvalues&lt;&gt;"-"),EBITDAqtrlyvalues)),"-"),"-")</f>
        <v>9.76</v>
      </c>
      <c r="J38" s="25">
        <f t="array" aca="1" ref="J38" ca="1">IF(E38&gt;0,IFERROR(MIN(IF((EBITDAcr=$C38)*(EBITDAqtrlyvalues&lt;&gt;"-"),EBITDAqtrlyvalues)),"-"),"-")</f>
        <v>-237.3</v>
      </c>
      <c r="K38" s="24"/>
      <c r="L38" s="26">
        <f t="shared" ca="1" si="8"/>
        <v>1</v>
      </c>
      <c r="M38" s="26">
        <f t="shared" ca="1" si="8"/>
        <v>0</v>
      </c>
      <c r="N38" s="26">
        <f t="shared" ca="1" si="8"/>
        <v>0</v>
      </c>
      <c r="O38" s="26">
        <f t="shared" ca="1" si="9"/>
        <v>0</v>
      </c>
      <c r="T38" s="24">
        <f t="array" aca="1" ref="T38" ca="1">IFERROR(COUNT(IF((EBITDAcr=$C38)*(EBITDAqtrlyvalues&lt;50),EBITDAqtrlyvalues)),"")</f>
        <v>96</v>
      </c>
      <c r="U38" s="24">
        <f t="shared" ca="1" si="6"/>
        <v>0</v>
      </c>
      <c r="V38" s="24">
        <f t="array" aca="1" ref="V38" ca="1">IFERROR(COUNT(IF((EBITDAcr=$C38)*(EBITDAqtrlyvalues&gt;55),EBITDAqtrlyvalues)),"")</f>
        <v>0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IFERROR(COUNT(IF((EBITDAcr=$C39)*(EBITDAqtrlyvalues&lt;&gt;"-"),EBITDAqtrlyvalues)),"")</f>
        <v>118</v>
      </c>
      <c r="F39" s="24"/>
      <c r="G39" s="25">
        <f t="array" aca="1" ref="G39" ca="1">IF(E39&gt;0,IFERROR(AVERAGE(IF((EBITDAcr=$C39)*(EBITDAqtrlyvalues&lt;&gt;"-"),EBITDAqtrlyvalues)),"-"),"-")</f>
        <v>5.0646610169491524</v>
      </c>
      <c r="H39" s="25">
        <f t="array" aca="1" ref="H39" ca="1">IF(E39&gt;0,IFERROR(MEDIAN(IF((EBITDAcr=$C39)*(EBITDAqtrlyvalues&lt;&gt;"-"),EBITDAqtrlyvalues)),"-"),"-")</f>
        <v>3.8200000000000003</v>
      </c>
      <c r="I39" s="25">
        <f t="array" aca="1" ref="I39" ca="1">IF(E39&gt;0,IFERROR(MAX(IF((EBITDAcr=$C39)*(EBITDAqtrlyvalues&lt;&gt;"-"),EBITDAqtrlyvalues)),"-"),"-")</f>
        <v>44.4</v>
      </c>
      <c r="J39" s="25">
        <f t="array" aca="1" ref="J39" ca="1">IF(E39&gt;0,IFERROR(MIN(IF((EBITDAcr=$C39)*(EBITDAqtrlyvalues&lt;&gt;"-"),EBITDAqtrlyvalues)),"-"),"-")</f>
        <v>1.58</v>
      </c>
      <c r="K39" s="24"/>
      <c r="L39" s="26">
        <f t="shared" ca="1" si="8"/>
        <v>1</v>
      </c>
      <c r="M39" s="26">
        <f t="shared" ca="1" si="8"/>
        <v>0</v>
      </c>
      <c r="N39" s="26">
        <f t="shared" ca="1" si="8"/>
        <v>0</v>
      </c>
      <c r="O39" s="26">
        <f t="shared" ca="1" si="9"/>
        <v>0</v>
      </c>
      <c r="T39" s="24">
        <f t="array" aca="1" ref="T39" ca="1">IFERROR(COUNT(IF((EBITDAcr=$C39)*(EBITDAqtrlyvalues&lt;50),EBITDAqtrlyvalues)),"")</f>
        <v>118</v>
      </c>
      <c r="U39" s="24">
        <f t="shared" ca="1" si="6"/>
        <v>0</v>
      </c>
      <c r="V39" s="24">
        <f t="array" aca="1" ref="V39" ca="1">IFERROR(COUNT(IF((EBITDAcr=$C39)*(EBITDAqtrlyvalues&gt;55),EBITDAqtrlyvalues)),"")</f>
        <v>0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IFERROR(COUNT(IF((EBITDAcr=$C40)*(EBITDAqtrlyvalues&lt;&gt;"-"),EBITDAqtrlyvalues)),"")</f>
        <v>0</v>
      </c>
      <c r="F40" s="24"/>
      <c r="G40" s="25" t="str">
        <f t="array" aca="1" ref="G40" ca="1">IF(E40&gt;0,IFERROR(AVERAGE(IF((EBITDAcr=$C40)*(EBITDAqtrlyvalues&lt;&gt;"-"),EBITDAqtrlyvalues)),"-"),"-")</f>
        <v>-</v>
      </c>
      <c r="H40" s="25" t="str">
        <f t="array" aca="1" ref="H40" ca="1">IF(E40&gt;0,IFERROR(MEDIAN(IF((EBITDAcr=$C40)*(EBITDAqtrlyvalues&lt;&gt;"-"),EBITDAqtrlyvalues)),"-"),"-")</f>
        <v>-</v>
      </c>
      <c r="I40" s="25" t="str">
        <f t="array" aca="1" ref="I40" ca="1">IF(E40&gt;0,IFERROR(MAX(IF((EBITDAcr=$C40)*(EBITDAqtrlyvalues&lt;&gt;"-"),EBITDAqtrlyvalues)),"-"),"-")</f>
        <v>-</v>
      </c>
      <c r="J40" s="25" t="str">
        <f t="array" aca="1" ref="J40" ca="1">IF(E40&gt;0,IFERROR(MIN(IF((EBITDAcr=$C40)*(EBITDAqtrlyvalues&lt;&gt;"-"),EBITDAqtrlyvalues)),"-"),"-")</f>
        <v>-</v>
      </c>
      <c r="K40" s="24"/>
      <c r="L40" s="26" t="str">
        <f t="shared" ca="1" si="8"/>
        <v/>
      </c>
      <c r="M40" s="26" t="str">
        <f t="shared" ca="1" si="8"/>
        <v/>
      </c>
      <c r="N40" s="26" t="str">
        <f t="shared" ca="1" si="8"/>
        <v/>
      </c>
      <c r="O40" s="26" t="str">
        <f t="shared" ca="1" si="9"/>
        <v/>
      </c>
      <c r="T40" s="24">
        <f t="array" aca="1" ref="T40" ca="1">IFERROR(COUNT(IF((EBITDAcr=$C40)*(EBITDAqtrlyvalues&lt;50),EBITDAqtrlyvalues)),"")</f>
        <v>0</v>
      </c>
      <c r="U40" s="24">
        <f t="shared" ca="1" si="6"/>
        <v>0</v>
      </c>
      <c r="V40" s="24">
        <f t="array" aca="1" ref="V40" ca="1">IFERROR(COUNT(IF((EBITDAcr=$C40)*(EBITDAqtrlyvalues&gt;55),EBITDAqtrlyvalues)),"")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1245</v>
      </c>
      <c r="F43" s="6"/>
      <c r="K43" s="4"/>
      <c r="T43" s="4">
        <f ca="1">SUM(T33:T40)</f>
        <v>1243</v>
      </c>
      <c r="U43" s="4">
        <f ca="1">SUM(U33:U40)</f>
        <v>0</v>
      </c>
      <c r="V43" s="4">
        <f ca="1">SUM(V33:V40)</f>
        <v>2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4.0383777818787534</v>
      </c>
      <c r="H44" s="33">
        <f ca="1">AVERAGE(H$33:H$40)</f>
        <v>3.6864285714285714</v>
      </c>
      <c r="I44" s="33">
        <f ca="1">AVERAGE(I$33:I$40)</f>
        <v>39.275714285714287</v>
      </c>
      <c r="J44" s="33">
        <f ca="1">AVERAGE(J$33:J$40)</f>
        <v>-44.321428571428577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">
        <v>656</v>
      </c>
    </row>
  </sheetData>
  <mergeCells count="12">
    <mergeCell ref="A1:N1"/>
    <mergeCell ref="A4:N4"/>
    <mergeCell ref="A5:N5"/>
    <mergeCell ref="A8:N8"/>
    <mergeCell ref="G9:H9"/>
    <mergeCell ref="J9:K9"/>
    <mergeCell ref="L9:N9"/>
    <mergeCell ref="T9:V9"/>
    <mergeCell ref="A28:N28"/>
    <mergeCell ref="G29:H29"/>
    <mergeCell ref="J29:K29"/>
    <mergeCell ref="L29:N29"/>
  </mergeCells>
  <printOptions horizontalCentered="1"/>
  <pageMargins left="0.7" right="0.7" top="1" bottom="0.75" header="0.55000000000000004" footer="0.51"/>
  <pageSetup scale="80" orientation="portrait" r:id="rId1"/>
  <headerFooter>
    <oddHeader>&amp;R&amp;13MPG-2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658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603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'Debt to EBITDA Ratio Elec Gas'!A8:N8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43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IFERROR(COUNT(IF((EBITDAind="E")*(EBITDAcr=$C13)*(EBITDAqtrlyavg&lt;&gt;"N/A"),EBITDAqtrlyavg)),"")</f>
        <v>1</v>
      </c>
      <c r="F13" s="24"/>
      <c r="G13" s="25">
        <f t="array" aca="1" ref="G13" ca="1">IF(E13&gt;0,IFERROR(AVERAGE(IF((EBITDAind="E")*(EBITDAcr=$C13)*(EBITDAqtrlyavg&lt;&gt;"N/A"),EBITDAqtrlyavg)),"-"),"-")</f>
        <v>2.6583333333333337</v>
      </c>
      <c r="H13" s="25">
        <f t="array" aca="1" ref="H13" ca="1">IF(E13&gt;0,IFERROR(MEDIAN(IF((EBITDAind="E")*(EBITDAcr=$C13)*(EBITDAqtrlyavg&lt;&gt;"N/A"),EBITDAqtrlyavg)),"-"),"-")</f>
        <v>2.6583333333333337</v>
      </c>
      <c r="I13" s="25">
        <f t="array" aca="1" ref="I13" ca="1">IF(E13&gt;0,IFERROR(MAX(IF((EBITDAind="E")*(EBITDAcr=$C13)*(EBITDAqtrlyavg&lt;&gt;"N/A"),EBITDAqtrlyavg)),"-"),"-")</f>
        <v>2.6583333333333337</v>
      </c>
      <c r="J13" s="25">
        <f t="array" aca="1" ref="J13" ca="1">IF(E13&gt;0,IFERROR(MIN(IF((EBITDAind="E")*(EBITDAcr=$C13)*(EBITDAqtrlyavg&lt;&gt;"N/A"),EBITDAqtrlyavg)),"-"),"-")</f>
        <v>2.6583333333333337</v>
      </c>
      <c r="K13" s="24"/>
      <c r="L13" s="26">
        <f t="shared" ref="L13:N14" ca="1" si="0">IFERROR(T13/$E13,"")</f>
        <v>1</v>
      </c>
      <c r="M13" s="26">
        <f t="shared" ca="1" si="0"/>
        <v>0</v>
      </c>
      <c r="N13" s="26">
        <f t="shared" ca="1" si="0"/>
        <v>0</v>
      </c>
      <c r="O13" s="26">
        <f ca="1">IFERROR((U13+V13)/$E13,"")</f>
        <v>0</v>
      </c>
      <c r="T13" s="24">
        <f t="shared" ref="T13:T20" ca="1" si="1">COUNTIFS(EBITDAind,"E",EBITDAcr,$C13,EBITDAqtrlyavg,"&lt;50")</f>
        <v>1</v>
      </c>
      <c r="U13" s="24">
        <f t="shared" ref="U13:U20" ca="1" si="2">COUNTIFS(EBITDAind,"E",EBITDAcr,$C13,EBITDAqtrlyavg,"&gt;=50",EBITDAqtrlyavg,"&lt;=55")</f>
        <v>0</v>
      </c>
      <c r="V13" s="24">
        <f t="shared" ref="V13:V20" ca="1" si="3">COUNTIFS(EBITDAind,"E",EBITDAcr,$C13,EBITDAqtrlyavg,"&gt;55")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IFERROR(COUNT(IF((EBITDAind="E")*(EBITDAcr=$C14)*(EBITDAqtrlyavg&lt;&gt;"N/A"),EBITDAqtrlyavg)),"")</f>
        <v>0</v>
      </c>
      <c r="F14" s="24"/>
      <c r="G14" s="25" t="str">
        <f t="array" aca="1" ref="G14" ca="1">IF(E14&gt;0,IFERROR(AVERAGE(IF((EBITDAind="E")*(EBITDAcr=$C14)*(EBITDAqtrlyavg&lt;&gt;"N/A"),EBITDAqtrlyavg)),"-"),"-")</f>
        <v>-</v>
      </c>
      <c r="H14" s="25" t="str">
        <f t="array" aca="1" ref="H14" ca="1">IF(E14&gt;0,IFERROR(MEDIAN(IF((EBITDAind="E")*(EBITDAcr=$C14)*(EBITDAqtrlyavg&lt;&gt;"N/A"),EBITDAqtrlyavg)),"-"),"-")</f>
        <v>-</v>
      </c>
      <c r="I14" s="25" t="str">
        <f t="array" aca="1" ref="I14" ca="1">IF(E14&gt;0,IFERROR(MAX(IF((EBITDAind="E")*(EBITDAcr=$C14)*(EBITDAqtrlyavg&lt;&gt;"N/A"),EBITDAqtrlyavg)),"-"),"-")</f>
        <v>-</v>
      </c>
      <c r="J14" s="25" t="str">
        <f t="array" aca="1" ref="J14" ca="1">IF(E14&gt;0,IFERROR(MIN(IF((EBITDAind="E")*(EBITDAcr=$C14)*(EBITDAqtrlyavg&lt;&gt;"N/A"),EBITDAqtrlyavg)),"-"),"-")</f>
        <v>-</v>
      </c>
      <c r="K14" s="24"/>
      <c r="L14" s="26" t="str">
        <f t="shared" ca="1" si="0"/>
        <v/>
      </c>
      <c r="M14" s="26" t="str">
        <f t="shared" ca="1" si="0"/>
        <v/>
      </c>
      <c r="N14" s="26" t="str">
        <f t="shared" ca="1" si="0"/>
        <v/>
      </c>
      <c r="O14" s="26" t="str">
        <f ca="1">IFERROR((U14+V14)/$E14,"")</f>
        <v/>
      </c>
      <c r="T14" s="24">
        <f t="shared" ca="1" si="1"/>
        <v>0</v>
      </c>
      <c r="U14" s="24">
        <f t="shared" ca="1" si="2"/>
        <v>0</v>
      </c>
      <c r="V14" s="24">
        <f t="shared" ca="1" si="3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IFERROR(COUNT(IF((EBITDAind="E")*(EBITDAcr=$C15)*(EBITDAqtrlyavg&lt;&gt;"N/A"),EBITDAqtrlyavg)),"")</f>
        <v>8</v>
      </c>
      <c r="F15" s="24"/>
      <c r="G15" s="25">
        <f t="array" aca="1" ref="G15" ca="1">IF(E15&gt;0,IFERROR(AVERAGE(IF((EBITDAind="E")*(EBITDAcr=$C15)*(EBITDAqtrlyavg&lt;&gt;"N/A"),EBITDAqtrlyavg)),"-"),"-")</f>
        <v>3.8627500000000006</v>
      </c>
      <c r="H15" s="25">
        <f t="array" aca="1" ref="H15" ca="1">IF(E15&gt;0,IFERROR(MEDIAN(IF((EBITDAind="E")*(EBITDAcr=$C15)*(EBITDAqtrlyavg&lt;&gt;"N/A"),EBITDAqtrlyavg)),"-"),"-")</f>
        <v>3.5919999999999996</v>
      </c>
      <c r="I15" s="25">
        <f t="array" aca="1" ref="I15" ca="1">IF(E15&gt;0,IFERROR(MAX(IF((EBITDAind="E")*(EBITDAcr=$C15)*(EBITDAqtrlyavg&lt;&gt;"N/A"),EBITDAqtrlyavg)),"-"),"-")</f>
        <v>5.9279999999999999</v>
      </c>
      <c r="J15" s="25">
        <f t="array" aca="1" ref="J15" ca="1">IF(E15&gt;0,IFERROR(MIN(IF((EBITDAind="E")*(EBITDAcr=$C15)*(EBITDAqtrlyavg&lt;&gt;"N/A"),EBITDAqtrlyavg)),"-"),"-")</f>
        <v>2.9183333333333334</v>
      </c>
      <c r="K15" s="24"/>
      <c r="L15" s="26">
        <f t="shared" ref="L15:N20" ca="1" si="4">IFERROR(T15/$E15,"")</f>
        <v>1</v>
      </c>
      <c r="M15" s="26">
        <f t="shared" ca="1" si="4"/>
        <v>0</v>
      </c>
      <c r="N15" s="26">
        <f t="shared" ca="1" si="4"/>
        <v>0</v>
      </c>
      <c r="O15" s="26">
        <f t="shared" ref="O15:O20" ca="1" si="5">IFERROR((U15+V15)/$E15,"")</f>
        <v>0</v>
      </c>
      <c r="T15" s="24">
        <f t="shared" ca="1" si="1"/>
        <v>8</v>
      </c>
      <c r="U15" s="24">
        <f t="shared" ca="1" si="2"/>
        <v>0</v>
      </c>
      <c r="V15" s="24">
        <f t="shared" ca="1" si="3"/>
        <v>0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IFERROR(COUNT(IF((EBITDAind="E")*(EBITDAcr=$C16)*(EBITDAqtrlyavg&lt;&gt;"N/A"),EBITDAqtrlyavg)),"")</f>
        <v>47</v>
      </c>
      <c r="F16" s="24"/>
      <c r="G16" s="25">
        <f t="array" aca="1" ref="G16" ca="1">IF(E16&gt;0,IFERROR(AVERAGE(IF((EBITDAind="E")*(EBITDAcr=$C16)*(EBITDAqtrlyavg&lt;&gt;"N/A"),EBITDAqtrlyavg)),"-"),"-")</f>
        <v>4.2229706487366068</v>
      </c>
      <c r="H16" s="25">
        <f t="array" aca="1" ref="H16" ca="1">IF(E16&gt;0,IFERROR(MEDIAN(IF((EBITDAind="E")*(EBITDAcr=$C16)*(EBITDAqtrlyavg&lt;&gt;"N/A"),EBITDAqtrlyavg)),"-"),"-")</f>
        <v>3.8208333333333333</v>
      </c>
      <c r="I16" s="25">
        <f t="array" aca="1" ref="I16" ca="1">IF(E16&gt;0,IFERROR(MAX(IF((EBITDAind="E")*(EBITDAcr=$C16)*(EBITDAqtrlyavg&lt;&gt;"N/A"),EBITDAqtrlyavg)),"-"),"-")</f>
        <v>15.69</v>
      </c>
      <c r="J16" s="25">
        <f t="array" aca="1" ref="J16" ca="1">IF(E16&gt;0,IFERROR(MIN(IF((EBITDAind="E")*(EBITDAcr=$C16)*(EBITDAqtrlyavg&lt;&gt;"N/A"),EBITDAqtrlyavg)),"-"),"-")</f>
        <v>1.9966666666666668</v>
      </c>
      <c r="K16" s="24"/>
      <c r="L16" s="26">
        <f t="shared" ca="1" si="4"/>
        <v>1</v>
      </c>
      <c r="M16" s="26">
        <f t="shared" ca="1" si="4"/>
        <v>0</v>
      </c>
      <c r="N16" s="26">
        <f t="shared" ca="1" si="4"/>
        <v>0</v>
      </c>
      <c r="O16" s="26">
        <f t="shared" ca="1" si="5"/>
        <v>0</v>
      </c>
      <c r="T16" s="24">
        <f t="shared" ca="1" si="1"/>
        <v>47</v>
      </c>
      <c r="U16" s="24">
        <f t="shared" ca="1" si="2"/>
        <v>0</v>
      </c>
      <c r="V16" s="24">
        <f t="shared" ca="1" si="3"/>
        <v>0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IFERROR(COUNT(IF((EBITDAind="E")*(EBITDAcr=$C17)*(EBITDAqtrlyavg&lt;&gt;"N/A"),EBITDAqtrlyavg)),"")</f>
        <v>23</v>
      </c>
      <c r="F17" s="24"/>
      <c r="G17" s="25">
        <f t="array" aca="1" ref="G17" ca="1">IF(E17&gt;0,IFERROR(AVERAGE(IF((EBITDAind="E")*(EBITDAcr=$C17)*(EBITDAqtrlyavg&lt;&gt;"N/A"),EBITDAqtrlyavg)),"-"),"-")</f>
        <v>4.4655000000000005</v>
      </c>
      <c r="H17" s="25">
        <f t="array" aca="1" ref="H17" ca="1">IF(E17&gt;0,IFERROR(MEDIAN(IF((EBITDAind="E")*(EBITDAcr=$C17)*(EBITDAqtrlyavg&lt;&gt;"N/A"),EBITDAqtrlyavg)),"-"),"-")</f>
        <v>3.7816666666666658</v>
      </c>
      <c r="I17" s="25">
        <f t="array" aca="1" ref="I17" ca="1">IF(E17&gt;0,IFERROR(MAX(IF((EBITDAind="E")*(EBITDAcr=$C17)*(EBITDAqtrlyavg&lt;&gt;"N/A"),EBITDAqtrlyavg)),"-"),"-")</f>
        <v>10.065</v>
      </c>
      <c r="J17" s="25">
        <f t="array" aca="1" ref="J17" ca="1">IF(E17&gt;0,IFERROR(MIN(IF((EBITDAind="E")*(EBITDAcr=$C17)*(EBITDAqtrlyavg&lt;&gt;"N/A"),EBITDAqtrlyavg)),"-"),"-")</f>
        <v>1.615</v>
      </c>
      <c r="K17" s="24"/>
      <c r="L17" s="26">
        <f t="shared" ca="1" si="4"/>
        <v>1</v>
      </c>
      <c r="M17" s="26">
        <f t="shared" ca="1" si="4"/>
        <v>0</v>
      </c>
      <c r="N17" s="26">
        <f t="shared" ca="1" si="4"/>
        <v>0</v>
      </c>
      <c r="O17" s="26">
        <f t="shared" ca="1" si="5"/>
        <v>0</v>
      </c>
      <c r="T17" s="24">
        <f t="shared" ca="1" si="1"/>
        <v>23</v>
      </c>
      <c r="U17" s="24">
        <f t="shared" ca="1" si="2"/>
        <v>0</v>
      </c>
      <c r="V17" s="24">
        <f t="shared" ca="1" si="3"/>
        <v>0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IFERROR(COUNT(IF((EBITDAind="E")*(EBITDAcr=$C18)*(EBITDAqtrlyavg&lt;&gt;"N/A"),EBITDAqtrlyavg)),"")</f>
        <v>8</v>
      </c>
      <c r="F18" s="24"/>
      <c r="G18" s="25">
        <f t="array" aca="1" ref="G18" ca="1">IF(E18&gt;0,IFERROR(AVERAGE(IF((EBITDAind="E")*(EBITDAcr=$C18)*(EBITDAqtrlyavg&lt;&gt;"N/A"),EBITDAqtrlyavg)),"-"),"-")</f>
        <v>1.7753125000000001</v>
      </c>
      <c r="H18" s="25">
        <f t="array" aca="1" ref="H18" ca="1">IF(E18&gt;0,IFERROR(MEDIAN(IF((EBITDAind="E")*(EBITDAcr=$C18)*(EBITDAqtrlyavg&lt;&gt;"N/A"),EBITDAqtrlyavg)),"-"),"-")</f>
        <v>4.1929166666666662</v>
      </c>
      <c r="I18" s="25">
        <f t="array" aca="1" ref="I18" ca="1">IF(E18&gt;0,IFERROR(MAX(IF((EBITDAind="E")*(EBITDAcr=$C18)*(EBITDAqtrlyavg&lt;&gt;"N/A"),EBITDAqtrlyavg)),"-"),"-")</f>
        <v>5.1741666666666672</v>
      </c>
      <c r="J18" s="25">
        <f t="array" aca="1" ref="J18" ca="1">IF(E18&gt;0,IFERROR(MIN(IF((EBITDAind="E")*(EBITDAcr=$C18)*(EBITDAqtrlyavg&lt;&gt;"N/A"),EBITDAqtrlyavg)),"-"),"-")</f>
        <v>-14.623333333333333</v>
      </c>
      <c r="K18" s="24"/>
      <c r="L18" s="26">
        <f t="shared" ca="1" si="4"/>
        <v>1</v>
      </c>
      <c r="M18" s="26">
        <f t="shared" ca="1" si="4"/>
        <v>0</v>
      </c>
      <c r="N18" s="26">
        <f t="shared" ca="1" si="4"/>
        <v>0</v>
      </c>
      <c r="O18" s="26">
        <f t="shared" ca="1" si="5"/>
        <v>0</v>
      </c>
      <c r="T18" s="24">
        <f t="shared" ca="1" si="1"/>
        <v>8</v>
      </c>
      <c r="U18" s="24">
        <f t="shared" ca="1" si="2"/>
        <v>0</v>
      </c>
      <c r="V18" s="24">
        <f t="shared" ca="1" si="3"/>
        <v>0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IFERROR(COUNT(IF((EBITDAind="E")*(EBITDAcr=$C19)*(EBITDAqtrlyavg&lt;&gt;"N/A"),EBITDAqtrlyavg)),"")</f>
        <v>10</v>
      </c>
      <c r="F19" s="24"/>
      <c r="G19" s="25">
        <f t="array" aca="1" ref="G19" ca="1">IF(E19&gt;0,IFERROR(AVERAGE(IF((EBITDAind="E")*(EBITDAcr=$C19)*(EBITDAqtrlyavg&lt;&gt;"N/A"),EBITDAqtrlyavg)),"-"),"-")</f>
        <v>5.0890909090909089</v>
      </c>
      <c r="H19" s="25">
        <f t="array" aca="1" ref="H19" ca="1">IF(E19&gt;0,IFERROR(MEDIAN(IF((EBITDAind="E")*(EBITDAcr=$C19)*(EBITDAqtrlyavg&lt;&gt;"N/A"),EBITDAqtrlyavg)),"-"),"-")</f>
        <v>4.605833333333333</v>
      </c>
      <c r="I19" s="25">
        <f t="array" aca="1" ref="I19" ca="1">IF(E19&gt;0,IFERROR(MAX(IF((EBITDAind="E")*(EBITDAcr=$C19)*(EBITDAqtrlyavg&lt;&gt;"N/A"),EBITDAqtrlyavg)),"-"),"-")</f>
        <v>10.200833333333334</v>
      </c>
      <c r="J19" s="25">
        <f t="array" aca="1" ref="J19" ca="1">IF(E19&gt;0,IFERROR(MIN(IF((EBITDAind="E")*(EBITDAcr=$C19)*(EBITDAqtrlyavg&lt;&gt;"N/A"),EBITDAqtrlyavg)),"-"),"-")</f>
        <v>2.3983333333333339</v>
      </c>
      <c r="K19" s="24"/>
      <c r="L19" s="26">
        <f t="shared" ca="1" si="4"/>
        <v>1</v>
      </c>
      <c r="M19" s="26">
        <f t="shared" ca="1" si="4"/>
        <v>0</v>
      </c>
      <c r="N19" s="26">
        <f t="shared" ca="1" si="4"/>
        <v>0</v>
      </c>
      <c r="O19" s="26">
        <f t="shared" ca="1" si="5"/>
        <v>0</v>
      </c>
      <c r="T19" s="24">
        <f t="shared" ca="1" si="1"/>
        <v>10</v>
      </c>
      <c r="U19" s="24">
        <f t="shared" ca="1" si="2"/>
        <v>0</v>
      </c>
      <c r="V19" s="24">
        <f t="shared" ca="1" si="3"/>
        <v>0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IFERROR(COUNT(IF((EBITDAind="E")*(EBITDAcr=$C20)*(EBITDAqtrlyavg&lt;&gt;"N/A"),EBITDAqtrlyavg)),"")</f>
        <v>0</v>
      </c>
      <c r="F20" s="24"/>
      <c r="G20" s="25" t="str">
        <f t="array" aca="1" ref="G20" ca="1">IF(E20&gt;0,IFERROR(AVERAGE(IF((EBITDAind="E")*(EBITDAcr=$C20)*(EBITDAqtrlyavg&lt;&gt;"N/A"),EBITDAqtrlyavg)),"-"),"-")</f>
        <v>-</v>
      </c>
      <c r="H20" s="25" t="str">
        <f t="array" aca="1" ref="H20" ca="1">IF(E20&gt;0,IFERROR(MEDIAN(IF((EBITDAind="E")*(EBITDAcr=$C20)*(EBITDAqtrlyavg&lt;&gt;"N/A"),EBITDAqtrlyavg)),"-"),"-")</f>
        <v>-</v>
      </c>
      <c r="I20" s="25" t="str">
        <f t="array" aca="1" ref="I20" ca="1">IF(E20&gt;0,IFERROR(MAX(IF((EBITDAind="E")*(EBITDAcr=$C20)*(EBITDAqtrlyavg&lt;&gt;"N/A"),EBITDAqtrlyavg)),"-"),"-")</f>
        <v>-</v>
      </c>
      <c r="J20" s="25" t="str">
        <f t="array" aca="1" ref="J20" ca="1">IF(E20&gt;0,IFERROR(MIN(IF((EBITDAind="E")*(EBITDAcr=$C20)*(EBITDAqtrlyavg&lt;&gt;"N/A"),EBITDAqtrlyavg)),"-"),"-")</f>
        <v>-</v>
      </c>
      <c r="K20" s="24"/>
      <c r="L20" s="26" t="str">
        <f t="shared" ca="1" si="4"/>
        <v/>
      </c>
      <c r="M20" s="26" t="str">
        <f t="shared" ca="1" si="4"/>
        <v/>
      </c>
      <c r="N20" s="26" t="str">
        <f t="shared" ca="1" si="4"/>
        <v/>
      </c>
      <c r="O20" s="26" t="str">
        <f t="shared" ca="1" si="5"/>
        <v/>
      </c>
      <c r="T20" s="24">
        <f t="shared" ca="1" si="1"/>
        <v>0</v>
      </c>
      <c r="U20" s="24">
        <f t="shared" ca="1" si="2"/>
        <v>0</v>
      </c>
      <c r="V20" s="24">
        <f t="shared" ca="1" si="3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">
        <f ca="1">SUM(E13:E20)</f>
        <v>97</v>
      </c>
      <c r="F23" s="6"/>
      <c r="K23" s="4"/>
      <c r="T23" s="4">
        <f ca="1">SUM(T13:T20)</f>
        <v>97</v>
      </c>
      <c r="U23" s="4">
        <f ca="1">SUM(U13:U20)</f>
        <v>0</v>
      </c>
      <c r="V23" s="4">
        <f ca="1">SUM(V13:V20)</f>
        <v>0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3.6789928985268081</v>
      </c>
      <c r="H24" s="30">
        <f ca="1">AVERAGE(H$13:H$20)</f>
        <v>3.7752638888888885</v>
      </c>
      <c r="I24" s="30">
        <f ca="1">AVERAGE(I$13:I$20)</f>
        <v>8.2860555555555546</v>
      </c>
      <c r="J24" s="30">
        <f ca="1">AVERAGE(J$13:J$20)</f>
        <v>-0.50611111111111085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'Debt to EBITDA Ratio Elec Gas'!A28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43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IFERROR(COUNT(IF((EBITDAind="E")*(EBITDAcr=$C33)*(EBITDAqtrlyvalues&lt;&gt;"-"),EBITDAqtrlyvalues)),"")</f>
        <v>12</v>
      </c>
      <c r="F33" s="24"/>
      <c r="G33" s="25">
        <f t="array" aca="1" ref="G33" ca="1">IF(E33&gt;0,IFERROR(AVERAGE(IF((EBITDAind="E")*(EBITDAcr=$C33)*(EBITDAqtrlyvalues&lt;&gt;"-"),EBITDAqtrlyvalues)),"-"),"-")</f>
        <v>2.6583333333333337</v>
      </c>
      <c r="H33" s="25">
        <f t="array" aca="1" ref="H33" ca="1">IF(E33&gt;0,IFERROR(MEDIAN(IF((EBITDAind="E")*(EBITDAcr=$C33)*(EBITDAqtrlyvalues&lt;&gt;"-"),EBITDAqtrlyvalues)),"-"),"-")</f>
        <v>2.7</v>
      </c>
      <c r="I33" s="25">
        <f t="array" aca="1" ref="I33" ca="1">IF(E33&gt;0,IFERROR(MAX(IF((EBITDAind="E")*(EBITDAcr=$C33)*(EBITDAqtrlyvalues&lt;&gt;"-"),EBITDAqtrlyvalues)),"-"),"-")</f>
        <v>3.37</v>
      </c>
      <c r="J33" s="25">
        <f t="array" aca="1" ref="J33" ca="1">IF(E33&gt;0,IFERROR(MIN(IF((EBITDAind="E")*(EBITDAcr=$C33)*(EBITDAqtrlyvalues&lt;&gt;"-"),EBITDAqtrlyvalues)),"-"),"-")</f>
        <v>1.94</v>
      </c>
      <c r="K33" s="24"/>
      <c r="L33" s="26">
        <f t="shared" ref="L33:N34" ca="1" si="6">IFERROR(T33/$E33,"")</f>
        <v>1</v>
      </c>
      <c r="M33" s="26">
        <f t="shared" ca="1" si="6"/>
        <v>0</v>
      </c>
      <c r="N33" s="26">
        <f t="shared" ca="1" si="6"/>
        <v>0</v>
      </c>
      <c r="O33" s="26">
        <f ca="1">IFERROR((U33+V33)/$E33,"")</f>
        <v>0</v>
      </c>
      <c r="T33" s="24">
        <f t="array" aca="1" ref="T33" ca="1">IFERROR(COUNT(IF((EBITDAind="E")*(EBITDAcr=$C33)*(EBITDAqtrlyvalues&lt;50),EBITDAqtrlyvalues)),"")</f>
        <v>12</v>
      </c>
      <c r="U33" s="24">
        <f ca="1">E33-T33-V33</f>
        <v>0</v>
      </c>
      <c r="V33" s="24">
        <f t="array" aca="1" ref="V33" ca="1">IFERROR(COUNT(IF((EBITDAind="E")*(EBITDAcr=$C33)*(EBITDAqtrlyvalues&gt;55),EBITDAqtrlyvalues)),"")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IFERROR(COUNT(IF((EBITDAind="E")*(EBITDAcr=$C34)*(EBITDAqtrlyvalues&lt;&gt;"-"),EBITDAqtrlyvalues)),"")</f>
        <v>0</v>
      </c>
      <c r="F34" s="24"/>
      <c r="G34" s="25" t="str">
        <f t="array" aca="1" ref="G34" ca="1">IF(E34&gt;0,IFERROR(AVERAGE(IF((EBITDAind="E")*(EBITDAcr=$C34)*(EBITDAqtrlyvalues&lt;&gt;"-"),EBITDAqtrlyvalues)),"-"),"-")</f>
        <v>-</v>
      </c>
      <c r="H34" s="25" t="str">
        <f t="array" aca="1" ref="H34" ca="1">IF(E34&gt;0,IFERROR(MEDIAN(IF((EBITDAind="E")*(EBITDAcr=$C34)*(EBITDAqtrlyvalues&lt;&gt;"-"),EBITDAqtrlyvalues)),"-"),"-")</f>
        <v>-</v>
      </c>
      <c r="I34" s="25" t="str">
        <f t="array" aca="1" ref="I34" ca="1">IF(E34&gt;0,IFERROR(MAX(IF((EBITDAind="E")*(EBITDAcr=$C34)*(EBITDAqtrlyvalues&lt;&gt;"-"),EBITDAqtrlyvalues)),"-"),"-")</f>
        <v>-</v>
      </c>
      <c r="J34" s="25" t="str">
        <f t="array" aca="1" ref="J34" ca="1">IF(E34&gt;0,IFERROR(MIN(IF((EBITDAind="E")*(EBITDAcr=$C34)*(EBITDAqtrlyvalues&lt;&gt;"-"),EBITDAqtrlyvalues)),"-"),"-")</f>
        <v>-</v>
      </c>
      <c r="K34" s="24"/>
      <c r="L34" s="26" t="str">
        <f t="shared" ca="1" si="6"/>
        <v/>
      </c>
      <c r="M34" s="26" t="str">
        <f t="shared" ca="1" si="6"/>
        <v/>
      </c>
      <c r="N34" s="26" t="str">
        <f t="shared" ca="1" si="6"/>
        <v/>
      </c>
      <c r="O34" s="26" t="str">
        <f ca="1">IFERROR((U34+V34)/$E34,"")</f>
        <v/>
      </c>
      <c r="T34" s="24">
        <f t="array" aca="1" ref="T34" ca="1">IFERROR(COUNT(IF((EBITDAind="E")*(EBITDAcr=$C34)*(EBITDAqtrlyvalues&lt;50),EBITDAqtrlyvalues)),"")</f>
        <v>0</v>
      </c>
      <c r="U34" s="24">
        <f ca="1">E34-T34-V34</f>
        <v>0</v>
      </c>
      <c r="V34" s="24">
        <f t="array" aca="1" ref="V34" ca="1">IFERROR(COUNT(IF((EBITDAind="E")*(EBITDAcr=$C34)*(EBITDAqtrlyvalues&gt;55),EBITDAqtrlyvalues)),"")</f>
        <v>0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IFERROR(COUNT(IF((EBITDAind="E")*(EBITDAcr=$C35)*(EBITDAqtrlyvalues&lt;&gt;"-"),EBITDAqtrlyvalues)),"")</f>
        <v>87</v>
      </c>
      <c r="F35" s="24"/>
      <c r="G35" s="25">
        <f t="array" aca="1" ref="G35" ca="1">IF(E35&gt;0,IFERROR(AVERAGE(IF((EBITDAind="E")*(EBITDAcr=$C35)*(EBITDAqtrlyvalues&lt;&gt;"-"),EBITDAqtrlyvalues)),"-"),"-")</f>
        <v>3.7050574712643667</v>
      </c>
      <c r="H35" s="25">
        <f t="array" aca="1" ref="H35" ca="1">IF(E35&gt;0,IFERROR(MEDIAN(IF((EBITDAind="E")*(EBITDAcr=$C35)*(EBITDAqtrlyvalues&lt;&gt;"-"),EBITDAqtrlyvalues)),"-"),"-")</f>
        <v>3.45</v>
      </c>
      <c r="I35" s="25">
        <f t="array" aca="1" ref="I35" ca="1">IF(E35&gt;0,IFERROR(MAX(IF((EBITDAind="E")*(EBITDAcr=$C35)*(EBITDAqtrlyvalues&lt;&gt;"-"),EBITDAqtrlyvalues)),"-"),"-")</f>
        <v>15.8</v>
      </c>
      <c r="J35" s="25">
        <f t="array" aca="1" ref="J35" ca="1">IF(E35&gt;0,IFERROR(MIN(IF((EBITDAind="E")*(EBITDAcr=$C35)*(EBITDAqtrlyvalues&lt;&gt;"-"),EBITDAqtrlyvalues)),"-"),"-")</f>
        <v>1.78</v>
      </c>
      <c r="K35" s="24"/>
      <c r="L35" s="26">
        <f t="shared" ref="L35:N40" ca="1" si="7">IFERROR(T35/$E35,"")</f>
        <v>1</v>
      </c>
      <c r="M35" s="26">
        <f t="shared" ca="1" si="7"/>
        <v>0</v>
      </c>
      <c r="N35" s="26">
        <f t="shared" ca="1" si="7"/>
        <v>0</v>
      </c>
      <c r="O35" s="26">
        <f t="shared" ref="O35:O40" ca="1" si="8">IFERROR((U35+V35)/$E35,"")</f>
        <v>0</v>
      </c>
      <c r="T35" s="24">
        <f t="array" aca="1" ref="T35" ca="1">IFERROR(COUNT(IF((EBITDAind="E")*(EBITDAcr=$C35)*(EBITDAqtrlyvalues&lt;50),EBITDAqtrlyvalues)),"")</f>
        <v>87</v>
      </c>
      <c r="U35" s="24">
        <f t="shared" ref="U35:U40" ca="1" si="9">E35-T35-V35</f>
        <v>0</v>
      </c>
      <c r="V35" s="24">
        <f t="array" aca="1" ref="V35" ca="1">IFERROR(COUNT(IF((EBITDAind="E")*(EBITDAcr=$C35)*(EBITDAqtrlyvalues&gt;55),EBITDAqtrlyvalues)),"")</f>
        <v>0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IFERROR(COUNT(IF((EBITDAind="E")*(EBITDAcr=$C36)*(EBITDAqtrlyvalues&lt;&gt;"-"),EBITDAqtrlyvalues)),"")</f>
        <v>537</v>
      </c>
      <c r="F36" s="24"/>
      <c r="G36" s="25">
        <f t="array" aca="1" ref="G36" ca="1">IF(E36&gt;0,IFERROR(AVERAGE(IF((EBITDAind="E")*(EBITDAcr=$C36)*(EBITDAqtrlyvalues&lt;&gt;"-"),EBITDAqtrlyvalues)),"-"),"-")</f>
        <v>4.240335195530724</v>
      </c>
      <c r="H36" s="25">
        <f t="array" aca="1" ref="H36" ca="1">IF(E36&gt;0,IFERROR(MEDIAN(IF((EBITDAind="E")*(EBITDAcr=$C36)*(EBITDAqtrlyvalues&lt;&gt;"-"),EBITDAqtrlyvalues)),"-"),"-")</f>
        <v>3.68</v>
      </c>
      <c r="I36" s="25">
        <f t="array" aca="1" ref="I36" ca="1">IF(E36&gt;0,IFERROR(MAX(IF((EBITDAind="E")*(EBITDAcr=$C36)*(EBITDAqtrlyvalues&lt;&gt;"-"),EBITDAqtrlyvalues)),"-"),"-")</f>
        <v>132.80000000000001</v>
      </c>
      <c r="J36" s="25">
        <f t="array" aca="1" ref="J36" ca="1">IF(E36&gt;0,IFERROR(MIN(IF((EBITDAind="E")*(EBITDAcr=$C36)*(EBITDAqtrlyvalues&lt;&gt;"-"),EBITDAqtrlyvalues)),"-"),"-")</f>
        <v>-29.5</v>
      </c>
      <c r="K36" s="24"/>
      <c r="L36" s="26">
        <f t="shared" ca="1" si="7"/>
        <v>0.9981378026070763</v>
      </c>
      <c r="M36" s="26">
        <f t="shared" ca="1" si="7"/>
        <v>0</v>
      </c>
      <c r="N36" s="26">
        <f t="shared" ca="1" si="7"/>
        <v>1.8621973929236499E-3</v>
      </c>
      <c r="O36" s="26">
        <f t="shared" ca="1" si="8"/>
        <v>1.8621973929236499E-3</v>
      </c>
      <c r="T36" s="24">
        <f t="array" aca="1" ref="T36" ca="1">IFERROR(COUNT(IF((EBITDAind="E")*(EBITDAcr=$C36)*(EBITDAqtrlyvalues&lt;50),EBITDAqtrlyvalues)),"")</f>
        <v>536</v>
      </c>
      <c r="U36" s="24">
        <f t="shared" ca="1" si="9"/>
        <v>0</v>
      </c>
      <c r="V36" s="24">
        <f t="array" aca="1" ref="V36" ca="1">IFERROR(COUNT(IF((EBITDAind="E")*(EBITDAcr=$C36)*(EBITDAqtrlyvalues&gt;55),EBITDAqtrlyvalues)),"")</f>
        <v>1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IFERROR(COUNT(IF((EBITDAind="E")*(EBITDAcr=$C37)*(EBITDAqtrlyvalues&lt;&gt;"-"),EBITDAqtrlyvalues)),"")</f>
        <v>274</v>
      </c>
      <c r="F37" s="24"/>
      <c r="G37" s="25">
        <f t="array" aca="1" ref="G37" ca="1">IF(E37&gt;0,IFERROR(AVERAGE(IF((EBITDAind="E")*(EBITDAcr=$C37)*(EBITDAqtrlyvalues&lt;&gt;"-"),EBITDAqtrlyvalues)),"-"),"-")</f>
        <v>4.4368613138686133</v>
      </c>
      <c r="H37" s="25">
        <f t="array" aca="1" ref="H37" ca="1">IF(E37&gt;0,IFERROR(MEDIAN(IF((EBITDAind="E")*(EBITDAcr=$C37)*(EBITDAqtrlyvalues&lt;&gt;"-"),EBITDAqtrlyvalues)),"-"),"-")</f>
        <v>3.83</v>
      </c>
      <c r="I37" s="25">
        <f t="array" aca="1" ref="I37" ca="1">IF(E37&gt;0,IFERROR(MAX(IF((EBITDAind="E")*(EBITDAcr=$C37)*(EBITDAqtrlyvalues&lt;&gt;"-"),EBITDAqtrlyvalues)),"-"),"-")</f>
        <v>35</v>
      </c>
      <c r="J37" s="25">
        <f t="array" aca="1" ref="J37" ca="1">IF(E37&gt;0,IFERROR(MIN(IF((EBITDAind="E")*(EBITDAcr=$C37)*(EBITDAqtrlyvalues&lt;&gt;"-"),EBITDAqtrlyvalues)),"-"),"-")</f>
        <v>-50.3</v>
      </c>
      <c r="K37" s="24"/>
      <c r="L37" s="26">
        <f t="shared" ca="1" si="7"/>
        <v>1</v>
      </c>
      <c r="M37" s="26">
        <f t="shared" ca="1" si="7"/>
        <v>0</v>
      </c>
      <c r="N37" s="26">
        <f t="shared" ca="1" si="7"/>
        <v>0</v>
      </c>
      <c r="O37" s="26">
        <f t="shared" ca="1" si="8"/>
        <v>0</v>
      </c>
      <c r="T37" s="24">
        <f t="array" aca="1" ref="T37" ca="1">IFERROR(COUNT(IF((EBITDAind="E")*(EBITDAcr=$C37)*(EBITDAqtrlyvalues&lt;50),EBITDAqtrlyvalues)),"")</f>
        <v>274</v>
      </c>
      <c r="U37" s="24">
        <f t="shared" ca="1" si="9"/>
        <v>0</v>
      </c>
      <c r="V37" s="24">
        <f t="array" aca="1" ref="V37" ca="1">IFERROR(COUNT(IF((EBITDAind="E")*(EBITDAcr=$C37)*(EBITDAqtrlyvalues&gt;55),EBITDAqtrlyvalues)),"")</f>
        <v>0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IFERROR(COUNT(IF((EBITDAind="E")*(EBITDAcr=$C38)*(EBITDAqtrlyvalues&lt;&gt;"-"),EBITDAqtrlyvalues)),"")</f>
        <v>96</v>
      </c>
      <c r="F38" s="24"/>
      <c r="G38" s="25">
        <f t="array" aca="1" ref="G38" ca="1">IF(E38&gt;0,IFERROR(AVERAGE(IF((EBITDAind="E")*(EBITDAcr=$C38)*(EBITDAqtrlyvalues&lt;&gt;"-"),EBITDAqtrlyvalues)),"-"),"-")</f>
        <v>1.7753124999999998</v>
      </c>
      <c r="H38" s="25">
        <f t="array" aca="1" ref="H38" ca="1">IF(E38&gt;0,IFERROR(MEDIAN(IF((EBITDAind="E")*(EBITDAcr=$C38)*(EBITDAqtrlyvalues&lt;&gt;"-"),EBITDAqtrlyvalues)),"-"),"-")</f>
        <v>4.1150000000000002</v>
      </c>
      <c r="I38" s="25">
        <f t="array" aca="1" ref="I38" ca="1">IF(E38&gt;0,IFERROR(MAX(IF((EBITDAind="E")*(EBITDAcr=$C38)*(EBITDAqtrlyvalues&lt;&gt;"-"),EBITDAqtrlyvalues)),"-"),"-")</f>
        <v>9.76</v>
      </c>
      <c r="J38" s="25">
        <f t="array" aca="1" ref="J38" ca="1">IF(E38&gt;0,IFERROR(MIN(IF((EBITDAind="E")*(EBITDAcr=$C38)*(EBITDAqtrlyvalues&lt;&gt;"-"),EBITDAqtrlyvalues)),"-"),"-")</f>
        <v>-237.3</v>
      </c>
      <c r="K38" s="24"/>
      <c r="L38" s="26">
        <f t="shared" ca="1" si="7"/>
        <v>1</v>
      </c>
      <c r="M38" s="26">
        <f t="shared" ca="1" si="7"/>
        <v>0</v>
      </c>
      <c r="N38" s="26">
        <f t="shared" ca="1" si="7"/>
        <v>0</v>
      </c>
      <c r="O38" s="26">
        <f t="shared" ca="1" si="8"/>
        <v>0</v>
      </c>
      <c r="T38" s="24">
        <f t="array" aca="1" ref="T38" ca="1">IFERROR(COUNT(IF((EBITDAind="E")*(EBITDAcr=$C38)*(EBITDAqtrlyvalues&lt;50),EBITDAqtrlyvalues)),"")</f>
        <v>96</v>
      </c>
      <c r="U38" s="24">
        <f t="shared" ca="1" si="9"/>
        <v>0</v>
      </c>
      <c r="V38" s="24">
        <f t="array" aca="1" ref="V38" ca="1">IFERROR(COUNT(IF((EBITDAind="E")*(EBITDAcr=$C38)*(EBITDAqtrlyvalues&gt;55),EBITDAqtrlyvalues)),"")</f>
        <v>0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IFERROR(COUNT(IF((EBITDAind="E")*(EBITDAcr=$C39)*(EBITDAqtrlyvalues&lt;&gt;"-"),EBITDAqtrlyvalues)),"")</f>
        <v>118</v>
      </c>
      <c r="F39" s="24"/>
      <c r="G39" s="25">
        <f t="array" aca="1" ref="G39" ca="1">IF(E39&gt;0,IFERROR(AVERAGE(IF((EBITDAind="E")*(EBITDAcr=$C39)*(EBITDAqtrlyvalues&lt;&gt;"-"),EBITDAqtrlyvalues)),"-"),"-")</f>
        <v>5.0646610169491524</v>
      </c>
      <c r="H39" s="25">
        <f t="array" aca="1" ref="H39" ca="1">IF(E39&gt;0,IFERROR(MEDIAN(IF((EBITDAind="E")*(EBITDAcr=$C39)*(EBITDAqtrlyvalues&lt;&gt;"-"),EBITDAqtrlyvalues)),"-"),"-")</f>
        <v>3.8200000000000003</v>
      </c>
      <c r="I39" s="25">
        <f t="array" aca="1" ref="I39" ca="1">IF(E39&gt;0,IFERROR(MAX(IF((EBITDAind="E")*(EBITDAcr=$C39)*(EBITDAqtrlyvalues&lt;&gt;"-"),EBITDAqtrlyvalues)),"-"),"-")</f>
        <v>44.4</v>
      </c>
      <c r="J39" s="25">
        <f t="array" aca="1" ref="J39" ca="1">IF(E39&gt;0,IFERROR(MIN(IF((EBITDAind="E")*(EBITDAcr=$C39)*(EBITDAqtrlyvalues&lt;&gt;"-"),EBITDAqtrlyvalues)),"-"),"-")</f>
        <v>1.58</v>
      </c>
      <c r="K39" s="24"/>
      <c r="L39" s="26">
        <f t="shared" ca="1" si="7"/>
        <v>1</v>
      </c>
      <c r="M39" s="26">
        <f t="shared" ca="1" si="7"/>
        <v>0</v>
      </c>
      <c r="N39" s="26">
        <f t="shared" ca="1" si="7"/>
        <v>0</v>
      </c>
      <c r="O39" s="26">
        <f t="shared" ca="1" si="8"/>
        <v>0</v>
      </c>
      <c r="T39" s="24">
        <f t="array" aca="1" ref="T39" ca="1">IFERROR(COUNT(IF((EBITDAind="E")*(EBITDAcr=$C39)*(EBITDAqtrlyvalues&lt;50),EBITDAqtrlyvalues)),"")</f>
        <v>118</v>
      </c>
      <c r="U39" s="24">
        <f t="shared" ca="1" si="9"/>
        <v>0</v>
      </c>
      <c r="V39" s="24">
        <f t="array" aca="1" ref="V39" ca="1">IFERROR(COUNT(IF((EBITDAind="E")*(EBITDAcr=$C39)*(EBITDAqtrlyvalues&gt;55),EBITDAqtrlyvalues)),"")</f>
        <v>0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IFERROR(COUNT(IF((EBITDAind="E")*(EBITDAcr=$C40)*(EBITDAqtrlyvalues&lt;&gt;"-"),EBITDAqtrlyvalues)),"")</f>
        <v>0</v>
      </c>
      <c r="F40" s="24"/>
      <c r="G40" s="25" t="str">
        <f t="array" aca="1" ref="G40" ca="1">IF(E40&gt;0,IFERROR(AVERAGE(IF((EBITDAind="E")*(EBITDAcr=$C40)*(EBITDAqtrlyvalues&lt;&gt;"-"),EBITDAqtrlyvalues)),"-"),"-")</f>
        <v>-</v>
      </c>
      <c r="H40" s="25" t="str">
        <f t="array" aca="1" ref="H40" ca="1">IF(E40&gt;0,IFERROR(MEDIAN(IF((EBITDAind="E")*(EBITDAcr=$C40)*(EBITDAqtrlyvalues&lt;&gt;"-"),EBITDAqtrlyvalues)),"-"),"-")</f>
        <v>-</v>
      </c>
      <c r="I40" s="25" t="str">
        <f t="array" aca="1" ref="I40" ca="1">IF(E40&gt;0,IFERROR(MAX(IF((EBITDAind="E")*(EBITDAcr=$C40)*(EBITDAqtrlyvalues&lt;&gt;"-"),EBITDAqtrlyvalues)),"-"),"-")</f>
        <v>-</v>
      </c>
      <c r="J40" s="25" t="str">
        <f t="array" aca="1" ref="J40" ca="1">IF(E40&gt;0,IFERROR(MIN(IF((EBITDAind="E")*(EBITDAcr=$C40)*(EBITDAqtrlyvalues&lt;&gt;"-"),EBITDAqtrlyvalues)),"-"),"-")</f>
        <v>-</v>
      </c>
      <c r="K40" s="24"/>
      <c r="L40" s="26" t="str">
        <f t="shared" ca="1" si="7"/>
        <v/>
      </c>
      <c r="M40" s="26" t="str">
        <f t="shared" ca="1" si="7"/>
        <v/>
      </c>
      <c r="N40" s="26" t="str">
        <f t="shared" ca="1" si="7"/>
        <v/>
      </c>
      <c r="O40" s="26" t="str">
        <f t="shared" ca="1" si="8"/>
        <v/>
      </c>
      <c r="T40" s="24">
        <f t="array" aca="1" ref="T40" ca="1">IFERROR(COUNT(IF((EBITDAind="E")*(EBITDAcr=$C40)*(EBITDAqtrlyvalues&lt;50),EBITDAqtrlyvalues)),"")</f>
        <v>0</v>
      </c>
      <c r="U40" s="24">
        <f t="shared" ca="1" si="9"/>
        <v>0</v>
      </c>
      <c r="V40" s="24">
        <f t="array" aca="1" ref="V40" ca="1">IFERROR(COUNT(IF((EBITDAind="E")*(EBITDAcr=$C40)*(EBITDAqtrlyvalues&gt;55),EBITDAqtrlyvalues)),"")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1124</v>
      </c>
      <c r="F43" s="6"/>
      <c r="K43" s="4"/>
      <c r="T43" s="4">
        <f ca="1">SUM(T33:T40)</f>
        <v>1123</v>
      </c>
      <c r="U43" s="4">
        <f ca="1">SUM(U33:U40)</f>
        <v>0</v>
      </c>
      <c r="V43" s="4">
        <f ca="1">SUM(V33:V40)</f>
        <v>1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3.646760138491032</v>
      </c>
      <c r="H44" s="33">
        <f ca="1">AVERAGE(H$33:H$40)</f>
        <v>3.5991666666666666</v>
      </c>
      <c r="I44" s="33">
        <f ca="1">AVERAGE(I$33:I$40)</f>
        <v>40.18833333333334</v>
      </c>
      <c r="J44" s="33">
        <f ca="1">AVERAGE(J$33:J$40)</f>
        <v>-51.966666666666669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tr">
        <f>'Debt to EBITDA Ratio Elec Gas'!$C$49</f>
        <v>S&amp;P Capital IQ, downloaded October 17, 2017.</v>
      </c>
    </row>
  </sheetData>
  <mergeCells count="12">
    <mergeCell ref="A1:N1"/>
    <mergeCell ref="A4:N4"/>
    <mergeCell ref="A5:N5"/>
    <mergeCell ref="A8:N8"/>
    <mergeCell ref="G9:H9"/>
    <mergeCell ref="J9:K9"/>
    <mergeCell ref="L9:N9"/>
    <mergeCell ref="T9:V9"/>
    <mergeCell ref="A28:N28"/>
    <mergeCell ref="G29:H29"/>
    <mergeCell ref="J29:K29"/>
    <mergeCell ref="L29:N29"/>
  </mergeCells>
  <printOptions horizontalCentered="1"/>
  <pageMargins left="0.7" right="0.7" top="1" bottom="0.75" header="0.55000000000000004" footer="0.51"/>
  <pageSetup scale="81" orientation="portrait" r:id="rId1"/>
  <headerFooter>
    <oddHeader>&amp;R&amp;13Exhibit MPG-2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zoomScale="80" zoomScaleNormal="80" workbookViewId="0">
      <selection sqref="A1:N1"/>
    </sheetView>
  </sheetViews>
  <sheetFormatPr defaultRowHeight="14.25"/>
  <cols>
    <col min="2" max="2" width="1.75" customWidth="1"/>
    <col min="4" max="4" width="1.75" customWidth="1"/>
    <col min="6" max="6" width="1.75" customWidth="1"/>
    <col min="11" max="11" width="1.75" customWidth="1"/>
    <col min="12" max="14" width="11.375" customWidth="1"/>
    <col min="16" max="19" width="2.75" customWidth="1"/>
    <col min="20" max="22" width="9.75" customWidth="1"/>
  </cols>
  <sheetData>
    <row r="1" spans="1:22" ht="27.75">
      <c r="A1" s="69" t="str">
        <f>'Debt Ratio Electric and Gas'!$A$1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22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</row>
    <row r="4" spans="1:22" ht="20.25">
      <c r="A4" s="70" t="s">
        <v>658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2" ht="18">
      <c r="A5" s="71" t="s">
        <v>589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8" spans="1:22" ht="15">
      <c r="A8" s="72" t="str">
        <f>'Debt to EBITDA Ratio Elec Gas'!A8:N8</f>
        <v>12 Quarter Average - %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2" ht="15">
      <c r="A9" s="9"/>
      <c r="B9" s="9"/>
      <c r="C9" s="9"/>
      <c r="D9" s="10"/>
      <c r="E9" s="9"/>
      <c r="G9" s="73"/>
      <c r="H9" s="73"/>
      <c r="I9" s="43"/>
      <c r="J9" s="74"/>
      <c r="K9" s="74"/>
      <c r="L9" s="75" t="s">
        <v>590</v>
      </c>
      <c r="M9" s="75"/>
      <c r="N9" s="75"/>
      <c r="O9" s="12"/>
      <c r="T9" s="76" t="s">
        <v>591</v>
      </c>
      <c r="U9" s="76"/>
      <c r="V9" s="76"/>
    </row>
    <row r="10" spans="1:22" ht="15">
      <c r="A10" s="13" t="s">
        <v>592</v>
      </c>
      <c r="B10" s="13"/>
      <c r="C10" s="14" t="s">
        <v>1</v>
      </c>
      <c r="D10" s="13"/>
      <c r="E10" s="13" t="s">
        <v>546</v>
      </c>
      <c r="G10" s="15" t="s">
        <v>593</v>
      </c>
      <c r="H10" s="15" t="s">
        <v>594</v>
      </c>
      <c r="I10" s="15" t="s">
        <v>595</v>
      </c>
      <c r="J10" s="15" t="s">
        <v>596</v>
      </c>
      <c r="K10" s="15"/>
      <c r="L10" s="15" t="s">
        <v>597</v>
      </c>
      <c r="M10" s="15" t="s">
        <v>598</v>
      </c>
      <c r="N10" s="15" t="s">
        <v>599</v>
      </c>
      <c r="O10" s="15" t="s">
        <v>600</v>
      </c>
      <c r="T10" s="15" t="s">
        <v>597</v>
      </c>
      <c r="U10" s="15" t="s">
        <v>598</v>
      </c>
      <c r="V10" s="15" t="s">
        <v>599</v>
      </c>
    </row>
    <row r="11" spans="1:22" ht="15">
      <c r="A11" s="16"/>
      <c r="B11" s="16"/>
      <c r="C11" s="16"/>
      <c r="D11" s="16"/>
      <c r="E11" s="38">
        <v>-1</v>
      </c>
      <c r="G11" s="38">
        <v>-2</v>
      </c>
      <c r="H11" s="38">
        <v>-3</v>
      </c>
      <c r="I11" s="38">
        <v>-4</v>
      </c>
      <c r="J11" s="38">
        <v>-5</v>
      </c>
      <c r="K11" s="17"/>
      <c r="L11" s="38">
        <v>-6</v>
      </c>
      <c r="M11" s="38">
        <v>-7</v>
      </c>
      <c r="N11" s="38">
        <v>-8</v>
      </c>
      <c r="O11" s="38">
        <v>-9</v>
      </c>
      <c r="T11" s="38">
        <v>-10</v>
      </c>
      <c r="U11" s="38">
        <v>-11</v>
      </c>
      <c r="V11" s="38">
        <v>-12</v>
      </c>
    </row>
    <row r="12" spans="1:22" ht="15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T12" s="21"/>
      <c r="U12" s="21"/>
      <c r="V12" s="21"/>
    </row>
    <row r="13" spans="1:22">
      <c r="A13" s="1">
        <f>MAX($A$11:A12)+1</f>
        <v>1</v>
      </c>
      <c r="C13" s="1" t="s">
        <v>6</v>
      </c>
      <c r="D13" s="22"/>
      <c r="E13" s="23">
        <f t="array" aca="1" ref="E13" ca="1">IFERROR(COUNT(IF((EBITDAind="G")*(EBITDAcr=$C13)*(EBITDAqtrlyavg&lt;&gt;"N/A"),EBITDAqtrlyavg)),"")</f>
        <v>0</v>
      </c>
      <c r="F13" s="24"/>
      <c r="G13" s="25" t="str">
        <f t="array" aca="1" ref="G13" ca="1">IF(E13&gt;0,IFERROR(AVERAGE(IF((EBITDAind="G")*(EBITDAcr=$C13)*(EBITDAqtrlyavg&lt;&gt;"N/A"),EBITDAqtrlyavg)),"-"),"-")</f>
        <v>-</v>
      </c>
      <c r="H13" s="25" t="str">
        <f t="array" aca="1" ref="H13" ca="1">IF(E13&gt;0,IFERROR(MEDIAN(IF((EBITDAind="G")*(EBITDAcr=$C13)*(EBITDAqtrlyavg&lt;&gt;"N/A"),EBITDAqtrlyavg)),"-"),"-")</f>
        <v>-</v>
      </c>
      <c r="I13" s="25" t="str">
        <f t="array" aca="1" ref="I13" ca="1">IF(E13&gt;0,IFERROR(MAX(IF((EBITDAind="G")*(EBITDAcr=$C13)*(EBITDAqtrlyavg&lt;&gt;"N/A"),EBITDAqtrlyavg)),"-"),"-")</f>
        <v>-</v>
      </c>
      <c r="J13" s="25" t="str">
        <f t="array" aca="1" ref="J13" ca="1">IF(E13&gt;0,IFERROR(MIN(IF((EBITDAind="G")*(EBITDAcr=$C13)*(EBITDAqtrlyavg&lt;&gt;"N/A"),EBITDAqtrlyavg)),"-"),"-")</f>
        <v>-</v>
      </c>
      <c r="K13" s="24"/>
      <c r="L13" s="26" t="str">
        <f t="shared" ref="L13:N14" ca="1" si="0">IFERROR(T13/$E13,"")</f>
        <v/>
      </c>
      <c r="M13" s="26" t="str">
        <f t="shared" ca="1" si="0"/>
        <v/>
      </c>
      <c r="N13" s="26" t="str">
        <f t="shared" ca="1" si="0"/>
        <v/>
      </c>
      <c r="O13" s="26" t="str">
        <f ca="1">IFERROR((U13+V13)/$E13,"")</f>
        <v/>
      </c>
      <c r="T13" s="24">
        <f t="shared" ref="T13:T20" ca="1" si="1">COUNTIFS(EBITDAind,"G",EBITDAcr,$C13,EBITDAqtrlyavg,"&lt;50")</f>
        <v>0</v>
      </c>
      <c r="U13" s="24">
        <f t="shared" ref="U13:U20" ca="1" si="2">COUNTIFS(EBITDAind,"G",EBITDAcr,$C13,EBITDAqtrlyavg,"&gt;=50",EBITDAqtrlyavg,"&lt;=55")</f>
        <v>0</v>
      </c>
      <c r="V13" s="24">
        <f t="shared" ref="V13:V20" ca="1" si="3">COUNTIFS(EBITDAind,"G",EBITDAcr,$C13,EBITDAqtrlyavg,"&gt;55")</f>
        <v>0</v>
      </c>
    </row>
    <row r="14" spans="1:22">
      <c r="A14" s="1">
        <f>MAX($A$11:A13)+1</f>
        <v>2</v>
      </c>
      <c r="C14" s="1" t="s">
        <v>7</v>
      </c>
      <c r="D14" s="22"/>
      <c r="E14" s="23">
        <f t="array" aca="1" ref="E14" ca="1">IFERROR(COUNT(IF((EBITDAind="G")*(EBITDAcr=$C14)*(EBITDAqtrlyavg&lt;&gt;"N/A"),EBITDAqtrlyavg)),"")</f>
        <v>1</v>
      </c>
      <c r="F14" s="24"/>
      <c r="G14" s="25">
        <f t="array" aca="1" ref="G14" ca="1">IF(E14&gt;0,IFERROR(AVERAGE(IF((EBITDAind="G")*(EBITDAcr=$C14)*(EBITDAqtrlyavg&lt;&gt;"N/A"),EBITDAqtrlyavg)),"-"),"-")</f>
        <v>5.336666666666666</v>
      </c>
      <c r="H14" s="25">
        <f t="array" aca="1" ref="H14" ca="1">IF(E14&gt;0,IFERROR(MEDIAN(IF((EBITDAind="G")*(EBITDAcr=$C14)*(EBITDAqtrlyavg&lt;&gt;"N/A"),EBITDAqtrlyavg)),"-"),"-")</f>
        <v>5.336666666666666</v>
      </c>
      <c r="I14" s="25">
        <f t="array" aca="1" ref="I14" ca="1">IF(E14&gt;0,IFERROR(MAX(IF((EBITDAind="G")*(EBITDAcr=$C14)*(EBITDAqtrlyavg&lt;&gt;"N/A"),EBITDAqtrlyavg)),"-"),"-")</f>
        <v>5.336666666666666</v>
      </c>
      <c r="J14" s="25">
        <f t="array" aca="1" ref="J14" ca="1">IF(E14&gt;0,IFERROR(MIN(IF((EBITDAind="G")*(EBITDAcr=$C14)*(EBITDAqtrlyavg&lt;&gt;"N/A"),EBITDAqtrlyavg)),"-"),"-")</f>
        <v>5.336666666666666</v>
      </c>
      <c r="K14" s="24"/>
      <c r="L14" s="26">
        <f t="shared" ca="1" si="0"/>
        <v>1</v>
      </c>
      <c r="M14" s="26">
        <f t="shared" ca="1" si="0"/>
        <v>0</v>
      </c>
      <c r="N14" s="26">
        <f t="shared" ca="1" si="0"/>
        <v>0</v>
      </c>
      <c r="O14" s="26">
        <f ca="1">IFERROR((U14+V14)/$E14,"")</f>
        <v>0</v>
      </c>
      <c r="T14" s="24">
        <f t="shared" ca="1" si="1"/>
        <v>1</v>
      </c>
      <c r="U14" s="24">
        <f t="shared" ca="1" si="2"/>
        <v>0</v>
      </c>
      <c r="V14" s="24">
        <f t="shared" ca="1" si="3"/>
        <v>0</v>
      </c>
    </row>
    <row r="15" spans="1:22">
      <c r="A15" s="1">
        <f>MAX($A$11:A14)+1</f>
        <v>3</v>
      </c>
      <c r="C15" s="1" t="s">
        <v>8</v>
      </c>
      <c r="D15" s="22"/>
      <c r="E15" s="23">
        <f t="array" aca="1" ref="E15" ca="1">IFERROR(COUNT(IF((EBITDAind="G")*(EBITDAcr=$C15)*(EBITDAqtrlyavg&lt;&gt;"N/A"),EBITDAqtrlyavg)),"")</f>
        <v>4</v>
      </c>
      <c r="F15" s="24"/>
      <c r="G15" s="25">
        <f t="array" aca="1" ref="G15" ca="1">IF(E15&gt;0,IFERROR(AVERAGE(IF((EBITDAind="G")*(EBITDAcr=$C15)*(EBITDAqtrlyavg&lt;&gt;"N/A"),EBITDAqtrlyavg)),"-"),"-")</f>
        <v>5.6118750000000004</v>
      </c>
      <c r="H15" s="25">
        <f t="array" aca="1" ref="H15" ca="1">IF(E15&gt;0,IFERROR(MEDIAN(IF((EBITDAind="G")*(EBITDAcr=$C15)*(EBITDAqtrlyavg&lt;&gt;"N/A"),EBITDAqtrlyavg)),"-"),"-")</f>
        <v>4.8641666666666667</v>
      </c>
      <c r="I15" s="25">
        <f t="array" aca="1" ref="I15" ca="1">IF(E15&gt;0,IFERROR(MAX(IF((EBITDAind="G")*(EBITDAcr=$C15)*(EBITDAqtrlyavg&lt;&gt;"N/A"),EBITDAqtrlyavg)),"-"),"-")</f>
        <v>9.3899999999999988</v>
      </c>
      <c r="J15" s="25">
        <f t="array" aca="1" ref="J15" ca="1">IF(E15&gt;0,IFERROR(MIN(IF((EBITDAind="G")*(EBITDAcr=$C15)*(EBITDAqtrlyavg&lt;&gt;"N/A"),EBITDAqtrlyavg)),"-"),"-")</f>
        <v>3.3291666666666671</v>
      </c>
      <c r="K15" s="24"/>
      <c r="L15" s="26">
        <f t="shared" ref="L15:N20" ca="1" si="4">IFERROR(T15/$E15,"")</f>
        <v>1</v>
      </c>
      <c r="M15" s="26">
        <f t="shared" ca="1" si="4"/>
        <v>0</v>
      </c>
      <c r="N15" s="26">
        <f t="shared" ca="1" si="4"/>
        <v>0</v>
      </c>
      <c r="O15" s="26">
        <f t="shared" ref="O15:O20" ca="1" si="5">IFERROR((U15+V15)/$E15,"")</f>
        <v>0</v>
      </c>
      <c r="T15" s="24">
        <f t="shared" ca="1" si="1"/>
        <v>4</v>
      </c>
      <c r="U15" s="24">
        <f t="shared" ca="1" si="2"/>
        <v>0</v>
      </c>
      <c r="V15" s="24">
        <f t="shared" ca="1" si="3"/>
        <v>0</v>
      </c>
    </row>
    <row r="16" spans="1:22">
      <c r="A16" s="1">
        <f>MAX($A$11:A15)+1</f>
        <v>4</v>
      </c>
      <c r="C16" s="1" t="s">
        <v>9</v>
      </c>
      <c r="D16" s="22"/>
      <c r="E16" s="23">
        <f t="array" aca="1" ref="E16" ca="1">IFERROR(COUNT(IF((EBITDAind="G")*(EBITDAcr=$C16)*(EBITDAqtrlyavg&lt;&gt;"N/A"),EBITDAqtrlyavg)),"")</f>
        <v>2</v>
      </c>
      <c r="F16" s="24"/>
      <c r="G16" s="25">
        <f t="array" aca="1" ref="G16" ca="1">IF(E16&gt;0,IFERROR(AVERAGE(IF((EBITDAind="G")*(EBITDAcr=$C16)*(EBITDAqtrlyavg&lt;&gt;"N/A"),EBITDAqtrlyavg)),"-"),"-")</f>
        <v>9.4301249999999985</v>
      </c>
      <c r="H16" s="25">
        <f t="array" aca="1" ref="H16" ca="1">IF(E16&gt;0,IFERROR(MEDIAN(IF((EBITDAind="G")*(EBITDAcr=$C16)*(EBITDAqtrlyavg&lt;&gt;"N/A"),EBITDAqtrlyavg)),"-"),"-")</f>
        <v>9.4301249999999968</v>
      </c>
      <c r="I16" s="25">
        <f t="array" aca="1" ref="I16" ca="1">IF(E16&gt;0,IFERROR(MAX(IF((EBITDAind="G")*(EBITDAcr=$C16)*(EBITDAqtrlyavg&lt;&gt;"N/A"),EBITDAqtrlyavg)),"-"),"-")</f>
        <v>14.341916666666663</v>
      </c>
      <c r="J16" s="25">
        <f t="array" aca="1" ref="J16" ca="1">IF(E16&gt;0,IFERROR(MIN(IF((EBITDAind="G")*(EBITDAcr=$C16)*(EBITDAqtrlyavg&lt;&gt;"N/A"),EBITDAqtrlyavg)),"-"),"-")</f>
        <v>4.5183333333333335</v>
      </c>
      <c r="K16" s="24"/>
      <c r="L16" s="26">
        <f t="shared" ca="1" si="4"/>
        <v>1</v>
      </c>
      <c r="M16" s="26">
        <f t="shared" ca="1" si="4"/>
        <v>0</v>
      </c>
      <c r="N16" s="26">
        <f t="shared" ca="1" si="4"/>
        <v>0</v>
      </c>
      <c r="O16" s="26">
        <f t="shared" ca="1" si="5"/>
        <v>0</v>
      </c>
      <c r="T16" s="24">
        <f t="shared" ca="1" si="1"/>
        <v>2</v>
      </c>
      <c r="U16" s="24">
        <f t="shared" ca="1" si="2"/>
        <v>0</v>
      </c>
      <c r="V16" s="24">
        <f t="shared" ca="1" si="3"/>
        <v>0</v>
      </c>
    </row>
    <row r="17" spans="1:22">
      <c r="A17" s="1">
        <f>MAX($A$11:A16)+1</f>
        <v>5</v>
      </c>
      <c r="C17" s="1" t="s">
        <v>10</v>
      </c>
      <c r="D17" s="22"/>
      <c r="E17" s="23">
        <f t="array" aca="1" ref="E17" ca="1">IFERROR(COUNT(IF((EBITDAind="G")*(EBITDAcr=$C17)*(EBITDAqtrlyavg&lt;&gt;"N/A"),EBITDAqtrlyavg)),"")</f>
        <v>4</v>
      </c>
      <c r="F17" s="24"/>
      <c r="G17" s="25">
        <f t="array" aca="1" ref="G17" ca="1">IF(E17&gt;0,IFERROR(AVERAGE(IF((EBITDAind="G")*(EBITDAcr=$C17)*(EBITDAqtrlyavg&lt;&gt;"N/A"),EBITDAqtrlyavg)),"-"),"-")</f>
        <v>5.359375</v>
      </c>
      <c r="H17" s="25">
        <f t="array" aca="1" ref="H17" ca="1">IF(E17&gt;0,IFERROR(MEDIAN(IF((EBITDAind="G")*(EBITDAcr=$C17)*(EBITDAqtrlyavg&lt;&gt;"N/A"),EBITDAqtrlyavg)),"-"),"-")</f>
        <v>5.2195833333333326</v>
      </c>
      <c r="I17" s="25">
        <f t="array" aca="1" ref="I17" ca="1">IF(E17&gt;0,IFERROR(MAX(IF((EBITDAind="G")*(EBITDAcr=$C17)*(EBITDAqtrlyavg&lt;&gt;"N/A"),EBITDAqtrlyavg)),"-"),"-")</f>
        <v>8.0233333333333334</v>
      </c>
      <c r="J17" s="25">
        <f t="array" aca="1" ref="J17" ca="1">IF(E17&gt;0,IFERROR(MIN(IF((EBITDAind="G")*(EBITDAcr=$C17)*(EBITDAqtrlyavg&lt;&gt;"N/A"),EBITDAqtrlyavg)),"-"),"-")</f>
        <v>2.9750000000000001</v>
      </c>
      <c r="K17" s="24"/>
      <c r="L17" s="26">
        <f t="shared" ca="1" si="4"/>
        <v>1</v>
      </c>
      <c r="M17" s="26">
        <f t="shared" ca="1" si="4"/>
        <v>0</v>
      </c>
      <c r="N17" s="26">
        <f t="shared" ca="1" si="4"/>
        <v>0</v>
      </c>
      <c r="O17" s="26">
        <f t="shared" ca="1" si="5"/>
        <v>0</v>
      </c>
      <c r="T17" s="24">
        <f t="shared" ca="1" si="1"/>
        <v>4</v>
      </c>
      <c r="U17" s="24">
        <f t="shared" ca="1" si="2"/>
        <v>0</v>
      </c>
      <c r="V17" s="24">
        <f t="shared" ca="1" si="3"/>
        <v>0</v>
      </c>
    </row>
    <row r="18" spans="1:22">
      <c r="A18" s="1">
        <f>MAX($A$11:A17)+1</f>
        <v>6</v>
      </c>
      <c r="C18" s="1" t="s">
        <v>11</v>
      </c>
      <c r="D18" s="22"/>
      <c r="E18" s="23">
        <f t="array" aca="1" ref="E18" ca="1">IFERROR(COUNT(IF((EBITDAind="G")*(EBITDAcr=$C18)*(EBITDAqtrlyavg&lt;&gt;"N/A"),EBITDAqtrlyavg)),"")</f>
        <v>0</v>
      </c>
      <c r="F18" s="24"/>
      <c r="G18" s="25" t="str">
        <f t="array" aca="1" ref="G18" ca="1">IF(E18&gt;0,IFERROR(AVERAGE(IF((EBITDAind="G")*(EBITDAcr=$C18)*(EBITDAqtrlyavg&lt;&gt;"N/A"),EBITDAqtrlyavg)),"-"),"-")</f>
        <v>-</v>
      </c>
      <c r="H18" s="25" t="str">
        <f t="array" aca="1" ref="H18" ca="1">IF(E18&gt;0,IFERROR(MEDIAN(IF((EBITDAind="G")*(EBITDAcr=$C18)*(EBITDAqtrlyavg&lt;&gt;"N/A"),EBITDAqtrlyavg)),"-"),"-")</f>
        <v>-</v>
      </c>
      <c r="I18" s="25" t="str">
        <f t="array" aca="1" ref="I18" ca="1">IF(E18&gt;0,IFERROR(MAX(IF((EBITDAind="G")*(EBITDAcr=$C18)*(EBITDAqtrlyavg&lt;&gt;"N/A"),EBITDAqtrlyavg)),"-"),"-")</f>
        <v>-</v>
      </c>
      <c r="J18" s="25" t="str">
        <f t="array" aca="1" ref="J18" ca="1">IF(E18&gt;0,IFERROR(MIN(IF((EBITDAind="G")*(EBITDAcr=$C18)*(EBITDAqtrlyavg&lt;&gt;"N/A"),EBITDAqtrlyavg)),"-"),"-")</f>
        <v>-</v>
      </c>
      <c r="K18" s="24"/>
      <c r="L18" s="26" t="str">
        <f t="shared" ca="1" si="4"/>
        <v/>
      </c>
      <c r="M18" s="26" t="str">
        <f t="shared" ca="1" si="4"/>
        <v/>
      </c>
      <c r="N18" s="26" t="str">
        <f t="shared" ca="1" si="4"/>
        <v/>
      </c>
      <c r="O18" s="26" t="str">
        <f t="shared" ca="1" si="5"/>
        <v/>
      </c>
      <c r="T18" s="24">
        <f t="shared" ca="1" si="1"/>
        <v>0</v>
      </c>
      <c r="U18" s="24">
        <f t="shared" ca="1" si="2"/>
        <v>0</v>
      </c>
      <c r="V18" s="24">
        <f t="shared" ca="1" si="3"/>
        <v>0</v>
      </c>
    </row>
    <row r="19" spans="1:22">
      <c r="A19" s="1">
        <f>MAX($A$11:A18)+1</f>
        <v>7</v>
      </c>
      <c r="C19" s="1" t="s">
        <v>12</v>
      </c>
      <c r="D19" s="22"/>
      <c r="E19" s="23">
        <f t="array" aca="1" ref="E19" ca="1">IFERROR(COUNT(IF((EBITDAind="G")*(EBITDAcr=$C19)*(EBITDAqtrlyavg&lt;&gt;"N/A"),EBITDAqtrlyavg)),"")</f>
        <v>0</v>
      </c>
      <c r="F19" s="24"/>
      <c r="G19" s="25" t="str">
        <f t="array" aca="1" ref="G19" ca="1">IF(E19&gt;0,IFERROR(AVERAGE(IF((EBITDAind="G")*(EBITDAcr=$C19)*(EBITDAqtrlyavg&lt;&gt;"N/A"),EBITDAqtrlyavg)),"-"),"-")</f>
        <v>-</v>
      </c>
      <c r="H19" s="25" t="str">
        <f t="array" aca="1" ref="H19" ca="1">IF(E19&gt;0,IFERROR(MEDIAN(IF((EBITDAind="G")*(EBITDAcr=$C19)*(EBITDAqtrlyavg&lt;&gt;"N/A"),EBITDAqtrlyavg)),"-"),"-")</f>
        <v>-</v>
      </c>
      <c r="I19" s="25" t="str">
        <f t="array" aca="1" ref="I19" ca="1">IF(E19&gt;0,IFERROR(MAX(IF((EBITDAind="G")*(EBITDAcr=$C19)*(EBITDAqtrlyavg&lt;&gt;"N/A"),EBITDAqtrlyavg)),"-"),"-")</f>
        <v>-</v>
      </c>
      <c r="J19" s="25" t="str">
        <f t="array" aca="1" ref="J19" ca="1">IF(E19&gt;0,IFERROR(MIN(IF((EBITDAind="G")*(EBITDAcr=$C19)*(EBITDAqtrlyavg&lt;&gt;"N/A"),EBITDAqtrlyavg)),"-"),"-")</f>
        <v>-</v>
      </c>
      <c r="K19" s="24"/>
      <c r="L19" s="26" t="str">
        <f t="shared" ca="1" si="4"/>
        <v/>
      </c>
      <c r="M19" s="26" t="str">
        <f t="shared" ca="1" si="4"/>
        <v/>
      </c>
      <c r="N19" s="26" t="str">
        <f t="shared" ca="1" si="4"/>
        <v/>
      </c>
      <c r="O19" s="26" t="str">
        <f t="shared" ca="1" si="5"/>
        <v/>
      </c>
      <c r="T19" s="24">
        <f t="shared" ca="1" si="1"/>
        <v>0</v>
      </c>
      <c r="U19" s="24">
        <f t="shared" ca="1" si="2"/>
        <v>0</v>
      </c>
      <c r="V19" s="24">
        <f t="shared" ca="1" si="3"/>
        <v>0</v>
      </c>
    </row>
    <row r="20" spans="1:22">
      <c r="A20" s="1">
        <f>MAX($A$11:A19)+1</f>
        <v>8</v>
      </c>
      <c r="C20" s="1" t="s">
        <v>13</v>
      </c>
      <c r="D20" s="22"/>
      <c r="E20" s="23">
        <f t="array" aca="1" ref="E20" ca="1">IFERROR(COUNT(IF((EBITDAind="G")*(EBITDAcr=$C20)*(EBITDAqtrlyavg&lt;&gt;"N/A"),EBITDAqtrlyavg)),"")</f>
        <v>0</v>
      </c>
      <c r="F20" s="24"/>
      <c r="G20" s="25" t="str">
        <f t="array" aca="1" ref="G20" ca="1">IF(E20&gt;0,IFERROR(AVERAGE(IF((EBITDAind="G")*(EBITDAcr=$C20)*(EBITDAqtrlyavg&lt;&gt;"N/A"),EBITDAqtrlyavg)),"-"),"-")</f>
        <v>-</v>
      </c>
      <c r="H20" s="25" t="str">
        <f t="array" aca="1" ref="H20" ca="1">IF(E20&gt;0,IFERROR(MEDIAN(IF((EBITDAind="G")*(EBITDAcr=$C20)*(EBITDAqtrlyavg&lt;&gt;"N/A"),EBITDAqtrlyavg)),"-"),"-")</f>
        <v>-</v>
      </c>
      <c r="I20" s="25" t="str">
        <f t="array" aca="1" ref="I20" ca="1">IF(E20&gt;0,IFERROR(MAX(IF((EBITDAind="G")*(EBITDAcr=$C20)*(EBITDAqtrlyavg&lt;&gt;"N/A"),EBITDAqtrlyavg)),"-"),"-")</f>
        <v>-</v>
      </c>
      <c r="J20" s="25" t="str">
        <f t="array" aca="1" ref="J20" ca="1">IF(E20&gt;0,IFERROR(MIN(IF((EBITDAind="G")*(EBITDAcr=$C20)*(EBITDAqtrlyavg&lt;&gt;"N/A"),EBITDAqtrlyavg)),"-"),"-")</f>
        <v>-</v>
      </c>
      <c r="K20" s="24"/>
      <c r="L20" s="26" t="str">
        <f t="shared" ca="1" si="4"/>
        <v/>
      </c>
      <c r="M20" s="26" t="str">
        <f t="shared" ca="1" si="4"/>
        <v/>
      </c>
      <c r="N20" s="26" t="str">
        <f t="shared" ca="1" si="4"/>
        <v/>
      </c>
      <c r="O20" s="26" t="str">
        <f t="shared" ca="1" si="5"/>
        <v/>
      </c>
      <c r="T20" s="24">
        <f t="shared" ca="1" si="1"/>
        <v>0</v>
      </c>
      <c r="U20" s="24">
        <f t="shared" ca="1" si="2"/>
        <v>0</v>
      </c>
      <c r="V20" s="24">
        <f t="shared" ca="1" si="3"/>
        <v>0</v>
      </c>
    </row>
    <row r="21" spans="1:22">
      <c r="A21" s="1"/>
      <c r="C21" s="27"/>
      <c r="D21" s="22"/>
      <c r="E21" s="1"/>
      <c r="F21" s="24"/>
      <c r="G21" s="24"/>
      <c r="H21" s="24"/>
      <c r="I21" s="24"/>
      <c r="J21" s="24"/>
      <c r="K21" s="24"/>
      <c r="T21" s="24"/>
      <c r="U21" s="24"/>
      <c r="V21" s="24"/>
    </row>
    <row r="22" spans="1:22">
      <c r="A22" s="1"/>
      <c r="C22" s="27"/>
      <c r="D22" s="22"/>
      <c r="E22" s="1"/>
      <c r="F22" s="24"/>
      <c r="G22" s="24"/>
      <c r="H22" s="24"/>
      <c r="I22" s="24"/>
      <c r="J22" s="24"/>
      <c r="K22" s="24"/>
      <c r="T22" s="24"/>
      <c r="U22" s="24"/>
      <c r="V22" s="24"/>
    </row>
    <row r="23" spans="1:22" ht="15">
      <c r="A23" s="1">
        <f>MAX($A$11:A22)+1</f>
        <v>9</v>
      </c>
      <c r="C23" s="28" t="s">
        <v>547</v>
      </c>
      <c r="D23" s="6"/>
      <c r="E23" s="4">
        <f ca="1">SUM(E13:E20)</f>
        <v>11</v>
      </c>
      <c r="F23" s="6"/>
      <c r="K23" s="4"/>
      <c r="T23" s="4">
        <f ca="1">SUM(T13:T20)</f>
        <v>11</v>
      </c>
      <c r="U23" s="4">
        <f ca="1">SUM(U13:U20)</f>
        <v>0</v>
      </c>
      <c r="V23" s="4">
        <f ca="1">SUM(V13:V20)</f>
        <v>0</v>
      </c>
    </row>
    <row r="24" spans="1:22" ht="15">
      <c r="A24" s="1">
        <f>MAX($A$11:A23)+1</f>
        <v>10</v>
      </c>
      <c r="C24" s="29" t="s">
        <v>593</v>
      </c>
      <c r="D24" s="6"/>
      <c r="E24" s="4"/>
      <c r="F24" s="6"/>
      <c r="G24" s="30">
        <f ca="1">AVERAGE(G$13:G$20)</f>
        <v>6.4345104166666669</v>
      </c>
      <c r="H24" s="30">
        <f ca="1">AVERAGE(H$13:H$20)</f>
        <v>6.2126354166666653</v>
      </c>
      <c r="I24" s="30">
        <f ca="1">AVERAGE(I$13:I$20)</f>
        <v>9.2729791666666657</v>
      </c>
      <c r="J24" s="30">
        <f ca="1">AVERAGE(J$13:J$20)</f>
        <v>4.0397916666666669</v>
      </c>
      <c r="K24" s="30"/>
      <c r="L24" s="30"/>
      <c r="M24" s="30"/>
      <c r="N24" s="30"/>
    </row>
    <row r="25" spans="1:22" ht="15">
      <c r="A25" s="1"/>
      <c r="C25" s="31"/>
      <c r="D25" s="6"/>
      <c r="E25" s="4"/>
      <c r="F25" s="6"/>
      <c r="G25" s="6"/>
      <c r="H25" s="6"/>
      <c r="I25" s="6"/>
      <c r="J25" s="6"/>
      <c r="K25" s="6"/>
      <c r="L25" s="6"/>
      <c r="M25" s="6"/>
      <c r="N25" s="6"/>
    </row>
    <row r="26" spans="1:22" ht="15">
      <c r="A26" s="1"/>
      <c r="C26" s="31"/>
      <c r="D26" s="6"/>
      <c r="E26" s="4"/>
      <c r="F26" s="6"/>
      <c r="G26" s="6"/>
      <c r="H26" s="6"/>
      <c r="I26" s="6"/>
      <c r="J26" s="6"/>
      <c r="K26" s="6"/>
      <c r="L26" s="6"/>
      <c r="M26" s="6"/>
      <c r="N26" s="6"/>
    </row>
    <row r="27" spans="1:22" ht="15">
      <c r="A27" s="1"/>
      <c r="C27" s="31"/>
      <c r="D27" s="6"/>
      <c r="E27" s="4"/>
      <c r="F27" s="6"/>
      <c r="G27" s="6"/>
      <c r="H27" s="6"/>
      <c r="I27" s="6"/>
      <c r="J27" s="6"/>
      <c r="K27" s="6"/>
      <c r="L27" s="6"/>
      <c r="M27" s="6"/>
      <c r="N27" s="6"/>
    </row>
    <row r="28" spans="1:22" ht="15">
      <c r="A28" s="72" t="str">
        <f>'Debt to EBITDA Ratio Elec Gas'!A28</f>
        <v>Quarter Results -  2014Q3 through 2017Q2 - %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2" ht="15">
      <c r="A29" s="9"/>
      <c r="B29" s="9"/>
      <c r="C29" s="9"/>
      <c r="D29" s="10"/>
      <c r="E29" s="9"/>
      <c r="G29" s="73"/>
      <c r="H29" s="73"/>
      <c r="I29" s="43"/>
      <c r="J29" s="74"/>
      <c r="K29" s="74"/>
      <c r="L29" s="76" t="s">
        <v>601</v>
      </c>
      <c r="M29" s="76"/>
      <c r="N29" s="76"/>
      <c r="S29" s="12"/>
      <c r="T29" s="12" t="s">
        <v>601</v>
      </c>
      <c r="U29" s="12"/>
      <c r="V29" s="12"/>
    </row>
    <row r="30" spans="1:22" ht="15">
      <c r="A30" s="13" t="s">
        <v>592</v>
      </c>
      <c r="B30" s="13"/>
      <c r="C30" s="14" t="s">
        <v>1</v>
      </c>
      <c r="D30" s="13"/>
      <c r="E30" s="13" t="s">
        <v>546</v>
      </c>
      <c r="G30" s="15" t="s">
        <v>593</v>
      </c>
      <c r="H30" s="15" t="s">
        <v>594</v>
      </c>
      <c r="I30" s="15" t="s">
        <v>595</v>
      </c>
      <c r="J30" s="15" t="s">
        <v>596</v>
      </c>
      <c r="K30" s="15"/>
      <c r="L30" s="15" t="s">
        <v>597</v>
      </c>
      <c r="M30" s="15" t="s">
        <v>598</v>
      </c>
      <c r="N30" s="15" t="s">
        <v>599</v>
      </c>
      <c r="O30" s="15" t="s">
        <v>600</v>
      </c>
      <c r="T30" s="15" t="s">
        <v>597</v>
      </c>
      <c r="U30" s="15" t="s">
        <v>598</v>
      </c>
      <c r="V30" s="15" t="s">
        <v>599</v>
      </c>
    </row>
    <row r="31" spans="1:22" ht="15">
      <c r="A31" s="16"/>
      <c r="B31" s="16"/>
      <c r="C31" s="16"/>
      <c r="D31" s="16"/>
      <c r="E31" s="38">
        <v>-1</v>
      </c>
      <c r="G31" s="38">
        <v>-2</v>
      </c>
      <c r="H31" s="38">
        <v>-3</v>
      </c>
      <c r="I31" s="38">
        <v>-4</v>
      </c>
      <c r="J31" s="38">
        <v>-5</v>
      </c>
      <c r="K31" s="17"/>
      <c r="L31" s="38">
        <v>-6</v>
      </c>
      <c r="M31" s="38">
        <v>-7</v>
      </c>
      <c r="N31" s="38">
        <v>-8</v>
      </c>
      <c r="O31" s="38">
        <v>-9</v>
      </c>
      <c r="T31" s="38">
        <v>-10</v>
      </c>
      <c r="U31" s="38">
        <v>-11</v>
      </c>
      <c r="V31" s="38">
        <v>-12</v>
      </c>
    </row>
    <row r="32" spans="1:22" ht="15">
      <c r="A32" s="18"/>
      <c r="B32" s="19"/>
      <c r="C32" s="20"/>
      <c r="D32" s="19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32"/>
      <c r="R32" s="32"/>
      <c r="S32" s="32"/>
      <c r="T32" s="32"/>
    </row>
    <row r="33" spans="1:22">
      <c r="A33" s="1">
        <f>MAX($A$11:A32)+1</f>
        <v>11</v>
      </c>
      <c r="C33" s="1" t="s">
        <v>6</v>
      </c>
      <c r="D33" s="22"/>
      <c r="E33" s="24">
        <f t="array" aca="1" ref="E33" ca="1">IFERROR(COUNT(IF((EBITDAind="G")*(EBITDAcr=$C33)*(EBITDAqtrlyvalues&lt;&gt;"-"),EBITDAqtrlyvalues)),"")</f>
        <v>0</v>
      </c>
      <c r="F33" s="24"/>
      <c r="G33" s="25" t="str">
        <f t="array" aca="1" ref="G33" ca="1">IF(E33&gt;0,IFERROR(AVERAGE(IF((EBITDAind="G")*(EBITDAcr=$C33)*(EBITDAqtrlyvalues&lt;&gt;"-"),EBITDAqtrlyvalues)),"-"),"-")</f>
        <v>-</v>
      </c>
      <c r="H33" s="25" t="str">
        <f t="array" aca="1" ref="H33" ca="1">IF(E33&gt;0,IFERROR(MEDIAN(IF((EBITDAind="G")*(EBITDAcr=$C33)*(EBITDAqtrlyvalues&lt;&gt;"-"),EBITDAqtrlyvalues)),"-"),"-")</f>
        <v>-</v>
      </c>
      <c r="I33" s="25" t="str">
        <f t="array" aca="1" ref="I33" ca="1">IF(E33&gt;0,IFERROR(MAX(IF((EBITDAind="G")*(EBITDAcr=$C33)*(EBITDAqtrlyvalues&lt;&gt;"-"),EBITDAqtrlyvalues)),"-"),"-")</f>
        <v>-</v>
      </c>
      <c r="J33" s="25" t="str">
        <f t="array" aca="1" ref="J33" ca="1">IF(E33&gt;0,IFERROR(MIN(IF((EBITDAind="G")*(EBITDAcr=$C33)*(EBITDAqtrlyvalues&lt;&gt;"-"),EBITDAqtrlyvalues)),"-"),"-")</f>
        <v>-</v>
      </c>
      <c r="K33" s="24"/>
      <c r="L33" s="26" t="str">
        <f t="shared" ref="L33:N34" ca="1" si="6">IFERROR(T33/$E33,"")</f>
        <v/>
      </c>
      <c r="M33" s="26" t="str">
        <f t="shared" ca="1" si="6"/>
        <v/>
      </c>
      <c r="N33" s="26" t="str">
        <f t="shared" ca="1" si="6"/>
        <v/>
      </c>
      <c r="O33" s="26" t="str">
        <f ca="1">IFERROR((U33+V33)/$E33,"")</f>
        <v/>
      </c>
      <c r="T33" s="24">
        <f t="array" aca="1" ref="T33" ca="1">IFERROR(COUNT(IF((EBITDAind="G")*(EBITDAcr=$C33)*(EBITDAqtrlyvalues&lt;50),EBITDAqtrlyvalues)),"")</f>
        <v>0</v>
      </c>
      <c r="U33" s="24">
        <f t="shared" ref="U33:U40" ca="1" si="7">E33-T33-V33</f>
        <v>0</v>
      </c>
      <c r="V33" s="24">
        <f t="array" aca="1" ref="V33" ca="1">IFERROR(COUNT(IF((EBITDAind="G")*(EBITDAcr=$C33)*(EBITDAqtrlyvalues&gt;55),EBITDAqtrlyvalues)),"")</f>
        <v>0</v>
      </c>
    </row>
    <row r="34" spans="1:22">
      <c r="A34" s="1">
        <f>MAX($A$11:A33)+1</f>
        <v>12</v>
      </c>
      <c r="C34" s="1" t="s">
        <v>7</v>
      </c>
      <c r="D34" s="22"/>
      <c r="E34" s="24">
        <f t="array" aca="1" ref="E34" ca="1">IFERROR(COUNT(IF((EBITDAind="G")*(EBITDAcr=$C34)*(EBITDAqtrlyvalues&lt;&gt;"-"),EBITDAqtrlyvalues)),"")</f>
        <v>12</v>
      </c>
      <c r="F34" s="24"/>
      <c r="G34" s="25">
        <f t="array" aca="1" ref="G34" ca="1">IF(E34&gt;0,IFERROR(AVERAGE(IF((EBITDAind="G")*(EBITDAcr=$C34)*(EBITDAqtrlyvalues&lt;&gt;"-"),EBITDAqtrlyvalues)),"-"),"-")</f>
        <v>5.336666666666666</v>
      </c>
      <c r="H34" s="25">
        <f t="array" aca="1" ref="H34" ca="1">IF(E34&gt;0,IFERROR(MEDIAN(IF((EBITDAind="G")*(EBITDAcr=$C34)*(EBITDAqtrlyvalues&lt;&gt;"-"),EBITDAqtrlyvalues)),"-"),"-")</f>
        <v>4.2</v>
      </c>
      <c r="I34" s="25">
        <f t="array" aca="1" ref="I34" ca="1">IF(E34&gt;0,IFERROR(MAX(IF((EBITDAind="G")*(EBITDAcr=$C34)*(EBITDAqtrlyvalues&lt;&gt;"-"),EBITDAqtrlyvalues)),"-"),"-")</f>
        <v>11.2</v>
      </c>
      <c r="J34" s="25">
        <f t="array" aca="1" ref="J34" ca="1">IF(E34&gt;0,IFERROR(MIN(IF((EBITDAind="G")*(EBITDAcr=$C34)*(EBITDAqtrlyvalues&lt;&gt;"-"),EBITDAqtrlyvalues)),"-"),"-")</f>
        <v>2.0299999999999998</v>
      </c>
      <c r="K34" s="24"/>
      <c r="L34" s="26">
        <f t="shared" ca="1" si="6"/>
        <v>1</v>
      </c>
      <c r="M34" s="26">
        <f t="shared" ca="1" si="6"/>
        <v>0</v>
      </c>
      <c r="N34" s="26">
        <f t="shared" ca="1" si="6"/>
        <v>0</v>
      </c>
      <c r="O34" s="26">
        <f ca="1">IFERROR((U34+V34)/$E34,"")</f>
        <v>0</v>
      </c>
      <c r="T34" s="24">
        <f t="array" aca="1" ref="T34" ca="1">IFERROR(COUNT(IF((EBITDAind="G")*(EBITDAcr=$C34)*(EBITDAqtrlyvalues&lt;50),EBITDAqtrlyvalues)),"")</f>
        <v>12</v>
      </c>
      <c r="U34" s="24">
        <f t="shared" ref="U34" ca="1" si="8">E34-T34-V34</f>
        <v>0</v>
      </c>
      <c r="V34" s="24">
        <f t="array" aca="1" ref="V34" ca="1">IFERROR(COUNT(IF((EBITDAind="G")*(EBITDAcr=$C34)*(EBITDAqtrlyvalues&gt;55),EBITDAqtrlyvalues)),"")</f>
        <v>0</v>
      </c>
    </row>
    <row r="35" spans="1:22">
      <c r="A35" s="1">
        <f>MAX($A$11:A34)+1</f>
        <v>13</v>
      </c>
      <c r="C35" s="1" t="s">
        <v>8</v>
      </c>
      <c r="D35" s="22"/>
      <c r="E35" s="24">
        <f t="array" aca="1" ref="E35" ca="1">IFERROR(COUNT(IF((EBITDAind="G")*(EBITDAcr=$C35)*(EBITDAqtrlyvalues&lt;&gt;"-"),EBITDAqtrlyvalues)),"")</f>
        <v>47</v>
      </c>
      <c r="F35" s="24"/>
      <c r="G35" s="25">
        <f t="array" aca="1" ref="G35" ca="1">IF(E35&gt;0,IFERROR(AVERAGE(IF((EBITDAind="G")*(EBITDAcr=$C35)*(EBITDAqtrlyvalues&lt;&gt;"-"),EBITDAqtrlyvalues)),"-"),"-")</f>
        <v>5.5314893617021266</v>
      </c>
      <c r="H35" s="25">
        <f t="array" aca="1" ref="H35" ca="1">IF(E35&gt;0,IFERROR(MEDIAN(IF((EBITDAind="G")*(EBITDAcr=$C35)*(EBITDAqtrlyvalues&lt;&gt;"-"),EBITDAqtrlyvalues)),"-"),"-")</f>
        <v>3.06</v>
      </c>
      <c r="I35" s="25">
        <f t="array" aca="1" ref="I35" ca="1">IF(E35&gt;0,IFERROR(MAX(IF((EBITDAind="G")*(EBITDAcr=$C35)*(EBITDAqtrlyvalues&lt;&gt;"-"),EBITDAqtrlyvalues)),"-"),"-")</f>
        <v>27.8</v>
      </c>
      <c r="J35" s="25">
        <f t="array" aca="1" ref="J35" ca="1">IF(E35&gt;0,IFERROR(MIN(IF((EBITDAind="G")*(EBITDAcr=$C35)*(EBITDAqtrlyvalues&lt;&gt;"-"),EBITDAqtrlyvalues)),"-"),"-")</f>
        <v>1.3</v>
      </c>
      <c r="K35" s="24"/>
      <c r="L35" s="26">
        <f t="shared" ref="L35:N40" ca="1" si="9">IFERROR(T35/$E35,"")</f>
        <v>1</v>
      </c>
      <c r="M35" s="26">
        <f t="shared" ca="1" si="9"/>
        <v>0</v>
      </c>
      <c r="N35" s="26">
        <f t="shared" ca="1" si="9"/>
        <v>0</v>
      </c>
      <c r="O35" s="26">
        <f t="shared" ref="O35:O40" ca="1" si="10">IFERROR((U35+V35)/$E35,"")</f>
        <v>0</v>
      </c>
      <c r="T35" s="24">
        <f t="array" aca="1" ref="T35" ca="1">IFERROR(COUNT(IF((EBITDAind="G")*(EBITDAcr=$C35)*(EBITDAqtrlyvalues&lt;50),EBITDAqtrlyvalues)),"")</f>
        <v>47</v>
      </c>
      <c r="U35" s="24">
        <f t="shared" ca="1" si="7"/>
        <v>0</v>
      </c>
      <c r="V35" s="24">
        <f t="array" aca="1" ref="V35" ca="1">IFERROR(COUNT(IF((EBITDAind="G")*(EBITDAcr=$C35)*(EBITDAqtrlyvalues&gt;55),EBITDAqtrlyvalues)),"")</f>
        <v>0</v>
      </c>
    </row>
    <row r="36" spans="1:22">
      <c r="A36" s="1">
        <f>MAX($A$11:A35)+1</f>
        <v>14</v>
      </c>
      <c r="C36" s="1" t="s">
        <v>9</v>
      </c>
      <c r="D36" s="22"/>
      <c r="E36" s="24">
        <f t="array" aca="1" ref="E36" ca="1">IFERROR(COUNT(IF((EBITDAind="G")*(EBITDAcr=$C36)*(EBITDAqtrlyvalues&lt;&gt;"-"),EBITDAqtrlyvalues)),"")</f>
        <v>24</v>
      </c>
      <c r="F36" s="24"/>
      <c r="G36" s="25">
        <f t="array" aca="1" ref="G36" ca="1">IF(E36&gt;0,IFERROR(AVERAGE(IF((EBITDAind="G")*(EBITDAcr=$C36)*(EBITDAqtrlyvalues&lt;&gt;"-"),EBITDAqtrlyvalues)),"-"),"-")</f>
        <v>9.4301249999999985</v>
      </c>
      <c r="H36" s="25">
        <f t="array" aca="1" ref="H36" ca="1">IF(E36&gt;0,IFERROR(MEDIAN(IF((EBITDAind="G")*(EBITDAcr=$C36)*(EBITDAqtrlyvalues&lt;&gt;"-"),EBITDAqtrlyvalues)),"-"),"-")</f>
        <v>3.1749999999999998</v>
      </c>
      <c r="I36" s="25">
        <f t="array" aca="1" ref="I36" ca="1">IF(E36&gt;0,IFERROR(MAX(IF((EBITDAind="G")*(EBITDAcr=$C36)*(EBITDAqtrlyvalues&lt;&gt;"-"),EBITDAqtrlyvalues)),"-"),"-")</f>
        <v>143.4</v>
      </c>
      <c r="J36" s="25">
        <f t="array" aca="1" ref="J36" ca="1">IF(E36&gt;0,IFERROR(MIN(IF((EBITDAind="G")*(EBITDAcr=$C36)*(EBITDAqtrlyvalues&lt;&gt;"-"),EBITDAqtrlyvalues)),"-"),"-")</f>
        <v>-9.0500000000000007</v>
      </c>
      <c r="K36" s="24"/>
      <c r="L36" s="26">
        <f t="shared" ca="1" si="9"/>
        <v>0.95833333333333337</v>
      </c>
      <c r="M36" s="26">
        <f t="shared" ca="1" si="9"/>
        <v>0</v>
      </c>
      <c r="N36" s="26">
        <f t="shared" ca="1" si="9"/>
        <v>4.1666666666666664E-2</v>
      </c>
      <c r="O36" s="26">
        <f t="shared" ca="1" si="10"/>
        <v>4.1666666666666664E-2</v>
      </c>
      <c r="T36" s="24">
        <f t="array" aca="1" ref="T36" ca="1">IFERROR(COUNT(IF((EBITDAind="G")*(EBITDAcr=$C36)*(EBITDAqtrlyvalues&lt;50),EBITDAqtrlyvalues)),"")</f>
        <v>23</v>
      </c>
      <c r="U36" s="24">
        <f t="shared" ca="1" si="7"/>
        <v>0</v>
      </c>
      <c r="V36" s="24">
        <f t="array" aca="1" ref="V36" ca="1">IFERROR(COUNT(IF((EBITDAind="G")*(EBITDAcr=$C36)*(EBITDAqtrlyvalues&gt;55),EBITDAqtrlyvalues)),"")</f>
        <v>1</v>
      </c>
    </row>
    <row r="37" spans="1:22">
      <c r="A37" s="1">
        <f>MAX($A$11:A36)+1</f>
        <v>15</v>
      </c>
      <c r="C37" s="1" t="s">
        <v>10</v>
      </c>
      <c r="D37" s="22"/>
      <c r="E37" s="24">
        <f t="array" aca="1" ref="E37" ca="1">IFERROR(COUNT(IF((EBITDAind="G")*(EBITDAcr=$C37)*(EBITDAqtrlyvalues&lt;&gt;"-"),EBITDAqtrlyvalues)),"")</f>
        <v>38</v>
      </c>
      <c r="F37" s="24"/>
      <c r="G37" s="25">
        <f t="array" aca="1" ref="G37" ca="1">IF(E37&gt;0,IFERROR(AVERAGE(IF((EBITDAind="G")*(EBITDAcr=$C37)*(EBITDAqtrlyvalues&lt;&gt;"-"),EBITDAqtrlyvalues)),"-"),"-")</f>
        <v>5.9868421052631575</v>
      </c>
      <c r="H37" s="25">
        <f t="array" aca="1" ref="H37" ca="1">IF(E37&gt;0,IFERROR(MEDIAN(IF((EBITDAind="G")*(EBITDAcr=$C37)*(EBITDAqtrlyvalues&lt;&gt;"-"),EBITDAqtrlyvalues)),"-"),"-")</f>
        <v>4.43</v>
      </c>
      <c r="I37" s="25">
        <f t="array" aca="1" ref="I37" ca="1">IF(E37&gt;0,IFERROR(MAX(IF((EBITDAind="G")*(EBITDAcr=$C37)*(EBITDAqtrlyvalues&lt;&gt;"-"),EBITDAqtrlyvalues)),"-"),"-")</f>
        <v>24</v>
      </c>
      <c r="J37" s="25">
        <f t="array" aca="1" ref="J37" ca="1">IF(E37&gt;0,IFERROR(MIN(IF((EBITDAind="G")*(EBITDAcr=$C37)*(EBITDAqtrlyvalues&lt;&gt;"-"),EBITDAqtrlyvalues)),"-"),"-")</f>
        <v>1.9</v>
      </c>
      <c r="K37" s="24"/>
      <c r="L37" s="26">
        <f t="shared" ca="1" si="9"/>
        <v>1</v>
      </c>
      <c r="M37" s="26">
        <f t="shared" ca="1" si="9"/>
        <v>0</v>
      </c>
      <c r="N37" s="26">
        <f t="shared" ca="1" si="9"/>
        <v>0</v>
      </c>
      <c r="O37" s="26">
        <f t="shared" ca="1" si="10"/>
        <v>0</v>
      </c>
      <c r="T37" s="24">
        <f t="array" aca="1" ref="T37" ca="1">IFERROR(COUNT(IF((EBITDAind="G")*(EBITDAcr=$C37)*(EBITDAqtrlyvalues&lt;50),EBITDAqtrlyvalues)),"")</f>
        <v>38</v>
      </c>
      <c r="U37" s="24">
        <f t="shared" ca="1" si="7"/>
        <v>0</v>
      </c>
      <c r="V37" s="24">
        <f t="array" aca="1" ref="V37" ca="1">IFERROR(COUNT(IF((EBITDAind="G")*(EBITDAcr=$C37)*(EBITDAqtrlyvalues&gt;55),EBITDAqtrlyvalues)),"")</f>
        <v>0</v>
      </c>
    </row>
    <row r="38" spans="1:22">
      <c r="A38" s="1">
        <f>MAX($A$11:A37)+1</f>
        <v>16</v>
      </c>
      <c r="C38" s="1" t="s">
        <v>11</v>
      </c>
      <c r="D38" s="22"/>
      <c r="E38" s="24">
        <f t="array" aca="1" ref="E38" ca="1">IFERROR(COUNT(IF((EBITDAind="G")*(EBITDAcr=$C38)*(EBITDAqtrlyvalues&lt;&gt;"-"),EBITDAqtrlyvalues)),"")</f>
        <v>0</v>
      </c>
      <c r="F38" s="24"/>
      <c r="G38" s="25" t="str">
        <f t="array" aca="1" ref="G38" ca="1">IF(E38&gt;0,IFERROR(AVERAGE(IF((EBITDAind="G")*(EBITDAcr=$C38)*(EBITDAqtrlyvalues&lt;&gt;"-"),EBITDAqtrlyvalues)),"-"),"-")</f>
        <v>-</v>
      </c>
      <c r="H38" s="25" t="str">
        <f t="array" aca="1" ref="H38" ca="1">IF(E38&gt;0,IFERROR(MEDIAN(IF((EBITDAind="G")*(EBITDAcr=$C38)*(EBITDAqtrlyvalues&lt;&gt;"-"),EBITDAqtrlyvalues)),"-"),"-")</f>
        <v>-</v>
      </c>
      <c r="I38" s="25" t="str">
        <f t="array" aca="1" ref="I38" ca="1">IF(E38&gt;0,IFERROR(MAX(IF((EBITDAind="G")*(EBITDAcr=$C38)*(EBITDAqtrlyvalues&lt;&gt;"-"),EBITDAqtrlyvalues)),"-"),"-")</f>
        <v>-</v>
      </c>
      <c r="J38" s="25" t="str">
        <f t="array" aca="1" ref="J38" ca="1">IF(E38&gt;0,IFERROR(MIN(IF((EBITDAind="G")*(EBITDAcr=$C38)*(EBITDAqtrlyvalues&lt;&gt;"-"),EBITDAqtrlyvalues)),"-"),"-")</f>
        <v>-</v>
      </c>
      <c r="K38" s="24"/>
      <c r="L38" s="26" t="str">
        <f t="shared" ca="1" si="9"/>
        <v/>
      </c>
      <c r="M38" s="26" t="str">
        <f t="shared" ca="1" si="9"/>
        <v/>
      </c>
      <c r="N38" s="26" t="str">
        <f t="shared" ca="1" si="9"/>
        <v/>
      </c>
      <c r="O38" s="26" t="str">
        <f t="shared" ca="1" si="10"/>
        <v/>
      </c>
      <c r="T38" s="24">
        <f t="array" aca="1" ref="T38" ca="1">IFERROR(COUNT(IF((EBITDAind="G")*(EBITDAcr=$C38)*(EBITDAqtrlyvalues&lt;50),EBITDAqtrlyvalues)),"")</f>
        <v>0</v>
      </c>
      <c r="U38" s="24">
        <f t="shared" ca="1" si="7"/>
        <v>0</v>
      </c>
      <c r="V38" s="24">
        <f t="array" aca="1" ref="V38" ca="1">IFERROR(COUNT(IF((EBITDAind="G")*(EBITDAcr=$C38)*(EBITDAqtrlyvalues&gt;55),EBITDAqtrlyvalues)),"")</f>
        <v>0</v>
      </c>
    </row>
    <row r="39" spans="1:22">
      <c r="A39" s="1">
        <f>MAX($A$11:A38)+1</f>
        <v>17</v>
      </c>
      <c r="C39" s="1" t="s">
        <v>12</v>
      </c>
      <c r="D39" s="22"/>
      <c r="E39" s="24">
        <f t="array" aca="1" ref="E39" ca="1">IFERROR(COUNT(IF((EBITDAind="G")*(EBITDAcr=$C39)*(EBITDAqtrlyvalues&lt;&gt;"-"),EBITDAqtrlyvalues)),"")</f>
        <v>0</v>
      </c>
      <c r="F39" s="24"/>
      <c r="G39" s="25" t="str">
        <f t="array" aca="1" ref="G39" ca="1">IF(E39&gt;0,IFERROR(AVERAGE(IF((EBITDAind="G")*(EBITDAcr=$C39)*(EBITDAqtrlyvalues&lt;&gt;"-"),EBITDAqtrlyvalues)),"-"),"-")</f>
        <v>-</v>
      </c>
      <c r="H39" s="25" t="str">
        <f t="array" aca="1" ref="H39" ca="1">IF(E39&gt;0,IFERROR(MEDIAN(IF((EBITDAind="G")*(EBITDAcr=$C39)*(EBITDAqtrlyvalues&lt;&gt;"-"),EBITDAqtrlyvalues)),"-"),"-")</f>
        <v>-</v>
      </c>
      <c r="I39" s="25" t="str">
        <f t="array" aca="1" ref="I39" ca="1">IF(E39&gt;0,IFERROR(MAX(IF((EBITDAind="G")*(EBITDAcr=$C39)*(EBITDAqtrlyvalues&lt;&gt;"-"),EBITDAqtrlyvalues)),"-"),"-")</f>
        <v>-</v>
      </c>
      <c r="J39" s="25" t="str">
        <f t="array" aca="1" ref="J39" ca="1">IF(E39&gt;0,IFERROR(MIN(IF((EBITDAind="G")*(EBITDAcr=$C39)*(EBITDAqtrlyvalues&lt;&gt;"-"),EBITDAqtrlyvalues)),"-"),"-")</f>
        <v>-</v>
      </c>
      <c r="K39" s="24"/>
      <c r="L39" s="26" t="str">
        <f t="shared" ca="1" si="9"/>
        <v/>
      </c>
      <c r="M39" s="26" t="str">
        <f t="shared" ca="1" si="9"/>
        <v/>
      </c>
      <c r="N39" s="26" t="str">
        <f t="shared" ca="1" si="9"/>
        <v/>
      </c>
      <c r="O39" s="26" t="str">
        <f t="shared" ca="1" si="10"/>
        <v/>
      </c>
      <c r="T39" s="24">
        <f t="array" aca="1" ref="T39" ca="1">IFERROR(COUNT(IF((EBITDAind="G")*(EBITDAcr=$C39)*(EBITDAqtrlyvalues&lt;50),EBITDAqtrlyvalues)),"")</f>
        <v>0</v>
      </c>
      <c r="U39" s="24">
        <f t="shared" ca="1" si="7"/>
        <v>0</v>
      </c>
      <c r="V39" s="24">
        <f t="array" aca="1" ref="V39" ca="1">IFERROR(COUNT(IF((EBITDAind="G")*(EBITDAcr=$C39)*(EBITDAqtrlyvalues&gt;55),EBITDAqtrlyvalues)),"")</f>
        <v>0</v>
      </c>
    </row>
    <row r="40" spans="1:22">
      <c r="A40" s="1">
        <f>MAX($A$11:A39)+1</f>
        <v>18</v>
      </c>
      <c r="C40" s="1" t="s">
        <v>13</v>
      </c>
      <c r="D40" s="22"/>
      <c r="E40" s="24">
        <f t="array" aca="1" ref="E40" ca="1">IFERROR(COUNT(IF((EBITDAind="G")*(EBITDAcr=$C40)*(EBITDAqtrlyvalues&lt;&gt;"-"),EBITDAqtrlyvalues)),"")</f>
        <v>0</v>
      </c>
      <c r="F40" s="24"/>
      <c r="G40" s="25" t="str">
        <f t="array" aca="1" ref="G40" ca="1">IF(E40&gt;0,IFERROR(AVERAGE(IF((EBITDAind="G")*(EBITDAcr=$C40)*(EBITDAqtrlyvalues&lt;&gt;"-"),EBITDAqtrlyvalues)),"-"),"-")</f>
        <v>-</v>
      </c>
      <c r="H40" s="25" t="str">
        <f t="array" aca="1" ref="H40" ca="1">IF(E40&gt;0,IFERROR(MEDIAN(IF((EBITDAind="G")*(EBITDAcr=$C40)*(EBITDAqtrlyvalues&lt;&gt;"-"),EBITDAqtrlyvalues)),"-"),"-")</f>
        <v>-</v>
      </c>
      <c r="I40" s="25" t="str">
        <f t="array" aca="1" ref="I40" ca="1">IF(E40&gt;0,IFERROR(MAX(IF((EBITDAind="G")*(EBITDAcr=$C40)*(EBITDAqtrlyvalues&lt;&gt;"-"),EBITDAqtrlyvalues)),"-"),"-")</f>
        <v>-</v>
      </c>
      <c r="J40" s="25" t="str">
        <f t="array" aca="1" ref="J40" ca="1">IF(E40&gt;0,IFERROR(MIN(IF((EBITDAind="G")*(EBITDAcr=$C40)*(EBITDAqtrlyvalues&lt;&gt;"-"),EBITDAqtrlyvalues)),"-"),"-")</f>
        <v>-</v>
      </c>
      <c r="K40" s="24"/>
      <c r="L40" s="26" t="str">
        <f t="shared" ca="1" si="9"/>
        <v/>
      </c>
      <c r="M40" s="26" t="str">
        <f t="shared" ca="1" si="9"/>
        <v/>
      </c>
      <c r="N40" s="26" t="str">
        <f t="shared" ca="1" si="9"/>
        <v/>
      </c>
      <c r="O40" s="26" t="str">
        <f t="shared" ca="1" si="10"/>
        <v/>
      </c>
      <c r="T40" s="24">
        <f t="array" aca="1" ref="T40" ca="1">IFERROR(COUNT(IF((EBITDAind="G")*(EBITDAcr=$C40)*(EBITDAqtrlyvalues&lt;50),EBITDAqtrlyvalues)),"")</f>
        <v>0</v>
      </c>
      <c r="U40" s="24">
        <f t="shared" ca="1" si="7"/>
        <v>0</v>
      </c>
      <c r="V40" s="24">
        <f t="array" aca="1" ref="V40" ca="1">IFERROR(COUNT(IF((EBITDAind="G")*(EBITDAcr=$C40)*(EBITDAqtrlyvalues&gt;55),EBITDAqtrlyvalues)),"")</f>
        <v>0</v>
      </c>
    </row>
    <row r="41" spans="1:22">
      <c r="A41" s="1"/>
      <c r="C41" s="27"/>
      <c r="D41" s="22"/>
      <c r="E41" s="1"/>
      <c r="F41" s="24"/>
      <c r="G41" s="24"/>
      <c r="H41" s="24"/>
      <c r="I41" s="24"/>
      <c r="J41" s="24"/>
      <c r="K41" s="24"/>
      <c r="T41" s="24"/>
      <c r="U41" s="24"/>
      <c r="V41" s="24"/>
    </row>
    <row r="42" spans="1:22">
      <c r="A42" s="1"/>
      <c r="C42" s="27"/>
      <c r="D42" s="22"/>
      <c r="E42" s="1"/>
      <c r="F42" s="24"/>
      <c r="G42" s="24"/>
      <c r="H42" s="24"/>
      <c r="I42" s="24"/>
      <c r="J42" s="24"/>
      <c r="K42" s="24"/>
      <c r="T42" s="24"/>
      <c r="U42" s="24"/>
      <c r="V42" s="24"/>
    </row>
    <row r="43" spans="1:22" ht="15">
      <c r="A43" s="1">
        <f>MAX($A$11:A42)+1</f>
        <v>19</v>
      </c>
      <c r="C43" s="28" t="s">
        <v>547</v>
      </c>
      <c r="D43" s="6"/>
      <c r="E43" s="4">
        <f ca="1">SUM(E33:E40)</f>
        <v>121</v>
      </c>
      <c r="F43" s="6"/>
      <c r="K43" s="4"/>
      <c r="T43" s="4">
        <f ca="1">SUM(T33:T40)</f>
        <v>120</v>
      </c>
      <c r="U43" s="4">
        <f ca="1">SUM(U33:U40)</f>
        <v>0</v>
      </c>
      <c r="V43" s="4">
        <f ca="1">SUM(V33:V40)</f>
        <v>1</v>
      </c>
    </row>
    <row r="44" spans="1:22" ht="15">
      <c r="A44" s="1">
        <f>MAX($A$11:A43)+1</f>
        <v>20</v>
      </c>
      <c r="C44" s="29" t="s">
        <v>593</v>
      </c>
      <c r="D44" s="6"/>
      <c r="E44" s="4"/>
      <c r="F44" s="6"/>
      <c r="G44" s="33">
        <f ca="1">AVERAGE(G$33:G$40)</f>
        <v>6.5712807834079872</v>
      </c>
      <c r="H44" s="33">
        <f ca="1">AVERAGE(H$33:H$40)</f>
        <v>3.7162499999999996</v>
      </c>
      <c r="I44" s="33">
        <f ca="1">AVERAGE(I$33:I$40)</f>
        <v>51.6</v>
      </c>
      <c r="J44" s="33">
        <f ca="1">AVERAGE(J$33:J$40)</f>
        <v>-0.95500000000000018</v>
      </c>
      <c r="K44" s="30"/>
      <c r="L44" s="30"/>
      <c r="M44" s="30"/>
      <c r="N44" s="30"/>
    </row>
    <row r="47" spans="1:22">
      <c r="C47" s="34"/>
    </row>
    <row r="48" spans="1:22">
      <c r="B48" s="35" t="s">
        <v>602</v>
      </c>
      <c r="C48" s="36"/>
    </row>
    <row r="49" spans="3:3">
      <c r="C49" s="37" t="str">
        <f>'Debt to EBITDA Ratio Elec Gas'!$C$49</f>
        <v>S&amp;P Capital IQ, downloaded October 17, 2017.</v>
      </c>
    </row>
  </sheetData>
  <mergeCells count="12">
    <mergeCell ref="A1:N1"/>
    <mergeCell ref="A4:N4"/>
    <mergeCell ref="A5:N5"/>
    <mergeCell ref="A8:N8"/>
    <mergeCell ref="G9:H9"/>
    <mergeCell ref="J9:K9"/>
    <mergeCell ref="L9:N9"/>
    <mergeCell ref="T9:V9"/>
    <mergeCell ref="A28:N28"/>
    <mergeCell ref="G29:H29"/>
    <mergeCell ref="J29:K29"/>
    <mergeCell ref="L29:N29"/>
  </mergeCells>
  <printOptions horizontalCentered="1"/>
  <pageMargins left="0.7" right="0.7" top="1" bottom="0.75" header="0.55000000000000004" footer="0.51"/>
  <pageSetup scale="81" orientation="portrait" r:id="rId1"/>
  <headerFooter>
    <oddHeader>&amp;R&amp;13Exhibit MPG-2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S123"/>
  <sheetViews>
    <sheetView workbookViewId="0"/>
  </sheetViews>
  <sheetFormatPr defaultColWidth="8.75" defaultRowHeight="14.25"/>
  <cols>
    <col min="1" max="1" width="5.25" style="46" bestFit="1" customWidth="1"/>
    <col min="2" max="2" width="2.125" style="46" bestFit="1" customWidth="1"/>
    <col min="3" max="3" width="4.625" style="46" bestFit="1" customWidth="1"/>
    <col min="4" max="4" width="6" style="46" bestFit="1" customWidth="1"/>
    <col min="5" max="5" width="46.375" style="46" bestFit="1" customWidth="1"/>
    <col min="6" max="8" width="8.75" style="46"/>
    <col min="9" max="14" width="13.5" style="46" customWidth="1"/>
    <col min="15" max="16384" width="8.75" style="46"/>
  </cols>
  <sheetData>
    <row r="2" spans="1:19">
      <c r="E2" s="47" t="s">
        <v>607</v>
      </c>
    </row>
    <row r="3" spans="1:19" ht="15">
      <c r="A3" s="59"/>
      <c r="B3" s="59"/>
      <c r="C3" s="59">
        <f>MATCH(9.99999999999999E+307,J:J)-ROW(J5)</f>
        <v>118</v>
      </c>
      <c r="D3" s="59"/>
      <c r="E3" s="48" t="s">
        <v>140</v>
      </c>
    </row>
    <row r="4" spans="1:19">
      <c r="A4" s="59"/>
      <c r="B4" s="59"/>
      <c r="C4" s="59"/>
      <c r="D4" s="59"/>
    </row>
    <row r="5" spans="1:19" ht="114">
      <c r="A5" s="68" t="s">
        <v>28</v>
      </c>
      <c r="B5" s="68" t="s">
        <v>141</v>
      </c>
      <c r="C5" s="68" t="s">
        <v>586</v>
      </c>
      <c r="D5" s="68" t="s">
        <v>587</v>
      </c>
      <c r="E5" s="50" t="s">
        <v>142</v>
      </c>
      <c r="F5" s="50" t="s">
        <v>143</v>
      </c>
      <c r="G5" s="50" t="s">
        <v>144</v>
      </c>
      <c r="H5" s="50" t="s">
        <v>145</v>
      </c>
      <c r="I5" s="51" t="s">
        <v>146</v>
      </c>
      <c r="J5" s="51" t="s">
        <v>147</v>
      </c>
      <c r="K5" s="51" t="s">
        <v>148</v>
      </c>
      <c r="L5" s="51" t="s">
        <v>149</v>
      </c>
      <c r="M5" s="51" t="s">
        <v>150</v>
      </c>
      <c r="N5" s="51" t="s">
        <v>151</v>
      </c>
      <c r="O5" s="50" t="s">
        <v>152</v>
      </c>
      <c r="P5" s="50" t="s">
        <v>153</v>
      </c>
      <c r="Q5" s="45" t="s">
        <v>154</v>
      </c>
      <c r="R5" s="45"/>
      <c r="S5" s="45"/>
    </row>
    <row r="6" spans="1:19">
      <c r="A6" s="67" t="str">
        <f t="shared" ref="A6:A37" ca="1" si="0">VLOOKUP(D6,VLUTIL,3,FALSE)</f>
        <v>E</v>
      </c>
      <c r="B6" s="67">
        <f>FIND(":",P6,1)</f>
        <v>44</v>
      </c>
      <c r="C6" s="67" t="str">
        <f>MID(P6,B6+1,LEN(P6)-B6-1)</f>
        <v>AEP</v>
      </c>
      <c r="D6" s="67" t="str">
        <f ca="1">IF(ISERROR(MATCH(C6,VLUNIVticker,0)),INDEX(VLUNIVticker,MATCH(C6,VLUNIVparent,0)),Ratings!C6)</f>
        <v>AEP</v>
      </c>
      <c r="E6" s="46" t="s">
        <v>294</v>
      </c>
      <c r="F6" s="46" t="s">
        <v>160</v>
      </c>
      <c r="G6" s="46" t="s">
        <v>295</v>
      </c>
      <c r="H6" s="46" t="s">
        <v>326</v>
      </c>
      <c r="I6" s="46" t="s">
        <v>548</v>
      </c>
      <c r="J6" s="49">
        <v>42739</v>
      </c>
      <c r="K6" s="46" t="s">
        <v>158</v>
      </c>
      <c r="L6" s="49">
        <v>42739</v>
      </c>
      <c r="M6" s="46" t="s">
        <v>548</v>
      </c>
      <c r="N6" s="49">
        <v>42739</v>
      </c>
      <c r="O6" s="46" t="s">
        <v>549</v>
      </c>
      <c r="P6" s="46" t="s">
        <v>40</v>
      </c>
      <c r="Q6" s="46" t="s">
        <v>40</v>
      </c>
    </row>
    <row r="7" spans="1:19">
      <c r="A7" s="67" t="str">
        <f t="shared" ca="1" si="0"/>
        <v>E</v>
      </c>
      <c r="B7" s="67">
        <f t="shared" ref="B7" si="1">FIND(":",P7,1)</f>
        <v>44</v>
      </c>
      <c r="C7" s="67" t="str">
        <f t="shared" ref="C7" si="2">MID(P7,B7+1,LEN(P7)-B7-1)</f>
        <v>AEP</v>
      </c>
      <c r="D7" s="67" t="str">
        <f ca="1">IF(ISERROR(MATCH(C7,VLUNIVticker,0)),INDEX(VLUNIVticker,MATCH(C7,VLUNIVparent,0)),Ratings!C7)</f>
        <v>AEP</v>
      </c>
      <c r="E7" s="46" t="s">
        <v>297</v>
      </c>
      <c r="F7" s="46" t="s">
        <v>160</v>
      </c>
      <c r="G7" s="46" t="s">
        <v>298</v>
      </c>
      <c r="H7" s="46" t="s">
        <v>326</v>
      </c>
      <c r="I7" s="46" t="s">
        <v>548</v>
      </c>
      <c r="J7" s="49">
        <v>42739</v>
      </c>
      <c r="K7" s="46" t="s">
        <v>158</v>
      </c>
      <c r="L7" s="49">
        <v>42739</v>
      </c>
      <c r="M7" s="46" t="s">
        <v>548</v>
      </c>
      <c r="N7" s="49">
        <v>42739</v>
      </c>
      <c r="O7" s="46" t="s">
        <v>549</v>
      </c>
      <c r="P7" s="46" t="s">
        <v>40</v>
      </c>
      <c r="Q7" s="46" t="s">
        <v>40</v>
      </c>
    </row>
    <row r="8" spans="1:19">
      <c r="A8" s="67" t="str">
        <f t="shared" ca="1" si="0"/>
        <v>E</v>
      </c>
      <c r="B8" s="67">
        <f t="shared" ref="B8:B71" si="3">FIND(":",P8,1)</f>
        <v>27</v>
      </c>
      <c r="C8" s="67" t="str">
        <f t="shared" ref="C8:C71" si="4">MID(P8,B8+1,LEN(P8)-B8-1)</f>
        <v>SO</v>
      </c>
      <c r="D8" s="67" t="str">
        <f ca="1">IF(ISERROR(MATCH(C8,VLUNIVticker,0)),INDEX(VLUNIVticker,MATCH(C8,VLUNIVparent,0)),Ratings!C8)</f>
        <v>SO</v>
      </c>
      <c r="E8" s="46" t="s">
        <v>299</v>
      </c>
      <c r="F8" s="46" t="s">
        <v>160</v>
      </c>
      <c r="G8" s="46" t="s">
        <v>300</v>
      </c>
      <c r="H8" s="46" t="s">
        <v>473</v>
      </c>
      <c r="I8" s="46" t="s">
        <v>9</v>
      </c>
      <c r="J8" s="49">
        <v>42233</v>
      </c>
      <c r="K8" s="46" t="s">
        <v>158</v>
      </c>
      <c r="L8" s="49">
        <v>42233</v>
      </c>
      <c r="M8" s="46" t="s">
        <v>260</v>
      </c>
      <c r="N8" s="49">
        <v>42818</v>
      </c>
      <c r="O8" s="46" t="s">
        <v>89</v>
      </c>
      <c r="P8" s="46" t="s">
        <v>89</v>
      </c>
      <c r="Q8" s="46" t="s">
        <v>160</v>
      </c>
    </row>
    <row r="9" spans="1:19">
      <c r="A9" s="67" t="str">
        <f t="shared" ca="1" si="0"/>
        <v>E</v>
      </c>
      <c r="B9" s="67">
        <f t="shared" si="3"/>
        <v>19</v>
      </c>
      <c r="C9" s="67" t="str">
        <f t="shared" si="4"/>
        <v>ALE</v>
      </c>
      <c r="D9" s="67" t="str">
        <f ca="1">IF(ISERROR(MATCH(C9,VLUNIVticker,0)),INDEX(VLUNIVticker,MATCH(C9,VLUNIVparent,0)),Ratings!C9)</f>
        <v>ALE</v>
      </c>
      <c r="E9" s="46" t="s">
        <v>34</v>
      </c>
      <c r="F9" s="46" t="s">
        <v>155</v>
      </c>
      <c r="G9" s="46" t="s">
        <v>156</v>
      </c>
      <c r="H9" s="46" t="s">
        <v>326</v>
      </c>
      <c r="I9" s="46" t="s">
        <v>10</v>
      </c>
      <c r="J9" s="49">
        <v>35130</v>
      </c>
      <c r="K9" s="46" t="s">
        <v>158</v>
      </c>
      <c r="L9" s="49">
        <v>38127</v>
      </c>
      <c r="M9" s="46" t="s">
        <v>159</v>
      </c>
      <c r="N9" s="49">
        <v>40284</v>
      </c>
      <c r="O9" s="46" t="s">
        <v>160</v>
      </c>
      <c r="P9" s="46" t="s">
        <v>34</v>
      </c>
      <c r="Q9" s="46" t="s">
        <v>160</v>
      </c>
    </row>
    <row r="10" spans="1:19">
      <c r="A10" s="67" t="str">
        <f t="shared" ca="1" si="0"/>
        <v>E</v>
      </c>
      <c r="B10" s="67">
        <f t="shared" si="3"/>
        <v>25</v>
      </c>
      <c r="C10" s="67" t="str">
        <f t="shared" si="4"/>
        <v>AEE</v>
      </c>
      <c r="D10" s="67" t="str">
        <f ca="1">IF(ISERROR(MATCH(C10,VLUNIVticker,0)),INDEX(VLUNIVticker,MATCH(C10,VLUNIVparent,0)),Ratings!C10)</f>
        <v>AEE</v>
      </c>
      <c r="E10" s="46" t="s">
        <v>303</v>
      </c>
      <c r="F10" s="46" t="s">
        <v>160</v>
      </c>
      <c r="G10" s="46" t="s">
        <v>304</v>
      </c>
      <c r="H10" s="46" t="s">
        <v>326</v>
      </c>
      <c r="I10" s="46" t="s">
        <v>10</v>
      </c>
      <c r="J10" s="49">
        <v>41612</v>
      </c>
      <c r="K10" s="46" t="s">
        <v>158</v>
      </c>
      <c r="L10" s="49">
        <v>41612</v>
      </c>
      <c r="M10" s="46" t="s">
        <v>159</v>
      </c>
      <c r="N10" s="49">
        <v>41612</v>
      </c>
      <c r="O10" s="46" t="s">
        <v>38</v>
      </c>
      <c r="P10" s="46" t="s">
        <v>38</v>
      </c>
      <c r="Q10" s="46" t="s">
        <v>550</v>
      </c>
    </row>
    <row r="11" spans="1:19">
      <c r="A11" s="67" t="str">
        <f t="shared" ca="1" si="0"/>
        <v>E</v>
      </c>
      <c r="B11" s="67">
        <f t="shared" si="3"/>
        <v>44</v>
      </c>
      <c r="C11" s="67" t="str">
        <f t="shared" si="4"/>
        <v>AEP</v>
      </c>
      <c r="D11" s="67" t="str">
        <f ca="1">IF(ISERROR(MATCH(C11,VLUNIVticker,0)),INDEX(VLUNIVticker,MATCH(C11,VLUNIVparent,0)),Ratings!C11)</f>
        <v>AEP</v>
      </c>
      <c r="E11" s="46" t="s">
        <v>306</v>
      </c>
      <c r="F11" s="46" t="s">
        <v>160</v>
      </c>
      <c r="G11" s="46" t="s">
        <v>307</v>
      </c>
      <c r="H11" s="46" t="s">
        <v>326</v>
      </c>
      <c r="I11" s="46" t="s">
        <v>9</v>
      </c>
      <c r="J11" s="49">
        <v>42768</v>
      </c>
      <c r="K11" s="46" t="s">
        <v>158</v>
      </c>
      <c r="L11" s="49">
        <v>42768</v>
      </c>
      <c r="M11" s="46" t="s">
        <v>159</v>
      </c>
      <c r="N11" s="49">
        <v>42768</v>
      </c>
      <c r="O11" s="46" t="s">
        <v>40</v>
      </c>
      <c r="P11" s="46" t="s">
        <v>40</v>
      </c>
      <c r="Q11" s="46" t="s">
        <v>160</v>
      </c>
    </row>
    <row r="12" spans="1:19">
      <c r="A12" s="67" t="str">
        <f t="shared" ca="1" si="0"/>
        <v>E</v>
      </c>
      <c r="B12" s="67">
        <f t="shared" si="3"/>
        <v>40</v>
      </c>
      <c r="C12" s="67" t="str">
        <f t="shared" si="4"/>
        <v>PNW</v>
      </c>
      <c r="D12" s="67" t="str">
        <f ca="1">IF(ISERROR(MATCH(C12,VLUNIVticker,0)),INDEX(VLUNIVticker,MATCH(C12,VLUNIVparent,0)),Ratings!C12)</f>
        <v>PNW</v>
      </c>
      <c r="E12" s="46" t="s">
        <v>308</v>
      </c>
      <c r="F12" s="46" t="s">
        <v>160</v>
      </c>
      <c r="G12" s="46" t="s">
        <v>309</v>
      </c>
      <c r="H12" s="46" t="s">
        <v>551</v>
      </c>
      <c r="I12" s="46" t="s">
        <v>9</v>
      </c>
      <c r="J12" s="49">
        <v>41612</v>
      </c>
      <c r="K12" s="46" t="s">
        <v>158</v>
      </c>
      <c r="L12" s="49">
        <v>41612</v>
      </c>
      <c r="M12" s="46" t="s">
        <v>177</v>
      </c>
      <c r="N12" s="49">
        <v>42976</v>
      </c>
      <c r="O12" s="46" t="s">
        <v>110</v>
      </c>
      <c r="P12" s="46" t="s">
        <v>110</v>
      </c>
      <c r="Q12" s="46" t="s">
        <v>160</v>
      </c>
    </row>
    <row r="13" spans="1:19">
      <c r="A13" s="67" t="str">
        <f t="shared" ca="1" si="0"/>
        <v>E</v>
      </c>
      <c r="B13" s="67">
        <f t="shared" si="3"/>
        <v>25</v>
      </c>
      <c r="C13" s="67" t="str">
        <f t="shared" si="4"/>
        <v>EXC</v>
      </c>
      <c r="D13" s="67" t="str">
        <f ca="1">IF(ISERROR(MATCH(C13,VLUNIVticker,0)),INDEX(VLUNIVticker,MATCH(C13,VLUNIVparent,0)),Ratings!C13)</f>
        <v>EXC</v>
      </c>
      <c r="E13" s="46" t="s">
        <v>311</v>
      </c>
      <c r="F13" s="46" t="s">
        <v>160</v>
      </c>
      <c r="G13" s="46" t="s">
        <v>312</v>
      </c>
      <c r="H13" s="46" t="s">
        <v>473</v>
      </c>
      <c r="I13" s="46" t="s">
        <v>10</v>
      </c>
      <c r="J13" s="49">
        <v>40360</v>
      </c>
      <c r="K13" s="46" t="s">
        <v>158</v>
      </c>
      <c r="L13" s="49">
        <v>40360</v>
      </c>
      <c r="M13" s="46" t="s">
        <v>159</v>
      </c>
      <c r="N13" s="49">
        <v>40360</v>
      </c>
      <c r="O13" s="46" t="s">
        <v>552</v>
      </c>
      <c r="P13" s="46" t="s">
        <v>77</v>
      </c>
      <c r="Q13" s="46" t="s">
        <v>553</v>
      </c>
    </row>
    <row r="14" spans="1:19">
      <c r="A14" s="67" t="str">
        <f t="shared" ca="1" si="0"/>
        <v>G</v>
      </c>
      <c r="B14" s="67">
        <f t="shared" si="3"/>
        <v>31</v>
      </c>
      <c r="C14" s="67" t="str">
        <f t="shared" si="4"/>
        <v>ATO</v>
      </c>
      <c r="D14" s="67" t="str">
        <f ca="1">IF(ISERROR(MATCH(C14,VLUNIVticker,0)),INDEX(VLUNIVticker,MATCH(C14,VLUNIVparent,0)),Ratings!C14)</f>
        <v>ATO</v>
      </c>
      <c r="E14" s="46" t="s">
        <v>119</v>
      </c>
      <c r="F14" s="46" t="s">
        <v>167</v>
      </c>
      <c r="G14" s="46" t="s">
        <v>168</v>
      </c>
      <c r="H14" s="46" t="s">
        <v>554</v>
      </c>
      <c r="I14" s="46" t="s">
        <v>8</v>
      </c>
      <c r="J14" s="49">
        <v>42503</v>
      </c>
      <c r="K14" s="46" t="s">
        <v>158</v>
      </c>
      <c r="L14" s="49">
        <v>38260</v>
      </c>
      <c r="M14" s="46" t="s">
        <v>159</v>
      </c>
      <c r="N14" s="49">
        <v>42503</v>
      </c>
      <c r="O14" s="46" t="s">
        <v>160</v>
      </c>
      <c r="P14" s="46" t="s">
        <v>119</v>
      </c>
      <c r="Q14" s="46" t="s">
        <v>160</v>
      </c>
    </row>
    <row r="15" spans="1:19">
      <c r="A15" s="67" t="str">
        <f t="shared" ca="1" si="0"/>
        <v>E</v>
      </c>
      <c r="B15" s="67">
        <f t="shared" si="3"/>
        <v>25</v>
      </c>
      <c r="C15" s="67" t="str">
        <f t="shared" si="4"/>
        <v>AVA</v>
      </c>
      <c r="D15" s="67" t="str">
        <f ca="1">IF(ISERROR(MATCH(C15,VLUNIVticker,0)),INDEX(VLUNIVticker,MATCH(C15,VLUNIVparent,0)),Ratings!C15)</f>
        <v>AVA</v>
      </c>
      <c r="E15" s="46" t="s">
        <v>92</v>
      </c>
      <c r="F15" s="46" t="s">
        <v>174</v>
      </c>
      <c r="G15" s="46" t="s">
        <v>175</v>
      </c>
      <c r="H15" s="46" t="s">
        <v>551</v>
      </c>
      <c r="I15" s="46" t="s">
        <v>11</v>
      </c>
      <c r="J15" s="49">
        <v>40604</v>
      </c>
      <c r="K15" s="46" t="s">
        <v>158</v>
      </c>
      <c r="L15" s="49">
        <v>37174</v>
      </c>
      <c r="M15" s="46" t="s">
        <v>177</v>
      </c>
      <c r="N15" s="49">
        <v>42935</v>
      </c>
      <c r="O15" s="46" t="s">
        <v>178</v>
      </c>
      <c r="P15" s="46" t="s">
        <v>92</v>
      </c>
      <c r="Q15" s="46" t="s">
        <v>160</v>
      </c>
    </row>
    <row r="16" spans="1:19">
      <c r="A16" s="67" t="str">
        <f t="shared" ca="1" si="0"/>
        <v>E</v>
      </c>
      <c r="B16" s="67">
        <f t="shared" si="3"/>
        <v>25</v>
      </c>
      <c r="C16" s="67" t="str">
        <f t="shared" si="4"/>
        <v>EXC</v>
      </c>
      <c r="D16" s="67" t="str">
        <f ca="1">IF(ISERROR(MATCH(C16,VLUNIVticker,0)),INDEX(VLUNIVticker,MATCH(C16,VLUNIVparent,0)),Ratings!C16)</f>
        <v>EXC</v>
      </c>
      <c r="E16" s="46" t="s">
        <v>315</v>
      </c>
      <c r="F16" s="46" t="s">
        <v>160</v>
      </c>
      <c r="G16" s="46" t="s">
        <v>316</v>
      </c>
      <c r="H16" s="46" t="s">
        <v>473</v>
      </c>
      <c r="I16" s="46" t="s">
        <v>9</v>
      </c>
      <c r="J16" s="49">
        <v>41508</v>
      </c>
      <c r="K16" s="46" t="s">
        <v>158</v>
      </c>
      <c r="L16" s="49">
        <v>40119</v>
      </c>
      <c r="M16" s="46" t="s">
        <v>159</v>
      </c>
      <c r="N16" s="49">
        <v>41508</v>
      </c>
      <c r="O16" s="46" t="s">
        <v>77</v>
      </c>
      <c r="P16" s="46" t="s">
        <v>77</v>
      </c>
      <c r="Q16" s="46" t="s">
        <v>555</v>
      </c>
    </row>
    <row r="17" spans="1:17">
      <c r="A17" s="67" t="str">
        <f t="shared" ca="1" si="0"/>
        <v>E</v>
      </c>
      <c r="B17" s="67">
        <f t="shared" si="3"/>
        <v>30</v>
      </c>
      <c r="C17" s="67" t="str">
        <f t="shared" si="4"/>
        <v>BKH</v>
      </c>
      <c r="D17" s="67" t="str">
        <f ca="1">IF(ISERROR(MATCH(C17,VLUNIVticker,0)),INDEX(VLUNIVticker,MATCH(C17,VLUNIVparent,0)),Ratings!C17)</f>
        <v>BKH</v>
      </c>
      <c r="E17" s="46" t="s">
        <v>317</v>
      </c>
      <c r="F17" s="46" t="s">
        <v>160</v>
      </c>
      <c r="G17" s="46" t="s">
        <v>318</v>
      </c>
      <c r="H17" s="46" t="s">
        <v>551</v>
      </c>
      <c r="I17" s="46" t="s">
        <v>11</v>
      </c>
      <c r="J17" s="49">
        <v>41479</v>
      </c>
      <c r="K17" s="46" t="s">
        <v>158</v>
      </c>
      <c r="L17" s="49">
        <v>38838</v>
      </c>
      <c r="M17" s="46" t="s">
        <v>159</v>
      </c>
      <c r="N17" s="49">
        <v>41479</v>
      </c>
      <c r="O17" s="46" t="s">
        <v>94</v>
      </c>
      <c r="P17" s="46" t="s">
        <v>94</v>
      </c>
      <c r="Q17" s="46" t="s">
        <v>160</v>
      </c>
    </row>
    <row r="18" spans="1:17">
      <c r="A18" s="67" t="str">
        <f t="shared" ca="1" si="0"/>
        <v>E</v>
      </c>
      <c r="B18" s="67">
        <f t="shared" si="3"/>
        <v>31</v>
      </c>
      <c r="C18" s="67" t="str">
        <f t="shared" si="4"/>
        <v>CNP</v>
      </c>
      <c r="D18" s="67" t="str">
        <f ca="1">IF(ISERROR(MATCH(C18,VLUNIVticker,0)),INDEX(VLUNIVticker,MATCH(C18,VLUNIVparent,0)),Ratings!C18)</f>
        <v>CNP</v>
      </c>
      <c r="E18" s="46" t="s">
        <v>319</v>
      </c>
      <c r="F18" s="46" t="s">
        <v>160</v>
      </c>
      <c r="G18" s="46" t="s">
        <v>320</v>
      </c>
      <c r="H18" s="46" t="s">
        <v>326</v>
      </c>
      <c r="I18" s="46" t="s">
        <v>9</v>
      </c>
      <c r="J18" s="49">
        <v>41396</v>
      </c>
      <c r="K18" s="46" t="s">
        <v>158</v>
      </c>
      <c r="L18" s="49">
        <v>41396</v>
      </c>
      <c r="M18" s="46" t="s">
        <v>177</v>
      </c>
      <c r="N18" s="49">
        <v>42951</v>
      </c>
      <c r="O18" s="46" t="s">
        <v>556</v>
      </c>
      <c r="P18" s="46" t="s">
        <v>44</v>
      </c>
      <c r="Q18" s="46" t="s">
        <v>44</v>
      </c>
    </row>
    <row r="19" spans="1:17">
      <c r="A19" s="67" t="str">
        <f t="shared" ca="1" si="0"/>
        <v>E</v>
      </c>
      <c r="B19" s="67">
        <f t="shared" si="3"/>
        <v>31</v>
      </c>
      <c r="C19" s="67" t="str">
        <f t="shared" si="4"/>
        <v>CNP</v>
      </c>
      <c r="D19" s="67" t="str">
        <f ca="1">IF(ISERROR(MATCH(C19,VLUNIVticker,0)),INDEX(VLUNIVticker,MATCH(C19,VLUNIVparent,0)),Ratings!C19)</f>
        <v>CNP</v>
      </c>
      <c r="E19" s="46" t="s">
        <v>321</v>
      </c>
      <c r="F19" s="46" t="s">
        <v>160</v>
      </c>
      <c r="G19" s="46" t="s">
        <v>322</v>
      </c>
      <c r="H19" s="46" t="s">
        <v>326</v>
      </c>
      <c r="I19" s="46" t="s">
        <v>9</v>
      </c>
      <c r="J19" s="49">
        <v>41396</v>
      </c>
      <c r="K19" s="46" t="s">
        <v>158</v>
      </c>
      <c r="L19" s="49">
        <v>41396</v>
      </c>
      <c r="M19" s="46" t="s">
        <v>177</v>
      </c>
      <c r="N19" s="49">
        <v>42951</v>
      </c>
      <c r="O19" s="46" t="s">
        <v>556</v>
      </c>
      <c r="P19" s="46" t="s">
        <v>44</v>
      </c>
      <c r="Q19" s="46" t="s">
        <v>44</v>
      </c>
    </row>
    <row r="20" spans="1:17">
      <c r="A20" s="67" t="str">
        <f t="shared" ca="1" si="0"/>
        <v>E</v>
      </c>
      <c r="B20" s="67">
        <f t="shared" si="3"/>
        <v>17</v>
      </c>
      <c r="C20" s="67" t="str">
        <f t="shared" si="4"/>
        <v>FTS</v>
      </c>
      <c r="D20" s="67" t="str">
        <f ca="1">IF(ISERROR(MATCH(C20,VLUNIVticker,0)),INDEX(VLUNIVticker,MATCH(C20,VLUNIVparent,0)),Ratings!C20)</f>
        <v>FTS</v>
      </c>
      <c r="E20" s="46" t="s">
        <v>324</v>
      </c>
      <c r="F20" s="46" t="s">
        <v>160</v>
      </c>
      <c r="G20" s="46" t="s">
        <v>325</v>
      </c>
      <c r="H20" s="46" t="s">
        <v>326</v>
      </c>
      <c r="I20" s="46" t="s">
        <v>9</v>
      </c>
      <c r="J20" s="49">
        <v>42542</v>
      </c>
      <c r="K20" s="46" t="s">
        <v>158</v>
      </c>
      <c r="L20" s="49">
        <v>41457</v>
      </c>
      <c r="M20" s="46" t="s">
        <v>159</v>
      </c>
      <c r="N20" s="49">
        <v>42542</v>
      </c>
      <c r="O20" s="46" t="s">
        <v>557</v>
      </c>
      <c r="P20" s="46" t="s">
        <v>50</v>
      </c>
      <c r="Q20" s="46" t="s">
        <v>160</v>
      </c>
    </row>
    <row r="21" spans="1:17">
      <c r="A21" s="67" t="str">
        <f t="shared" ca="1" si="0"/>
        <v>E</v>
      </c>
      <c r="B21" s="67">
        <f t="shared" si="3"/>
        <v>21</v>
      </c>
      <c r="C21" s="67" t="str">
        <f t="shared" si="4"/>
        <v>IBE</v>
      </c>
      <c r="D21" s="67" t="str">
        <f ca="1">IF(ISERROR(MATCH(C21,VLUNIVticker,0)),INDEX(VLUNIVticker,MATCH(C21,VLUNIVparent,0)),Ratings!C21)</f>
        <v>AGR</v>
      </c>
      <c r="E21" s="46" t="s">
        <v>327</v>
      </c>
      <c r="F21" s="46" t="s">
        <v>160</v>
      </c>
      <c r="G21" s="46" t="s">
        <v>328</v>
      </c>
      <c r="H21" s="46" t="s">
        <v>473</v>
      </c>
      <c r="I21" s="46" t="s">
        <v>9</v>
      </c>
      <c r="J21" s="49">
        <v>42482</v>
      </c>
      <c r="K21" s="46" t="s">
        <v>158</v>
      </c>
      <c r="L21" s="49">
        <v>41241</v>
      </c>
      <c r="M21" s="46" t="s">
        <v>159</v>
      </c>
      <c r="N21" s="49">
        <v>42482</v>
      </c>
      <c r="O21" s="46" t="s">
        <v>558</v>
      </c>
      <c r="P21" s="46" t="s">
        <v>173</v>
      </c>
      <c r="Q21" s="46" t="s">
        <v>559</v>
      </c>
    </row>
    <row r="22" spans="1:17">
      <c r="A22" s="67" t="str">
        <f t="shared" ca="1" si="0"/>
        <v>G</v>
      </c>
      <c r="B22" s="67">
        <f t="shared" si="3"/>
        <v>39</v>
      </c>
      <c r="C22" s="67" t="str">
        <f t="shared" si="4"/>
        <v>CPK</v>
      </c>
      <c r="D22" s="67" t="str">
        <f ca="1">IF(ISERROR(MATCH(C22,VLUNIVticker,0)),INDEX(VLUNIVticker,MATCH(C22,VLUNIVparent,0)),Ratings!C22)</f>
        <v>CPK</v>
      </c>
      <c r="E22" s="46" t="s">
        <v>121</v>
      </c>
      <c r="F22" s="46" t="s">
        <v>183</v>
      </c>
      <c r="G22" s="46" t="s">
        <v>160</v>
      </c>
      <c r="H22" s="46" t="s">
        <v>554</v>
      </c>
      <c r="I22" s="46" t="s">
        <v>160</v>
      </c>
      <c r="J22" s="49" t="s">
        <v>160</v>
      </c>
      <c r="K22" s="46" t="s">
        <v>160</v>
      </c>
      <c r="L22" s="49" t="s">
        <v>160</v>
      </c>
      <c r="M22" s="46" t="s">
        <v>160</v>
      </c>
      <c r="N22" s="49" t="s">
        <v>160</v>
      </c>
      <c r="O22" s="46" t="s">
        <v>160</v>
      </c>
      <c r="P22" s="46" t="s">
        <v>121</v>
      </c>
      <c r="Q22" s="46" t="s">
        <v>160</v>
      </c>
    </row>
    <row r="23" spans="1:17">
      <c r="A23" s="67" t="str">
        <f t="shared" ca="1" si="0"/>
        <v>E</v>
      </c>
      <c r="B23" s="67">
        <f t="shared" si="3"/>
        <v>25</v>
      </c>
      <c r="C23" s="67" t="str">
        <f t="shared" si="4"/>
        <v>EXC</v>
      </c>
      <c r="D23" s="67" t="str">
        <f ca="1">IF(ISERROR(MATCH(C23,VLUNIVticker,0)),INDEX(VLUNIVticker,MATCH(C23,VLUNIVparent,0)),Ratings!C23)</f>
        <v>EXC</v>
      </c>
      <c r="E23" s="46" t="s">
        <v>330</v>
      </c>
      <c r="F23" s="46" t="s">
        <v>160</v>
      </c>
      <c r="G23" s="46" t="s">
        <v>331</v>
      </c>
      <c r="H23" s="46" t="s">
        <v>473</v>
      </c>
      <c r="I23" s="46" t="s">
        <v>11</v>
      </c>
      <c r="J23" s="49">
        <v>40016</v>
      </c>
      <c r="K23" s="46" t="s">
        <v>158</v>
      </c>
      <c r="L23" s="49">
        <v>40016</v>
      </c>
      <c r="M23" s="46" t="s">
        <v>159</v>
      </c>
      <c r="N23" s="49">
        <v>40016</v>
      </c>
      <c r="O23" s="46" t="s">
        <v>77</v>
      </c>
      <c r="P23" s="46" t="s">
        <v>77</v>
      </c>
      <c r="Q23" s="46" t="s">
        <v>560</v>
      </c>
    </row>
    <row r="24" spans="1:17">
      <c r="A24" s="67" t="str">
        <f t="shared" ca="1" si="0"/>
        <v>E</v>
      </c>
      <c r="B24" s="67">
        <f t="shared" si="3"/>
        <v>21</v>
      </c>
      <c r="C24" s="67" t="str">
        <f t="shared" si="4"/>
        <v>IBE</v>
      </c>
      <c r="D24" s="67" t="str">
        <f ca="1">IF(ISERROR(MATCH(C24,VLUNIVticker,0)),INDEX(VLUNIVticker,MATCH(C24,VLUNIVparent,0)),Ratings!C24)</f>
        <v>AGR</v>
      </c>
      <c r="E24" s="46" t="s">
        <v>332</v>
      </c>
      <c r="F24" s="46" t="s">
        <v>160</v>
      </c>
      <c r="G24" s="46" t="s">
        <v>333</v>
      </c>
      <c r="H24" s="46" t="s">
        <v>473</v>
      </c>
      <c r="I24" s="46" t="s">
        <v>9</v>
      </c>
      <c r="J24" s="49">
        <v>42625</v>
      </c>
      <c r="K24" s="46" t="s">
        <v>158</v>
      </c>
      <c r="L24" s="49">
        <v>40498</v>
      </c>
      <c r="M24" s="46" t="s">
        <v>159</v>
      </c>
      <c r="N24" s="49">
        <v>42625</v>
      </c>
      <c r="O24" s="46" t="s">
        <v>561</v>
      </c>
      <c r="P24" s="46" t="s">
        <v>173</v>
      </c>
      <c r="Q24" s="46" t="s">
        <v>562</v>
      </c>
    </row>
    <row r="25" spans="1:17">
      <c r="A25" s="67" t="str">
        <f t="shared" ca="1" si="0"/>
        <v>E</v>
      </c>
      <c r="B25" s="67">
        <f t="shared" si="3"/>
        <v>32</v>
      </c>
      <c r="C25" s="67" t="str">
        <f t="shared" si="4"/>
        <v>ED</v>
      </c>
      <c r="D25" s="67" t="str">
        <f ca="1">IF(ISERROR(MATCH(C25,VLUNIVticker,0)),INDEX(VLUNIVticker,MATCH(C25,VLUNIVparent,0)),Ratings!C25)</f>
        <v>ED</v>
      </c>
      <c r="E25" s="46" t="s">
        <v>335</v>
      </c>
      <c r="F25" s="46" t="s">
        <v>160</v>
      </c>
      <c r="G25" s="46" t="s">
        <v>336</v>
      </c>
      <c r="H25" s="46" t="s">
        <v>473</v>
      </c>
      <c r="I25" s="46" t="s">
        <v>9</v>
      </c>
      <c r="J25" s="49">
        <v>39532</v>
      </c>
      <c r="K25" s="46" t="s">
        <v>158</v>
      </c>
      <c r="L25" s="49">
        <v>37335</v>
      </c>
      <c r="M25" s="46" t="s">
        <v>159</v>
      </c>
      <c r="N25" s="49">
        <v>42761</v>
      </c>
      <c r="O25" s="46" t="s">
        <v>69</v>
      </c>
      <c r="P25" s="46" t="s">
        <v>69</v>
      </c>
      <c r="Q25" s="46" t="s">
        <v>160</v>
      </c>
    </row>
    <row r="26" spans="1:17">
      <c r="A26" s="67" t="str">
        <f t="shared" ca="1" si="0"/>
        <v>E</v>
      </c>
      <c r="B26" s="67">
        <f t="shared" si="3"/>
        <v>29</v>
      </c>
      <c r="C26" s="67" t="str">
        <f t="shared" si="4"/>
        <v>CMS</v>
      </c>
      <c r="D26" s="67" t="str">
        <f ca="1">IF(ISERROR(MATCH(C26,VLUNIVticker,0)),INDEX(VLUNIVticker,MATCH(C26,VLUNIVparent,0)),Ratings!C26)</f>
        <v>CMS</v>
      </c>
      <c r="E26" s="46" t="s">
        <v>337</v>
      </c>
      <c r="F26" s="46" t="s">
        <v>160</v>
      </c>
      <c r="G26" s="46" t="s">
        <v>338</v>
      </c>
      <c r="H26" s="46" t="s">
        <v>326</v>
      </c>
      <c r="I26" s="46" t="s">
        <v>10</v>
      </c>
      <c r="J26" s="49">
        <v>41976</v>
      </c>
      <c r="K26" s="46" t="s">
        <v>158</v>
      </c>
      <c r="L26" s="49">
        <v>39211</v>
      </c>
      <c r="M26" s="46" t="s">
        <v>159</v>
      </c>
      <c r="N26" s="49">
        <v>41976</v>
      </c>
      <c r="O26" s="46" t="s">
        <v>42</v>
      </c>
      <c r="P26" s="46" t="s">
        <v>42</v>
      </c>
      <c r="Q26" s="46" t="s">
        <v>160</v>
      </c>
    </row>
    <row r="27" spans="1:17">
      <c r="A27" s="67" t="str">
        <f t="shared" ca="1" si="0"/>
        <v>E</v>
      </c>
      <c r="B27" s="67">
        <f t="shared" si="3"/>
        <v>25</v>
      </c>
      <c r="C27" s="67" t="str">
        <f t="shared" si="4"/>
        <v>EXC</v>
      </c>
      <c r="D27" s="67" t="str">
        <f ca="1">IF(ISERROR(MATCH(C27,VLUNIVticker,0)),INDEX(VLUNIVticker,MATCH(C27,VLUNIVparent,0)),Ratings!C27)</f>
        <v>EXC</v>
      </c>
      <c r="E27" s="46" t="s">
        <v>339</v>
      </c>
      <c r="F27" s="46" t="s">
        <v>160</v>
      </c>
      <c r="G27" s="46" t="s">
        <v>340</v>
      </c>
      <c r="H27" s="46" t="s">
        <v>473</v>
      </c>
      <c r="I27" s="46" t="s">
        <v>10</v>
      </c>
      <c r="J27" s="49">
        <v>40360</v>
      </c>
      <c r="K27" s="46" t="s">
        <v>158</v>
      </c>
      <c r="L27" s="49">
        <v>40360</v>
      </c>
      <c r="M27" s="46" t="s">
        <v>159</v>
      </c>
      <c r="N27" s="49">
        <v>40360</v>
      </c>
      <c r="O27" s="46" t="s">
        <v>552</v>
      </c>
      <c r="P27" s="46" t="s">
        <v>77</v>
      </c>
      <c r="Q27" s="46" t="s">
        <v>553</v>
      </c>
    </row>
    <row r="28" spans="1:17">
      <c r="A28" s="67" t="str">
        <f t="shared" ca="1" si="0"/>
        <v>E</v>
      </c>
      <c r="B28" s="67">
        <f t="shared" si="3"/>
        <v>25</v>
      </c>
      <c r="C28" s="67" t="str">
        <f t="shared" si="4"/>
        <v>DTE</v>
      </c>
      <c r="D28" s="67" t="str">
        <f ca="1">IF(ISERROR(MATCH(C28,VLUNIVticker,0)),INDEX(VLUNIVticker,MATCH(C28,VLUNIVparent,0)),Ratings!C28)</f>
        <v>DTE</v>
      </c>
      <c r="E28" s="46" t="s">
        <v>341</v>
      </c>
      <c r="F28" s="46" t="s">
        <v>160</v>
      </c>
      <c r="G28" s="46" t="s">
        <v>342</v>
      </c>
      <c r="H28" s="46" t="s">
        <v>326</v>
      </c>
      <c r="I28" s="46" t="s">
        <v>10</v>
      </c>
      <c r="J28" s="49">
        <v>40521</v>
      </c>
      <c r="K28" s="46" t="s">
        <v>160</v>
      </c>
      <c r="L28" s="49" t="s">
        <v>160</v>
      </c>
      <c r="M28" s="46" t="s">
        <v>159</v>
      </c>
      <c r="N28" s="49">
        <v>42237</v>
      </c>
      <c r="O28" s="46" t="s">
        <v>46</v>
      </c>
      <c r="P28" s="46" t="s">
        <v>46</v>
      </c>
      <c r="Q28" s="46" t="s">
        <v>160</v>
      </c>
    </row>
    <row r="29" spans="1:17">
      <c r="A29" s="67" t="str">
        <f t="shared" ca="1" si="0"/>
        <v>E</v>
      </c>
      <c r="B29" s="67">
        <f t="shared" si="3"/>
        <v>25</v>
      </c>
      <c r="C29" s="67" t="str">
        <f t="shared" si="4"/>
        <v>DTE</v>
      </c>
      <c r="D29" s="67" t="str">
        <f ca="1">IF(ISERROR(MATCH(C29,VLUNIVticker,0)),INDEX(VLUNIVticker,MATCH(C29,VLUNIVparent,0)),Ratings!C29)</f>
        <v>DTE</v>
      </c>
      <c r="E29" s="46" t="s">
        <v>343</v>
      </c>
      <c r="F29" s="46" t="s">
        <v>160</v>
      </c>
      <c r="G29" s="46" t="s">
        <v>344</v>
      </c>
      <c r="H29" s="46" t="s">
        <v>326</v>
      </c>
      <c r="I29" s="46" t="s">
        <v>10</v>
      </c>
      <c r="J29" s="49">
        <v>40521</v>
      </c>
      <c r="K29" s="46" t="s">
        <v>158</v>
      </c>
      <c r="L29" s="49">
        <v>37029</v>
      </c>
      <c r="M29" s="46" t="s">
        <v>159</v>
      </c>
      <c r="N29" s="49">
        <v>42237</v>
      </c>
      <c r="O29" s="46" t="s">
        <v>46</v>
      </c>
      <c r="P29" s="46" t="s">
        <v>46</v>
      </c>
      <c r="Q29" s="46" t="s">
        <v>400</v>
      </c>
    </row>
    <row r="30" spans="1:17">
      <c r="A30" s="67" t="str">
        <f t="shared" ca="1" si="0"/>
        <v>E</v>
      </c>
      <c r="B30" s="67">
        <f t="shared" si="3"/>
        <v>30</v>
      </c>
      <c r="C30" s="67" t="str">
        <f t="shared" si="4"/>
        <v>DUK</v>
      </c>
      <c r="D30" s="67" t="str">
        <f ca="1">IF(ISERROR(MATCH(C30,VLUNIVticker,0)),INDEX(VLUNIVticker,MATCH(C30,VLUNIVparent,0)),Ratings!C30)</f>
        <v>DUK</v>
      </c>
      <c r="E30" s="46" t="s">
        <v>345</v>
      </c>
      <c r="F30" s="46" t="s">
        <v>160</v>
      </c>
      <c r="G30" s="46" t="s">
        <v>346</v>
      </c>
      <c r="H30" s="46" t="s">
        <v>473</v>
      </c>
      <c r="I30" s="46" t="s">
        <v>9</v>
      </c>
      <c r="J30" s="49">
        <v>42096</v>
      </c>
      <c r="K30" s="46" t="s">
        <v>158</v>
      </c>
      <c r="L30" s="49">
        <v>41115</v>
      </c>
      <c r="M30" s="46" t="s">
        <v>159</v>
      </c>
      <c r="N30" s="49">
        <v>42747</v>
      </c>
      <c r="O30" s="46" t="s">
        <v>73</v>
      </c>
      <c r="P30" s="46" t="s">
        <v>73</v>
      </c>
      <c r="Q30" s="46" t="s">
        <v>160</v>
      </c>
    </row>
    <row r="31" spans="1:17">
      <c r="A31" s="67" t="str">
        <f t="shared" ca="1" si="0"/>
        <v>E</v>
      </c>
      <c r="B31" s="67">
        <f t="shared" si="3"/>
        <v>30</v>
      </c>
      <c r="C31" s="67" t="str">
        <f t="shared" si="4"/>
        <v>DUK</v>
      </c>
      <c r="D31" s="67" t="str">
        <f ca="1">IF(ISERROR(MATCH(C31,VLUNIVticker,0)),INDEX(VLUNIVticker,MATCH(C31,VLUNIVparent,0)),Ratings!C31)</f>
        <v>DUK</v>
      </c>
      <c r="E31" s="46" t="s">
        <v>347</v>
      </c>
      <c r="F31" s="46" t="s">
        <v>160</v>
      </c>
      <c r="G31" s="46" t="s">
        <v>348</v>
      </c>
      <c r="H31" s="46" t="s">
        <v>473</v>
      </c>
      <c r="I31" s="46" t="s">
        <v>9</v>
      </c>
      <c r="J31" s="49">
        <v>42096</v>
      </c>
      <c r="K31" s="46" t="s">
        <v>158</v>
      </c>
      <c r="L31" s="49">
        <v>41115</v>
      </c>
      <c r="M31" s="46" t="s">
        <v>159</v>
      </c>
      <c r="N31" s="49">
        <v>42747</v>
      </c>
      <c r="O31" s="46" t="s">
        <v>563</v>
      </c>
      <c r="P31" s="46" t="s">
        <v>73</v>
      </c>
      <c r="Q31" s="46" t="s">
        <v>564</v>
      </c>
    </row>
    <row r="32" spans="1:17">
      <c r="A32" s="67" t="str">
        <f t="shared" ca="1" si="0"/>
        <v>E</v>
      </c>
      <c r="B32" s="67">
        <f t="shared" si="3"/>
        <v>30</v>
      </c>
      <c r="C32" s="67" t="str">
        <f t="shared" si="4"/>
        <v>DUK</v>
      </c>
      <c r="D32" s="67" t="str">
        <f ca="1">IF(ISERROR(MATCH(C32,VLUNIVticker,0)),INDEX(VLUNIVticker,MATCH(C32,VLUNIVparent,0)),Ratings!C32)</f>
        <v>DUK</v>
      </c>
      <c r="E32" s="46" t="s">
        <v>349</v>
      </c>
      <c r="F32" s="46" t="s">
        <v>160</v>
      </c>
      <c r="G32" s="46" t="s">
        <v>350</v>
      </c>
      <c r="H32" s="46" t="s">
        <v>473</v>
      </c>
      <c r="I32" s="46" t="s">
        <v>9</v>
      </c>
      <c r="J32" s="49">
        <v>42096</v>
      </c>
      <c r="K32" s="46" t="s">
        <v>158</v>
      </c>
      <c r="L32" s="49">
        <v>41115</v>
      </c>
      <c r="M32" s="46" t="s">
        <v>159</v>
      </c>
      <c r="N32" s="49">
        <v>42747</v>
      </c>
      <c r="O32" s="46" t="s">
        <v>565</v>
      </c>
      <c r="P32" s="46" t="s">
        <v>73</v>
      </c>
      <c r="Q32" s="46" t="s">
        <v>73</v>
      </c>
    </row>
    <row r="33" spans="1:17">
      <c r="A33" s="67" t="str">
        <f t="shared" ca="1" si="0"/>
        <v>E</v>
      </c>
      <c r="B33" s="67">
        <f t="shared" si="3"/>
        <v>30</v>
      </c>
      <c r="C33" s="67" t="str">
        <f t="shared" si="4"/>
        <v>DUK</v>
      </c>
      <c r="D33" s="67" t="str">
        <f ca="1">IF(ISERROR(MATCH(C33,VLUNIVticker,0)),INDEX(VLUNIVticker,MATCH(C33,VLUNIVparent,0)),Ratings!C33)</f>
        <v>DUK</v>
      </c>
      <c r="E33" s="46" t="s">
        <v>351</v>
      </c>
      <c r="F33" s="46" t="s">
        <v>160</v>
      </c>
      <c r="G33" s="46" t="s">
        <v>352</v>
      </c>
      <c r="H33" s="46" t="s">
        <v>473</v>
      </c>
      <c r="I33" s="46" t="s">
        <v>9</v>
      </c>
      <c r="J33" s="49">
        <v>42096</v>
      </c>
      <c r="K33" s="46" t="s">
        <v>158</v>
      </c>
      <c r="L33" s="49">
        <v>41115</v>
      </c>
      <c r="M33" s="46" t="s">
        <v>159</v>
      </c>
      <c r="N33" s="49">
        <v>42747</v>
      </c>
      <c r="O33" s="46" t="s">
        <v>353</v>
      </c>
      <c r="P33" s="46" t="s">
        <v>73</v>
      </c>
      <c r="Q33" s="46" t="s">
        <v>73</v>
      </c>
    </row>
    <row r="34" spans="1:17">
      <c r="A34" s="67" t="str">
        <f t="shared" ca="1" si="0"/>
        <v>E</v>
      </c>
      <c r="B34" s="67">
        <f t="shared" si="3"/>
        <v>30</v>
      </c>
      <c r="C34" s="67" t="str">
        <f t="shared" si="4"/>
        <v>DUK</v>
      </c>
      <c r="D34" s="67" t="str">
        <f ca="1">IF(ISERROR(MATCH(C34,VLUNIVticker,0)),INDEX(VLUNIVticker,MATCH(C34,VLUNIVparent,0)),Ratings!C34)</f>
        <v>DUK</v>
      </c>
      <c r="E34" s="46" t="s">
        <v>353</v>
      </c>
      <c r="F34" s="46" t="s">
        <v>160</v>
      </c>
      <c r="G34" s="46" t="s">
        <v>354</v>
      </c>
      <c r="H34" s="46" t="s">
        <v>473</v>
      </c>
      <c r="I34" s="46" t="s">
        <v>9</v>
      </c>
      <c r="J34" s="49">
        <v>42096</v>
      </c>
      <c r="K34" s="46" t="s">
        <v>158</v>
      </c>
      <c r="L34" s="49">
        <v>41115</v>
      </c>
      <c r="M34" s="46" t="s">
        <v>159</v>
      </c>
      <c r="N34" s="49">
        <v>42747</v>
      </c>
      <c r="O34" s="46" t="s">
        <v>565</v>
      </c>
      <c r="P34" s="46" t="s">
        <v>73</v>
      </c>
      <c r="Q34" s="46" t="s">
        <v>73</v>
      </c>
    </row>
    <row r="35" spans="1:17">
      <c r="A35" s="67" t="str">
        <f t="shared" ca="1" si="0"/>
        <v>E</v>
      </c>
      <c r="B35" s="67">
        <f t="shared" si="3"/>
        <v>30</v>
      </c>
      <c r="C35" s="67" t="str">
        <f t="shared" si="4"/>
        <v>DUK</v>
      </c>
      <c r="D35" s="67" t="str">
        <f ca="1">IF(ISERROR(MATCH(C35,VLUNIVticker,0)),INDEX(VLUNIVticker,MATCH(C35,VLUNIVparent,0)),Ratings!C35)</f>
        <v>DUK</v>
      </c>
      <c r="E35" s="46" t="s">
        <v>355</v>
      </c>
      <c r="F35" s="46" t="s">
        <v>160</v>
      </c>
      <c r="G35" s="46" t="s">
        <v>356</v>
      </c>
      <c r="H35" s="46" t="s">
        <v>473</v>
      </c>
      <c r="I35" s="46" t="s">
        <v>9</v>
      </c>
      <c r="J35" s="49">
        <v>42096</v>
      </c>
      <c r="K35" s="46" t="s">
        <v>158</v>
      </c>
      <c r="L35" s="49">
        <v>41115</v>
      </c>
      <c r="M35" s="46" t="s">
        <v>159</v>
      </c>
      <c r="N35" s="49">
        <v>42747</v>
      </c>
      <c r="O35" s="46" t="s">
        <v>454</v>
      </c>
      <c r="P35" s="46" t="s">
        <v>73</v>
      </c>
      <c r="Q35" s="46" t="s">
        <v>160</v>
      </c>
    </row>
    <row r="36" spans="1:17">
      <c r="A36" s="67" t="str">
        <f t="shared" ca="1" si="0"/>
        <v>E</v>
      </c>
      <c r="B36" s="67">
        <f t="shared" si="3"/>
        <v>31</v>
      </c>
      <c r="C36" s="67" t="str">
        <f t="shared" si="4"/>
        <v>EE</v>
      </c>
      <c r="D36" s="67" t="str">
        <f ca="1">IF(ISERROR(MATCH(C36,VLUNIVticker,0)),INDEX(VLUNIVticker,MATCH(C36,VLUNIVparent,0)),Ratings!C36)</f>
        <v>EE</v>
      </c>
      <c r="E36" s="46" t="s">
        <v>98</v>
      </c>
      <c r="F36" s="46" t="s">
        <v>196</v>
      </c>
      <c r="G36" s="46" t="s">
        <v>197</v>
      </c>
      <c r="H36" s="46" t="s">
        <v>551</v>
      </c>
      <c r="I36" s="46" t="s">
        <v>11</v>
      </c>
      <c r="J36" s="49">
        <v>38211</v>
      </c>
      <c r="K36" s="46" t="s">
        <v>158</v>
      </c>
      <c r="L36" s="49">
        <v>33725</v>
      </c>
      <c r="M36" s="46" t="s">
        <v>159</v>
      </c>
      <c r="N36" s="49">
        <v>38211</v>
      </c>
      <c r="O36" s="46" t="s">
        <v>160</v>
      </c>
      <c r="P36" s="46" t="s">
        <v>98</v>
      </c>
      <c r="Q36" s="46" t="s">
        <v>160</v>
      </c>
    </row>
    <row r="37" spans="1:17">
      <c r="A37" s="67" t="str">
        <f t="shared" ca="1" si="0"/>
        <v>E</v>
      </c>
      <c r="B37" s="67">
        <f t="shared" si="3"/>
        <v>26</v>
      </c>
      <c r="C37" s="67" t="str">
        <f t="shared" si="4"/>
        <v>ETR</v>
      </c>
      <c r="D37" s="67" t="str">
        <f ca="1">IF(ISERROR(MATCH(C37,VLUNIVticker,0)),INDEX(VLUNIVticker,MATCH(C37,VLUNIVparent,0)),Ratings!C37)</f>
        <v>ETR</v>
      </c>
      <c r="E37" s="46" t="s">
        <v>358</v>
      </c>
      <c r="F37" s="46" t="s">
        <v>160</v>
      </c>
      <c r="G37" s="46" t="s">
        <v>359</v>
      </c>
      <c r="H37" s="46" t="s">
        <v>326</v>
      </c>
      <c r="I37" s="46" t="s">
        <v>10</v>
      </c>
      <c r="J37" s="49">
        <v>42586</v>
      </c>
      <c r="K37" s="46" t="s">
        <v>158</v>
      </c>
      <c r="L37" s="49">
        <v>39477</v>
      </c>
      <c r="M37" s="46" t="s">
        <v>177</v>
      </c>
      <c r="N37" s="49">
        <v>42744</v>
      </c>
      <c r="O37" s="46" t="s">
        <v>48</v>
      </c>
      <c r="P37" s="46" t="s">
        <v>48</v>
      </c>
      <c r="Q37" s="46" t="s">
        <v>160</v>
      </c>
    </row>
    <row r="38" spans="1:17">
      <c r="A38" s="67" t="str">
        <f t="shared" ref="A38:A69" ca="1" si="5">VLOOKUP(D38,VLUTIL,3,FALSE)</f>
        <v>E</v>
      </c>
      <c r="B38" s="67">
        <f t="shared" si="3"/>
        <v>26</v>
      </c>
      <c r="C38" s="67" t="str">
        <f t="shared" si="4"/>
        <v>ETR</v>
      </c>
      <c r="D38" s="67" t="str">
        <f ca="1">IF(ISERROR(MATCH(C38,VLUNIVticker,0)),INDEX(VLUNIVticker,MATCH(C38,VLUNIVparent,0)),Ratings!C38)</f>
        <v>ETR</v>
      </c>
      <c r="E38" s="46" t="s">
        <v>361</v>
      </c>
      <c r="F38" s="46" t="s">
        <v>160</v>
      </c>
      <c r="G38" s="46" t="s">
        <v>362</v>
      </c>
      <c r="H38" s="46" t="s">
        <v>326</v>
      </c>
      <c r="I38" s="46" t="s">
        <v>10</v>
      </c>
      <c r="J38" s="49">
        <v>42586</v>
      </c>
      <c r="K38" s="46" t="s">
        <v>158</v>
      </c>
      <c r="L38" s="49">
        <v>39477</v>
      </c>
      <c r="M38" s="46" t="s">
        <v>177</v>
      </c>
      <c r="N38" s="49">
        <v>42744</v>
      </c>
      <c r="O38" s="46" t="s">
        <v>48</v>
      </c>
      <c r="P38" s="46" t="s">
        <v>48</v>
      </c>
      <c r="Q38" s="46" t="s">
        <v>160</v>
      </c>
    </row>
    <row r="39" spans="1:17">
      <c r="A39" s="67" t="str">
        <f t="shared" ca="1" si="5"/>
        <v>E</v>
      </c>
      <c r="B39" s="67">
        <f t="shared" si="3"/>
        <v>26</v>
      </c>
      <c r="C39" s="67" t="str">
        <f t="shared" si="4"/>
        <v>ETR</v>
      </c>
      <c r="D39" s="67" t="str">
        <f ca="1">IF(ISERROR(MATCH(C39,VLUNIVticker,0)),INDEX(VLUNIVticker,MATCH(C39,VLUNIVparent,0)),Ratings!C39)</f>
        <v>ETR</v>
      </c>
      <c r="E39" s="46" t="s">
        <v>363</v>
      </c>
      <c r="F39" s="46" t="s">
        <v>160</v>
      </c>
      <c r="G39" s="46" t="s">
        <v>364</v>
      </c>
      <c r="H39" s="46" t="s">
        <v>326</v>
      </c>
      <c r="I39" s="46" t="s">
        <v>10</v>
      </c>
      <c r="J39" s="49">
        <v>42586</v>
      </c>
      <c r="K39" s="46" t="s">
        <v>158</v>
      </c>
      <c r="L39" s="49">
        <v>39477</v>
      </c>
      <c r="M39" s="46" t="s">
        <v>177</v>
      </c>
      <c r="N39" s="49">
        <v>42744</v>
      </c>
      <c r="O39" s="46" t="s">
        <v>48</v>
      </c>
      <c r="P39" s="46" t="s">
        <v>48</v>
      </c>
      <c r="Q39" s="46" t="s">
        <v>160</v>
      </c>
    </row>
    <row r="40" spans="1:17">
      <c r="A40" s="67" t="str">
        <f t="shared" ca="1" si="5"/>
        <v>E</v>
      </c>
      <c r="B40" s="67">
        <f t="shared" si="3"/>
        <v>27</v>
      </c>
      <c r="C40" s="67" t="str">
        <f t="shared" si="4"/>
        <v>NEE</v>
      </c>
      <c r="D40" s="67" t="str">
        <f ca="1">IF(ISERROR(MATCH(C40,VLUNIVticker,0)),INDEX(VLUNIVticker,MATCH(C40,VLUNIVparent,0)),Ratings!C40)</f>
        <v>NEE</v>
      </c>
      <c r="E40" s="46" t="s">
        <v>365</v>
      </c>
      <c r="F40" s="46" t="s">
        <v>160</v>
      </c>
      <c r="G40" s="46" t="s">
        <v>366</v>
      </c>
      <c r="H40" s="46" t="s">
        <v>473</v>
      </c>
      <c r="I40" s="46" t="s">
        <v>9</v>
      </c>
      <c r="J40" s="49">
        <v>40248</v>
      </c>
      <c r="K40" s="46" t="s">
        <v>158</v>
      </c>
      <c r="L40" s="49">
        <v>40248</v>
      </c>
      <c r="M40" s="46" t="s">
        <v>159</v>
      </c>
      <c r="N40" s="49">
        <v>40248</v>
      </c>
      <c r="O40" s="46" t="s">
        <v>81</v>
      </c>
      <c r="P40" s="46" t="s">
        <v>81</v>
      </c>
      <c r="Q40" s="46" t="s">
        <v>160</v>
      </c>
    </row>
    <row r="41" spans="1:17">
      <c r="A41" s="67" t="str">
        <f t="shared" ca="1" si="5"/>
        <v>E</v>
      </c>
      <c r="B41" s="67">
        <f t="shared" si="3"/>
        <v>27</v>
      </c>
      <c r="C41" s="67" t="str">
        <f t="shared" si="4"/>
        <v>SO</v>
      </c>
      <c r="D41" s="67" t="str">
        <f ca="1">IF(ISERROR(MATCH(C41,VLUNIVticker,0)),INDEX(VLUNIVticker,MATCH(C41,VLUNIVparent,0)),Ratings!C41)</f>
        <v>SO</v>
      </c>
      <c r="E41" s="46" t="s">
        <v>368</v>
      </c>
      <c r="F41" s="46" t="s">
        <v>160</v>
      </c>
      <c r="G41" s="46" t="s">
        <v>369</v>
      </c>
      <c r="H41" s="46" t="s">
        <v>473</v>
      </c>
      <c r="I41" s="46" t="s">
        <v>9</v>
      </c>
      <c r="J41" s="49">
        <v>42233</v>
      </c>
      <c r="K41" s="46" t="s">
        <v>158</v>
      </c>
      <c r="L41" s="49">
        <v>42233</v>
      </c>
      <c r="M41" s="46" t="s">
        <v>260</v>
      </c>
      <c r="N41" s="49">
        <v>42818</v>
      </c>
      <c r="O41" s="46" t="s">
        <v>89</v>
      </c>
      <c r="P41" s="46" t="s">
        <v>89</v>
      </c>
      <c r="Q41" s="46" t="s">
        <v>160</v>
      </c>
    </row>
    <row r="42" spans="1:17">
      <c r="A42" s="67" t="str">
        <f t="shared" ca="1" si="5"/>
        <v>E</v>
      </c>
      <c r="B42" s="67">
        <f t="shared" si="3"/>
        <v>27</v>
      </c>
      <c r="C42" s="67" t="str">
        <f t="shared" si="4"/>
        <v>SO</v>
      </c>
      <c r="D42" s="67" t="str">
        <f ca="1">IF(ISERROR(MATCH(C42,VLUNIVticker,0)),INDEX(VLUNIVticker,MATCH(C42,VLUNIVparent,0)),Ratings!C42)</f>
        <v>SO</v>
      </c>
      <c r="E42" s="46" t="s">
        <v>370</v>
      </c>
      <c r="F42" s="46" t="s">
        <v>160</v>
      </c>
      <c r="G42" s="46" t="s">
        <v>371</v>
      </c>
      <c r="H42" s="46" t="s">
        <v>473</v>
      </c>
      <c r="I42" s="46" t="s">
        <v>9</v>
      </c>
      <c r="J42" s="49">
        <v>42233</v>
      </c>
      <c r="K42" s="46" t="s">
        <v>158</v>
      </c>
      <c r="L42" s="49">
        <v>42233</v>
      </c>
      <c r="M42" s="46" t="s">
        <v>260</v>
      </c>
      <c r="N42" s="49">
        <v>42818</v>
      </c>
      <c r="O42" s="46" t="s">
        <v>89</v>
      </c>
      <c r="P42" s="46" t="s">
        <v>89</v>
      </c>
      <c r="Q42" s="46" t="s">
        <v>160</v>
      </c>
    </row>
    <row r="43" spans="1:17">
      <c r="A43" s="67" t="str">
        <f t="shared" ca="1" si="5"/>
        <v>E</v>
      </c>
      <c r="B43" s="67">
        <f t="shared" si="3"/>
        <v>41</v>
      </c>
      <c r="C43" s="67" t="str">
        <f t="shared" si="4"/>
        <v>HE</v>
      </c>
      <c r="D43" s="67" t="str">
        <f ca="1">IF(ISERROR(MATCH(C43,VLUNIVticker,0)),INDEX(VLUNIVticker,MATCH(C43,VLUNIVparent,0)),Ratings!C43)</f>
        <v>HE</v>
      </c>
      <c r="E43" s="46" t="s">
        <v>372</v>
      </c>
      <c r="F43" s="46" t="s">
        <v>160</v>
      </c>
      <c r="G43" s="46" t="s">
        <v>373</v>
      </c>
      <c r="H43" s="46" t="s">
        <v>551</v>
      </c>
      <c r="I43" s="46" t="s">
        <v>12</v>
      </c>
      <c r="J43" s="49">
        <v>40497</v>
      </c>
      <c r="K43" s="46" t="s">
        <v>158</v>
      </c>
      <c r="L43" s="49">
        <v>42570</v>
      </c>
      <c r="M43" s="46" t="s">
        <v>159</v>
      </c>
      <c r="N43" s="49">
        <v>42570</v>
      </c>
      <c r="O43" s="46" t="s">
        <v>100</v>
      </c>
      <c r="P43" s="46" t="s">
        <v>100</v>
      </c>
      <c r="Q43" s="46" t="s">
        <v>160</v>
      </c>
    </row>
    <row r="44" spans="1:17">
      <c r="A44" s="67" t="str">
        <f t="shared" ca="1" si="5"/>
        <v>E</v>
      </c>
      <c r="B44" s="67">
        <f t="shared" si="3"/>
        <v>20</v>
      </c>
      <c r="C44" s="67" t="str">
        <f t="shared" si="4"/>
        <v>IDA</v>
      </c>
      <c r="D44" s="67" t="str">
        <f ca="1">IF(ISERROR(MATCH(C44,VLUNIVticker,0)),INDEX(VLUNIVticker,MATCH(C44,VLUNIVparent,0)),Ratings!C44)</f>
        <v>IDA</v>
      </c>
      <c r="E44" s="46" t="s">
        <v>375</v>
      </c>
      <c r="F44" s="46" t="s">
        <v>160</v>
      </c>
      <c r="G44" s="46" t="s">
        <v>376</v>
      </c>
      <c r="H44" s="46" t="s">
        <v>551</v>
      </c>
      <c r="I44" s="46" t="s">
        <v>11</v>
      </c>
      <c r="J44" s="49">
        <v>39478</v>
      </c>
      <c r="K44" s="46" t="s">
        <v>158</v>
      </c>
      <c r="L44" s="49">
        <v>38320</v>
      </c>
      <c r="M44" s="46" t="s">
        <v>159</v>
      </c>
      <c r="N44" s="49">
        <v>39478</v>
      </c>
      <c r="O44" s="46" t="s">
        <v>102</v>
      </c>
      <c r="P44" s="46" t="s">
        <v>102</v>
      </c>
      <c r="Q44" s="46" t="s">
        <v>160</v>
      </c>
    </row>
    <row r="45" spans="1:17">
      <c r="A45" s="67" t="str">
        <f t="shared" ca="1" si="5"/>
        <v>E</v>
      </c>
      <c r="B45" s="67">
        <f t="shared" si="3"/>
        <v>26</v>
      </c>
      <c r="C45" s="67" t="str">
        <f t="shared" si="4"/>
        <v>VVC</v>
      </c>
      <c r="D45" s="67" t="str">
        <f ca="1">IF(ISERROR(MATCH(C45,VLUNIVticker,0)),INDEX(VLUNIVticker,MATCH(C45,VLUNIVparent,0)),Ratings!C45)</f>
        <v>VVC</v>
      </c>
      <c r="E45" s="46" t="s">
        <v>377</v>
      </c>
      <c r="F45" s="46" t="s">
        <v>160</v>
      </c>
      <c r="G45" s="46" t="s">
        <v>378</v>
      </c>
      <c r="H45" s="46" t="s">
        <v>326</v>
      </c>
      <c r="I45" s="46" t="s">
        <v>9</v>
      </c>
      <c r="J45" s="49">
        <v>37176</v>
      </c>
      <c r="K45" s="46" t="s">
        <v>158</v>
      </c>
      <c r="L45" s="49">
        <v>36819</v>
      </c>
      <c r="M45" s="46" t="s">
        <v>159</v>
      </c>
      <c r="N45" s="49">
        <v>38378</v>
      </c>
      <c r="O45" s="46" t="s">
        <v>566</v>
      </c>
      <c r="P45" s="46" t="s">
        <v>60</v>
      </c>
      <c r="Q45" s="46" t="s">
        <v>160</v>
      </c>
    </row>
    <row r="46" spans="1:17">
      <c r="A46" s="67" t="str">
        <f t="shared" ca="1" si="5"/>
        <v>E</v>
      </c>
      <c r="B46" s="67">
        <f t="shared" si="3"/>
        <v>44</v>
      </c>
      <c r="C46" s="67" t="str">
        <f t="shared" si="4"/>
        <v>AEP</v>
      </c>
      <c r="D46" s="67" t="str">
        <f ca="1">IF(ISERROR(MATCH(C46,VLUNIVticker,0)),INDEX(VLUNIVticker,MATCH(C46,VLUNIVparent,0)),Ratings!C46)</f>
        <v>AEP</v>
      </c>
      <c r="E46" s="46" t="s">
        <v>380</v>
      </c>
      <c r="F46" s="46" t="s">
        <v>160</v>
      </c>
      <c r="G46" s="46" t="s">
        <v>381</v>
      </c>
      <c r="H46" s="46" t="s">
        <v>326</v>
      </c>
      <c r="I46" s="46" t="s">
        <v>9</v>
      </c>
      <c r="J46" s="49">
        <v>42768</v>
      </c>
      <c r="K46" s="46" t="s">
        <v>158</v>
      </c>
      <c r="L46" s="49">
        <v>42768</v>
      </c>
      <c r="M46" s="46" t="s">
        <v>159</v>
      </c>
      <c r="N46" s="49">
        <v>42768</v>
      </c>
      <c r="O46" s="46" t="s">
        <v>40</v>
      </c>
      <c r="P46" s="46" t="s">
        <v>40</v>
      </c>
      <c r="Q46" s="46" t="s">
        <v>160</v>
      </c>
    </row>
    <row r="47" spans="1:17">
      <c r="A47" s="67" t="str">
        <f t="shared" ca="1" si="5"/>
        <v>E</v>
      </c>
      <c r="B47" s="67">
        <f t="shared" si="3"/>
        <v>33</v>
      </c>
      <c r="C47" s="67" t="str">
        <f t="shared" si="4"/>
        <v>LNT</v>
      </c>
      <c r="D47" s="67" t="str">
        <f ca="1">IF(ISERROR(MATCH(C47,VLUNIVticker,0)),INDEX(VLUNIVticker,MATCH(C47,VLUNIVparent,0)),Ratings!C47)</f>
        <v>LNT</v>
      </c>
      <c r="E47" s="46" t="s">
        <v>382</v>
      </c>
      <c r="F47" s="46" t="s">
        <v>160</v>
      </c>
      <c r="G47" s="46" t="s">
        <v>383</v>
      </c>
      <c r="H47" s="46" t="s">
        <v>326</v>
      </c>
      <c r="I47" s="46" t="s">
        <v>9</v>
      </c>
      <c r="J47" s="49">
        <v>41285</v>
      </c>
      <c r="K47" s="46" t="s">
        <v>160</v>
      </c>
      <c r="L47" s="49" t="s">
        <v>160</v>
      </c>
      <c r="M47" s="46" t="s">
        <v>159</v>
      </c>
      <c r="N47" s="49">
        <v>41285</v>
      </c>
      <c r="O47" s="46" t="s">
        <v>36</v>
      </c>
      <c r="P47" s="46" t="s">
        <v>36</v>
      </c>
      <c r="Q47" s="46" t="s">
        <v>160</v>
      </c>
    </row>
    <row r="48" spans="1:17">
      <c r="A48" s="67" t="str">
        <f t="shared" ca="1" si="5"/>
        <v>E</v>
      </c>
      <c r="B48" s="67">
        <f t="shared" si="3"/>
        <v>24</v>
      </c>
      <c r="C48" s="67" t="str">
        <f t="shared" si="4"/>
        <v>FE</v>
      </c>
      <c r="D48" s="67" t="str">
        <f ca="1">IF(ISERROR(MATCH(C48,VLUNIVticker,0)),INDEX(VLUNIVticker,MATCH(C48,VLUNIVparent,0)),Ratings!C48)</f>
        <v>FE</v>
      </c>
      <c r="E48" s="46" t="s">
        <v>384</v>
      </c>
      <c r="F48" s="46" t="s">
        <v>160</v>
      </c>
      <c r="G48" s="46" t="s">
        <v>385</v>
      </c>
      <c r="H48" s="46" t="s">
        <v>473</v>
      </c>
      <c r="I48" s="46" t="s">
        <v>12</v>
      </c>
      <c r="J48" s="49">
        <v>40220</v>
      </c>
      <c r="K48" s="46" t="s">
        <v>158</v>
      </c>
      <c r="L48" s="49">
        <v>37978</v>
      </c>
      <c r="M48" s="46" t="s">
        <v>159</v>
      </c>
      <c r="N48" s="49">
        <v>42963</v>
      </c>
      <c r="O48" s="46" t="s">
        <v>79</v>
      </c>
      <c r="P48" s="46" t="s">
        <v>79</v>
      </c>
      <c r="Q48" s="46" t="s">
        <v>567</v>
      </c>
    </row>
    <row r="49" spans="1:17">
      <c r="A49" s="67" t="str">
        <f t="shared" ca="1" si="5"/>
        <v>E</v>
      </c>
      <c r="B49" s="67">
        <f t="shared" si="3"/>
        <v>39</v>
      </c>
      <c r="C49" s="67" t="str">
        <f t="shared" si="4"/>
        <v>GXP</v>
      </c>
      <c r="D49" s="67" t="str">
        <f ca="1">IF(ISERROR(MATCH(C49,VLUNIVticker,0)),INDEX(VLUNIVticker,MATCH(C49,VLUNIVparent,0)),Ratings!C49)</f>
        <v>GXP</v>
      </c>
      <c r="E49" s="46" t="s">
        <v>386</v>
      </c>
      <c r="F49" s="46" t="s">
        <v>160</v>
      </c>
      <c r="G49" s="46" t="s">
        <v>387</v>
      </c>
      <c r="H49" s="46" t="s">
        <v>326</v>
      </c>
      <c r="I49" s="46" t="s">
        <v>10</v>
      </c>
      <c r="J49" s="49">
        <v>41760</v>
      </c>
      <c r="K49" s="46" t="s">
        <v>158</v>
      </c>
      <c r="L49" s="49">
        <v>39643</v>
      </c>
      <c r="M49" s="46" t="s">
        <v>177</v>
      </c>
      <c r="N49" s="49">
        <v>42927</v>
      </c>
      <c r="O49" s="46" t="s">
        <v>52</v>
      </c>
      <c r="P49" s="46" t="s">
        <v>52</v>
      </c>
      <c r="Q49" s="46" t="s">
        <v>160</v>
      </c>
    </row>
    <row r="50" spans="1:17">
      <c r="A50" s="67" t="str">
        <f t="shared" ca="1" si="5"/>
        <v>E</v>
      </c>
      <c r="B50" s="67">
        <f t="shared" si="3"/>
        <v>26</v>
      </c>
      <c r="C50" s="67" t="str">
        <f t="shared" si="4"/>
        <v>WR</v>
      </c>
      <c r="D50" s="67" t="str">
        <f ca="1">IF(ISERROR(MATCH(C50,VLUNIVticker,0)),INDEX(VLUNIVticker,MATCH(C50,VLUNIVparent,0)),Ratings!C50)</f>
        <v>WR</v>
      </c>
      <c r="E50" s="46" t="s">
        <v>388</v>
      </c>
      <c r="F50" s="46" t="s">
        <v>160</v>
      </c>
      <c r="G50" s="46" t="s">
        <v>389</v>
      </c>
      <c r="H50" s="46" t="s">
        <v>326</v>
      </c>
      <c r="I50" s="46" t="s">
        <v>10</v>
      </c>
      <c r="J50" s="49">
        <v>41758</v>
      </c>
      <c r="K50" s="46" t="s">
        <v>158</v>
      </c>
      <c r="L50" s="49">
        <v>37658</v>
      </c>
      <c r="M50" s="46" t="s">
        <v>177</v>
      </c>
      <c r="N50" s="49">
        <v>42927</v>
      </c>
      <c r="O50" s="46" t="s">
        <v>64</v>
      </c>
      <c r="P50" s="46" t="s">
        <v>64</v>
      </c>
      <c r="Q50" s="46" t="s">
        <v>160</v>
      </c>
    </row>
    <row r="51" spans="1:17">
      <c r="A51" s="67" t="str">
        <f t="shared" ca="1" si="5"/>
        <v>E</v>
      </c>
      <c r="B51" s="67">
        <f t="shared" si="3"/>
        <v>39</v>
      </c>
      <c r="C51" s="67" t="str">
        <f t="shared" si="4"/>
        <v>GXP</v>
      </c>
      <c r="D51" s="67" t="str">
        <f ca="1">IF(ISERROR(MATCH(C51,VLUNIVticker,0)),INDEX(VLUNIVticker,MATCH(C51,VLUNIVparent,0)),Ratings!C51)</f>
        <v>GXP</v>
      </c>
      <c r="E51" s="46" t="s">
        <v>390</v>
      </c>
      <c r="F51" s="46" t="s">
        <v>160</v>
      </c>
      <c r="G51" s="46" t="s">
        <v>391</v>
      </c>
      <c r="H51" s="46" t="s">
        <v>326</v>
      </c>
      <c r="I51" s="46" t="s">
        <v>10</v>
      </c>
      <c r="J51" s="49">
        <v>41760</v>
      </c>
      <c r="K51" s="46" t="s">
        <v>158</v>
      </c>
      <c r="L51" s="49">
        <v>39643</v>
      </c>
      <c r="M51" s="46" t="s">
        <v>177</v>
      </c>
      <c r="N51" s="49">
        <v>42927</v>
      </c>
      <c r="O51" s="46" t="s">
        <v>52</v>
      </c>
      <c r="P51" s="46" t="s">
        <v>52</v>
      </c>
      <c r="Q51" s="46" t="s">
        <v>160</v>
      </c>
    </row>
    <row r="52" spans="1:17">
      <c r="A52" s="67" t="str">
        <f t="shared" ca="1" si="5"/>
        <v>E</v>
      </c>
      <c r="B52" s="67">
        <f t="shared" si="3"/>
        <v>44</v>
      </c>
      <c r="C52" s="67" t="str">
        <f t="shared" si="4"/>
        <v>AEP</v>
      </c>
      <c r="D52" s="67" t="str">
        <f ca="1">IF(ISERROR(MATCH(C52,VLUNIVticker,0)),INDEX(VLUNIVticker,MATCH(C52,VLUNIVparent,0)),Ratings!C52)</f>
        <v>AEP</v>
      </c>
      <c r="E52" s="46" t="s">
        <v>392</v>
      </c>
      <c r="F52" s="46" t="s">
        <v>160</v>
      </c>
      <c r="G52" s="46" t="s">
        <v>393</v>
      </c>
      <c r="H52" s="46" t="s">
        <v>326</v>
      </c>
      <c r="I52" s="46" t="s">
        <v>9</v>
      </c>
      <c r="J52" s="49">
        <v>42768</v>
      </c>
      <c r="K52" s="46" t="s">
        <v>158</v>
      </c>
      <c r="L52" s="49">
        <v>42768</v>
      </c>
      <c r="M52" s="46" t="s">
        <v>159</v>
      </c>
      <c r="N52" s="49">
        <v>42768</v>
      </c>
      <c r="O52" s="46" t="s">
        <v>40</v>
      </c>
      <c r="P52" s="46" t="s">
        <v>40</v>
      </c>
      <c r="Q52" s="46" t="s">
        <v>160</v>
      </c>
    </row>
    <row r="53" spans="1:17">
      <c r="A53" s="67" t="str">
        <f t="shared" ca="1" si="5"/>
        <v>E</v>
      </c>
      <c r="B53" s="67">
        <f t="shared" si="3"/>
        <v>22</v>
      </c>
      <c r="C53" s="67" t="str">
        <f t="shared" si="4"/>
        <v>PPL</v>
      </c>
      <c r="D53" s="67" t="str">
        <f ca="1">IF(ISERROR(MATCH(C53,VLUNIVticker,0)),INDEX(VLUNIVticker,MATCH(C53,VLUNIVparent,0)),Ratings!C53)</f>
        <v>PPL</v>
      </c>
      <c r="E53" s="46" t="s">
        <v>394</v>
      </c>
      <c r="F53" s="46" t="s">
        <v>160</v>
      </c>
      <c r="G53" s="46" t="s">
        <v>395</v>
      </c>
      <c r="H53" s="46" t="s">
        <v>473</v>
      </c>
      <c r="I53" s="46" t="s">
        <v>9</v>
      </c>
      <c r="J53" s="49">
        <v>42156</v>
      </c>
      <c r="K53" s="46" t="s">
        <v>158</v>
      </c>
      <c r="L53" s="49">
        <v>42156</v>
      </c>
      <c r="M53" s="46" t="s">
        <v>159</v>
      </c>
      <c r="N53" s="49">
        <v>42156</v>
      </c>
      <c r="O53" s="46" t="s">
        <v>568</v>
      </c>
      <c r="P53" s="46" t="s">
        <v>83</v>
      </c>
      <c r="Q53" s="46" t="s">
        <v>569</v>
      </c>
    </row>
    <row r="54" spans="1:17">
      <c r="A54" s="67" t="str">
        <f t="shared" ca="1" si="5"/>
        <v>E</v>
      </c>
      <c r="B54" s="67">
        <f t="shared" si="3"/>
        <v>22</v>
      </c>
      <c r="C54" s="67" t="str">
        <f t="shared" si="4"/>
        <v>PPL</v>
      </c>
      <c r="D54" s="67" t="str">
        <f ca="1">IF(ISERROR(MATCH(C54,VLUNIVticker,0)),INDEX(VLUNIVticker,MATCH(C54,VLUNIVparent,0)),Ratings!C54)</f>
        <v>PPL</v>
      </c>
      <c r="E54" s="46" t="s">
        <v>396</v>
      </c>
      <c r="F54" s="46" t="s">
        <v>160</v>
      </c>
      <c r="G54" s="46" t="s">
        <v>397</v>
      </c>
      <c r="H54" s="46" t="s">
        <v>473</v>
      </c>
      <c r="I54" s="46" t="s">
        <v>9</v>
      </c>
      <c r="J54" s="49">
        <v>42156</v>
      </c>
      <c r="K54" s="46" t="s">
        <v>158</v>
      </c>
      <c r="L54" s="49">
        <v>42156</v>
      </c>
      <c r="M54" s="46" t="s">
        <v>159</v>
      </c>
      <c r="N54" s="49">
        <v>42156</v>
      </c>
      <c r="O54" s="46" t="s">
        <v>568</v>
      </c>
      <c r="P54" s="46" t="s">
        <v>83</v>
      </c>
      <c r="Q54" s="46" t="s">
        <v>160</v>
      </c>
    </row>
    <row r="55" spans="1:17">
      <c r="A55" s="67" t="str">
        <f t="shared" ca="1" si="5"/>
        <v>E</v>
      </c>
      <c r="B55" s="67">
        <f t="shared" si="3"/>
        <v>27</v>
      </c>
      <c r="C55" s="67" t="str">
        <f t="shared" si="4"/>
        <v>MGEE</v>
      </c>
      <c r="D55" s="67" t="str">
        <f ca="1">IF(ISERROR(MATCH(C55,VLUNIVticker,0)),INDEX(VLUNIVticker,MATCH(C55,VLUNIVparent,0)),Ratings!C55)</f>
        <v>MGEE</v>
      </c>
      <c r="E55" s="46" t="s">
        <v>398</v>
      </c>
      <c r="F55" s="46" t="s">
        <v>160</v>
      </c>
      <c r="G55" s="46" t="s">
        <v>399</v>
      </c>
      <c r="H55" s="46" t="s">
        <v>326</v>
      </c>
      <c r="I55" s="46" t="s">
        <v>6</v>
      </c>
      <c r="J55" s="49">
        <v>38593</v>
      </c>
      <c r="K55" s="46" t="s">
        <v>160</v>
      </c>
      <c r="L55" s="49" t="s">
        <v>160</v>
      </c>
      <c r="M55" s="46" t="s">
        <v>159</v>
      </c>
      <c r="N55" s="49">
        <v>38593</v>
      </c>
      <c r="O55" s="46" t="s">
        <v>54</v>
      </c>
      <c r="P55" s="46" t="s">
        <v>54</v>
      </c>
      <c r="Q55" s="46" t="s">
        <v>160</v>
      </c>
    </row>
    <row r="56" spans="1:17">
      <c r="A56" s="67" t="str">
        <f t="shared" ca="1" si="5"/>
        <v>E</v>
      </c>
      <c r="B56" s="67">
        <f t="shared" si="3"/>
        <v>25</v>
      </c>
      <c r="C56" s="67" t="str">
        <f t="shared" si="4"/>
        <v>DTE</v>
      </c>
      <c r="D56" s="67" t="str">
        <f ca="1">IF(ISERROR(MATCH(C56,VLUNIVticker,0)),INDEX(VLUNIVticker,MATCH(C56,VLUNIVparent,0)),Ratings!C56)</f>
        <v>DTE</v>
      </c>
      <c r="E56" s="46" t="s">
        <v>400</v>
      </c>
      <c r="F56" s="46" t="s">
        <v>160</v>
      </c>
      <c r="G56" s="46" t="s">
        <v>160</v>
      </c>
      <c r="H56" s="46" t="s">
        <v>326</v>
      </c>
      <c r="I56" s="46" t="s">
        <v>160</v>
      </c>
      <c r="J56" s="49" t="s">
        <v>160</v>
      </c>
      <c r="K56" s="46" t="s">
        <v>160</v>
      </c>
      <c r="L56" s="49" t="s">
        <v>160</v>
      </c>
      <c r="M56" s="46" t="s">
        <v>160</v>
      </c>
      <c r="N56" s="49" t="s">
        <v>160</v>
      </c>
      <c r="O56" s="46" t="s">
        <v>46</v>
      </c>
      <c r="P56" s="46" t="s">
        <v>46</v>
      </c>
      <c r="Q56" s="46" t="s">
        <v>160</v>
      </c>
    </row>
    <row r="57" spans="1:17">
      <c r="A57" s="67" t="str">
        <f t="shared" ca="1" si="5"/>
        <v>E</v>
      </c>
      <c r="B57" s="67">
        <f t="shared" si="3"/>
        <v>24</v>
      </c>
      <c r="C57" s="67" t="str">
        <f t="shared" si="4"/>
        <v>FE</v>
      </c>
      <c r="D57" s="67" t="str">
        <f ca="1">IF(ISERROR(MATCH(C57,VLUNIVticker,0)),INDEX(VLUNIVticker,MATCH(C57,VLUNIVparent,0)),Ratings!C57)</f>
        <v>FE</v>
      </c>
      <c r="E57" s="46" t="s">
        <v>401</v>
      </c>
      <c r="F57" s="46" t="s">
        <v>160</v>
      </c>
      <c r="G57" s="46" t="s">
        <v>402</v>
      </c>
      <c r="H57" s="46" t="s">
        <v>473</v>
      </c>
      <c r="I57" s="46" t="s">
        <v>12</v>
      </c>
      <c r="J57" s="49">
        <v>40220</v>
      </c>
      <c r="K57" s="46" t="s">
        <v>158</v>
      </c>
      <c r="L57" s="49">
        <v>37978</v>
      </c>
      <c r="M57" s="46" t="s">
        <v>159</v>
      </c>
      <c r="N57" s="49">
        <v>42963</v>
      </c>
      <c r="O57" s="46" t="s">
        <v>79</v>
      </c>
      <c r="P57" s="46" t="s">
        <v>79</v>
      </c>
      <c r="Q57" s="46" t="s">
        <v>567</v>
      </c>
    </row>
    <row r="58" spans="1:17">
      <c r="A58" s="67" t="str">
        <f t="shared" ca="1" si="5"/>
        <v>E</v>
      </c>
      <c r="B58" s="67">
        <f t="shared" si="3"/>
        <v>27</v>
      </c>
      <c r="C58" s="67" t="str">
        <f t="shared" si="4"/>
        <v>SO</v>
      </c>
      <c r="D58" s="67" t="str">
        <f ca="1">IF(ISERROR(MATCH(C58,VLUNIVticker,0)),INDEX(VLUNIVticker,MATCH(C58,VLUNIVparent,0)),Ratings!C58)</f>
        <v>SO</v>
      </c>
      <c r="E58" s="46" t="s">
        <v>403</v>
      </c>
      <c r="F58" s="46" t="s">
        <v>160</v>
      </c>
      <c r="G58" s="46" t="s">
        <v>404</v>
      </c>
      <c r="H58" s="46" t="s">
        <v>473</v>
      </c>
      <c r="I58" s="46" t="s">
        <v>10</v>
      </c>
      <c r="J58" s="49">
        <v>42233</v>
      </c>
      <c r="K58" s="46" t="s">
        <v>158</v>
      </c>
      <c r="L58" s="49">
        <v>42233</v>
      </c>
      <c r="M58" s="46" t="s">
        <v>260</v>
      </c>
      <c r="N58" s="49">
        <v>42818</v>
      </c>
      <c r="O58" s="46" t="s">
        <v>89</v>
      </c>
      <c r="P58" s="46" t="s">
        <v>89</v>
      </c>
      <c r="Q58" s="46" t="s">
        <v>160</v>
      </c>
    </row>
    <row r="59" spans="1:17">
      <c r="A59" s="67" t="str">
        <f t="shared" ca="1" si="5"/>
        <v>E</v>
      </c>
      <c r="B59" s="67">
        <f t="shared" si="3"/>
        <v>24</v>
      </c>
      <c r="C59" s="67" t="str">
        <f t="shared" si="4"/>
        <v>FE</v>
      </c>
      <c r="D59" s="67" t="str">
        <f ca="1">IF(ISERROR(MATCH(C59,VLUNIVticker,0)),INDEX(VLUNIVticker,MATCH(C59,VLUNIVparent,0)),Ratings!C59)</f>
        <v>FE</v>
      </c>
      <c r="E59" s="46" t="s">
        <v>405</v>
      </c>
      <c r="F59" s="46" t="s">
        <v>160</v>
      </c>
      <c r="G59" s="46" t="s">
        <v>406</v>
      </c>
      <c r="H59" s="46" t="s">
        <v>473</v>
      </c>
      <c r="I59" s="46" t="s">
        <v>12</v>
      </c>
      <c r="J59" s="49">
        <v>39206</v>
      </c>
      <c r="K59" s="46" t="s">
        <v>158</v>
      </c>
      <c r="L59" s="49">
        <v>37749</v>
      </c>
      <c r="M59" s="46" t="s">
        <v>159</v>
      </c>
      <c r="N59" s="49">
        <v>42963</v>
      </c>
      <c r="O59" s="46" t="s">
        <v>79</v>
      </c>
      <c r="P59" s="46" t="s">
        <v>79</v>
      </c>
      <c r="Q59" s="46" t="s">
        <v>570</v>
      </c>
    </row>
    <row r="60" spans="1:17">
      <c r="A60" s="67" t="str">
        <f t="shared" ca="1" si="5"/>
        <v>G</v>
      </c>
      <c r="B60" s="67">
        <f t="shared" si="3"/>
        <v>39</v>
      </c>
      <c r="C60" s="67" t="str">
        <f t="shared" si="4"/>
        <v>NJR</v>
      </c>
      <c r="D60" s="67" t="str">
        <f ca="1">IF(ISERROR(MATCH(C60,VLUNIVticker,0)),INDEX(VLUNIVticker,MATCH(C60,VLUNIVparent,0)),Ratings!C60)</f>
        <v>NJR</v>
      </c>
      <c r="E60" s="46" t="s">
        <v>407</v>
      </c>
      <c r="F60" s="46" t="s">
        <v>160</v>
      </c>
      <c r="G60" s="46" t="s">
        <v>408</v>
      </c>
      <c r="H60" s="46" t="s">
        <v>554</v>
      </c>
      <c r="I60" s="46" t="s">
        <v>8</v>
      </c>
      <c r="J60" s="49">
        <v>39541</v>
      </c>
      <c r="K60" s="46" t="s">
        <v>160</v>
      </c>
      <c r="L60" s="49" t="s">
        <v>160</v>
      </c>
      <c r="M60" s="46" t="s">
        <v>159</v>
      </c>
      <c r="N60" s="49">
        <v>39933</v>
      </c>
      <c r="O60" s="46" t="s">
        <v>123</v>
      </c>
      <c r="P60" s="46" t="s">
        <v>123</v>
      </c>
      <c r="Q60" s="46" t="s">
        <v>160</v>
      </c>
    </row>
    <row r="61" spans="1:17">
      <c r="A61" s="67" t="str">
        <f t="shared" ca="1" si="5"/>
        <v>E</v>
      </c>
      <c r="B61" s="67">
        <f t="shared" si="3"/>
        <v>21</v>
      </c>
      <c r="C61" s="67" t="str">
        <f t="shared" si="4"/>
        <v>IBE</v>
      </c>
      <c r="D61" s="67" t="str">
        <f ca="1">IF(ISERROR(MATCH(C61,VLUNIVticker,0)),INDEX(VLUNIVticker,MATCH(C61,VLUNIVparent,0)),Ratings!C61)</f>
        <v>AGR</v>
      </c>
      <c r="E61" s="46" t="s">
        <v>410</v>
      </c>
      <c r="F61" s="46" t="s">
        <v>160</v>
      </c>
      <c r="G61" s="46" t="s">
        <v>411</v>
      </c>
      <c r="H61" s="46" t="s">
        <v>473</v>
      </c>
      <c r="I61" s="46" t="s">
        <v>9</v>
      </c>
      <c r="J61" s="49">
        <v>42482</v>
      </c>
      <c r="K61" s="46" t="s">
        <v>158</v>
      </c>
      <c r="L61" s="49">
        <v>41241</v>
      </c>
      <c r="M61" s="46" t="s">
        <v>159</v>
      </c>
      <c r="N61" s="49">
        <v>42482</v>
      </c>
      <c r="O61" s="46" t="s">
        <v>558</v>
      </c>
      <c r="P61" s="46" t="s">
        <v>173</v>
      </c>
      <c r="Q61" s="46" t="s">
        <v>571</v>
      </c>
    </row>
    <row r="62" spans="1:17">
      <c r="A62" s="67" t="str">
        <f t="shared" ca="1" si="5"/>
        <v>G</v>
      </c>
      <c r="B62" s="67">
        <f t="shared" si="3"/>
        <v>20</v>
      </c>
      <c r="C62" s="67" t="str">
        <f t="shared" si="4"/>
        <v>NI</v>
      </c>
      <c r="D62" s="67" t="str">
        <f ca="1">IF(ISERROR(MATCH(C62,VLUNIVticker,0)),INDEX(VLUNIVticker,MATCH(C62,VLUNIVparent,0)),Ratings!C62)</f>
        <v>NI</v>
      </c>
      <c r="E62" s="46" t="s">
        <v>125</v>
      </c>
      <c r="F62" s="46" t="s">
        <v>221</v>
      </c>
      <c r="G62" s="46" t="s">
        <v>222</v>
      </c>
      <c r="H62" s="46" t="s">
        <v>554</v>
      </c>
      <c r="I62" s="46" t="s">
        <v>10</v>
      </c>
      <c r="J62" s="49">
        <v>42173</v>
      </c>
      <c r="K62" s="46" t="s">
        <v>158</v>
      </c>
      <c r="L62" s="49">
        <v>42173</v>
      </c>
      <c r="M62" s="46" t="s">
        <v>159</v>
      </c>
      <c r="N62" s="49">
        <v>42173</v>
      </c>
      <c r="O62" s="46" t="s">
        <v>160</v>
      </c>
      <c r="P62" s="46" t="s">
        <v>125</v>
      </c>
      <c r="Q62" s="46" t="s">
        <v>160</v>
      </c>
    </row>
    <row r="63" spans="1:17">
      <c r="A63" s="67" t="str">
        <f t="shared" ca="1" si="5"/>
        <v>E</v>
      </c>
      <c r="B63" s="67">
        <f t="shared" si="3"/>
        <v>29</v>
      </c>
      <c r="C63" s="67" t="str">
        <f t="shared" si="4"/>
        <v>WEC</v>
      </c>
      <c r="D63" s="67" t="str">
        <f ca="1">IF(ISERROR(MATCH(C63,VLUNIVticker,0)),INDEX(VLUNIVticker,MATCH(C63,VLUNIVparent,0)),Ratings!C63)</f>
        <v>WEC</v>
      </c>
      <c r="E63" s="46" t="s">
        <v>413</v>
      </c>
      <c r="F63" s="46" t="s">
        <v>160</v>
      </c>
      <c r="G63" s="46" t="s">
        <v>414</v>
      </c>
      <c r="H63" s="46" t="s">
        <v>326</v>
      </c>
      <c r="I63" s="46" t="s">
        <v>9</v>
      </c>
      <c r="J63" s="49">
        <v>40932</v>
      </c>
      <c r="K63" s="46" t="s">
        <v>160</v>
      </c>
      <c r="L63" s="49" t="s">
        <v>160</v>
      </c>
      <c r="M63" s="46" t="s">
        <v>159</v>
      </c>
      <c r="N63" s="49">
        <v>42184</v>
      </c>
      <c r="O63" s="46" t="s">
        <v>446</v>
      </c>
      <c r="P63" s="46" t="s">
        <v>62</v>
      </c>
      <c r="Q63" s="46" t="s">
        <v>160</v>
      </c>
    </row>
    <row r="64" spans="1:17">
      <c r="A64" s="67" t="str">
        <f t="shared" ca="1" si="5"/>
        <v>E</v>
      </c>
      <c r="B64" s="67">
        <f t="shared" si="3"/>
        <v>27</v>
      </c>
      <c r="C64" s="67" t="str">
        <f t="shared" si="4"/>
        <v>SO</v>
      </c>
      <c r="D64" s="67" t="str">
        <f ca="1">IF(ISERROR(MATCH(C64,VLUNIVticker,0)),INDEX(VLUNIVticker,MATCH(C64,VLUNIVparent,0)),Ratings!C64)</f>
        <v>SO</v>
      </c>
      <c r="E64" s="46" t="s">
        <v>415</v>
      </c>
      <c r="F64" s="46" t="s">
        <v>160</v>
      </c>
      <c r="G64" s="46" t="s">
        <v>416</v>
      </c>
      <c r="H64" s="46" t="s">
        <v>473</v>
      </c>
      <c r="I64" s="46" t="s">
        <v>9</v>
      </c>
      <c r="J64" s="49">
        <v>42551</v>
      </c>
      <c r="K64" s="46" t="s">
        <v>158</v>
      </c>
      <c r="L64" s="49">
        <v>40892</v>
      </c>
      <c r="M64" s="46" t="s">
        <v>260</v>
      </c>
      <c r="N64" s="49">
        <v>42818</v>
      </c>
      <c r="O64" s="46" t="s">
        <v>572</v>
      </c>
      <c r="P64" s="46" t="s">
        <v>89</v>
      </c>
      <c r="Q64" s="46" t="s">
        <v>485</v>
      </c>
    </row>
    <row r="65" spans="1:17">
      <c r="A65" s="67" t="str">
        <f t="shared" ca="1" si="5"/>
        <v>G</v>
      </c>
      <c r="B65" s="67">
        <f t="shared" si="3"/>
        <v>20</v>
      </c>
      <c r="C65" s="67" t="str">
        <f t="shared" si="4"/>
        <v>NI</v>
      </c>
      <c r="D65" s="67" t="str">
        <f ca="1">IF(ISERROR(MATCH(C65,VLUNIVticker,0)),INDEX(VLUNIVticker,MATCH(C65,VLUNIVparent,0)),Ratings!C65)</f>
        <v>NI</v>
      </c>
      <c r="E65" s="46" t="s">
        <v>417</v>
      </c>
      <c r="F65" s="46" t="s">
        <v>160</v>
      </c>
      <c r="G65" s="46" t="s">
        <v>418</v>
      </c>
      <c r="H65" s="46" t="s">
        <v>554</v>
      </c>
      <c r="I65" s="46" t="s">
        <v>10</v>
      </c>
      <c r="J65" s="49">
        <v>42173</v>
      </c>
      <c r="K65" s="46" t="s">
        <v>158</v>
      </c>
      <c r="L65" s="49">
        <v>42173</v>
      </c>
      <c r="M65" s="46" t="s">
        <v>159</v>
      </c>
      <c r="N65" s="49">
        <v>42173</v>
      </c>
      <c r="O65" s="46" t="s">
        <v>125</v>
      </c>
      <c r="P65" s="46" t="s">
        <v>125</v>
      </c>
      <c r="Q65" s="46" t="s">
        <v>160</v>
      </c>
    </row>
    <row r="66" spans="1:17">
      <c r="A66" s="67" t="str">
        <f t="shared" ca="1" si="5"/>
        <v>E</v>
      </c>
      <c r="B66" s="67">
        <f t="shared" si="3"/>
        <v>23</v>
      </c>
      <c r="C66" s="67" t="str">
        <f t="shared" si="4"/>
        <v>XEL</v>
      </c>
      <c r="D66" s="67" t="str">
        <f ca="1">IF(ISERROR(MATCH(C66,VLUNIVticker,0)),INDEX(VLUNIVticker,MATCH(C66,VLUNIVparent,0)),Ratings!C66)</f>
        <v>XEL</v>
      </c>
      <c r="E66" s="46" t="s">
        <v>420</v>
      </c>
      <c r="F66" s="46" t="s">
        <v>160</v>
      </c>
      <c r="G66" s="46" t="s">
        <v>421</v>
      </c>
      <c r="H66" s="46" t="s">
        <v>551</v>
      </c>
      <c r="I66" s="46" t="s">
        <v>9</v>
      </c>
      <c r="J66" s="49">
        <v>39371</v>
      </c>
      <c r="K66" s="46" t="s">
        <v>158</v>
      </c>
      <c r="L66" s="49">
        <v>38058</v>
      </c>
      <c r="M66" s="46" t="s">
        <v>159</v>
      </c>
      <c r="N66" s="49">
        <v>40352</v>
      </c>
      <c r="O66" s="46" t="s">
        <v>116</v>
      </c>
      <c r="P66" s="46" t="s">
        <v>116</v>
      </c>
      <c r="Q66" s="46" t="s">
        <v>160</v>
      </c>
    </row>
    <row r="67" spans="1:17">
      <c r="A67" s="67" t="str">
        <f t="shared" ca="1" si="5"/>
        <v>E</v>
      </c>
      <c r="B67" s="67">
        <f t="shared" si="3"/>
        <v>23</v>
      </c>
      <c r="C67" s="67" t="str">
        <f t="shared" si="4"/>
        <v>XEL</v>
      </c>
      <c r="D67" s="67" t="str">
        <f ca="1">IF(ISERROR(MATCH(C67,VLUNIVticker,0)),INDEX(VLUNIVticker,MATCH(C67,VLUNIVparent,0)),Ratings!C67)</f>
        <v>XEL</v>
      </c>
      <c r="E67" s="46" t="s">
        <v>420</v>
      </c>
      <c r="F67" s="46" t="s">
        <v>160</v>
      </c>
      <c r="G67" s="46" t="s">
        <v>422</v>
      </c>
      <c r="H67" s="46" t="s">
        <v>551</v>
      </c>
      <c r="I67" s="46" t="s">
        <v>9</v>
      </c>
      <c r="J67" s="49">
        <v>40352</v>
      </c>
      <c r="K67" s="46" t="s">
        <v>158</v>
      </c>
      <c r="L67" s="49">
        <v>38058</v>
      </c>
      <c r="M67" s="46" t="s">
        <v>159</v>
      </c>
      <c r="N67" s="49">
        <v>40352</v>
      </c>
      <c r="O67" s="46" t="s">
        <v>116</v>
      </c>
      <c r="P67" s="46" t="s">
        <v>116</v>
      </c>
      <c r="Q67" s="46" t="s">
        <v>160</v>
      </c>
    </row>
    <row r="68" spans="1:17">
      <c r="A68" s="67" t="str">
        <f t="shared" ca="1" si="5"/>
        <v>G</v>
      </c>
      <c r="B68" s="67">
        <f t="shared" si="3"/>
        <v>36</v>
      </c>
      <c r="C68" s="67" t="str">
        <f t="shared" si="4"/>
        <v>NWN</v>
      </c>
      <c r="D68" s="67" t="str">
        <f ca="1">IF(ISERROR(MATCH(C68,VLUNIVticker,0)),INDEX(VLUNIVticker,MATCH(C68,VLUNIVparent,0)),Ratings!C68)</f>
        <v>NWN</v>
      </c>
      <c r="E68" s="46" t="s">
        <v>127</v>
      </c>
      <c r="F68" s="46" t="s">
        <v>223</v>
      </c>
      <c r="G68" s="46" t="s">
        <v>224</v>
      </c>
      <c r="H68" s="46" t="s">
        <v>554</v>
      </c>
      <c r="I68" s="46" t="s">
        <v>7</v>
      </c>
      <c r="J68" s="49">
        <v>40203</v>
      </c>
      <c r="K68" s="46" t="s">
        <v>158</v>
      </c>
      <c r="L68" s="49">
        <v>37462</v>
      </c>
      <c r="M68" s="46" t="s">
        <v>159</v>
      </c>
      <c r="N68" s="49">
        <v>40203</v>
      </c>
      <c r="O68" s="46" t="s">
        <v>160</v>
      </c>
      <c r="P68" s="46" t="s">
        <v>127</v>
      </c>
      <c r="Q68" s="46" t="s">
        <v>160</v>
      </c>
    </row>
    <row r="69" spans="1:17">
      <c r="A69" s="67" t="str">
        <f t="shared" ca="1" si="5"/>
        <v>E</v>
      </c>
      <c r="B69" s="67">
        <f t="shared" si="3"/>
        <v>31</v>
      </c>
      <c r="C69" s="67" t="str">
        <f t="shared" si="4"/>
        <v>NWE</v>
      </c>
      <c r="D69" s="67" t="str">
        <f ca="1">IF(ISERROR(MATCH(C69,VLUNIVticker,0)),INDEX(VLUNIVticker,MATCH(C69,VLUNIVparent,0)),Ratings!C69)</f>
        <v>NWE</v>
      </c>
      <c r="E69" s="46" t="s">
        <v>104</v>
      </c>
      <c r="F69" s="46" t="s">
        <v>225</v>
      </c>
      <c r="G69" s="46" t="s">
        <v>226</v>
      </c>
      <c r="H69" s="46" t="s">
        <v>551</v>
      </c>
      <c r="I69" s="46" t="s">
        <v>11</v>
      </c>
      <c r="J69" s="49">
        <v>39521</v>
      </c>
      <c r="K69" s="46" t="s">
        <v>158</v>
      </c>
      <c r="L69" s="49">
        <v>39294</v>
      </c>
      <c r="M69" s="46" t="s">
        <v>159</v>
      </c>
      <c r="N69" s="49">
        <v>39521</v>
      </c>
      <c r="O69" s="46" t="s">
        <v>160</v>
      </c>
      <c r="P69" s="46" t="s">
        <v>104</v>
      </c>
      <c r="Q69" s="46" t="s">
        <v>160</v>
      </c>
    </row>
    <row r="70" spans="1:17">
      <c r="A70" s="67" t="str">
        <f t="shared" ref="A70:A101" ca="1" si="6">VLOOKUP(D70,VLUTIL,3,FALSE)</f>
        <v>E</v>
      </c>
      <c r="B70" s="67">
        <f t="shared" si="3"/>
        <v>24</v>
      </c>
      <c r="C70" s="67" t="str">
        <f t="shared" si="4"/>
        <v>ES</v>
      </c>
      <c r="D70" s="67" t="str">
        <f ca="1">IF(ISERROR(MATCH(C70,VLUNIVticker,0)),INDEX(VLUNIVticker,MATCH(C70,VLUNIVparent,0)),Ratings!C70)</f>
        <v>ES</v>
      </c>
      <c r="E70" s="46" t="s">
        <v>425</v>
      </c>
      <c r="F70" s="46" t="s">
        <v>160</v>
      </c>
      <c r="G70" s="46" t="s">
        <v>426</v>
      </c>
      <c r="H70" s="46" t="s">
        <v>473</v>
      </c>
      <c r="I70" s="46" t="s">
        <v>8</v>
      </c>
      <c r="J70" s="49">
        <v>42117</v>
      </c>
      <c r="K70" s="46" t="s">
        <v>158</v>
      </c>
      <c r="L70" s="49">
        <v>41004</v>
      </c>
      <c r="M70" s="46" t="s">
        <v>177</v>
      </c>
      <c r="N70" s="49">
        <v>42563</v>
      </c>
      <c r="O70" s="46" t="s">
        <v>75</v>
      </c>
      <c r="P70" s="46" t="s">
        <v>75</v>
      </c>
      <c r="Q70" s="46" t="s">
        <v>573</v>
      </c>
    </row>
    <row r="71" spans="1:17">
      <c r="A71" s="67" t="str">
        <f t="shared" ca="1" si="6"/>
        <v>E</v>
      </c>
      <c r="B71" s="67">
        <f t="shared" si="3"/>
        <v>24</v>
      </c>
      <c r="C71" s="67" t="str">
        <f t="shared" si="4"/>
        <v>FE</v>
      </c>
      <c r="D71" s="67" t="str">
        <f ca="1">IF(ISERROR(MATCH(C71,VLUNIVticker,0)),INDEX(VLUNIVticker,MATCH(C71,VLUNIVparent,0)),Ratings!C71)</f>
        <v>FE</v>
      </c>
      <c r="E71" s="46" t="s">
        <v>427</v>
      </c>
      <c r="F71" s="46" t="s">
        <v>160</v>
      </c>
      <c r="G71" s="46" t="s">
        <v>428</v>
      </c>
      <c r="H71" s="46" t="s">
        <v>473</v>
      </c>
      <c r="I71" s="46" t="s">
        <v>12</v>
      </c>
      <c r="J71" s="49">
        <v>40220</v>
      </c>
      <c r="K71" s="46" t="s">
        <v>158</v>
      </c>
      <c r="L71" s="49">
        <v>37978</v>
      </c>
      <c r="M71" s="46" t="s">
        <v>159</v>
      </c>
      <c r="N71" s="49">
        <v>42963</v>
      </c>
      <c r="O71" s="46" t="s">
        <v>79</v>
      </c>
      <c r="P71" s="46" t="s">
        <v>79</v>
      </c>
      <c r="Q71" s="46" t="s">
        <v>160</v>
      </c>
    </row>
    <row r="72" spans="1:17">
      <c r="A72" s="67" t="str">
        <f t="shared" ca="1" si="6"/>
        <v>E</v>
      </c>
      <c r="B72" s="67">
        <f t="shared" ref="B72:B123" si="7">FIND(":",P72,1)</f>
        <v>44</v>
      </c>
      <c r="C72" s="67" t="str">
        <f t="shared" ref="C72:C123" si="8">MID(P72,B72+1,LEN(P72)-B72-1)</f>
        <v>AEP</v>
      </c>
      <c r="D72" s="67" t="str">
        <f ca="1">IF(ISERROR(MATCH(C72,VLUNIVticker,0)),INDEX(VLUNIVticker,MATCH(C72,VLUNIVparent,0)),Ratings!C72)</f>
        <v>AEP</v>
      </c>
      <c r="E72" s="46" t="s">
        <v>429</v>
      </c>
      <c r="F72" s="46" t="s">
        <v>160</v>
      </c>
      <c r="G72" s="46" t="s">
        <v>430</v>
      </c>
      <c r="H72" s="46" t="s">
        <v>326</v>
      </c>
      <c r="I72" s="46" t="s">
        <v>9</v>
      </c>
      <c r="J72" s="49">
        <v>42768</v>
      </c>
      <c r="K72" s="46" t="s">
        <v>158</v>
      </c>
      <c r="L72" s="49">
        <v>42768</v>
      </c>
      <c r="M72" s="46" t="s">
        <v>159</v>
      </c>
      <c r="N72" s="49">
        <v>42768</v>
      </c>
      <c r="O72" s="46" t="s">
        <v>40</v>
      </c>
      <c r="P72" s="46" t="s">
        <v>40</v>
      </c>
      <c r="Q72" s="46" t="s">
        <v>160</v>
      </c>
    </row>
    <row r="73" spans="1:17">
      <c r="A73" s="67" t="str">
        <f t="shared" ca="1" si="6"/>
        <v>E</v>
      </c>
      <c r="B73" s="67">
        <f t="shared" si="7"/>
        <v>23</v>
      </c>
      <c r="C73" s="67" t="str">
        <f t="shared" si="8"/>
        <v>OGE</v>
      </c>
      <c r="D73" s="67" t="str">
        <f ca="1">IF(ISERROR(MATCH(C73,VLUNIVticker,0)),INDEX(VLUNIVticker,MATCH(C73,VLUNIVparent,0)),Ratings!C73)</f>
        <v>OGE</v>
      </c>
      <c r="E73" s="46" t="s">
        <v>431</v>
      </c>
      <c r="F73" s="46" t="s">
        <v>160</v>
      </c>
      <c r="G73" s="46" t="s">
        <v>432</v>
      </c>
      <c r="H73" s="46" t="s">
        <v>326</v>
      </c>
      <c r="I73" s="46" t="s">
        <v>9</v>
      </c>
      <c r="J73" s="49">
        <v>41396</v>
      </c>
      <c r="K73" s="46" t="s">
        <v>158</v>
      </c>
      <c r="L73" s="49">
        <v>41396</v>
      </c>
      <c r="M73" s="46" t="s">
        <v>159</v>
      </c>
      <c r="N73" s="49">
        <v>41396</v>
      </c>
      <c r="O73" s="46" t="s">
        <v>56</v>
      </c>
      <c r="P73" s="46" t="s">
        <v>56</v>
      </c>
      <c r="Q73" s="46" t="s">
        <v>160</v>
      </c>
    </row>
    <row r="74" spans="1:17">
      <c r="A74" s="67" t="str">
        <f t="shared" ca="1" si="6"/>
        <v>G</v>
      </c>
      <c r="B74" s="67">
        <f t="shared" si="7"/>
        <v>20</v>
      </c>
      <c r="C74" s="67" t="str">
        <f t="shared" si="8"/>
        <v>OGS</v>
      </c>
      <c r="D74" s="67" t="str">
        <f ca="1">IF(ISERROR(MATCH(C74,VLUNIVticker,0)),INDEX(VLUNIVticker,MATCH(C74,VLUNIVparent,0)),Ratings!C74)</f>
        <v>OGS</v>
      </c>
      <c r="E74" s="46" t="s">
        <v>129</v>
      </c>
      <c r="F74" s="46" t="s">
        <v>229</v>
      </c>
      <c r="G74" s="46" t="s">
        <v>230</v>
      </c>
      <c r="H74" s="46" t="s">
        <v>554</v>
      </c>
      <c r="I74" s="46" t="s">
        <v>8</v>
      </c>
      <c r="J74" s="49">
        <v>42963</v>
      </c>
      <c r="K74" s="46" t="s">
        <v>160</v>
      </c>
      <c r="L74" s="49" t="s">
        <v>160</v>
      </c>
      <c r="M74" s="46" t="s">
        <v>159</v>
      </c>
      <c r="N74" s="49">
        <v>42963</v>
      </c>
      <c r="O74" s="46" t="s">
        <v>160</v>
      </c>
      <c r="P74" s="46" t="s">
        <v>129</v>
      </c>
      <c r="Q74" s="46" t="s">
        <v>231</v>
      </c>
    </row>
    <row r="75" spans="1:17">
      <c r="A75" s="67" t="str">
        <f t="shared" ca="1" si="6"/>
        <v>E</v>
      </c>
      <c r="B75" s="67">
        <f t="shared" si="7"/>
        <v>32</v>
      </c>
      <c r="C75" s="67" t="str">
        <f t="shared" si="8"/>
        <v>ED</v>
      </c>
      <c r="D75" s="67" t="str">
        <f ca="1">IF(ISERROR(MATCH(C75,VLUNIVticker,0)),INDEX(VLUNIVticker,MATCH(C75,VLUNIVparent,0)),Ratings!C75)</f>
        <v>ED</v>
      </c>
      <c r="E75" s="46" t="s">
        <v>434</v>
      </c>
      <c r="F75" s="46" t="s">
        <v>160</v>
      </c>
      <c r="G75" s="46" t="s">
        <v>435</v>
      </c>
      <c r="H75" s="46" t="s">
        <v>473</v>
      </c>
      <c r="I75" s="46" t="s">
        <v>9</v>
      </c>
      <c r="J75" s="49">
        <v>39532</v>
      </c>
      <c r="K75" s="46" t="s">
        <v>158</v>
      </c>
      <c r="L75" s="49">
        <v>37335</v>
      </c>
      <c r="M75" s="46" t="s">
        <v>159</v>
      </c>
      <c r="N75" s="49">
        <v>42761</v>
      </c>
      <c r="O75" s="46" t="s">
        <v>69</v>
      </c>
      <c r="P75" s="46" t="s">
        <v>69</v>
      </c>
      <c r="Q75" s="46" t="s">
        <v>160</v>
      </c>
    </row>
    <row r="76" spans="1:17">
      <c r="A76" s="67" t="str">
        <f t="shared" ca="1" si="6"/>
        <v>E</v>
      </c>
      <c r="B76" s="67">
        <f t="shared" si="7"/>
        <v>33</v>
      </c>
      <c r="C76" s="67" t="str">
        <f t="shared" si="8"/>
        <v>OTTR</v>
      </c>
      <c r="D76" s="67" t="str">
        <f ca="1">IF(ISERROR(MATCH(C76,VLUNIVticker,0)),INDEX(VLUNIVticker,MATCH(C76,VLUNIVparent,0)),Ratings!C76)</f>
        <v>OTTR</v>
      </c>
      <c r="E76" s="46" t="s">
        <v>436</v>
      </c>
      <c r="F76" s="46" t="s">
        <v>160</v>
      </c>
      <c r="G76" s="46" t="s">
        <v>437</v>
      </c>
      <c r="H76" s="46" t="s">
        <v>326</v>
      </c>
      <c r="I76" s="46" t="s">
        <v>11</v>
      </c>
      <c r="J76" s="49">
        <v>41446</v>
      </c>
      <c r="K76" s="46" t="s">
        <v>160</v>
      </c>
      <c r="L76" s="49" t="s">
        <v>160</v>
      </c>
      <c r="M76" s="46" t="s">
        <v>177</v>
      </c>
      <c r="N76" s="49">
        <v>42968</v>
      </c>
      <c r="O76" s="46" t="s">
        <v>58</v>
      </c>
      <c r="P76" s="46" t="s">
        <v>58</v>
      </c>
      <c r="Q76" s="46" t="s">
        <v>160</v>
      </c>
    </row>
    <row r="77" spans="1:17">
      <c r="A77" s="67" t="str">
        <f t="shared" ca="1" si="6"/>
        <v>E</v>
      </c>
      <c r="B77" s="67">
        <f t="shared" si="7"/>
        <v>23</v>
      </c>
      <c r="C77" s="67" t="str">
        <f t="shared" si="8"/>
        <v>PCG</v>
      </c>
      <c r="D77" s="67" t="str">
        <f ca="1">IF(ISERROR(MATCH(C77,VLUNIVticker,0)),INDEX(VLUNIVticker,MATCH(C77,VLUNIVparent,0)),Ratings!C77)</f>
        <v>PCG</v>
      </c>
      <c r="E77" s="46" t="s">
        <v>438</v>
      </c>
      <c r="F77" s="46" t="s">
        <v>160</v>
      </c>
      <c r="G77" s="46" t="s">
        <v>439</v>
      </c>
      <c r="H77" s="46" t="s">
        <v>551</v>
      </c>
      <c r="I77" s="46" t="s">
        <v>9</v>
      </c>
      <c r="J77" s="49">
        <v>42867</v>
      </c>
      <c r="K77" s="46" t="s">
        <v>158</v>
      </c>
      <c r="L77" s="49">
        <v>40527</v>
      </c>
      <c r="M77" s="46" t="s">
        <v>159</v>
      </c>
      <c r="N77" s="49">
        <v>42867</v>
      </c>
      <c r="O77" s="46" t="s">
        <v>106</v>
      </c>
      <c r="P77" s="46" t="s">
        <v>106</v>
      </c>
      <c r="Q77" s="46" t="s">
        <v>160</v>
      </c>
    </row>
    <row r="78" spans="1:17">
      <c r="A78" s="67" t="str">
        <f t="shared" ca="1" si="6"/>
        <v>E</v>
      </c>
      <c r="B78" s="67">
        <f t="shared" si="7"/>
        <v>25</v>
      </c>
      <c r="C78" s="67" t="str">
        <f t="shared" si="8"/>
        <v>EXC</v>
      </c>
      <c r="D78" s="67" t="str">
        <f ca="1">IF(ISERROR(MATCH(C78,VLUNIVticker,0)),INDEX(VLUNIVticker,MATCH(C78,VLUNIVparent,0)),Ratings!C78)</f>
        <v>EXC</v>
      </c>
      <c r="E78" s="46" t="s">
        <v>441</v>
      </c>
      <c r="F78" s="46" t="s">
        <v>160</v>
      </c>
      <c r="G78" s="46" t="s">
        <v>442</v>
      </c>
      <c r="H78" s="46" t="s">
        <v>473</v>
      </c>
      <c r="I78" s="46" t="s">
        <v>11</v>
      </c>
      <c r="J78" s="49">
        <v>39742</v>
      </c>
      <c r="K78" s="46" t="s">
        <v>158</v>
      </c>
      <c r="L78" s="49">
        <v>40016</v>
      </c>
      <c r="M78" s="46" t="s">
        <v>159</v>
      </c>
      <c r="N78" s="49">
        <v>40016</v>
      </c>
      <c r="O78" s="46" t="s">
        <v>77</v>
      </c>
      <c r="P78" s="46" t="s">
        <v>77</v>
      </c>
      <c r="Q78" s="46" t="s">
        <v>160</v>
      </c>
    </row>
    <row r="79" spans="1:17">
      <c r="A79" s="67" t="str">
        <f t="shared" ca="1" si="6"/>
        <v>E</v>
      </c>
      <c r="B79" s="67">
        <f t="shared" si="7"/>
        <v>24</v>
      </c>
      <c r="C79" s="67" t="str">
        <f t="shared" si="8"/>
        <v>FE</v>
      </c>
      <c r="D79" s="67" t="str">
        <f ca="1">IF(ISERROR(MATCH(C79,VLUNIVticker,0)),INDEX(VLUNIVticker,MATCH(C79,VLUNIVparent,0)),Ratings!C79)</f>
        <v>FE</v>
      </c>
      <c r="E79" s="46" t="s">
        <v>444</v>
      </c>
      <c r="F79" s="46" t="s">
        <v>160</v>
      </c>
      <c r="G79" s="46" t="s">
        <v>445</v>
      </c>
      <c r="H79" s="46" t="s">
        <v>473</v>
      </c>
      <c r="I79" s="46" t="s">
        <v>12</v>
      </c>
      <c r="J79" s="49">
        <v>40220</v>
      </c>
      <c r="K79" s="46" t="s">
        <v>158</v>
      </c>
      <c r="L79" s="49">
        <v>37978</v>
      </c>
      <c r="M79" s="46" t="s">
        <v>159</v>
      </c>
      <c r="N79" s="49">
        <v>42963</v>
      </c>
      <c r="O79" s="46" t="s">
        <v>79</v>
      </c>
      <c r="P79" s="46" t="s">
        <v>79</v>
      </c>
      <c r="Q79" s="46" t="s">
        <v>567</v>
      </c>
    </row>
    <row r="80" spans="1:17">
      <c r="A80" s="67" t="str">
        <f t="shared" ca="1" si="6"/>
        <v>E</v>
      </c>
      <c r="B80" s="67">
        <f t="shared" si="7"/>
        <v>29</v>
      </c>
      <c r="C80" s="67" t="str">
        <f t="shared" si="8"/>
        <v>WEC</v>
      </c>
      <c r="D80" s="67" t="str">
        <f ca="1">IF(ISERROR(MATCH(C80,VLUNIVticker,0)),INDEX(VLUNIVticker,MATCH(C80,VLUNIVparent,0)),Ratings!C80)</f>
        <v>WEC</v>
      </c>
      <c r="E80" s="46" t="s">
        <v>446</v>
      </c>
      <c r="F80" s="46" t="s">
        <v>160</v>
      </c>
      <c r="G80" s="46" t="s">
        <v>447</v>
      </c>
      <c r="H80" s="46" t="s">
        <v>326</v>
      </c>
      <c r="I80" s="46" t="s">
        <v>548</v>
      </c>
      <c r="J80" s="49">
        <v>41373</v>
      </c>
      <c r="K80" s="46" t="s">
        <v>160</v>
      </c>
      <c r="L80" s="49" t="s">
        <v>160</v>
      </c>
      <c r="M80" s="46" t="s">
        <v>548</v>
      </c>
      <c r="N80" s="49">
        <v>41373</v>
      </c>
      <c r="O80" s="46" t="s">
        <v>574</v>
      </c>
      <c r="P80" s="46" t="s">
        <v>62</v>
      </c>
      <c r="Q80" s="46" t="s">
        <v>160</v>
      </c>
    </row>
    <row r="81" spans="1:17">
      <c r="A81" s="67" t="str">
        <f t="shared" ca="1" si="6"/>
        <v>E</v>
      </c>
      <c r="B81" s="67">
        <f t="shared" si="7"/>
        <v>30</v>
      </c>
      <c r="C81" s="67" t="str">
        <f t="shared" si="8"/>
        <v>DUK</v>
      </c>
      <c r="D81" s="67" t="str">
        <f ca="1">IF(ISERROR(MATCH(C81,VLUNIVticker,0)),INDEX(VLUNIVticker,MATCH(C81,VLUNIVparent,0)),Ratings!C81)</f>
        <v>DUK</v>
      </c>
      <c r="E81" s="46" t="s">
        <v>449</v>
      </c>
      <c r="F81" s="46" t="s">
        <v>160</v>
      </c>
      <c r="G81" s="46" t="s">
        <v>450</v>
      </c>
      <c r="H81" s="46" t="s">
        <v>473</v>
      </c>
      <c r="I81" s="46" t="s">
        <v>9</v>
      </c>
      <c r="J81" s="49">
        <v>42657</v>
      </c>
      <c r="K81" s="46" t="s">
        <v>158</v>
      </c>
      <c r="L81" s="49">
        <v>42657</v>
      </c>
      <c r="M81" s="46" t="s">
        <v>159</v>
      </c>
      <c r="N81" s="49">
        <v>42747</v>
      </c>
      <c r="O81" s="46" t="s">
        <v>73</v>
      </c>
      <c r="P81" s="46" t="s">
        <v>73</v>
      </c>
      <c r="Q81" s="46" t="s">
        <v>160</v>
      </c>
    </row>
    <row r="82" spans="1:17">
      <c r="A82" s="67" t="str">
        <f t="shared" ca="1" si="6"/>
        <v>E</v>
      </c>
      <c r="B82" s="67">
        <f t="shared" si="7"/>
        <v>40</v>
      </c>
      <c r="C82" s="67" t="str">
        <f t="shared" si="8"/>
        <v>POR</v>
      </c>
      <c r="D82" s="67" t="str">
        <f ca="1">IF(ISERROR(MATCH(C82,VLUNIVticker,0)),INDEX(VLUNIVticker,MATCH(C82,VLUNIVparent,0)),Ratings!C82)</f>
        <v>POR</v>
      </c>
      <c r="E82" s="46" t="s">
        <v>112</v>
      </c>
      <c r="F82" s="46" t="s">
        <v>240</v>
      </c>
      <c r="G82" s="46" t="s">
        <v>241</v>
      </c>
      <c r="H82" s="46" t="s">
        <v>551</v>
      </c>
      <c r="I82" s="46" t="s">
        <v>11</v>
      </c>
      <c r="J82" s="49">
        <v>40207</v>
      </c>
      <c r="K82" s="46" t="s">
        <v>158</v>
      </c>
      <c r="L82" s="49">
        <v>38422</v>
      </c>
      <c r="M82" s="46" t="s">
        <v>177</v>
      </c>
      <c r="N82" s="49">
        <v>42936</v>
      </c>
      <c r="O82" s="46" t="s">
        <v>160</v>
      </c>
      <c r="P82" s="46" t="s">
        <v>112</v>
      </c>
      <c r="Q82" s="46" t="s">
        <v>242</v>
      </c>
    </row>
    <row r="83" spans="1:17">
      <c r="A83" s="67" t="str">
        <f t="shared" ca="1" si="6"/>
        <v>E</v>
      </c>
      <c r="B83" s="67">
        <f t="shared" si="7"/>
        <v>25</v>
      </c>
      <c r="C83" s="67" t="str">
        <f t="shared" si="8"/>
        <v>EXC</v>
      </c>
      <c r="D83" s="67" t="str">
        <f ca="1">IF(ISERROR(MATCH(C83,VLUNIVticker,0)),INDEX(VLUNIVticker,MATCH(C83,VLUNIVparent,0)),Ratings!C83)</f>
        <v>EXC</v>
      </c>
      <c r="E83" s="46" t="s">
        <v>452</v>
      </c>
      <c r="F83" s="46" t="s">
        <v>160</v>
      </c>
      <c r="G83" s="46" t="s">
        <v>453</v>
      </c>
      <c r="H83" s="46" t="s">
        <v>473</v>
      </c>
      <c r="I83" s="46" t="s">
        <v>10</v>
      </c>
      <c r="J83" s="49">
        <v>40360</v>
      </c>
      <c r="K83" s="46" t="s">
        <v>158</v>
      </c>
      <c r="L83" s="49">
        <v>40360</v>
      </c>
      <c r="M83" s="46" t="s">
        <v>159</v>
      </c>
      <c r="N83" s="49">
        <v>40360</v>
      </c>
      <c r="O83" s="46" t="s">
        <v>552</v>
      </c>
      <c r="P83" s="46" t="s">
        <v>77</v>
      </c>
      <c r="Q83" s="46" t="s">
        <v>160</v>
      </c>
    </row>
    <row r="84" spans="1:17">
      <c r="A84" s="67" t="str">
        <f t="shared" ca="1" si="6"/>
        <v>E</v>
      </c>
      <c r="B84" s="67">
        <f t="shared" si="7"/>
        <v>30</v>
      </c>
      <c r="C84" s="67" t="str">
        <f t="shared" si="8"/>
        <v>DUK</v>
      </c>
      <c r="D84" s="67" t="str">
        <f ca="1">IF(ISERROR(MATCH(C84,VLUNIVticker,0)),INDEX(VLUNIVticker,MATCH(C84,VLUNIVparent,0)),Ratings!C84)</f>
        <v>DUK</v>
      </c>
      <c r="E84" s="46" t="s">
        <v>454</v>
      </c>
      <c r="F84" s="46" t="s">
        <v>160</v>
      </c>
      <c r="G84" s="46" t="s">
        <v>455</v>
      </c>
      <c r="H84" s="46" t="s">
        <v>473</v>
      </c>
      <c r="I84" s="46" t="s">
        <v>9</v>
      </c>
      <c r="J84" s="49">
        <v>42096</v>
      </c>
      <c r="K84" s="46" t="s">
        <v>158</v>
      </c>
      <c r="L84" s="49">
        <v>41115</v>
      </c>
      <c r="M84" s="46" t="s">
        <v>159</v>
      </c>
      <c r="N84" s="49">
        <v>42747</v>
      </c>
      <c r="O84" s="46" t="s">
        <v>73</v>
      </c>
      <c r="P84" s="46" t="s">
        <v>73</v>
      </c>
      <c r="Q84" s="46" t="s">
        <v>160</v>
      </c>
    </row>
    <row r="85" spans="1:17">
      <c r="A85" s="67" t="str">
        <f t="shared" ca="1" si="6"/>
        <v>E</v>
      </c>
      <c r="B85" s="67">
        <f t="shared" si="7"/>
        <v>23</v>
      </c>
      <c r="C85" s="67" t="str">
        <f t="shared" si="8"/>
        <v>XEL</v>
      </c>
      <c r="D85" s="67" t="str">
        <f ca="1">IF(ISERROR(MATCH(C85,VLUNIVticker,0)),INDEX(VLUNIVticker,MATCH(C85,VLUNIVparent,0)),Ratings!C85)</f>
        <v>XEL</v>
      </c>
      <c r="E85" s="46" t="s">
        <v>456</v>
      </c>
      <c r="F85" s="46" t="s">
        <v>160</v>
      </c>
      <c r="G85" s="46" t="s">
        <v>457</v>
      </c>
      <c r="H85" s="46" t="s">
        <v>551</v>
      </c>
      <c r="I85" s="46" t="s">
        <v>9</v>
      </c>
      <c r="J85" s="49">
        <v>40352</v>
      </c>
      <c r="K85" s="46" t="s">
        <v>158</v>
      </c>
      <c r="L85" s="49">
        <v>38058</v>
      </c>
      <c r="M85" s="46" t="s">
        <v>159</v>
      </c>
      <c r="N85" s="49">
        <v>40352</v>
      </c>
      <c r="O85" s="46" t="s">
        <v>116</v>
      </c>
      <c r="P85" s="46" t="s">
        <v>116</v>
      </c>
      <c r="Q85" s="46" t="s">
        <v>575</v>
      </c>
    </row>
    <row r="86" spans="1:17">
      <c r="A86" s="67" t="str">
        <f t="shared" ca="1" si="6"/>
        <v>E</v>
      </c>
      <c r="B86" s="67">
        <f t="shared" si="7"/>
        <v>24</v>
      </c>
      <c r="C86" s="67" t="str">
        <f t="shared" si="8"/>
        <v>ES</v>
      </c>
      <c r="D86" s="67" t="str">
        <f ca="1">IF(ISERROR(MATCH(C86,VLUNIVticker,0)),INDEX(VLUNIVticker,MATCH(C86,VLUNIVparent,0)),Ratings!C86)</f>
        <v>ES</v>
      </c>
      <c r="E86" s="46" t="s">
        <v>458</v>
      </c>
      <c r="F86" s="46" t="s">
        <v>160</v>
      </c>
      <c r="G86" s="46" t="s">
        <v>459</v>
      </c>
      <c r="H86" s="46" t="s">
        <v>473</v>
      </c>
      <c r="I86" s="46" t="s">
        <v>8</v>
      </c>
      <c r="J86" s="49">
        <v>42117</v>
      </c>
      <c r="K86" s="46" t="s">
        <v>158</v>
      </c>
      <c r="L86" s="49">
        <v>41004</v>
      </c>
      <c r="M86" s="46" t="s">
        <v>177</v>
      </c>
      <c r="N86" s="49">
        <v>42563</v>
      </c>
      <c r="O86" s="46" t="s">
        <v>75</v>
      </c>
      <c r="P86" s="46" t="s">
        <v>75</v>
      </c>
      <c r="Q86" s="46" t="s">
        <v>160</v>
      </c>
    </row>
    <row r="87" spans="1:17">
      <c r="A87" s="67" t="str">
        <f t="shared" ca="1" si="6"/>
        <v>E</v>
      </c>
      <c r="B87" s="67">
        <f t="shared" si="7"/>
        <v>26</v>
      </c>
      <c r="C87" s="67" t="str">
        <f t="shared" si="8"/>
        <v>PNM</v>
      </c>
      <c r="D87" s="67" t="str">
        <f ca="1">IF(ISERROR(MATCH(C87,VLUNIVticker,0)),INDEX(VLUNIVticker,MATCH(C87,VLUNIVparent,0)),Ratings!C87)</f>
        <v>PNM</v>
      </c>
      <c r="E87" s="46" t="s">
        <v>460</v>
      </c>
      <c r="F87" s="46" t="s">
        <v>160</v>
      </c>
      <c r="G87" s="46" t="s">
        <v>461</v>
      </c>
      <c r="H87" s="46" t="s">
        <v>551</v>
      </c>
      <c r="I87" s="46" t="s">
        <v>10</v>
      </c>
      <c r="J87" s="49">
        <v>42359</v>
      </c>
      <c r="K87" s="46" t="s">
        <v>158</v>
      </c>
      <c r="L87" s="49">
        <v>39574</v>
      </c>
      <c r="M87" s="46" t="s">
        <v>159</v>
      </c>
      <c r="N87" s="49">
        <v>42359</v>
      </c>
      <c r="O87" s="46" t="s">
        <v>108</v>
      </c>
      <c r="P87" s="46" t="s">
        <v>108</v>
      </c>
      <c r="Q87" s="46" t="s">
        <v>160</v>
      </c>
    </row>
    <row r="88" spans="1:17">
      <c r="A88" s="67" t="str">
        <f t="shared" ca="1" si="6"/>
        <v>E</v>
      </c>
      <c r="B88" s="67">
        <f t="shared" si="7"/>
        <v>24</v>
      </c>
      <c r="C88" s="67" t="str">
        <f t="shared" si="8"/>
        <v>SCG</v>
      </c>
      <c r="D88" s="67" t="str">
        <f ca="1">IF(ISERROR(MATCH(C88,VLUNIVticker,0)),INDEX(VLUNIVticker,MATCH(C88,VLUNIVparent,0)),Ratings!C88)</f>
        <v>SCG</v>
      </c>
      <c r="E88" s="46" t="s">
        <v>462</v>
      </c>
      <c r="F88" s="46" t="s">
        <v>160</v>
      </c>
      <c r="G88" s="46" t="s">
        <v>463</v>
      </c>
      <c r="H88" s="46" t="s">
        <v>473</v>
      </c>
      <c r="I88" s="46" t="s">
        <v>10</v>
      </c>
      <c r="J88" s="49">
        <v>39925</v>
      </c>
      <c r="K88" s="46" t="s">
        <v>158</v>
      </c>
      <c r="L88" s="49">
        <v>36564</v>
      </c>
      <c r="M88" s="46" t="s">
        <v>249</v>
      </c>
      <c r="N88" s="49">
        <v>42950</v>
      </c>
      <c r="O88" s="46" t="s">
        <v>87</v>
      </c>
      <c r="P88" s="46" t="s">
        <v>87</v>
      </c>
      <c r="Q88" s="46" t="s">
        <v>160</v>
      </c>
    </row>
    <row r="89" spans="1:17">
      <c r="A89" s="67" t="str">
        <f t="shared" ca="1" si="6"/>
        <v>E</v>
      </c>
      <c r="B89" s="67">
        <f t="shared" si="7"/>
        <v>44</v>
      </c>
      <c r="C89" s="67" t="str">
        <f t="shared" si="8"/>
        <v>AEP</v>
      </c>
      <c r="D89" s="67" t="str">
        <f ca="1">IF(ISERROR(MATCH(C89,VLUNIVticker,0)),INDEX(VLUNIVticker,MATCH(C89,VLUNIVparent,0)),Ratings!C89)</f>
        <v>AEP</v>
      </c>
      <c r="E89" s="46" t="s">
        <v>464</v>
      </c>
      <c r="F89" s="46" t="s">
        <v>160</v>
      </c>
      <c r="G89" s="46" t="s">
        <v>465</v>
      </c>
      <c r="H89" s="46" t="s">
        <v>326</v>
      </c>
      <c r="I89" s="46" t="s">
        <v>9</v>
      </c>
      <c r="J89" s="49">
        <v>42768</v>
      </c>
      <c r="K89" s="46" t="s">
        <v>158</v>
      </c>
      <c r="L89" s="49">
        <v>42768</v>
      </c>
      <c r="M89" s="46" t="s">
        <v>159</v>
      </c>
      <c r="N89" s="49">
        <v>42768</v>
      </c>
      <c r="O89" s="46" t="s">
        <v>40</v>
      </c>
      <c r="P89" s="46" t="s">
        <v>40</v>
      </c>
      <c r="Q89" s="46" t="s">
        <v>549</v>
      </c>
    </row>
    <row r="90" spans="1:17">
      <c r="A90" s="67" t="str">
        <f t="shared" ca="1" si="6"/>
        <v>E</v>
      </c>
      <c r="B90" s="67">
        <f t="shared" si="7"/>
        <v>51</v>
      </c>
      <c r="C90" s="67" t="str">
        <f t="shared" si="8"/>
        <v>PEG</v>
      </c>
      <c r="D90" s="67" t="str">
        <f ca="1">IF(ISERROR(MATCH(C90,VLUNIVticker,0)),INDEX(VLUNIVticker,MATCH(C90,VLUNIVparent,0)),Ratings!C90)</f>
        <v>PEG</v>
      </c>
      <c r="E90" s="46" t="s">
        <v>467</v>
      </c>
      <c r="F90" s="46" t="s">
        <v>160</v>
      </c>
      <c r="G90" s="46" t="s">
        <v>468</v>
      </c>
      <c r="H90" s="46" t="s">
        <v>473</v>
      </c>
      <c r="I90" s="46" t="s">
        <v>10</v>
      </c>
      <c r="J90" s="49">
        <v>41387</v>
      </c>
      <c r="K90" s="46" t="s">
        <v>158</v>
      </c>
      <c r="L90" s="49">
        <v>38975</v>
      </c>
      <c r="M90" s="46" t="s">
        <v>159</v>
      </c>
      <c r="N90" s="49">
        <v>42129</v>
      </c>
      <c r="O90" s="46" t="s">
        <v>85</v>
      </c>
      <c r="P90" s="46" t="s">
        <v>85</v>
      </c>
      <c r="Q90" s="46" t="s">
        <v>160</v>
      </c>
    </row>
    <row r="91" spans="1:17">
      <c r="A91" s="67" t="str">
        <f t="shared" ca="1" si="6"/>
        <v>E</v>
      </c>
      <c r="B91" s="67">
        <f t="shared" si="7"/>
        <v>28</v>
      </c>
      <c r="C91" s="67" t="str">
        <f t="shared" si="8"/>
        <v>D</v>
      </c>
      <c r="D91" s="67" t="str">
        <f ca="1">IF(ISERROR(MATCH(C91,VLUNIVticker,0)),INDEX(VLUNIVticker,MATCH(C91,VLUNIVparent,0)),Ratings!C91)</f>
        <v>D</v>
      </c>
      <c r="E91" s="46" t="s">
        <v>469</v>
      </c>
      <c r="F91" s="46" t="s">
        <v>160</v>
      </c>
      <c r="G91" s="46" t="s">
        <v>470</v>
      </c>
      <c r="H91" s="46" t="s">
        <v>473</v>
      </c>
      <c r="I91" s="46" t="s">
        <v>10</v>
      </c>
      <c r="J91" s="49">
        <v>42629</v>
      </c>
      <c r="K91" s="46" t="s">
        <v>158</v>
      </c>
      <c r="L91" s="49">
        <v>42629</v>
      </c>
      <c r="M91" s="46" t="s">
        <v>159</v>
      </c>
      <c r="N91" s="49">
        <v>42629</v>
      </c>
      <c r="O91" s="46" t="s">
        <v>71</v>
      </c>
      <c r="P91" s="46" t="s">
        <v>71</v>
      </c>
      <c r="Q91" s="46" t="s">
        <v>576</v>
      </c>
    </row>
    <row r="92" spans="1:17">
      <c r="A92" s="67" t="str">
        <f t="shared" ca="1" si="6"/>
        <v>E</v>
      </c>
      <c r="B92" s="67">
        <f t="shared" si="7"/>
        <v>21</v>
      </c>
      <c r="C92" s="67" t="str">
        <f t="shared" si="8"/>
        <v>IBE</v>
      </c>
      <c r="D92" s="67" t="str">
        <f ca="1">IF(ISERROR(MATCH(C92,VLUNIVticker,0)),INDEX(VLUNIVticker,MATCH(C92,VLUNIVparent,0)),Ratings!C92)</f>
        <v>AGR</v>
      </c>
      <c r="E92" s="46" t="s">
        <v>471</v>
      </c>
      <c r="F92" s="46" t="s">
        <v>160</v>
      </c>
      <c r="G92" s="46" t="s">
        <v>472</v>
      </c>
      <c r="H92" s="46" t="s">
        <v>473</v>
      </c>
      <c r="I92" s="46" t="s">
        <v>9</v>
      </c>
      <c r="J92" s="49">
        <v>42482</v>
      </c>
      <c r="K92" s="46" t="s">
        <v>158</v>
      </c>
      <c r="L92" s="49">
        <v>41241</v>
      </c>
      <c r="M92" s="46" t="s">
        <v>159</v>
      </c>
      <c r="N92" s="49">
        <v>42482</v>
      </c>
      <c r="O92" s="46" t="s">
        <v>558</v>
      </c>
      <c r="P92" s="46" t="s">
        <v>173</v>
      </c>
      <c r="Q92" s="46" t="s">
        <v>577</v>
      </c>
    </row>
    <row r="93" spans="1:17">
      <c r="A93" s="67" t="str">
        <f t="shared" ca="1" si="6"/>
        <v>E</v>
      </c>
      <c r="B93" s="67">
        <f t="shared" si="7"/>
        <v>20</v>
      </c>
      <c r="C93" s="67" t="str">
        <f t="shared" si="8"/>
        <v>SRE</v>
      </c>
      <c r="D93" s="67" t="str">
        <f ca="1">IF(ISERROR(MATCH(C93,VLUNIVticker,0)),INDEX(VLUNIVticker,MATCH(C93,VLUNIVparent,0)),Ratings!C93)</f>
        <v>SRE</v>
      </c>
      <c r="E93" s="46" t="s">
        <v>474</v>
      </c>
      <c r="F93" s="46" t="s">
        <v>160</v>
      </c>
      <c r="G93" s="46" t="s">
        <v>475</v>
      </c>
      <c r="H93" s="46" t="s">
        <v>551</v>
      </c>
      <c r="I93" s="46" t="s">
        <v>8</v>
      </c>
      <c r="J93" s="49">
        <v>37901</v>
      </c>
      <c r="K93" s="46" t="s">
        <v>158</v>
      </c>
      <c r="L93" s="49">
        <v>36333</v>
      </c>
      <c r="M93" s="46" t="s">
        <v>159</v>
      </c>
      <c r="N93" s="49">
        <v>40088</v>
      </c>
      <c r="O93" s="46" t="s">
        <v>578</v>
      </c>
      <c r="P93" s="46" t="s">
        <v>114</v>
      </c>
      <c r="Q93" s="46" t="s">
        <v>114</v>
      </c>
    </row>
    <row r="94" spans="1:17">
      <c r="A94" s="67" t="str">
        <f t="shared" ca="1" si="6"/>
        <v>E</v>
      </c>
      <c r="B94" s="67">
        <f t="shared" si="7"/>
        <v>24</v>
      </c>
      <c r="C94" s="67" t="str">
        <f t="shared" si="8"/>
        <v>SCG</v>
      </c>
      <c r="D94" s="67" t="str">
        <f ca="1">IF(ISERROR(MATCH(C94,VLUNIVticker,0)),INDEX(VLUNIVticker,MATCH(C94,VLUNIVparent,0)),Ratings!C94)</f>
        <v>SCG</v>
      </c>
      <c r="E94" s="46" t="s">
        <v>476</v>
      </c>
      <c r="F94" s="46" t="s">
        <v>160</v>
      </c>
      <c r="G94" s="46" t="s">
        <v>477</v>
      </c>
      <c r="H94" s="46" t="s">
        <v>473</v>
      </c>
      <c r="I94" s="46" t="s">
        <v>10</v>
      </c>
      <c r="J94" s="49">
        <v>39925</v>
      </c>
      <c r="K94" s="46" t="s">
        <v>158</v>
      </c>
      <c r="L94" s="49">
        <v>36564</v>
      </c>
      <c r="M94" s="46" t="s">
        <v>249</v>
      </c>
      <c r="N94" s="49">
        <v>42950</v>
      </c>
      <c r="O94" s="46" t="s">
        <v>87</v>
      </c>
      <c r="P94" s="46" t="s">
        <v>87</v>
      </c>
      <c r="Q94" s="46" t="s">
        <v>160</v>
      </c>
    </row>
    <row r="95" spans="1:17">
      <c r="A95" s="67" t="str">
        <f t="shared" ca="1" si="6"/>
        <v>G</v>
      </c>
      <c r="B95" s="67">
        <f t="shared" si="7"/>
        <v>36</v>
      </c>
      <c r="C95" s="67" t="str">
        <f t="shared" si="8"/>
        <v>SJI</v>
      </c>
      <c r="D95" s="67" t="str">
        <f ca="1">IF(ISERROR(MATCH(C95,VLUNIVticker,0)),INDEX(VLUNIVticker,MATCH(C95,VLUNIVparent,0)),Ratings!C95)</f>
        <v>SJI</v>
      </c>
      <c r="E95" s="46" t="s">
        <v>478</v>
      </c>
      <c r="F95" s="46" t="s">
        <v>160</v>
      </c>
      <c r="G95" s="46" t="s">
        <v>479</v>
      </c>
      <c r="H95" s="46" t="s">
        <v>554</v>
      </c>
      <c r="I95" s="46" t="s">
        <v>10</v>
      </c>
      <c r="J95" s="49">
        <v>34123</v>
      </c>
      <c r="K95" s="46" t="s">
        <v>160</v>
      </c>
      <c r="L95" s="49" t="s">
        <v>160</v>
      </c>
      <c r="M95" s="46" t="s">
        <v>159</v>
      </c>
      <c r="N95" s="49">
        <v>38887</v>
      </c>
      <c r="O95" s="46" t="s">
        <v>131</v>
      </c>
      <c r="P95" s="46" t="s">
        <v>131</v>
      </c>
      <c r="Q95" s="46" t="s">
        <v>160</v>
      </c>
    </row>
    <row r="96" spans="1:17">
      <c r="A96" s="67" t="str">
        <f t="shared" ca="1" si="6"/>
        <v>E</v>
      </c>
      <c r="B96" s="67">
        <f t="shared" si="7"/>
        <v>27</v>
      </c>
      <c r="C96" s="67" t="str">
        <f t="shared" si="8"/>
        <v>EIX</v>
      </c>
      <c r="D96" s="67" t="str">
        <f ca="1">IF(ISERROR(MATCH(C96,VLUNIVticker,0)),INDEX(VLUNIVticker,MATCH(C96,VLUNIVparent,0)),Ratings!C96)</f>
        <v>EIX</v>
      </c>
      <c r="E96" s="46" t="s">
        <v>480</v>
      </c>
      <c r="F96" s="46" t="s">
        <v>160</v>
      </c>
      <c r="G96" s="46" t="s">
        <v>481</v>
      </c>
      <c r="H96" s="46" t="s">
        <v>551</v>
      </c>
      <c r="I96" s="46" t="s">
        <v>10</v>
      </c>
      <c r="J96" s="49">
        <v>38399</v>
      </c>
      <c r="K96" s="46" t="s">
        <v>158</v>
      </c>
      <c r="L96" s="49">
        <v>36907</v>
      </c>
      <c r="M96" s="46" t="s">
        <v>159</v>
      </c>
      <c r="N96" s="49">
        <v>38399</v>
      </c>
      <c r="O96" s="46" t="s">
        <v>96</v>
      </c>
      <c r="P96" s="46" t="s">
        <v>96</v>
      </c>
      <c r="Q96" s="46" t="s">
        <v>160</v>
      </c>
    </row>
    <row r="97" spans="1:17">
      <c r="A97" s="67" t="str">
        <f t="shared" ca="1" si="6"/>
        <v>E</v>
      </c>
      <c r="B97" s="67">
        <f t="shared" si="7"/>
        <v>20</v>
      </c>
      <c r="C97" s="67" t="str">
        <f t="shared" si="8"/>
        <v>SRE</v>
      </c>
      <c r="D97" s="67" t="str">
        <f ca="1">IF(ISERROR(MATCH(C97,VLUNIVticker,0)),INDEX(VLUNIVticker,MATCH(C97,VLUNIVparent,0)),Ratings!C97)</f>
        <v>SRE</v>
      </c>
      <c r="E97" s="46" t="s">
        <v>482</v>
      </c>
      <c r="F97" s="46" t="s">
        <v>160</v>
      </c>
      <c r="G97" s="46" t="s">
        <v>483</v>
      </c>
      <c r="H97" s="46" t="s">
        <v>551</v>
      </c>
      <c r="I97" s="46" t="s">
        <v>8</v>
      </c>
      <c r="J97" s="49">
        <v>37901</v>
      </c>
      <c r="K97" s="46" t="s">
        <v>158</v>
      </c>
      <c r="L97" s="49">
        <v>36333</v>
      </c>
      <c r="M97" s="46" t="s">
        <v>159</v>
      </c>
      <c r="N97" s="49">
        <v>40088</v>
      </c>
      <c r="O97" s="46" t="s">
        <v>579</v>
      </c>
      <c r="P97" s="46" t="s">
        <v>114</v>
      </c>
      <c r="Q97" s="46" t="s">
        <v>114</v>
      </c>
    </row>
    <row r="98" spans="1:17">
      <c r="A98" s="67" t="str">
        <f t="shared" ca="1" si="6"/>
        <v>E</v>
      </c>
      <c r="B98" s="67">
        <f t="shared" si="7"/>
        <v>27</v>
      </c>
      <c r="C98" s="67" t="str">
        <f t="shared" si="8"/>
        <v>SO</v>
      </c>
      <c r="D98" s="67" t="str">
        <f ca="1">IF(ISERROR(MATCH(C98,VLUNIVticker,0)),INDEX(VLUNIVticker,MATCH(C98,VLUNIVparent,0)),Ratings!C98)</f>
        <v>SO</v>
      </c>
      <c r="E98" s="46" t="s">
        <v>485</v>
      </c>
      <c r="F98" s="46" t="s">
        <v>160</v>
      </c>
      <c r="G98" s="46" t="s">
        <v>486</v>
      </c>
      <c r="H98" s="46" t="s">
        <v>473</v>
      </c>
      <c r="I98" s="46" t="s">
        <v>9</v>
      </c>
      <c r="J98" s="49">
        <v>42551</v>
      </c>
      <c r="K98" s="46" t="s">
        <v>158</v>
      </c>
      <c r="L98" s="49">
        <v>40892</v>
      </c>
      <c r="M98" s="46" t="s">
        <v>260</v>
      </c>
      <c r="N98" s="49">
        <v>42818</v>
      </c>
      <c r="O98" s="46" t="s">
        <v>89</v>
      </c>
      <c r="P98" s="46" t="s">
        <v>89</v>
      </c>
      <c r="Q98" s="46" t="s">
        <v>160</v>
      </c>
    </row>
    <row r="99" spans="1:17">
      <c r="A99" s="67" t="str">
        <f t="shared" ca="1" si="6"/>
        <v>E</v>
      </c>
      <c r="B99" s="67">
        <f t="shared" si="7"/>
        <v>26</v>
      </c>
      <c r="C99" s="67" t="str">
        <f t="shared" si="8"/>
        <v>VVC</v>
      </c>
      <c r="D99" s="67" t="str">
        <f ca="1">IF(ISERROR(MATCH(C99,VLUNIVticker,0)),INDEX(VLUNIVticker,MATCH(C99,VLUNIVparent,0)),Ratings!C99)</f>
        <v>VVC</v>
      </c>
      <c r="E99" s="46" t="s">
        <v>488</v>
      </c>
      <c r="F99" s="46" t="s">
        <v>160</v>
      </c>
      <c r="G99" s="46" t="s">
        <v>489</v>
      </c>
      <c r="H99" s="46" t="s">
        <v>326</v>
      </c>
      <c r="I99" s="46" t="s">
        <v>9</v>
      </c>
      <c r="J99" s="49">
        <v>37176</v>
      </c>
      <c r="K99" s="46" t="s">
        <v>158</v>
      </c>
      <c r="L99" s="49">
        <v>36819</v>
      </c>
      <c r="M99" s="46" t="s">
        <v>159</v>
      </c>
      <c r="N99" s="49">
        <v>38378</v>
      </c>
      <c r="O99" s="46" t="s">
        <v>566</v>
      </c>
      <c r="P99" s="46" t="s">
        <v>60</v>
      </c>
      <c r="Q99" s="46" t="s">
        <v>160</v>
      </c>
    </row>
    <row r="100" spans="1:17">
      <c r="A100" s="67" t="str">
        <f t="shared" ca="1" si="6"/>
        <v>E</v>
      </c>
      <c r="B100" s="67">
        <f t="shared" si="7"/>
        <v>27</v>
      </c>
      <c r="C100" s="67" t="str">
        <f t="shared" si="8"/>
        <v>SO</v>
      </c>
      <c r="D100" s="67" t="str">
        <f ca="1">IF(ISERROR(MATCH(C100,VLUNIVticker,0)),INDEX(VLUNIVticker,MATCH(C100,VLUNIVparent,0)),Ratings!C100)</f>
        <v>SO</v>
      </c>
      <c r="E100" s="46" t="s">
        <v>490</v>
      </c>
      <c r="F100" s="46" t="s">
        <v>160</v>
      </c>
      <c r="G100" s="46" t="s">
        <v>491</v>
      </c>
      <c r="H100" s="46" t="s">
        <v>473</v>
      </c>
      <c r="I100" s="46" t="s">
        <v>10</v>
      </c>
      <c r="J100" s="49">
        <v>37194</v>
      </c>
      <c r="K100" s="46" t="s">
        <v>160</v>
      </c>
      <c r="L100" s="49" t="s">
        <v>160</v>
      </c>
      <c r="M100" s="46" t="s">
        <v>260</v>
      </c>
      <c r="N100" s="49">
        <v>42818</v>
      </c>
      <c r="O100" s="46" t="s">
        <v>89</v>
      </c>
      <c r="P100" s="46" t="s">
        <v>89</v>
      </c>
      <c r="Q100" s="46" t="s">
        <v>160</v>
      </c>
    </row>
    <row r="101" spans="1:17">
      <c r="A101" s="67" t="str">
        <f t="shared" ca="1" si="6"/>
        <v>G</v>
      </c>
      <c r="B101" s="67">
        <f t="shared" si="7"/>
        <v>35</v>
      </c>
      <c r="C101" s="67" t="str">
        <f t="shared" si="8"/>
        <v>SWX</v>
      </c>
      <c r="D101" s="67" t="str">
        <f ca="1">IF(ISERROR(MATCH(C101,VLUNIVticker,0)),INDEX(VLUNIVticker,MATCH(C101,VLUNIVparent,0)),Ratings!C101)</f>
        <v>SWX</v>
      </c>
      <c r="E101" s="46" t="s">
        <v>492</v>
      </c>
      <c r="F101" s="46" t="s">
        <v>160</v>
      </c>
      <c r="G101" s="46" t="s">
        <v>493</v>
      </c>
      <c r="H101" s="46" t="s">
        <v>554</v>
      </c>
      <c r="I101" s="46" t="s">
        <v>10</v>
      </c>
      <c r="J101" s="49">
        <v>41914</v>
      </c>
      <c r="K101" s="46" t="s">
        <v>158</v>
      </c>
      <c r="L101" s="49">
        <v>41914</v>
      </c>
      <c r="M101" s="46" t="s">
        <v>159</v>
      </c>
      <c r="N101" s="49">
        <v>41914</v>
      </c>
      <c r="O101" s="46" t="s">
        <v>133</v>
      </c>
      <c r="P101" s="46" t="s">
        <v>133</v>
      </c>
      <c r="Q101" s="46" t="s">
        <v>160</v>
      </c>
    </row>
    <row r="102" spans="1:17">
      <c r="A102" s="67" t="str">
        <f t="shared" ref="A102:A123" ca="1" si="9">VLOOKUP(D102,VLUTIL,3,FALSE)</f>
        <v>E</v>
      </c>
      <c r="B102" s="67">
        <f t="shared" si="7"/>
        <v>44</v>
      </c>
      <c r="C102" s="67" t="str">
        <f t="shared" si="8"/>
        <v>AEP</v>
      </c>
      <c r="D102" s="67" t="str">
        <f ca="1">IF(ISERROR(MATCH(C102,VLUNIVticker,0)),INDEX(VLUNIVticker,MATCH(C102,VLUNIVparent,0)),Ratings!C102)</f>
        <v>AEP</v>
      </c>
      <c r="E102" s="46" t="s">
        <v>495</v>
      </c>
      <c r="F102" s="46" t="s">
        <v>160</v>
      </c>
      <c r="G102" s="46" t="s">
        <v>496</v>
      </c>
      <c r="H102" s="46" t="s">
        <v>326</v>
      </c>
      <c r="I102" s="46" t="s">
        <v>9</v>
      </c>
      <c r="J102" s="49">
        <v>42768</v>
      </c>
      <c r="K102" s="46" t="s">
        <v>158</v>
      </c>
      <c r="L102" s="49">
        <v>42768</v>
      </c>
      <c r="M102" s="46" t="s">
        <v>159</v>
      </c>
      <c r="N102" s="49">
        <v>42768</v>
      </c>
      <c r="O102" s="46" t="s">
        <v>40</v>
      </c>
      <c r="P102" s="46" t="s">
        <v>40</v>
      </c>
      <c r="Q102" s="46" t="s">
        <v>549</v>
      </c>
    </row>
    <row r="103" spans="1:17">
      <c r="A103" s="67" t="str">
        <f t="shared" ca="1" si="9"/>
        <v>E</v>
      </c>
      <c r="B103" s="67">
        <f t="shared" si="7"/>
        <v>23</v>
      </c>
      <c r="C103" s="67" t="str">
        <f t="shared" si="8"/>
        <v>XEL</v>
      </c>
      <c r="D103" s="67" t="str">
        <f ca="1">IF(ISERROR(MATCH(C103,VLUNIVticker,0)),INDEX(VLUNIVticker,MATCH(C103,VLUNIVparent,0)),Ratings!C103)</f>
        <v>XEL</v>
      </c>
      <c r="E103" s="46" t="s">
        <v>497</v>
      </c>
      <c r="F103" s="46" t="s">
        <v>160</v>
      </c>
      <c r="G103" s="46" t="s">
        <v>498</v>
      </c>
      <c r="H103" s="46" t="s">
        <v>551</v>
      </c>
      <c r="I103" s="46" t="s">
        <v>9</v>
      </c>
      <c r="J103" s="49">
        <v>40352</v>
      </c>
      <c r="K103" s="46" t="s">
        <v>158</v>
      </c>
      <c r="L103" s="49">
        <v>38058</v>
      </c>
      <c r="M103" s="46" t="s">
        <v>159</v>
      </c>
      <c r="N103" s="49">
        <v>40352</v>
      </c>
      <c r="O103" s="46" t="s">
        <v>116</v>
      </c>
      <c r="P103" s="46" t="s">
        <v>116</v>
      </c>
      <c r="Q103" s="46" t="s">
        <v>160</v>
      </c>
    </row>
    <row r="104" spans="1:17">
      <c r="A104" s="67" t="str">
        <f t="shared" ca="1" si="9"/>
        <v>G</v>
      </c>
      <c r="B104" s="67">
        <f t="shared" si="7"/>
        <v>17</v>
      </c>
      <c r="C104" s="67" t="str">
        <f t="shared" si="8"/>
        <v>SR</v>
      </c>
      <c r="D104" s="67" t="str">
        <f ca="1">IF(ISERROR(MATCH(C104,VLUNIVticker,0)),INDEX(VLUNIVticker,MATCH(C104,VLUNIVparent,0)),Ratings!C104)</f>
        <v>SR</v>
      </c>
      <c r="E104" s="46" t="s">
        <v>499</v>
      </c>
      <c r="F104" s="46" t="s">
        <v>160</v>
      </c>
      <c r="G104" s="46" t="s">
        <v>500</v>
      </c>
      <c r="H104" s="46" t="s">
        <v>554</v>
      </c>
      <c r="I104" s="46" t="s">
        <v>9</v>
      </c>
      <c r="J104" s="49">
        <v>41884</v>
      </c>
      <c r="K104" s="46" t="s">
        <v>158</v>
      </c>
      <c r="L104" s="49">
        <v>41884</v>
      </c>
      <c r="M104" s="46" t="s">
        <v>159</v>
      </c>
      <c r="N104" s="49">
        <v>41884</v>
      </c>
      <c r="O104" s="46" t="s">
        <v>135</v>
      </c>
      <c r="P104" s="46" t="s">
        <v>135</v>
      </c>
      <c r="Q104" s="46" t="s">
        <v>580</v>
      </c>
    </row>
    <row r="105" spans="1:17">
      <c r="A105" s="67" t="str">
        <f t="shared" ca="1" si="9"/>
        <v>G</v>
      </c>
      <c r="B105" s="67">
        <f t="shared" si="7"/>
        <v>17</v>
      </c>
      <c r="C105" s="67" t="str">
        <f t="shared" si="8"/>
        <v>SR</v>
      </c>
      <c r="D105" s="67" t="str">
        <f ca="1">IF(ISERROR(MATCH(C105,VLUNIVticker,0)),INDEX(VLUNIVticker,MATCH(C105,VLUNIVparent,0)),Ratings!C105)</f>
        <v>SR</v>
      </c>
      <c r="E105" s="46" t="s">
        <v>502</v>
      </c>
      <c r="F105" s="46" t="s">
        <v>160</v>
      </c>
      <c r="G105" s="46" t="s">
        <v>503</v>
      </c>
      <c r="H105" s="46" t="s">
        <v>554</v>
      </c>
      <c r="I105" s="46" t="s">
        <v>9</v>
      </c>
      <c r="J105" s="49">
        <v>41474</v>
      </c>
      <c r="K105" s="46" t="s">
        <v>158</v>
      </c>
      <c r="L105" s="49">
        <v>41803</v>
      </c>
      <c r="M105" s="46" t="s">
        <v>159</v>
      </c>
      <c r="N105" s="49">
        <v>41803</v>
      </c>
      <c r="O105" s="46" t="s">
        <v>135</v>
      </c>
      <c r="P105" s="46" t="s">
        <v>135</v>
      </c>
      <c r="Q105" s="46" t="s">
        <v>160</v>
      </c>
    </row>
    <row r="106" spans="1:17">
      <c r="A106" s="67" t="str">
        <f t="shared" ca="1" si="9"/>
        <v>E</v>
      </c>
      <c r="B106" s="67">
        <f t="shared" si="7"/>
        <v>26</v>
      </c>
      <c r="C106" s="67" t="str">
        <f t="shared" si="8"/>
        <v>PNM</v>
      </c>
      <c r="D106" s="67" t="str">
        <f ca="1">IF(ISERROR(MATCH(C106,VLUNIVticker,0)),INDEX(VLUNIVticker,MATCH(C106,VLUNIVparent,0)),Ratings!C106)</f>
        <v>PNM</v>
      </c>
      <c r="E106" s="46" t="s">
        <v>504</v>
      </c>
      <c r="F106" s="46" t="s">
        <v>160</v>
      </c>
      <c r="G106" s="46" t="s">
        <v>505</v>
      </c>
      <c r="H106" s="46" t="s">
        <v>551</v>
      </c>
      <c r="I106" s="46" t="s">
        <v>10</v>
      </c>
      <c r="J106" s="49">
        <v>42359</v>
      </c>
      <c r="K106" s="46" t="s">
        <v>158</v>
      </c>
      <c r="L106" s="49">
        <v>39574</v>
      </c>
      <c r="M106" s="46" t="s">
        <v>159</v>
      </c>
      <c r="N106" s="49">
        <v>42359</v>
      </c>
      <c r="O106" s="46" t="s">
        <v>108</v>
      </c>
      <c r="P106" s="46" t="s">
        <v>108</v>
      </c>
      <c r="Q106" s="46" t="s">
        <v>160</v>
      </c>
    </row>
    <row r="107" spans="1:17">
      <c r="A107" s="67" t="str">
        <f t="shared" ca="1" si="9"/>
        <v>E</v>
      </c>
      <c r="B107" s="67">
        <f t="shared" si="7"/>
        <v>24</v>
      </c>
      <c r="C107" s="67" t="str">
        <f t="shared" si="8"/>
        <v>FE</v>
      </c>
      <c r="D107" s="67" t="str">
        <f ca="1">IF(ISERROR(MATCH(C107,VLUNIVticker,0)),INDEX(VLUNIVticker,MATCH(C107,VLUNIVparent,0)),Ratings!C107)</f>
        <v>FE</v>
      </c>
      <c r="E107" s="46" t="s">
        <v>507</v>
      </c>
      <c r="F107" s="46" t="s">
        <v>160</v>
      </c>
      <c r="G107" s="46" t="s">
        <v>508</v>
      </c>
      <c r="H107" s="46" t="s">
        <v>473</v>
      </c>
      <c r="I107" s="46" t="s">
        <v>12</v>
      </c>
      <c r="J107" s="49">
        <v>40220</v>
      </c>
      <c r="K107" s="46" t="s">
        <v>158</v>
      </c>
      <c r="L107" s="49">
        <v>37978</v>
      </c>
      <c r="M107" s="46" t="s">
        <v>159</v>
      </c>
      <c r="N107" s="49">
        <v>42963</v>
      </c>
      <c r="O107" s="46" t="s">
        <v>79</v>
      </c>
      <c r="P107" s="46" t="s">
        <v>79</v>
      </c>
      <c r="Q107" s="46" t="s">
        <v>160</v>
      </c>
    </row>
    <row r="108" spans="1:17">
      <c r="A108" s="67" t="str">
        <f t="shared" ca="1" si="9"/>
        <v>E</v>
      </c>
      <c r="B108" s="67">
        <f t="shared" si="7"/>
        <v>24</v>
      </c>
      <c r="C108" s="67" t="str">
        <f t="shared" si="8"/>
        <v>ES</v>
      </c>
      <c r="D108" s="67" t="str">
        <f ca="1">IF(ISERROR(MATCH(C108,VLUNIVticker,0)),INDEX(VLUNIVticker,MATCH(C108,VLUNIVparent,0)),Ratings!C108)</f>
        <v>ES</v>
      </c>
      <c r="E108" s="46" t="s">
        <v>509</v>
      </c>
      <c r="F108" s="46" t="s">
        <v>160</v>
      </c>
      <c r="G108" s="46" t="s">
        <v>510</v>
      </c>
      <c r="H108" s="46" t="s">
        <v>473</v>
      </c>
      <c r="I108" s="46" t="s">
        <v>8</v>
      </c>
      <c r="J108" s="49">
        <v>42117</v>
      </c>
      <c r="K108" s="46" t="s">
        <v>158</v>
      </c>
      <c r="L108" s="49">
        <v>41004</v>
      </c>
      <c r="M108" s="46" t="s">
        <v>177</v>
      </c>
      <c r="N108" s="49">
        <v>42563</v>
      </c>
      <c r="O108" s="46" t="s">
        <v>75</v>
      </c>
      <c r="P108" s="46" t="s">
        <v>75</v>
      </c>
      <c r="Q108" s="46" t="s">
        <v>160</v>
      </c>
    </row>
    <row r="109" spans="1:17">
      <c r="A109" s="67" t="str">
        <f t="shared" ca="1" si="9"/>
        <v>E</v>
      </c>
      <c r="B109" s="67">
        <f t="shared" si="7"/>
        <v>29</v>
      </c>
      <c r="C109" s="67" t="str">
        <f t="shared" si="8"/>
        <v>WEC</v>
      </c>
      <c r="D109" s="67" t="str">
        <f ca="1">IF(ISERROR(MATCH(C109,VLUNIVticker,0)),INDEX(VLUNIVticker,MATCH(C109,VLUNIVparent,0)),Ratings!C109)</f>
        <v>WEC</v>
      </c>
      <c r="E109" s="46" t="s">
        <v>511</v>
      </c>
      <c r="F109" s="46" t="s">
        <v>160</v>
      </c>
      <c r="G109" s="46" t="s">
        <v>512</v>
      </c>
      <c r="H109" s="46" t="s">
        <v>326</v>
      </c>
      <c r="I109" s="46" t="s">
        <v>9</v>
      </c>
      <c r="J109" s="49">
        <v>40932</v>
      </c>
      <c r="K109" s="46" t="s">
        <v>160</v>
      </c>
      <c r="L109" s="49" t="s">
        <v>160</v>
      </c>
      <c r="M109" s="46" t="s">
        <v>159</v>
      </c>
      <c r="N109" s="49">
        <v>42184</v>
      </c>
      <c r="O109" s="46" t="s">
        <v>446</v>
      </c>
      <c r="P109" s="46" t="s">
        <v>62</v>
      </c>
      <c r="Q109" s="46" t="s">
        <v>160</v>
      </c>
    </row>
    <row r="110" spans="1:17">
      <c r="A110" s="67" t="str">
        <f t="shared" ca="1" si="9"/>
        <v>E</v>
      </c>
      <c r="B110" s="67">
        <f t="shared" si="7"/>
        <v>24</v>
      </c>
      <c r="C110" s="67" t="str">
        <f t="shared" si="8"/>
        <v>FE</v>
      </c>
      <c r="D110" s="67" t="str">
        <f ca="1">IF(ISERROR(MATCH(C110,VLUNIVticker,0)),INDEX(VLUNIVticker,MATCH(C110,VLUNIVparent,0)),Ratings!C110)</f>
        <v>FE</v>
      </c>
      <c r="E110" s="46" t="s">
        <v>513</v>
      </c>
      <c r="F110" s="46" t="s">
        <v>160</v>
      </c>
      <c r="G110" s="46" t="s">
        <v>514</v>
      </c>
      <c r="H110" s="46" t="s">
        <v>473</v>
      </c>
      <c r="I110" s="46" t="s">
        <v>12</v>
      </c>
      <c r="J110" s="49">
        <v>39206</v>
      </c>
      <c r="K110" s="46" t="s">
        <v>158</v>
      </c>
      <c r="L110" s="49">
        <v>37749</v>
      </c>
      <c r="M110" s="46" t="s">
        <v>159</v>
      </c>
      <c r="N110" s="49">
        <v>42963</v>
      </c>
      <c r="O110" s="46" t="s">
        <v>79</v>
      </c>
      <c r="P110" s="46" t="s">
        <v>79</v>
      </c>
      <c r="Q110" s="46" t="s">
        <v>570</v>
      </c>
    </row>
    <row r="111" spans="1:17">
      <c r="A111" s="67" t="str">
        <f t="shared" ca="1" si="9"/>
        <v>E</v>
      </c>
      <c r="B111" s="67">
        <f t="shared" si="7"/>
        <v>21</v>
      </c>
      <c r="C111" s="67" t="str">
        <f t="shared" si="8"/>
        <v>IBE</v>
      </c>
      <c r="D111" s="67" t="str">
        <f ca="1">IF(ISERROR(MATCH(C111,VLUNIVticker,0)),INDEX(VLUNIVticker,MATCH(C111,VLUNIVparent,0)),Ratings!C111)</f>
        <v>AGR</v>
      </c>
      <c r="E111" s="46" t="s">
        <v>515</v>
      </c>
      <c r="F111" s="46" t="s">
        <v>160</v>
      </c>
      <c r="G111" s="46" t="s">
        <v>516</v>
      </c>
      <c r="H111" s="46" t="s">
        <v>473</v>
      </c>
      <c r="I111" s="46" t="s">
        <v>9</v>
      </c>
      <c r="J111" s="49">
        <v>42625</v>
      </c>
      <c r="K111" s="46" t="s">
        <v>158</v>
      </c>
      <c r="L111" s="49">
        <v>40498</v>
      </c>
      <c r="M111" s="46" t="s">
        <v>159</v>
      </c>
      <c r="N111" s="49">
        <v>42625</v>
      </c>
      <c r="O111" s="46" t="s">
        <v>581</v>
      </c>
      <c r="P111" s="46" t="s">
        <v>173</v>
      </c>
      <c r="Q111" s="46" t="s">
        <v>582</v>
      </c>
    </row>
    <row r="112" spans="1:17">
      <c r="A112" s="67" t="str">
        <f t="shared" ca="1" si="9"/>
        <v>E</v>
      </c>
      <c r="B112" s="67">
        <f t="shared" si="7"/>
        <v>24</v>
      </c>
      <c r="C112" s="67" t="str">
        <f t="shared" si="8"/>
        <v>FE</v>
      </c>
      <c r="D112" s="67" t="str">
        <f ca="1">IF(ISERROR(MATCH(C112,VLUNIVticker,0)),INDEX(VLUNIVticker,MATCH(C112,VLUNIVparent,0)),Ratings!C112)</f>
        <v>FE</v>
      </c>
      <c r="E112" s="46" t="s">
        <v>517</v>
      </c>
      <c r="F112" s="46" t="s">
        <v>160</v>
      </c>
      <c r="G112" s="46" t="s">
        <v>518</v>
      </c>
      <c r="H112" s="46" t="s">
        <v>473</v>
      </c>
      <c r="I112" s="46" t="s">
        <v>12</v>
      </c>
      <c r="J112" s="49">
        <v>40220</v>
      </c>
      <c r="K112" s="46" t="s">
        <v>158</v>
      </c>
      <c r="L112" s="49">
        <v>37978</v>
      </c>
      <c r="M112" s="46" t="s">
        <v>159</v>
      </c>
      <c r="N112" s="49">
        <v>42963</v>
      </c>
      <c r="O112" s="46" t="s">
        <v>79</v>
      </c>
      <c r="P112" s="46" t="s">
        <v>79</v>
      </c>
      <c r="Q112" s="46" t="s">
        <v>160</v>
      </c>
    </row>
    <row r="113" spans="1:17">
      <c r="A113" s="67" t="str">
        <f t="shared" ca="1" si="9"/>
        <v>G</v>
      </c>
      <c r="B113" s="67">
        <f t="shared" si="7"/>
        <v>22</v>
      </c>
      <c r="C113" s="67" t="str">
        <f t="shared" si="8"/>
        <v>UGI</v>
      </c>
      <c r="D113" s="67" t="str">
        <f ca="1">IF(ISERROR(MATCH(C113,VLUNIVticker,0)),INDEX(VLUNIVticker,MATCH(C113,VLUNIVparent,0)),Ratings!C113)</f>
        <v>UGI</v>
      </c>
      <c r="E113" s="46" t="s">
        <v>137</v>
      </c>
      <c r="F113" s="46" t="s">
        <v>261</v>
      </c>
      <c r="G113" s="46" t="s">
        <v>262</v>
      </c>
      <c r="H113" s="46" t="s">
        <v>554</v>
      </c>
      <c r="I113" s="46" t="s">
        <v>160</v>
      </c>
      <c r="J113" s="49" t="s">
        <v>160</v>
      </c>
      <c r="K113" s="46" t="s">
        <v>160</v>
      </c>
      <c r="L113" s="49" t="s">
        <v>160</v>
      </c>
      <c r="M113" s="46" t="s">
        <v>160</v>
      </c>
      <c r="N113" s="49" t="s">
        <v>160</v>
      </c>
      <c r="O113" s="46" t="s">
        <v>160</v>
      </c>
      <c r="P113" s="46" t="s">
        <v>137</v>
      </c>
      <c r="Q113" s="46" t="s">
        <v>160</v>
      </c>
    </row>
    <row r="114" spans="1:17">
      <c r="A114" s="67" t="str">
        <f t="shared" ca="1" si="9"/>
        <v>E</v>
      </c>
      <c r="B114" s="67">
        <f t="shared" si="7"/>
        <v>25</v>
      </c>
      <c r="C114" s="67" t="str">
        <f t="shared" si="8"/>
        <v>AEE</v>
      </c>
      <c r="D114" s="67" t="str">
        <f ca="1">IF(ISERROR(MATCH(C114,VLUNIVticker,0)),INDEX(VLUNIVticker,MATCH(C114,VLUNIVparent,0)),Ratings!C114)</f>
        <v>AEE</v>
      </c>
      <c r="E114" s="46" t="s">
        <v>520</v>
      </c>
      <c r="F114" s="46" t="s">
        <v>160</v>
      </c>
      <c r="G114" s="46" t="s">
        <v>521</v>
      </c>
      <c r="H114" s="46" t="s">
        <v>326</v>
      </c>
      <c r="I114" s="46" t="s">
        <v>10</v>
      </c>
      <c r="J114" s="49">
        <v>41612</v>
      </c>
      <c r="K114" s="46" t="s">
        <v>158</v>
      </c>
      <c r="L114" s="49">
        <v>41612</v>
      </c>
      <c r="M114" s="46" t="s">
        <v>159</v>
      </c>
      <c r="N114" s="49">
        <v>41612</v>
      </c>
      <c r="O114" s="46" t="s">
        <v>38</v>
      </c>
      <c r="P114" s="46" t="s">
        <v>38</v>
      </c>
      <c r="Q114" s="46" t="s">
        <v>160</v>
      </c>
    </row>
    <row r="115" spans="1:17">
      <c r="A115" s="67" t="str">
        <f t="shared" ca="1" si="9"/>
        <v>E</v>
      </c>
      <c r="B115" s="67">
        <f t="shared" si="7"/>
        <v>21</v>
      </c>
      <c r="C115" s="67" t="str">
        <f t="shared" si="8"/>
        <v>IBE</v>
      </c>
      <c r="D115" s="67" t="str">
        <f ca="1">IF(ISERROR(MATCH(C115,VLUNIVticker,0)),INDEX(VLUNIVticker,MATCH(C115,VLUNIVparent,0)),Ratings!C115)</f>
        <v>AGR</v>
      </c>
      <c r="E115" s="46" t="s">
        <v>522</v>
      </c>
      <c r="F115" s="46" t="s">
        <v>160</v>
      </c>
      <c r="G115" s="46" t="s">
        <v>523</v>
      </c>
      <c r="H115" s="46" t="s">
        <v>473</v>
      </c>
      <c r="I115" s="46" t="s">
        <v>9</v>
      </c>
      <c r="J115" s="49">
        <v>42625</v>
      </c>
      <c r="K115" s="46" t="s">
        <v>160</v>
      </c>
      <c r="L115" s="49" t="s">
        <v>160</v>
      </c>
      <c r="M115" s="46" t="s">
        <v>159</v>
      </c>
      <c r="N115" s="49">
        <v>42625</v>
      </c>
      <c r="O115" s="46" t="s">
        <v>581</v>
      </c>
      <c r="P115" s="46" t="s">
        <v>173</v>
      </c>
      <c r="Q115" s="46" t="s">
        <v>160</v>
      </c>
    </row>
    <row r="116" spans="1:17">
      <c r="A116" s="67" t="str">
        <f t="shared" ca="1" si="9"/>
        <v>E</v>
      </c>
      <c r="B116" s="67">
        <f t="shared" si="7"/>
        <v>28</v>
      </c>
      <c r="C116" s="67" t="str">
        <f t="shared" si="8"/>
        <v>D</v>
      </c>
      <c r="D116" s="67" t="str">
        <f ca="1">IF(ISERROR(MATCH(C116,VLUNIVticker,0)),INDEX(VLUNIVticker,MATCH(C116,VLUNIVparent,0)),Ratings!C116)</f>
        <v>D</v>
      </c>
      <c r="E116" s="46" t="s">
        <v>524</v>
      </c>
      <c r="F116" s="46" t="s">
        <v>160</v>
      </c>
      <c r="G116" s="46" t="s">
        <v>525</v>
      </c>
      <c r="H116" s="46" t="s">
        <v>473</v>
      </c>
      <c r="I116" s="46" t="s">
        <v>10</v>
      </c>
      <c r="J116" s="49">
        <v>42401</v>
      </c>
      <c r="K116" s="46" t="s">
        <v>158</v>
      </c>
      <c r="L116" s="49">
        <v>36769</v>
      </c>
      <c r="M116" s="46" t="s">
        <v>159</v>
      </c>
      <c r="N116" s="49">
        <v>42401</v>
      </c>
      <c r="O116" s="46" t="s">
        <v>583</v>
      </c>
      <c r="P116" s="46" t="s">
        <v>71</v>
      </c>
      <c r="Q116" s="46" t="s">
        <v>71</v>
      </c>
    </row>
    <row r="117" spans="1:17">
      <c r="A117" s="67" t="str">
        <f t="shared" ca="1" si="9"/>
        <v>G</v>
      </c>
      <c r="B117" s="67">
        <f t="shared" si="7"/>
        <v>25</v>
      </c>
      <c r="C117" s="67" t="str">
        <f t="shared" si="8"/>
        <v>WGL</v>
      </c>
      <c r="D117" s="67" t="str">
        <f ca="1">IF(ISERROR(MATCH(C117,VLUNIVticker,0)),INDEX(VLUNIVticker,MATCH(C117,VLUNIVparent,0)),Ratings!C117)</f>
        <v>WGL</v>
      </c>
      <c r="E117" s="46" t="s">
        <v>526</v>
      </c>
      <c r="F117" s="46" t="s">
        <v>160</v>
      </c>
      <c r="G117" s="46" t="s">
        <v>527</v>
      </c>
      <c r="H117" s="46" t="s">
        <v>554</v>
      </c>
      <c r="I117" s="46" t="s">
        <v>8</v>
      </c>
      <c r="J117" s="49">
        <v>42817</v>
      </c>
      <c r="K117" s="46" t="s">
        <v>160</v>
      </c>
      <c r="L117" s="49" t="s">
        <v>160</v>
      </c>
      <c r="M117" s="46" t="s">
        <v>260</v>
      </c>
      <c r="N117" s="49">
        <v>42817</v>
      </c>
      <c r="O117" s="46" t="s">
        <v>139</v>
      </c>
      <c r="P117" s="46" t="s">
        <v>139</v>
      </c>
      <c r="Q117" s="46" t="s">
        <v>160</v>
      </c>
    </row>
    <row r="118" spans="1:17">
      <c r="A118" s="67" t="str">
        <f t="shared" ca="1" si="9"/>
        <v>E</v>
      </c>
      <c r="B118" s="67">
        <f t="shared" si="7"/>
        <v>24</v>
      </c>
      <c r="C118" s="67" t="str">
        <f t="shared" si="8"/>
        <v>FE</v>
      </c>
      <c r="D118" s="67" t="str">
        <f ca="1">IF(ISERROR(MATCH(C118,VLUNIVticker,0)),INDEX(VLUNIVticker,MATCH(C118,VLUNIVparent,0)),Ratings!C118)</f>
        <v>FE</v>
      </c>
      <c r="E118" s="46" t="s">
        <v>528</v>
      </c>
      <c r="F118" s="46" t="s">
        <v>160</v>
      </c>
      <c r="G118" s="46" t="s">
        <v>529</v>
      </c>
      <c r="H118" s="46" t="s">
        <v>473</v>
      </c>
      <c r="I118" s="46" t="s">
        <v>12</v>
      </c>
      <c r="J118" s="49">
        <v>39206</v>
      </c>
      <c r="K118" s="46" t="s">
        <v>158</v>
      </c>
      <c r="L118" s="49">
        <v>37749</v>
      </c>
      <c r="M118" s="46" t="s">
        <v>159</v>
      </c>
      <c r="N118" s="49">
        <v>42963</v>
      </c>
      <c r="O118" s="46" t="s">
        <v>79</v>
      </c>
      <c r="P118" s="46" t="s">
        <v>79</v>
      </c>
      <c r="Q118" s="46" t="s">
        <v>570</v>
      </c>
    </row>
    <row r="119" spans="1:17">
      <c r="A119" s="67" t="str">
        <f t="shared" ca="1" si="9"/>
        <v>E</v>
      </c>
      <c r="B119" s="67">
        <f t="shared" si="7"/>
        <v>24</v>
      </c>
      <c r="C119" s="67" t="str">
        <f t="shared" si="8"/>
        <v>ES</v>
      </c>
      <c r="D119" s="67" t="str">
        <f ca="1">IF(ISERROR(MATCH(C119,VLUNIVticker,0)),INDEX(VLUNIVticker,MATCH(C119,VLUNIVparent,0)),Ratings!C119)</f>
        <v>ES</v>
      </c>
      <c r="E119" s="46" t="s">
        <v>530</v>
      </c>
      <c r="F119" s="46" t="s">
        <v>160</v>
      </c>
      <c r="G119" s="46" t="s">
        <v>531</v>
      </c>
      <c r="H119" s="46" t="s">
        <v>473</v>
      </c>
      <c r="I119" s="46" t="s">
        <v>8</v>
      </c>
      <c r="J119" s="49">
        <v>42117</v>
      </c>
      <c r="K119" s="46" t="s">
        <v>158</v>
      </c>
      <c r="L119" s="49">
        <v>41004</v>
      </c>
      <c r="M119" s="46" t="s">
        <v>177</v>
      </c>
      <c r="N119" s="49">
        <v>42563</v>
      </c>
      <c r="O119" s="46" t="s">
        <v>75</v>
      </c>
      <c r="P119" s="46" t="s">
        <v>75</v>
      </c>
      <c r="Q119" s="46" t="s">
        <v>160</v>
      </c>
    </row>
    <row r="120" spans="1:17">
      <c r="A120" s="67" t="str">
        <f t="shared" ca="1" si="9"/>
        <v>E</v>
      </c>
      <c r="B120" s="67">
        <f t="shared" si="7"/>
        <v>29</v>
      </c>
      <c r="C120" s="67" t="str">
        <f t="shared" si="8"/>
        <v>WEC</v>
      </c>
      <c r="D120" s="67" t="str">
        <f ca="1">IF(ISERROR(MATCH(C120,VLUNIVticker,0)),INDEX(VLUNIVticker,MATCH(C120,VLUNIVparent,0)),Ratings!C120)</f>
        <v>WEC</v>
      </c>
      <c r="E120" s="46" t="s">
        <v>532</v>
      </c>
      <c r="F120" s="46" t="s">
        <v>160</v>
      </c>
      <c r="G120" s="46" t="s">
        <v>533</v>
      </c>
      <c r="H120" s="46" t="s">
        <v>326</v>
      </c>
      <c r="I120" s="46" t="s">
        <v>9</v>
      </c>
      <c r="J120" s="49">
        <v>37687</v>
      </c>
      <c r="K120" s="46" t="s">
        <v>158</v>
      </c>
      <c r="L120" s="49">
        <v>36635</v>
      </c>
      <c r="M120" s="46" t="s">
        <v>159</v>
      </c>
      <c r="N120" s="49">
        <v>41450</v>
      </c>
      <c r="O120" s="46" t="s">
        <v>62</v>
      </c>
      <c r="P120" s="46" t="s">
        <v>62</v>
      </c>
      <c r="Q120" s="46" t="s">
        <v>160</v>
      </c>
    </row>
    <row r="121" spans="1:17">
      <c r="A121" s="67" t="str">
        <f t="shared" ca="1" si="9"/>
        <v>E</v>
      </c>
      <c r="B121" s="67">
        <f t="shared" si="7"/>
        <v>29</v>
      </c>
      <c r="C121" s="67" t="str">
        <f t="shared" si="8"/>
        <v>WEC</v>
      </c>
      <c r="D121" s="67" t="str">
        <f ca="1">IF(ISERROR(MATCH(C121,VLUNIVticker,0)),INDEX(VLUNIVticker,MATCH(C121,VLUNIVparent,0)),Ratings!C121)</f>
        <v>WEC</v>
      </c>
      <c r="E121" s="46" t="s">
        <v>534</v>
      </c>
      <c r="F121" s="46" t="s">
        <v>160</v>
      </c>
      <c r="G121" s="46" t="s">
        <v>535</v>
      </c>
      <c r="H121" s="46" t="s">
        <v>326</v>
      </c>
      <c r="I121" s="46" t="s">
        <v>8</v>
      </c>
      <c r="J121" s="49">
        <v>41617</v>
      </c>
      <c r="K121" s="46" t="s">
        <v>158</v>
      </c>
      <c r="L121" s="49">
        <v>41617</v>
      </c>
      <c r="M121" s="46" t="s">
        <v>159</v>
      </c>
      <c r="N121" s="49">
        <v>41617</v>
      </c>
      <c r="O121" s="46" t="s">
        <v>62</v>
      </c>
      <c r="P121" s="46" t="s">
        <v>62</v>
      </c>
      <c r="Q121" s="46" t="s">
        <v>584</v>
      </c>
    </row>
    <row r="122" spans="1:17">
      <c r="A122" s="67" t="str">
        <f t="shared" ca="1" si="9"/>
        <v>E</v>
      </c>
      <c r="B122" s="67">
        <f t="shared" si="7"/>
        <v>33</v>
      </c>
      <c r="C122" s="67" t="str">
        <f t="shared" si="8"/>
        <v>LNT</v>
      </c>
      <c r="D122" s="67" t="str">
        <f ca="1">IF(ISERROR(MATCH(C122,VLUNIVticker,0)),INDEX(VLUNIVticker,MATCH(C122,VLUNIVparent,0)),Ratings!C122)</f>
        <v>LNT</v>
      </c>
      <c r="E122" s="46" t="s">
        <v>537</v>
      </c>
      <c r="F122" s="46" t="s">
        <v>160</v>
      </c>
      <c r="G122" s="46" t="s">
        <v>538</v>
      </c>
      <c r="H122" s="46" t="s">
        <v>326</v>
      </c>
      <c r="I122" s="46" t="s">
        <v>8</v>
      </c>
      <c r="J122" s="49">
        <v>41285</v>
      </c>
      <c r="K122" s="46" t="s">
        <v>158</v>
      </c>
      <c r="L122" s="49">
        <v>35856</v>
      </c>
      <c r="M122" s="46" t="s">
        <v>159</v>
      </c>
      <c r="N122" s="49">
        <v>41285</v>
      </c>
      <c r="O122" s="46" t="s">
        <v>36</v>
      </c>
      <c r="P122" s="46" t="s">
        <v>36</v>
      </c>
      <c r="Q122" s="46" t="s">
        <v>160</v>
      </c>
    </row>
    <row r="123" spans="1:17">
      <c r="A123" s="67" t="str">
        <f t="shared" ca="1" si="9"/>
        <v>E</v>
      </c>
      <c r="B123" s="67">
        <f t="shared" si="7"/>
        <v>29</v>
      </c>
      <c r="C123" s="67" t="str">
        <f t="shared" si="8"/>
        <v>WEC</v>
      </c>
      <c r="D123" s="67" t="str">
        <f ca="1">IF(ISERROR(MATCH(C123,VLUNIVticker,0)),INDEX(VLUNIVticker,MATCH(C123,VLUNIVparent,0)),Ratings!C123)</f>
        <v>WEC</v>
      </c>
      <c r="E123" s="46" t="s">
        <v>539</v>
      </c>
      <c r="F123" s="46" t="s">
        <v>160</v>
      </c>
      <c r="G123" s="46" t="s">
        <v>540</v>
      </c>
      <c r="H123" s="46" t="s">
        <v>326</v>
      </c>
      <c r="I123" s="46" t="s">
        <v>9</v>
      </c>
      <c r="J123" s="49">
        <v>39877</v>
      </c>
      <c r="K123" s="46" t="s">
        <v>158</v>
      </c>
      <c r="L123" s="49">
        <v>39134</v>
      </c>
      <c r="M123" s="46" t="s">
        <v>159</v>
      </c>
      <c r="N123" s="49">
        <v>40204</v>
      </c>
      <c r="O123" s="46" t="s">
        <v>574</v>
      </c>
      <c r="P123" s="46" t="s">
        <v>62</v>
      </c>
      <c r="Q123" s="46" t="s">
        <v>585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128"/>
  <sheetViews>
    <sheetView topLeftCell="C109" workbookViewId="0">
      <selection activeCell="J34" sqref="J34"/>
    </sheetView>
  </sheetViews>
  <sheetFormatPr defaultColWidth="8.75" defaultRowHeight="14.25"/>
  <cols>
    <col min="1" max="1" width="4.25" style="46" bestFit="1" customWidth="1"/>
    <col min="2" max="2" width="2.75" style="46" bestFit="1" customWidth="1"/>
    <col min="3" max="4" width="4.375" style="46" bestFit="1" customWidth="1"/>
    <col min="5" max="5" width="6.75" style="46" bestFit="1" customWidth="1"/>
    <col min="6" max="6" width="46.375" style="46" bestFit="1" customWidth="1"/>
    <col min="7" max="9" width="8.75" style="46"/>
    <col min="10" max="29" width="10.375" style="46" customWidth="1"/>
    <col min="30" max="16384" width="8.75" style="46"/>
  </cols>
  <sheetData>
    <row r="1" spans="1:30">
      <c r="B1" s="53"/>
      <c r="C1" s="53"/>
      <c r="D1" s="53"/>
      <c r="E1" s="53"/>
      <c r="F1" s="54" t="s">
        <v>610</v>
      </c>
      <c r="G1" s="55" t="s">
        <v>659</v>
      </c>
      <c r="H1" s="56">
        <f>MATCH(G1,$J$1:$XFD$1,0)</f>
        <v>7</v>
      </c>
      <c r="I1" s="56" t="s">
        <v>608</v>
      </c>
      <c r="J1" s="57" t="str">
        <f>LEFT(RIGHT(J10,5),4)&amp;LEFT(RIGHT(J10,8),2)</f>
        <v>2013Q1</v>
      </c>
      <c r="K1" s="57" t="str">
        <f t="shared" ref="K1:AC1" si="0">LEFT(RIGHT(K10,5),4)&amp;LEFT(RIGHT(K10,8),2)</f>
        <v>2013Q2</v>
      </c>
      <c r="L1" s="57" t="str">
        <f t="shared" si="0"/>
        <v>2013Q3</v>
      </c>
      <c r="M1" s="57" t="str">
        <f t="shared" si="0"/>
        <v>2013Q4</v>
      </c>
      <c r="N1" s="57" t="str">
        <f t="shared" si="0"/>
        <v>2014Q1</v>
      </c>
      <c r="O1" s="57" t="str">
        <f t="shared" si="0"/>
        <v>2014Q2</v>
      </c>
      <c r="P1" s="57" t="str">
        <f t="shared" si="0"/>
        <v>2014Q3</v>
      </c>
      <c r="Q1" s="57" t="str">
        <f t="shared" si="0"/>
        <v>2014Q4</v>
      </c>
      <c r="R1" s="57" t="str">
        <f t="shared" si="0"/>
        <v>2015Q1</v>
      </c>
      <c r="S1" s="57" t="str">
        <f t="shared" si="0"/>
        <v>2015Q2</v>
      </c>
      <c r="T1" s="57" t="str">
        <f t="shared" si="0"/>
        <v>2015Q3</v>
      </c>
      <c r="U1" s="57" t="str">
        <f t="shared" si="0"/>
        <v>2015Q4</v>
      </c>
      <c r="V1" s="57" t="str">
        <f t="shared" si="0"/>
        <v>2016Q1</v>
      </c>
      <c r="W1" s="57" t="str">
        <f t="shared" si="0"/>
        <v>2016Q2</v>
      </c>
      <c r="X1" s="57" t="str">
        <f t="shared" si="0"/>
        <v>2016Q3</v>
      </c>
      <c r="Y1" s="57" t="str">
        <f t="shared" si="0"/>
        <v>2016Q4</v>
      </c>
      <c r="Z1" s="57" t="str">
        <f t="shared" si="0"/>
        <v>2017Q1</v>
      </c>
      <c r="AA1" s="57" t="str">
        <f t="shared" si="0"/>
        <v>2017Q2</v>
      </c>
      <c r="AB1" s="57" t="str">
        <f t="shared" si="0"/>
        <v>2017Q3</v>
      </c>
      <c r="AC1" s="57" t="str">
        <f t="shared" si="0"/>
        <v>2017Q4</v>
      </c>
    </row>
    <row r="2" spans="1:30">
      <c r="C2" s="53"/>
      <c r="D2" s="53"/>
      <c r="E2" s="53"/>
      <c r="F2" s="54" t="s">
        <v>611</v>
      </c>
      <c r="G2" s="55" t="s">
        <v>609</v>
      </c>
      <c r="H2" s="56">
        <f>MATCH(G2,$J$1:$XFD$1,0)</f>
        <v>18</v>
      </c>
      <c r="I2" s="58" t="s">
        <v>32</v>
      </c>
      <c r="J2" s="53">
        <f t="shared" ref="J2:AC2" ca="1" si="1">COUNTIFS(J$11:J$130,"&gt;0",$B$11:$B$130,$I$2)</f>
        <v>90</v>
      </c>
      <c r="K2" s="53">
        <f t="shared" ca="1" si="1"/>
        <v>90</v>
      </c>
      <c r="L2" s="53">
        <f t="shared" ca="1" si="1"/>
        <v>91</v>
      </c>
      <c r="M2" s="53">
        <f t="shared" ca="1" si="1"/>
        <v>90</v>
      </c>
      <c r="N2" s="53">
        <f t="shared" ca="1" si="1"/>
        <v>92</v>
      </c>
      <c r="O2" s="53">
        <f t="shared" ca="1" si="1"/>
        <v>92</v>
      </c>
      <c r="P2" s="53">
        <f t="shared" ca="1" si="1"/>
        <v>87</v>
      </c>
      <c r="Q2" s="53">
        <f t="shared" ca="1" si="1"/>
        <v>87</v>
      </c>
      <c r="R2" s="53">
        <f t="shared" ca="1" si="1"/>
        <v>95</v>
      </c>
      <c r="S2" s="53">
        <f t="shared" ca="1" si="1"/>
        <v>96</v>
      </c>
      <c r="T2" s="53">
        <f t="shared" ca="1" si="1"/>
        <v>97</v>
      </c>
      <c r="U2" s="53">
        <f t="shared" ca="1" si="1"/>
        <v>96</v>
      </c>
      <c r="V2" s="53">
        <f t="shared" ca="1" si="1"/>
        <v>96</v>
      </c>
      <c r="W2" s="53">
        <f t="shared" ca="1" si="1"/>
        <v>99</v>
      </c>
      <c r="X2" s="53">
        <f t="shared" ca="1" si="1"/>
        <v>98</v>
      </c>
      <c r="Y2" s="53">
        <f t="shared" ca="1" si="1"/>
        <v>97</v>
      </c>
      <c r="Z2" s="53">
        <f t="shared" ca="1" si="1"/>
        <v>97</v>
      </c>
      <c r="AA2" s="53">
        <f t="shared" ca="1" si="1"/>
        <v>94</v>
      </c>
      <c r="AB2" s="53">
        <f t="shared" si="1"/>
        <v>0</v>
      </c>
      <c r="AC2" s="53">
        <f t="shared" si="1"/>
        <v>0</v>
      </c>
    </row>
    <row r="3" spans="1:30">
      <c r="C3" s="53"/>
      <c r="D3" s="53"/>
      <c r="E3" s="53"/>
      <c r="F3" s="53"/>
      <c r="G3" s="53"/>
      <c r="H3" s="53"/>
      <c r="I3" s="58" t="s">
        <v>118</v>
      </c>
      <c r="J3" s="53">
        <f t="shared" ref="J3:AC3" ca="1" si="2">COUNTIFS(J$11:J$130,"&gt;0",$B$11:$B$130,$I$3)</f>
        <v>9</v>
      </c>
      <c r="K3" s="53">
        <f t="shared" ca="1" si="2"/>
        <v>10</v>
      </c>
      <c r="L3" s="53">
        <f t="shared" ca="1" si="2"/>
        <v>10</v>
      </c>
      <c r="M3" s="53">
        <f t="shared" ca="1" si="2"/>
        <v>10</v>
      </c>
      <c r="N3" s="53">
        <f t="shared" ca="1" si="2"/>
        <v>10</v>
      </c>
      <c r="O3" s="53">
        <f t="shared" ca="1" si="2"/>
        <v>11</v>
      </c>
      <c r="P3" s="53">
        <f t="shared" ca="1" si="2"/>
        <v>10</v>
      </c>
      <c r="Q3" s="53">
        <f t="shared" ca="1" si="2"/>
        <v>11</v>
      </c>
      <c r="R3" s="53">
        <f t="shared" ca="1" si="2"/>
        <v>11</v>
      </c>
      <c r="S3" s="53">
        <f t="shared" ca="1" si="2"/>
        <v>10</v>
      </c>
      <c r="T3" s="53">
        <f t="shared" ca="1" si="2"/>
        <v>10</v>
      </c>
      <c r="U3" s="53">
        <f t="shared" ca="1" si="2"/>
        <v>10</v>
      </c>
      <c r="V3" s="53">
        <f t="shared" ca="1" si="2"/>
        <v>10</v>
      </c>
      <c r="W3" s="53">
        <f t="shared" ca="1" si="2"/>
        <v>10</v>
      </c>
      <c r="X3" s="53">
        <f t="shared" ca="1" si="2"/>
        <v>10</v>
      </c>
      <c r="Y3" s="53">
        <f t="shared" ca="1" si="2"/>
        <v>10</v>
      </c>
      <c r="Z3" s="53">
        <f t="shared" ca="1" si="2"/>
        <v>10</v>
      </c>
      <c r="AA3" s="53">
        <f t="shared" ca="1" si="2"/>
        <v>9</v>
      </c>
      <c r="AB3" s="53">
        <f t="shared" si="2"/>
        <v>0</v>
      </c>
      <c r="AC3" s="53">
        <f t="shared" si="2"/>
        <v>0</v>
      </c>
    </row>
    <row r="4" spans="1:30">
      <c r="C4" s="53"/>
      <c r="D4" s="53"/>
      <c r="F4" s="53"/>
      <c r="G4" s="53"/>
      <c r="H4" s="53"/>
      <c r="I4" s="58" t="s">
        <v>547</v>
      </c>
      <c r="J4" s="53">
        <f>COUNTIFS(J$11:J$130,"&gt;0")</f>
        <v>99</v>
      </c>
      <c r="K4" s="53">
        <f t="shared" ref="K4:AC4" si="3">COUNTIFS(K$11:K$130,"&gt;0")</f>
        <v>100</v>
      </c>
      <c r="L4" s="53">
        <f t="shared" si="3"/>
        <v>101</v>
      </c>
      <c r="M4" s="53">
        <f t="shared" si="3"/>
        <v>100</v>
      </c>
      <c r="N4" s="53">
        <f t="shared" si="3"/>
        <v>102</v>
      </c>
      <c r="O4" s="53">
        <f t="shared" si="3"/>
        <v>103</v>
      </c>
      <c r="P4" s="53">
        <f t="shared" si="3"/>
        <v>97</v>
      </c>
      <c r="Q4" s="53">
        <f t="shared" si="3"/>
        <v>98</v>
      </c>
      <c r="R4" s="53">
        <f t="shared" si="3"/>
        <v>106</v>
      </c>
      <c r="S4" s="53">
        <f t="shared" si="3"/>
        <v>106</v>
      </c>
      <c r="T4" s="53">
        <f t="shared" si="3"/>
        <v>107</v>
      </c>
      <c r="U4" s="53">
        <f t="shared" si="3"/>
        <v>106</v>
      </c>
      <c r="V4" s="53">
        <f t="shared" si="3"/>
        <v>106</v>
      </c>
      <c r="W4" s="53">
        <f t="shared" si="3"/>
        <v>109</v>
      </c>
      <c r="X4" s="53">
        <f t="shared" si="3"/>
        <v>108</v>
      </c>
      <c r="Y4" s="53">
        <f t="shared" si="3"/>
        <v>107</v>
      </c>
      <c r="Z4" s="53">
        <f t="shared" si="3"/>
        <v>107</v>
      </c>
      <c r="AA4" s="53">
        <f t="shared" si="3"/>
        <v>103</v>
      </c>
      <c r="AB4" s="53">
        <f t="shared" si="3"/>
        <v>0</v>
      </c>
      <c r="AC4" s="53">
        <f t="shared" si="3"/>
        <v>0</v>
      </c>
    </row>
    <row r="5" spans="1:30">
      <c r="A5" s="59"/>
      <c r="D5" s="59"/>
      <c r="E5" s="59"/>
      <c r="F5" s="59"/>
      <c r="G5" s="60" t="s">
        <v>612</v>
      </c>
      <c r="H5" s="56">
        <f>H2-H1+1</f>
        <v>12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30">
      <c r="A6" s="59"/>
      <c r="D6" s="59"/>
      <c r="E6" s="59"/>
      <c r="F6" s="59"/>
      <c r="G6" s="60" t="s">
        <v>613</v>
      </c>
      <c r="H6" s="56">
        <f>MATCH(9.99999999999999E+307,J:J)-ROW(J10)</f>
        <v>118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0">
      <c r="F7" s="47" t="s">
        <v>607</v>
      </c>
    </row>
    <row r="8" spans="1:30" ht="15">
      <c r="F8" s="48" t="s">
        <v>140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</row>
    <row r="9" spans="1:30" ht="15"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spans="1:30" ht="86.25">
      <c r="A10" s="64" t="s">
        <v>542</v>
      </c>
      <c r="B10" s="64" t="s">
        <v>28</v>
      </c>
      <c r="C10" s="65" t="s">
        <v>543</v>
      </c>
      <c r="D10" s="65" t="s">
        <v>544</v>
      </c>
      <c r="E10" s="65" t="s">
        <v>545</v>
      </c>
      <c r="F10" s="66" t="s">
        <v>142</v>
      </c>
      <c r="G10" s="50" t="s">
        <v>143</v>
      </c>
      <c r="H10" s="50" t="s">
        <v>144</v>
      </c>
      <c r="I10" s="50" t="s">
        <v>145</v>
      </c>
      <c r="J10" s="51" t="s">
        <v>274</v>
      </c>
      <c r="K10" s="51" t="s">
        <v>275</v>
      </c>
      <c r="L10" s="51" t="s">
        <v>276</v>
      </c>
      <c r="M10" s="51" t="s">
        <v>277</v>
      </c>
      <c r="N10" s="51" t="s">
        <v>278</v>
      </c>
      <c r="O10" s="51" t="s">
        <v>279</v>
      </c>
      <c r="P10" s="51" t="s">
        <v>280</v>
      </c>
      <c r="Q10" s="51" t="s">
        <v>281</v>
      </c>
      <c r="R10" s="51" t="s">
        <v>282</v>
      </c>
      <c r="S10" s="51" t="s">
        <v>283</v>
      </c>
      <c r="T10" s="51" t="s">
        <v>284</v>
      </c>
      <c r="U10" s="51" t="s">
        <v>285</v>
      </c>
      <c r="V10" s="51" t="s">
        <v>286</v>
      </c>
      <c r="W10" s="51" t="s">
        <v>287</v>
      </c>
      <c r="X10" s="51" t="s">
        <v>288</v>
      </c>
      <c r="Y10" s="51" t="s">
        <v>289</v>
      </c>
      <c r="Z10" s="51" t="s">
        <v>290</v>
      </c>
      <c r="AA10" s="51" t="s">
        <v>291</v>
      </c>
      <c r="AB10" s="51" t="s">
        <v>292</v>
      </c>
      <c r="AC10" s="51" t="s">
        <v>293</v>
      </c>
      <c r="AD10" s="61"/>
    </row>
    <row r="11" spans="1:30">
      <c r="A11" s="62">
        <f t="shared" ref="A11:A42" ca="1" si="4">MATCH(F11,RATINGSname,0)</f>
        <v>1</v>
      </c>
      <c r="B11" s="62" t="str">
        <f t="shared" ref="B11:B42" ca="1" si="5">INDEX(RATINGSindus,A11)</f>
        <v>E</v>
      </c>
      <c r="C11" s="62" t="str">
        <f t="shared" ref="C11:C42" ca="1" si="6">INDEX(RATINGSlocalcurrLT,A11)</f>
        <v>NR</v>
      </c>
      <c r="D11" s="62" t="str">
        <f t="shared" ref="D11:D42" ca="1" si="7">IFERROR(VLOOKUP(C11,CR,2,FALSE),"")</f>
        <v/>
      </c>
      <c r="E11" s="63">
        <f t="shared" ref="E11:E42" ca="1" si="8">IFERROR(AVERAGE(OFFSET(I11,0,$H$1,1,$H$2-$H$1+1)),"N/A")</f>
        <v>56.022222222222226</v>
      </c>
      <c r="F11" s="46" t="s">
        <v>294</v>
      </c>
      <c r="G11" s="46" t="s">
        <v>160</v>
      </c>
      <c r="H11" s="46" t="s">
        <v>295</v>
      </c>
      <c r="I11" s="46" t="s">
        <v>296</v>
      </c>
      <c r="J11" s="46">
        <v>56</v>
      </c>
      <c r="K11" s="46">
        <v>56.9</v>
      </c>
      <c r="L11" s="46">
        <v>56.2</v>
      </c>
      <c r="M11" s="46" t="s">
        <v>160</v>
      </c>
      <c r="N11" s="46">
        <v>49.3</v>
      </c>
      <c r="O11" s="46">
        <v>56.7</v>
      </c>
      <c r="P11" s="46">
        <v>55.8</v>
      </c>
      <c r="Q11" s="46">
        <v>60.5</v>
      </c>
      <c r="R11" s="46">
        <v>54.8</v>
      </c>
      <c r="S11" s="46">
        <v>52.5</v>
      </c>
      <c r="T11" s="46">
        <v>53.2</v>
      </c>
      <c r="U11" s="46">
        <v>57.6</v>
      </c>
      <c r="V11" s="46">
        <v>56.8</v>
      </c>
      <c r="W11" s="46">
        <v>56.8</v>
      </c>
      <c r="X11" s="46">
        <v>56.2</v>
      </c>
      <c r="Y11" s="46" t="s">
        <v>160</v>
      </c>
      <c r="Z11" s="46" t="s">
        <v>160</v>
      </c>
      <c r="AA11" s="46" t="s">
        <v>160</v>
      </c>
      <c r="AB11" s="46" t="s">
        <v>160</v>
      </c>
      <c r="AC11" s="46" t="s">
        <v>160</v>
      </c>
    </row>
    <row r="12" spans="1:30">
      <c r="A12" s="62">
        <f t="shared" ca="1" si="4"/>
        <v>2</v>
      </c>
      <c r="B12" s="62" t="str">
        <f t="shared" ca="1" si="5"/>
        <v>E</v>
      </c>
      <c r="C12" s="62" t="str">
        <f t="shared" ca="1" si="6"/>
        <v>NR</v>
      </c>
      <c r="D12" s="62" t="str">
        <f t="shared" ca="1" si="7"/>
        <v/>
      </c>
      <c r="E12" s="63">
        <f t="shared" ca="1" si="8"/>
        <v>58.333333333333336</v>
      </c>
      <c r="F12" s="46" t="s">
        <v>297</v>
      </c>
      <c r="G12" s="46" t="s">
        <v>160</v>
      </c>
      <c r="H12" s="46" t="s">
        <v>298</v>
      </c>
      <c r="I12" s="46" t="s">
        <v>296</v>
      </c>
      <c r="J12" s="46">
        <v>56.8</v>
      </c>
      <c r="K12" s="46">
        <v>56.6</v>
      </c>
      <c r="L12" s="46">
        <v>56</v>
      </c>
      <c r="M12" s="46">
        <v>54</v>
      </c>
      <c r="N12" s="46">
        <v>53.8</v>
      </c>
      <c r="O12" s="46">
        <v>53.8</v>
      </c>
      <c r="P12" s="46">
        <v>56.6</v>
      </c>
      <c r="Q12" s="46">
        <v>57.8</v>
      </c>
      <c r="R12" s="46">
        <v>58.5</v>
      </c>
      <c r="S12" s="46">
        <v>57.4</v>
      </c>
      <c r="T12" s="46">
        <v>57.1</v>
      </c>
      <c r="U12" s="46">
        <v>59</v>
      </c>
      <c r="V12" s="46">
        <v>58.7</v>
      </c>
      <c r="W12" s="46">
        <v>59.8</v>
      </c>
      <c r="X12" s="46">
        <v>60.1</v>
      </c>
      <c r="Y12" s="46" t="s">
        <v>160</v>
      </c>
      <c r="Z12" s="46" t="s">
        <v>160</v>
      </c>
      <c r="AA12" s="46" t="s">
        <v>160</v>
      </c>
      <c r="AB12" s="46" t="s">
        <v>160</v>
      </c>
      <c r="AC12" s="46" t="s">
        <v>160</v>
      </c>
    </row>
    <row r="13" spans="1:30">
      <c r="A13" s="62">
        <f t="shared" ca="1" si="4"/>
        <v>3</v>
      </c>
      <c r="B13" s="62" t="str">
        <f t="shared" ca="1" si="5"/>
        <v>E</v>
      </c>
      <c r="C13" s="62" t="str">
        <f t="shared" ca="1" si="6"/>
        <v>A-</v>
      </c>
      <c r="D13" s="62">
        <f t="shared" ca="1" si="7"/>
        <v>15</v>
      </c>
      <c r="E13" s="63">
        <f t="shared" ca="1" si="8"/>
        <v>54.116666666666667</v>
      </c>
      <c r="F13" s="46" t="s">
        <v>299</v>
      </c>
      <c r="G13" s="46" t="s">
        <v>160</v>
      </c>
      <c r="H13" s="46" t="s">
        <v>300</v>
      </c>
      <c r="I13" s="46" t="s">
        <v>301</v>
      </c>
      <c r="J13" s="46">
        <v>53.6</v>
      </c>
      <c r="K13" s="46">
        <v>53.5</v>
      </c>
      <c r="L13" s="46">
        <v>51.7</v>
      </c>
      <c r="M13" s="46">
        <v>52</v>
      </c>
      <c r="N13" s="46">
        <v>51.8</v>
      </c>
      <c r="O13" s="46">
        <v>52.2</v>
      </c>
      <c r="P13" s="46">
        <v>51.6</v>
      </c>
      <c r="Q13" s="46">
        <v>53.1</v>
      </c>
      <c r="R13" s="46">
        <v>53.8</v>
      </c>
      <c r="S13" s="46">
        <v>58</v>
      </c>
      <c r="T13" s="46">
        <v>56.1</v>
      </c>
      <c r="U13" s="46">
        <v>55.1</v>
      </c>
      <c r="V13" s="46">
        <v>54.3</v>
      </c>
      <c r="W13" s="46">
        <v>54.6</v>
      </c>
      <c r="X13" s="46">
        <v>53.2</v>
      </c>
      <c r="Y13" s="46">
        <v>53.9</v>
      </c>
      <c r="Z13" s="46">
        <v>52.9</v>
      </c>
      <c r="AA13" s="46">
        <v>52.8</v>
      </c>
      <c r="AB13" s="46" t="s">
        <v>160</v>
      </c>
      <c r="AC13" s="46" t="s">
        <v>160</v>
      </c>
    </row>
    <row r="14" spans="1:30">
      <c r="A14" s="62">
        <f t="shared" ca="1" si="4"/>
        <v>4</v>
      </c>
      <c r="B14" s="62" t="str">
        <f t="shared" ca="1" si="5"/>
        <v>E</v>
      </c>
      <c r="C14" s="62" t="str">
        <f t="shared" ca="1" si="6"/>
        <v>BBB+</v>
      </c>
      <c r="D14" s="62">
        <f t="shared" ca="1" si="7"/>
        <v>14</v>
      </c>
      <c r="E14" s="63">
        <f t="shared" ca="1" si="8"/>
        <v>49.333333333333336</v>
      </c>
      <c r="F14" s="46" t="s">
        <v>34</v>
      </c>
      <c r="G14" s="46" t="s">
        <v>155</v>
      </c>
      <c r="H14" s="46" t="s">
        <v>156</v>
      </c>
      <c r="I14" s="46" t="s">
        <v>302</v>
      </c>
      <c r="J14" s="46">
        <v>51.2</v>
      </c>
      <c r="K14" s="46">
        <v>51.8</v>
      </c>
      <c r="L14" s="46">
        <v>50.7</v>
      </c>
      <c r="M14" s="46">
        <v>49.3</v>
      </c>
      <c r="N14" s="46">
        <v>50.8</v>
      </c>
      <c r="O14" s="46">
        <v>52.1</v>
      </c>
      <c r="P14" s="46">
        <v>50.1</v>
      </c>
      <c r="Q14" s="46">
        <v>49.2</v>
      </c>
      <c r="R14" s="46">
        <v>48</v>
      </c>
      <c r="S14" s="46">
        <v>48.4</v>
      </c>
      <c r="T14" s="46">
        <v>50.1</v>
      </c>
      <c r="U14" s="46">
        <v>50.9</v>
      </c>
      <c r="V14" s="46">
        <v>49.9</v>
      </c>
      <c r="W14" s="46">
        <v>50</v>
      </c>
      <c r="X14" s="46">
        <v>49.2</v>
      </c>
      <c r="Y14" s="46">
        <v>50.4</v>
      </c>
      <c r="Z14" s="46">
        <v>48.1</v>
      </c>
      <c r="AA14" s="46">
        <v>47.7</v>
      </c>
      <c r="AB14" s="46" t="s">
        <v>160</v>
      </c>
      <c r="AC14" s="46" t="s">
        <v>160</v>
      </c>
    </row>
    <row r="15" spans="1:30">
      <c r="A15" s="62">
        <f t="shared" ca="1" si="4"/>
        <v>5</v>
      </c>
      <c r="B15" s="62" t="str">
        <f t="shared" ca="1" si="5"/>
        <v>E</v>
      </c>
      <c r="C15" s="62" t="str">
        <f t="shared" ca="1" si="6"/>
        <v>BBB+</v>
      </c>
      <c r="D15" s="62">
        <f t="shared" ca="1" si="7"/>
        <v>14</v>
      </c>
      <c r="E15" s="63">
        <f t="shared" ca="1" si="8"/>
        <v>46.066666666666663</v>
      </c>
      <c r="F15" s="46" t="s">
        <v>303</v>
      </c>
      <c r="G15" s="46" t="s">
        <v>160</v>
      </c>
      <c r="H15" s="46" t="s">
        <v>304</v>
      </c>
      <c r="I15" s="46" t="s">
        <v>305</v>
      </c>
      <c r="J15" s="46">
        <v>41.4</v>
      </c>
      <c r="K15" s="46">
        <v>40.6</v>
      </c>
      <c r="L15" s="46">
        <v>41.3</v>
      </c>
      <c r="M15" s="46">
        <v>43.9</v>
      </c>
      <c r="N15" s="46">
        <v>43.7</v>
      </c>
      <c r="O15" s="46">
        <v>44.8</v>
      </c>
      <c r="P15" s="46">
        <v>45.3</v>
      </c>
      <c r="Q15" s="46">
        <v>46.3</v>
      </c>
      <c r="R15" s="46">
        <v>45.3</v>
      </c>
      <c r="S15" s="46">
        <v>45.5</v>
      </c>
      <c r="T15" s="46">
        <v>45.5</v>
      </c>
      <c r="U15" s="46">
        <v>45.4</v>
      </c>
      <c r="V15" s="46">
        <v>46.3</v>
      </c>
      <c r="W15" s="46">
        <v>46.5</v>
      </c>
      <c r="X15" s="46">
        <v>46.3</v>
      </c>
      <c r="Y15" s="46">
        <v>46.9</v>
      </c>
      <c r="Z15" s="46">
        <v>46.7</v>
      </c>
      <c r="AA15" s="46">
        <v>46.8</v>
      </c>
      <c r="AB15" s="46" t="s">
        <v>160</v>
      </c>
      <c r="AC15" s="46" t="s">
        <v>160</v>
      </c>
    </row>
    <row r="16" spans="1:30">
      <c r="A16" s="62">
        <f t="shared" ca="1" si="4"/>
        <v>6</v>
      </c>
      <c r="B16" s="62" t="str">
        <f t="shared" ca="1" si="5"/>
        <v>E</v>
      </c>
      <c r="C16" s="62" t="str">
        <f t="shared" ca="1" si="6"/>
        <v>A-</v>
      </c>
      <c r="D16" s="62">
        <f t="shared" ca="1" si="7"/>
        <v>15</v>
      </c>
      <c r="E16" s="63">
        <f t="shared" ca="1" si="8"/>
        <v>53.866666666666667</v>
      </c>
      <c r="F16" s="46" t="s">
        <v>306</v>
      </c>
      <c r="G16" s="46" t="s">
        <v>160</v>
      </c>
      <c r="H16" s="46" t="s">
        <v>307</v>
      </c>
      <c r="I16" s="46" t="s">
        <v>305</v>
      </c>
      <c r="J16" s="46">
        <v>56.8</v>
      </c>
      <c r="K16" s="46">
        <v>56.8</v>
      </c>
      <c r="L16" s="46">
        <v>54.9</v>
      </c>
      <c r="M16" s="46">
        <v>57.9</v>
      </c>
      <c r="N16" s="46">
        <v>57.3</v>
      </c>
      <c r="O16" s="46">
        <v>56</v>
      </c>
      <c r="P16" s="46">
        <v>55.8</v>
      </c>
      <c r="Q16" s="46">
        <v>55.9</v>
      </c>
      <c r="R16" s="46">
        <v>55.1</v>
      </c>
      <c r="S16" s="46">
        <v>55.4</v>
      </c>
      <c r="T16" s="46">
        <v>55.2</v>
      </c>
      <c r="U16" s="46">
        <v>52.4</v>
      </c>
      <c r="V16" s="46">
        <v>52.1</v>
      </c>
      <c r="W16" s="46">
        <v>53.7</v>
      </c>
      <c r="X16" s="46">
        <v>53.2</v>
      </c>
      <c r="Y16" s="46">
        <v>53.1</v>
      </c>
      <c r="Z16" s="46">
        <v>52.3</v>
      </c>
      <c r="AA16" s="46">
        <v>52.2</v>
      </c>
      <c r="AB16" s="46" t="s">
        <v>160</v>
      </c>
      <c r="AC16" s="46" t="s">
        <v>160</v>
      </c>
    </row>
    <row r="17" spans="1:29">
      <c r="A17" s="62">
        <f t="shared" ca="1" si="4"/>
        <v>7</v>
      </c>
      <c r="B17" s="62" t="str">
        <f t="shared" ca="1" si="5"/>
        <v>E</v>
      </c>
      <c r="C17" s="62" t="str">
        <f t="shared" ca="1" si="6"/>
        <v>A-</v>
      </c>
      <c r="D17" s="62">
        <f t="shared" ca="1" si="7"/>
        <v>15</v>
      </c>
      <c r="E17" s="63">
        <f t="shared" ca="1" si="8"/>
        <v>47.225000000000001</v>
      </c>
      <c r="F17" s="46" t="s">
        <v>308</v>
      </c>
      <c r="G17" s="46" t="s">
        <v>160</v>
      </c>
      <c r="H17" s="46" t="s">
        <v>309</v>
      </c>
      <c r="I17" s="46" t="s">
        <v>310</v>
      </c>
      <c r="J17" s="46">
        <v>50.5</v>
      </c>
      <c r="K17" s="46">
        <v>50.6</v>
      </c>
      <c r="L17" s="46">
        <v>48.3</v>
      </c>
      <c r="M17" s="46">
        <v>47.7</v>
      </c>
      <c r="N17" s="46">
        <v>47.7</v>
      </c>
      <c r="O17" s="46">
        <v>47.8</v>
      </c>
      <c r="P17" s="46">
        <v>45.7</v>
      </c>
      <c r="Q17" s="46">
        <v>46.3</v>
      </c>
      <c r="R17" s="46">
        <v>47</v>
      </c>
      <c r="S17" s="46">
        <v>47.9</v>
      </c>
      <c r="T17" s="46">
        <v>44.9</v>
      </c>
      <c r="U17" s="46">
        <v>45.8</v>
      </c>
      <c r="V17" s="46">
        <v>47.3</v>
      </c>
      <c r="W17" s="46">
        <v>48.3</v>
      </c>
      <c r="X17" s="46">
        <v>46.9</v>
      </c>
      <c r="Y17" s="46">
        <v>47.7</v>
      </c>
      <c r="Z17" s="46">
        <v>48.8</v>
      </c>
      <c r="AA17" s="46">
        <v>50.1</v>
      </c>
      <c r="AB17" s="46" t="s">
        <v>160</v>
      </c>
      <c r="AC17" s="46" t="s">
        <v>160</v>
      </c>
    </row>
    <row r="18" spans="1:29">
      <c r="A18" s="62">
        <f t="shared" ca="1" si="4"/>
        <v>8</v>
      </c>
      <c r="B18" s="62" t="str">
        <f t="shared" ca="1" si="5"/>
        <v>E</v>
      </c>
      <c r="C18" s="62" t="str">
        <f t="shared" ca="1" si="6"/>
        <v>BBB+</v>
      </c>
      <c r="D18" s="62">
        <f t="shared" ca="1" si="7"/>
        <v>14</v>
      </c>
      <c r="E18" s="63">
        <f t="shared" ca="1" si="8"/>
        <v>51.708333333333336</v>
      </c>
      <c r="F18" s="46" t="s">
        <v>311</v>
      </c>
      <c r="G18" s="46" t="s">
        <v>160</v>
      </c>
      <c r="H18" s="46" t="s">
        <v>312</v>
      </c>
      <c r="I18" s="46" t="s">
        <v>301</v>
      </c>
      <c r="J18" s="46">
        <v>57.4</v>
      </c>
      <c r="K18" s="46">
        <v>53.8</v>
      </c>
      <c r="L18" s="46">
        <v>52.8</v>
      </c>
      <c r="M18" s="46">
        <v>54.6</v>
      </c>
      <c r="N18" s="46">
        <v>54.7</v>
      </c>
      <c r="O18" s="46">
        <v>55.8</v>
      </c>
      <c r="P18" s="46">
        <v>53.7</v>
      </c>
      <c r="Q18" s="46">
        <v>54.9</v>
      </c>
      <c r="R18" s="46">
        <v>55.3</v>
      </c>
      <c r="S18" s="46">
        <v>56.4</v>
      </c>
      <c r="T18" s="46">
        <v>55.7</v>
      </c>
      <c r="U18" s="46">
        <v>52</v>
      </c>
      <c r="V18" s="46">
        <v>51.5</v>
      </c>
      <c r="W18" s="46">
        <v>46.7</v>
      </c>
      <c r="X18" s="46">
        <v>45.5</v>
      </c>
      <c r="Y18" s="46">
        <v>48.6</v>
      </c>
      <c r="Z18" s="46">
        <v>49.1</v>
      </c>
      <c r="AA18" s="46">
        <v>51.1</v>
      </c>
      <c r="AB18" s="46" t="s">
        <v>160</v>
      </c>
      <c r="AC18" s="46" t="s">
        <v>160</v>
      </c>
    </row>
    <row r="19" spans="1:29">
      <c r="A19" s="62">
        <f t="shared" ca="1" si="4"/>
        <v>9</v>
      </c>
      <c r="B19" s="62" t="str">
        <f t="shared" ca="1" si="5"/>
        <v>G</v>
      </c>
      <c r="C19" s="62" t="str">
        <f t="shared" ca="1" si="6"/>
        <v>A</v>
      </c>
      <c r="D19" s="62">
        <f t="shared" ca="1" si="7"/>
        <v>16</v>
      </c>
      <c r="E19" s="63">
        <f t="shared" ca="1" si="8"/>
        <v>48.400000000000006</v>
      </c>
      <c r="F19" s="46" t="s">
        <v>119</v>
      </c>
      <c r="G19" s="46" t="s">
        <v>167</v>
      </c>
      <c r="H19" s="46" t="s">
        <v>168</v>
      </c>
      <c r="I19" s="46" t="s">
        <v>313</v>
      </c>
      <c r="J19" s="46">
        <v>53.2</v>
      </c>
      <c r="K19" s="46">
        <v>52.8</v>
      </c>
      <c r="L19" s="46">
        <v>53.2</v>
      </c>
      <c r="M19" s="46">
        <v>53.9</v>
      </c>
      <c r="N19" s="46">
        <v>45.7</v>
      </c>
      <c r="O19" s="46">
        <v>47.4</v>
      </c>
      <c r="P19" s="46">
        <v>47.6</v>
      </c>
      <c r="Q19" s="46">
        <v>49.4</v>
      </c>
      <c r="R19" s="46">
        <v>47.4</v>
      </c>
      <c r="S19" s="46">
        <v>48.5</v>
      </c>
      <c r="T19" s="46">
        <v>48.3</v>
      </c>
      <c r="U19" s="46">
        <v>49.8</v>
      </c>
      <c r="V19" s="46">
        <v>48.8</v>
      </c>
      <c r="W19" s="46">
        <v>47.7</v>
      </c>
      <c r="X19" s="46">
        <v>49.1</v>
      </c>
      <c r="Y19" s="46">
        <v>49.8</v>
      </c>
      <c r="Z19" s="46">
        <v>47.3</v>
      </c>
      <c r="AA19" s="46">
        <v>47.1</v>
      </c>
      <c r="AB19" s="46" t="s">
        <v>160</v>
      </c>
      <c r="AC19" s="46" t="s">
        <v>160</v>
      </c>
    </row>
    <row r="20" spans="1:29">
      <c r="A20" s="62">
        <f t="shared" ca="1" si="4"/>
        <v>10</v>
      </c>
      <c r="B20" s="62" t="str">
        <f t="shared" ca="1" si="5"/>
        <v>E</v>
      </c>
      <c r="C20" s="62" t="str">
        <f t="shared" ca="1" si="6"/>
        <v>BBB</v>
      </c>
      <c r="D20" s="62">
        <f t="shared" ca="1" si="7"/>
        <v>13</v>
      </c>
      <c r="E20" s="63">
        <f t="shared" ca="1" si="8"/>
        <v>54.55833333333333</v>
      </c>
      <c r="F20" s="46" t="s">
        <v>92</v>
      </c>
      <c r="G20" s="46" t="s">
        <v>174</v>
      </c>
      <c r="H20" s="46" t="s">
        <v>175</v>
      </c>
      <c r="I20" s="46" t="s">
        <v>314</v>
      </c>
      <c r="J20" s="46">
        <v>53.4</v>
      </c>
      <c r="K20" s="46">
        <v>54</v>
      </c>
      <c r="L20" s="46">
        <v>53.1</v>
      </c>
      <c r="M20" s="46">
        <v>54</v>
      </c>
      <c r="N20" s="46">
        <v>52.2</v>
      </c>
      <c r="O20" s="46">
        <v>49.9</v>
      </c>
      <c r="P20" s="46">
        <v>51.3</v>
      </c>
      <c r="Q20" s="46">
        <v>54.1</v>
      </c>
      <c r="R20" s="46">
        <v>53.2</v>
      </c>
      <c r="S20" s="46">
        <v>53.5</v>
      </c>
      <c r="T20" s="46">
        <v>54.1</v>
      </c>
      <c r="U20" s="46">
        <v>54.7</v>
      </c>
      <c r="V20" s="46">
        <v>54.4</v>
      </c>
      <c r="W20" s="46">
        <v>55.6</v>
      </c>
      <c r="X20" s="46">
        <v>55.9</v>
      </c>
      <c r="Y20" s="46">
        <v>56.5</v>
      </c>
      <c r="Z20" s="46">
        <v>55.6</v>
      </c>
      <c r="AA20" s="46">
        <v>55.8</v>
      </c>
      <c r="AB20" s="46" t="s">
        <v>160</v>
      </c>
      <c r="AC20" s="46" t="s">
        <v>160</v>
      </c>
    </row>
    <row r="21" spans="1:29">
      <c r="A21" s="62">
        <f t="shared" ca="1" si="4"/>
        <v>11</v>
      </c>
      <c r="B21" s="62" t="str">
        <f t="shared" ca="1" si="5"/>
        <v>E</v>
      </c>
      <c r="C21" s="62" t="str">
        <f t="shared" ca="1" si="6"/>
        <v>A-</v>
      </c>
      <c r="D21" s="62">
        <f t="shared" ca="1" si="7"/>
        <v>15</v>
      </c>
      <c r="E21" s="63">
        <f t="shared" ca="1" si="8"/>
        <v>47.041666666666664</v>
      </c>
      <c r="F21" s="46" t="s">
        <v>315</v>
      </c>
      <c r="G21" s="46" t="s">
        <v>160</v>
      </c>
      <c r="H21" s="46" t="s">
        <v>316</v>
      </c>
      <c r="I21" s="46" t="s">
        <v>301</v>
      </c>
      <c r="J21" s="46">
        <v>48</v>
      </c>
      <c r="K21" s="46">
        <v>47.9</v>
      </c>
      <c r="L21" s="46">
        <v>47.1</v>
      </c>
      <c r="M21" s="46">
        <v>48.2</v>
      </c>
      <c r="N21" s="46">
        <v>46</v>
      </c>
      <c r="O21" s="46">
        <v>45.5</v>
      </c>
      <c r="P21" s="46">
        <v>44.4</v>
      </c>
      <c r="Q21" s="46">
        <v>46.9</v>
      </c>
      <c r="R21" s="46">
        <v>45.3</v>
      </c>
      <c r="S21" s="46">
        <v>45</v>
      </c>
      <c r="T21" s="46">
        <v>45.4</v>
      </c>
      <c r="U21" s="46">
        <v>47.1</v>
      </c>
      <c r="V21" s="46">
        <v>46</v>
      </c>
      <c r="W21" s="46">
        <v>46.3</v>
      </c>
      <c r="X21" s="46">
        <v>48.9</v>
      </c>
      <c r="Y21" s="46">
        <v>49.9</v>
      </c>
      <c r="Z21" s="46">
        <v>49.9</v>
      </c>
      <c r="AA21" s="46">
        <v>49.4</v>
      </c>
      <c r="AB21" s="46" t="s">
        <v>160</v>
      </c>
      <c r="AC21" s="46" t="s">
        <v>160</v>
      </c>
    </row>
    <row r="22" spans="1:29">
      <c r="A22" s="62">
        <f t="shared" ca="1" si="4"/>
        <v>12</v>
      </c>
      <c r="B22" s="62" t="str">
        <f t="shared" ca="1" si="5"/>
        <v>E</v>
      </c>
      <c r="C22" s="62" t="str">
        <f t="shared" ca="1" si="6"/>
        <v>BBB</v>
      </c>
      <c r="D22" s="62">
        <f t="shared" ca="1" si="7"/>
        <v>13</v>
      </c>
      <c r="E22" s="63">
        <f t="shared" ca="1" si="8"/>
        <v>48.666666666666664</v>
      </c>
      <c r="F22" s="46" t="s">
        <v>317</v>
      </c>
      <c r="G22" s="46" t="s">
        <v>160</v>
      </c>
      <c r="H22" s="46" t="s">
        <v>318</v>
      </c>
      <c r="I22" s="46" t="s">
        <v>310</v>
      </c>
      <c r="J22" s="46">
        <v>49.8</v>
      </c>
      <c r="K22" s="46">
        <v>49.3</v>
      </c>
      <c r="L22" s="46">
        <v>49.1</v>
      </c>
      <c r="M22" s="46">
        <v>47.9</v>
      </c>
      <c r="N22" s="46">
        <v>47.1</v>
      </c>
      <c r="O22" s="46">
        <v>46.7</v>
      </c>
      <c r="P22" s="46">
        <v>46.5</v>
      </c>
      <c r="Q22" s="46">
        <v>50.8</v>
      </c>
      <c r="R22" s="46">
        <v>46.8</v>
      </c>
      <c r="S22" s="46">
        <v>44.6</v>
      </c>
      <c r="T22" s="46">
        <v>48.3</v>
      </c>
      <c r="U22" s="46">
        <v>49.9</v>
      </c>
      <c r="V22" s="46">
        <v>48.1</v>
      </c>
      <c r="W22" s="46">
        <v>49.1</v>
      </c>
      <c r="X22" s="46">
        <v>49.8</v>
      </c>
      <c r="Y22" s="46">
        <v>50.3</v>
      </c>
      <c r="Z22" s="46">
        <v>49.9</v>
      </c>
      <c r="AA22" s="46">
        <v>49.9</v>
      </c>
      <c r="AB22" s="46" t="s">
        <v>160</v>
      </c>
      <c r="AC22" s="46" t="s">
        <v>160</v>
      </c>
    </row>
    <row r="23" spans="1:29">
      <c r="A23" s="62">
        <f t="shared" ca="1" si="4"/>
        <v>13</v>
      </c>
      <c r="B23" s="62" t="str">
        <f t="shared" ca="1" si="5"/>
        <v>E</v>
      </c>
      <c r="C23" s="62" t="str">
        <f t="shared" ca="1" si="6"/>
        <v>A-</v>
      </c>
      <c r="D23" s="62">
        <f t="shared" ca="1" si="7"/>
        <v>15</v>
      </c>
      <c r="E23" s="63">
        <f t="shared" ca="1" si="8"/>
        <v>56.572727272727271</v>
      </c>
      <c r="F23" s="46" t="s">
        <v>319</v>
      </c>
      <c r="G23" s="46" t="s">
        <v>160</v>
      </c>
      <c r="H23" s="46" t="s">
        <v>320</v>
      </c>
      <c r="I23" s="46" t="s">
        <v>305</v>
      </c>
      <c r="J23" s="46">
        <v>50</v>
      </c>
      <c r="K23" s="46">
        <v>47.9</v>
      </c>
      <c r="L23" s="46">
        <v>39.9</v>
      </c>
      <c r="M23" s="46">
        <v>57.7</v>
      </c>
      <c r="N23" s="46">
        <v>61.7</v>
      </c>
      <c r="O23" s="46">
        <v>59.3</v>
      </c>
      <c r="P23" s="46">
        <v>54.6</v>
      </c>
      <c r="Q23" s="46" t="s">
        <v>160</v>
      </c>
      <c r="R23" s="46">
        <v>54</v>
      </c>
      <c r="S23" s="46">
        <v>53.6</v>
      </c>
      <c r="T23" s="46">
        <v>50.1</v>
      </c>
      <c r="U23" s="46">
        <v>60.4</v>
      </c>
      <c r="V23" s="46">
        <v>61.8</v>
      </c>
      <c r="W23" s="46">
        <v>61.4</v>
      </c>
      <c r="X23" s="46">
        <v>59.5</v>
      </c>
      <c r="Y23" s="46">
        <v>53.6</v>
      </c>
      <c r="Z23" s="46">
        <v>57.4</v>
      </c>
      <c r="AA23" s="46">
        <v>55.9</v>
      </c>
      <c r="AB23" s="46" t="s">
        <v>160</v>
      </c>
      <c r="AC23" s="46" t="s">
        <v>160</v>
      </c>
    </row>
    <row r="24" spans="1:29">
      <c r="A24" s="62">
        <f t="shared" ca="1" si="4"/>
        <v>14</v>
      </c>
      <c r="B24" s="62" t="str">
        <f t="shared" ca="1" si="5"/>
        <v>E</v>
      </c>
      <c r="C24" s="62" t="str">
        <f t="shared" ca="1" si="6"/>
        <v>A-</v>
      </c>
      <c r="D24" s="62">
        <f t="shared" ca="1" si="7"/>
        <v>15</v>
      </c>
      <c r="E24" s="63">
        <f t="shared" ca="1" si="8"/>
        <v>42.108333333333341</v>
      </c>
      <c r="F24" s="46" t="s">
        <v>321</v>
      </c>
      <c r="G24" s="46" t="s">
        <v>160</v>
      </c>
      <c r="H24" s="46" t="s">
        <v>322</v>
      </c>
      <c r="I24" s="46" t="s">
        <v>323</v>
      </c>
      <c r="J24" s="46">
        <v>40.299999999999997</v>
      </c>
      <c r="K24" s="46">
        <v>36.4</v>
      </c>
      <c r="L24" s="46">
        <v>36.5</v>
      </c>
      <c r="M24" s="46">
        <v>36.4</v>
      </c>
      <c r="N24" s="46">
        <v>34.1</v>
      </c>
      <c r="O24" s="46">
        <v>34.200000000000003</v>
      </c>
      <c r="P24" s="46">
        <v>34.5</v>
      </c>
      <c r="Q24" s="46">
        <v>41</v>
      </c>
      <c r="R24" s="46">
        <v>37.700000000000003</v>
      </c>
      <c r="S24" s="46">
        <v>35.9</v>
      </c>
      <c r="T24" s="46">
        <v>39.4</v>
      </c>
      <c r="U24" s="46">
        <v>44</v>
      </c>
      <c r="V24" s="46">
        <v>43.5</v>
      </c>
      <c r="W24" s="46">
        <v>41.2</v>
      </c>
      <c r="X24" s="46">
        <v>45.6</v>
      </c>
      <c r="Y24" s="46">
        <v>47.1</v>
      </c>
      <c r="Z24" s="46">
        <v>46.8</v>
      </c>
      <c r="AA24" s="46">
        <v>48.6</v>
      </c>
      <c r="AB24" s="46" t="s">
        <v>160</v>
      </c>
      <c r="AC24" s="46" t="s">
        <v>160</v>
      </c>
    </row>
    <row r="25" spans="1:29">
      <c r="A25" s="62">
        <f t="shared" ca="1" si="4"/>
        <v>15</v>
      </c>
      <c r="B25" s="62" t="str">
        <f t="shared" ca="1" si="5"/>
        <v>E</v>
      </c>
      <c r="C25" s="62" t="str">
        <f t="shared" ca="1" si="6"/>
        <v>A-</v>
      </c>
      <c r="D25" s="62">
        <f t="shared" ca="1" si="7"/>
        <v>15</v>
      </c>
      <c r="E25" s="63">
        <f t="shared" ca="1" si="8"/>
        <v>50.783333333333339</v>
      </c>
      <c r="F25" s="46" t="s">
        <v>324</v>
      </c>
      <c r="G25" s="46" t="s">
        <v>160</v>
      </c>
      <c r="H25" s="46" t="s">
        <v>325</v>
      </c>
      <c r="I25" s="46" t="s">
        <v>326</v>
      </c>
      <c r="J25" s="46">
        <v>58.2</v>
      </c>
      <c r="K25" s="46">
        <v>55.5</v>
      </c>
      <c r="L25" s="46">
        <v>55.8</v>
      </c>
      <c r="M25" s="46" t="s">
        <v>160</v>
      </c>
      <c r="N25" s="46">
        <v>52.2</v>
      </c>
      <c r="O25" s="46">
        <v>49.1</v>
      </c>
      <c r="P25" s="46">
        <v>50</v>
      </c>
      <c r="Q25" s="46">
        <v>51.2</v>
      </c>
      <c r="R25" s="46">
        <v>51.4</v>
      </c>
      <c r="S25" s="46">
        <v>49.4</v>
      </c>
      <c r="T25" s="46">
        <v>51.6</v>
      </c>
      <c r="U25" s="46">
        <v>52.2</v>
      </c>
      <c r="V25" s="46">
        <v>50.7</v>
      </c>
      <c r="W25" s="46">
        <v>49.7</v>
      </c>
      <c r="X25" s="46">
        <v>51.1</v>
      </c>
      <c r="Y25" s="46">
        <v>50.8</v>
      </c>
      <c r="Z25" s="46">
        <v>51.1</v>
      </c>
      <c r="AA25" s="46">
        <v>50.2</v>
      </c>
      <c r="AB25" s="46" t="s">
        <v>160</v>
      </c>
      <c r="AC25" s="46" t="s">
        <v>160</v>
      </c>
    </row>
    <row r="26" spans="1:29">
      <c r="A26" s="62">
        <f t="shared" ca="1" si="4"/>
        <v>16</v>
      </c>
      <c r="B26" s="62" t="str">
        <f t="shared" ca="1" si="5"/>
        <v>E</v>
      </c>
      <c r="C26" s="62" t="str">
        <f t="shared" ca="1" si="6"/>
        <v>A-</v>
      </c>
      <c r="D26" s="62">
        <f t="shared" ca="1" si="7"/>
        <v>15</v>
      </c>
      <c r="E26" s="63">
        <f t="shared" ca="1" si="8"/>
        <v>42.61</v>
      </c>
      <c r="F26" s="46" t="s">
        <v>327</v>
      </c>
      <c r="G26" s="46" t="s">
        <v>160</v>
      </c>
      <c r="H26" s="46" t="s">
        <v>328</v>
      </c>
      <c r="I26" s="46" t="s">
        <v>301</v>
      </c>
      <c r="J26" s="46">
        <v>48.5</v>
      </c>
      <c r="K26" s="46">
        <v>45.6</v>
      </c>
      <c r="L26" s="46">
        <v>43.9</v>
      </c>
      <c r="M26" s="46">
        <v>42.4</v>
      </c>
      <c r="N26" s="46">
        <v>42.7</v>
      </c>
      <c r="O26" s="46">
        <v>43</v>
      </c>
      <c r="P26" s="46" t="s">
        <v>160</v>
      </c>
      <c r="Q26" s="46" t="s">
        <v>160</v>
      </c>
      <c r="R26" s="46">
        <v>44.7</v>
      </c>
      <c r="S26" s="46">
        <v>44.5</v>
      </c>
      <c r="T26" s="46">
        <v>43.7</v>
      </c>
      <c r="U26" s="46">
        <v>43</v>
      </c>
      <c r="V26" s="46">
        <v>43.3</v>
      </c>
      <c r="W26" s="46">
        <v>43.7</v>
      </c>
      <c r="X26" s="46">
        <v>43.2</v>
      </c>
      <c r="Y26" s="46">
        <v>40.6</v>
      </c>
      <c r="Z26" s="46">
        <v>39.9</v>
      </c>
      <c r="AA26" s="46">
        <v>39.5</v>
      </c>
      <c r="AB26" s="46" t="s">
        <v>160</v>
      </c>
      <c r="AC26" s="46" t="s">
        <v>160</v>
      </c>
    </row>
    <row r="27" spans="1:29">
      <c r="A27" s="62">
        <f t="shared" ca="1" si="4"/>
        <v>17</v>
      </c>
      <c r="B27" s="62" t="str">
        <f t="shared" ca="1" si="5"/>
        <v>G</v>
      </c>
      <c r="C27" s="62" t="str">
        <f t="shared" ca="1" si="6"/>
        <v>-</v>
      </c>
      <c r="D27" s="62" t="str">
        <f t="shared" ca="1" si="7"/>
        <v/>
      </c>
      <c r="E27" s="63" t="str">
        <f t="shared" ca="1" si="8"/>
        <v>N/A</v>
      </c>
      <c r="F27" s="46" t="s">
        <v>121</v>
      </c>
      <c r="G27" s="46" t="s">
        <v>183</v>
      </c>
      <c r="H27" s="46" t="s">
        <v>160</v>
      </c>
      <c r="I27" s="46" t="s">
        <v>329</v>
      </c>
      <c r="J27" s="46" t="s">
        <v>160</v>
      </c>
      <c r="K27" s="46" t="s">
        <v>160</v>
      </c>
      <c r="L27" s="46" t="s">
        <v>160</v>
      </c>
      <c r="M27" s="46" t="s">
        <v>160</v>
      </c>
      <c r="N27" s="46" t="s">
        <v>160</v>
      </c>
      <c r="O27" s="46" t="s">
        <v>160</v>
      </c>
      <c r="P27" s="46" t="s">
        <v>160</v>
      </c>
      <c r="Q27" s="46" t="s">
        <v>160</v>
      </c>
      <c r="R27" s="46" t="s">
        <v>160</v>
      </c>
      <c r="S27" s="46" t="s">
        <v>160</v>
      </c>
      <c r="T27" s="46" t="s">
        <v>160</v>
      </c>
      <c r="U27" s="46" t="s">
        <v>160</v>
      </c>
      <c r="V27" s="46" t="s">
        <v>160</v>
      </c>
      <c r="W27" s="46" t="s">
        <v>160</v>
      </c>
      <c r="X27" s="46" t="s">
        <v>160</v>
      </c>
      <c r="Y27" s="46" t="s">
        <v>160</v>
      </c>
      <c r="Z27" s="46" t="s">
        <v>160</v>
      </c>
      <c r="AA27" s="46" t="s">
        <v>160</v>
      </c>
      <c r="AB27" s="46" t="s">
        <v>160</v>
      </c>
      <c r="AC27" s="46" t="s">
        <v>160</v>
      </c>
    </row>
    <row r="28" spans="1:29">
      <c r="A28" s="62">
        <f t="shared" ca="1" si="4"/>
        <v>18</v>
      </c>
      <c r="B28" s="62" t="str">
        <f t="shared" ca="1" si="5"/>
        <v>E</v>
      </c>
      <c r="C28" s="62" t="str">
        <f t="shared" ca="1" si="6"/>
        <v>BBB</v>
      </c>
      <c r="D28" s="62">
        <f t="shared" ca="1" si="7"/>
        <v>13</v>
      </c>
      <c r="E28" s="63">
        <f t="shared" ca="1" si="8"/>
        <v>50.533333333333339</v>
      </c>
      <c r="F28" s="46" t="s">
        <v>330</v>
      </c>
      <c r="G28" s="46" t="s">
        <v>160</v>
      </c>
      <c r="H28" s="46" t="s">
        <v>331</v>
      </c>
      <c r="I28" s="46" t="s">
        <v>301</v>
      </c>
      <c r="J28" s="46">
        <v>49.6</v>
      </c>
      <c r="K28" s="46">
        <v>49.5</v>
      </c>
      <c r="L28" s="46">
        <v>49.4</v>
      </c>
      <c r="M28" s="46">
        <v>49.2</v>
      </c>
      <c r="N28" s="46">
        <v>49.5</v>
      </c>
      <c r="O28" s="46">
        <v>49</v>
      </c>
      <c r="P28" s="46">
        <v>48.8</v>
      </c>
      <c r="Q28" s="46">
        <v>49.6</v>
      </c>
      <c r="R28" s="46">
        <v>50.6</v>
      </c>
      <c r="S28" s="46">
        <v>50.4</v>
      </c>
      <c r="T28" s="46">
        <v>50.4</v>
      </c>
      <c r="U28" s="46">
        <v>50.6</v>
      </c>
      <c r="V28" s="46">
        <v>51.5</v>
      </c>
      <c r="W28" s="46">
        <v>50.7</v>
      </c>
      <c r="X28" s="46">
        <v>50.3</v>
      </c>
      <c r="Y28" s="46">
        <v>50.8</v>
      </c>
      <c r="Z28" s="46">
        <v>51.5</v>
      </c>
      <c r="AA28" s="46">
        <v>51.2</v>
      </c>
      <c r="AB28" s="46" t="s">
        <v>160</v>
      </c>
      <c r="AC28" s="46" t="s">
        <v>160</v>
      </c>
    </row>
    <row r="29" spans="1:29">
      <c r="A29" s="62">
        <f t="shared" ca="1" si="4"/>
        <v>19</v>
      </c>
      <c r="B29" s="62" t="str">
        <f t="shared" ca="1" si="5"/>
        <v>E</v>
      </c>
      <c r="C29" s="62" t="str">
        <f t="shared" ca="1" si="6"/>
        <v>A-</v>
      </c>
      <c r="D29" s="62">
        <f t="shared" ca="1" si="7"/>
        <v>15</v>
      </c>
      <c r="E29" s="63">
        <f t="shared" ca="1" si="8"/>
        <v>34.633333333333333</v>
      </c>
      <c r="F29" s="46" t="s">
        <v>332</v>
      </c>
      <c r="G29" s="46" t="s">
        <v>160</v>
      </c>
      <c r="H29" s="46" t="s">
        <v>333</v>
      </c>
      <c r="I29" s="46" t="s">
        <v>334</v>
      </c>
      <c r="J29" s="46" t="s">
        <v>160</v>
      </c>
      <c r="K29" s="46" t="s">
        <v>160</v>
      </c>
      <c r="L29" s="46">
        <v>27.3</v>
      </c>
      <c r="M29" s="46">
        <v>35.1</v>
      </c>
      <c r="N29" s="46">
        <v>30</v>
      </c>
      <c r="O29" s="46">
        <v>28.3</v>
      </c>
      <c r="P29" s="46">
        <v>36.299999999999997</v>
      </c>
      <c r="Q29" s="46">
        <v>35.4</v>
      </c>
      <c r="R29" s="46">
        <v>33.200000000000003</v>
      </c>
      <c r="S29" s="46">
        <v>30</v>
      </c>
      <c r="T29" s="46">
        <v>34.4</v>
      </c>
      <c r="U29" s="46">
        <v>35.700000000000003</v>
      </c>
      <c r="V29" s="46">
        <v>34</v>
      </c>
      <c r="W29" s="46">
        <v>34.6</v>
      </c>
      <c r="X29" s="46">
        <v>34.9</v>
      </c>
      <c r="Y29" s="46">
        <v>35.5</v>
      </c>
      <c r="Z29" s="46">
        <v>35.5</v>
      </c>
      <c r="AA29" s="46">
        <v>36.1</v>
      </c>
      <c r="AB29" s="46" t="s">
        <v>160</v>
      </c>
      <c r="AC29" s="46" t="s">
        <v>160</v>
      </c>
    </row>
    <row r="30" spans="1:29">
      <c r="A30" s="62">
        <f t="shared" ca="1" si="4"/>
        <v>20</v>
      </c>
      <c r="B30" s="62" t="str">
        <f t="shared" ca="1" si="5"/>
        <v>E</v>
      </c>
      <c r="C30" s="62" t="str">
        <f t="shared" ca="1" si="6"/>
        <v>A-</v>
      </c>
      <c r="D30" s="62">
        <f t="shared" ca="1" si="7"/>
        <v>15</v>
      </c>
      <c r="E30" s="63">
        <f t="shared" ca="1" si="8"/>
        <v>54.790909090909096</v>
      </c>
      <c r="F30" s="46" t="s">
        <v>335</v>
      </c>
      <c r="G30" s="46" t="s">
        <v>160</v>
      </c>
      <c r="H30" s="46" t="s">
        <v>336</v>
      </c>
      <c r="I30" s="46" t="s">
        <v>301</v>
      </c>
      <c r="J30" s="46">
        <v>55.9</v>
      </c>
      <c r="K30" s="46">
        <v>56.4</v>
      </c>
      <c r="L30" s="46">
        <v>56.5</v>
      </c>
      <c r="M30" s="46">
        <v>52.3</v>
      </c>
      <c r="N30" s="46">
        <v>53.1</v>
      </c>
      <c r="O30" s="46">
        <v>53.2</v>
      </c>
      <c r="P30" s="46">
        <v>53.1</v>
      </c>
      <c r="Q30" s="46">
        <v>55</v>
      </c>
      <c r="R30" s="46">
        <v>55.8</v>
      </c>
      <c r="S30" s="46">
        <v>55.8</v>
      </c>
      <c r="T30" s="46">
        <v>55.9</v>
      </c>
      <c r="U30" s="46">
        <v>54.5</v>
      </c>
      <c r="V30" s="46">
        <v>54.9</v>
      </c>
      <c r="W30" s="46">
        <v>54.5</v>
      </c>
      <c r="X30" s="46">
        <v>54.5</v>
      </c>
      <c r="Y30" s="46">
        <v>54</v>
      </c>
      <c r="Z30" s="46">
        <v>54.7</v>
      </c>
      <c r="AA30" s="46" t="s">
        <v>160</v>
      </c>
      <c r="AB30" s="46" t="s">
        <v>160</v>
      </c>
      <c r="AC30" s="46" t="s">
        <v>160</v>
      </c>
    </row>
    <row r="31" spans="1:29">
      <c r="A31" s="62">
        <f t="shared" ca="1" si="4"/>
        <v>21</v>
      </c>
      <c r="B31" s="62" t="str">
        <f t="shared" ca="1" si="5"/>
        <v>E</v>
      </c>
      <c r="C31" s="62" t="str">
        <f t="shared" ca="1" si="6"/>
        <v>BBB+</v>
      </c>
      <c r="D31" s="62">
        <f t="shared" ca="1" si="7"/>
        <v>14</v>
      </c>
      <c r="E31" s="63">
        <f t="shared" ca="1" si="8"/>
        <v>54.758333333333333</v>
      </c>
      <c r="F31" s="46" t="s">
        <v>337</v>
      </c>
      <c r="G31" s="46" t="s">
        <v>160</v>
      </c>
      <c r="H31" s="46" t="s">
        <v>338</v>
      </c>
      <c r="I31" s="46" t="s">
        <v>305</v>
      </c>
      <c r="J31" s="46">
        <v>57.8</v>
      </c>
      <c r="K31" s="46">
        <v>58.1</v>
      </c>
      <c r="L31" s="46">
        <v>59.2</v>
      </c>
      <c r="M31" s="46">
        <v>56.9</v>
      </c>
      <c r="N31" s="46">
        <v>54.5</v>
      </c>
      <c r="O31" s="46">
        <v>54</v>
      </c>
      <c r="P31" s="46">
        <v>56.3</v>
      </c>
      <c r="Q31" s="46">
        <v>56.8</v>
      </c>
      <c r="R31" s="46">
        <v>53.9</v>
      </c>
      <c r="S31" s="46">
        <v>54.2</v>
      </c>
      <c r="T31" s="46">
        <v>55.6</v>
      </c>
      <c r="U31" s="46">
        <v>56.4</v>
      </c>
      <c r="V31" s="46">
        <v>54.7</v>
      </c>
      <c r="W31" s="46">
        <v>53.5</v>
      </c>
      <c r="X31" s="46">
        <v>54.8</v>
      </c>
      <c r="Y31" s="46">
        <v>54.9</v>
      </c>
      <c r="Z31" s="46">
        <v>53.7</v>
      </c>
      <c r="AA31" s="46">
        <v>52.3</v>
      </c>
      <c r="AB31" s="46" t="s">
        <v>160</v>
      </c>
      <c r="AC31" s="46" t="s">
        <v>160</v>
      </c>
    </row>
    <row r="32" spans="1:29">
      <c r="A32" s="62">
        <f t="shared" ca="1" si="4"/>
        <v>22</v>
      </c>
      <c r="B32" s="62" t="str">
        <f t="shared" ca="1" si="5"/>
        <v>E</v>
      </c>
      <c r="C32" s="62" t="str">
        <f t="shared" ca="1" si="6"/>
        <v>BBB+</v>
      </c>
      <c r="D32" s="62">
        <f t="shared" ca="1" si="7"/>
        <v>14</v>
      </c>
      <c r="E32" s="63">
        <f t="shared" ca="1" si="8"/>
        <v>52.991666666666667</v>
      </c>
      <c r="F32" s="46" t="s">
        <v>339</v>
      </c>
      <c r="G32" s="46" t="s">
        <v>160</v>
      </c>
      <c r="H32" s="46" t="s">
        <v>340</v>
      </c>
      <c r="I32" s="46" t="s">
        <v>301</v>
      </c>
      <c r="J32" s="46">
        <v>54.4</v>
      </c>
      <c r="K32" s="46">
        <v>55.4</v>
      </c>
      <c r="L32" s="46">
        <v>56</v>
      </c>
      <c r="M32" s="46">
        <v>56.1</v>
      </c>
      <c r="N32" s="46">
        <v>56.3</v>
      </c>
      <c r="O32" s="46">
        <v>51.4</v>
      </c>
      <c r="P32" s="46">
        <v>50.7</v>
      </c>
      <c r="Q32" s="46">
        <v>53.8</v>
      </c>
      <c r="R32" s="46">
        <v>55.7</v>
      </c>
      <c r="S32" s="46">
        <v>53.1</v>
      </c>
      <c r="T32" s="46">
        <v>54</v>
      </c>
      <c r="U32" s="46">
        <v>54.4</v>
      </c>
      <c r="V32" s="46">
        <v>56.1</v>
      </c>
      <c r="W32" s="46">
        <v>51.9</v>
      </c>
      <c r="X32" s="46">
        <v>51.6</v>
      </c>
      <c r="Y32" s="46">
        <v>51.6</v>
      </c>
      <c r="Z32" s="46">
        <v>51</v>
      </c>
      <c r="AA32" s="46">
        <v>52</v>
      </c>
      <c r="AB32" s="46" t="s">
        <v>160</v>
      </c>
      <c r="AC32" s="46" t="s">
        <v>160</v>
      </c>
    </row>
    <row r="33" spans="1:29">
      <c r="A33" s="62">
        <f t="shared" ca="1" si="4"/>
        <v>23</v>
      </c>
      <c r="B33" s="62" t="str">
        <f t="shared" ca="1" si="5"/>
        <v>E</v>
      </c>
      <c r="C33" s="62" t="str">
        <f t="shared" ca="1" si="6"/>
        <v>BBB+</v>
      </c>
      <c r="D33" s="62">
        <f t="shared" ca="1" si="7"/>
        <v>14</v>
      </c>
      <c r="E33" s="63">
        <f t="shared" ca="1" si="8"/>
        <v>58.849999999999994</v>
      </c>
      <c r="F33" s="46" t="s">
        <v>341</v>
      </c>
      <c r="G33" s="46" t="s">
        <v>160</v>
      </c>
      <c r="H33" s="46" t="s">
        <v>342</v>
      </c>
      <c r="I33" s="46" t="s">
        <v>305</v>
      </c>
      <c r="J33" s="46">
        <v>60.6</v>
      </c>
      <c r="K33" s="46">
        <v>63.7</v>
      </c>
      <c r="L33" s="46">
        <v>63.1</v>
      </c>
      <c r="M33" s="46">
        <v>58.9</v>
      </c>
      <c r="N33" s="46">
        <v>58.3</v>
      </c>
      <c r="O33" s="46">
        <v>59.8</v>
      </c>
      <c r="P33" s="46">
        <v>59.7</v>
      </c>
      <c r="Q33" s="46">
        <v>59.9</v>
      </c>
      <c r="R33" s="46">
        <v>60.4</v>
      </c>
      <c r="S33" s="46">
        <v>59.3</v>
      </c>
      <c r="T33" s="46">
        <v>59.3</v>
      </c>
      <c r="U33" s="46">
        <v>59.3</v>
      </c>
      <c r="V33" s="46">
        <v>59</v>
      </c>
      <c r="W33" s="46">
        <v>59.2</v>
      </c>
      <c r="X33" s="46">
        <v>58.5</v>
      </c>
      <c r="Y33" s="46">
        <v>55.4</v>
      </c>
      <c r="Z33" s="46">
        <v>58.4</v>
      </c>
      <c r="AA33" s="46">
        <v>57.8</v>
      </c>
      <c r="AB33" s="46" t="s">
        <v>160</v>
      </c>
      <c r="AC33" s="46" t="s">
        <v>160</v>
      </c>
    </row>
    <row r="34" spans="1:29">
      <c r="A34" s="62">
        <f t="shared" ca="1" si="4"/>
        <v>24</v>
      </c>
      <c r="B34" s="62" t="str">
        <f t="shared" ca="1" si="5"/>
        <v>E</v>
      </c>
      <c r="C34" s="62" t="str">
        <f t="shared" ca="1" si="6"/>
        <v>BBB+</v>
      </c>
      <c r="D34" s="62">
        <f t="shared" ca="1" si="7"/>
        <v>14</v>
      </c>
      <c r="E34" s="63">
        <f t="shared" ca="1" si="8"/>
        <v>47.341666666666669</v>
      </c>
      <c r="F34" s="46" t="s">
        <v>343</v>
      </c>
      <c r="G34" s="46" t="s">
        <v>160</v>
      </c>
      <c r="H34" s="46" t="s">
        <v>344</v>
      </c>
      <c r="I34" s="46" t="s">
        <v>323</v>
      </c>
      <c r="J34" s="46" t="s">
        <v>160</v>
      </c>
      <c r="K34" s="46" t="s">
        <v>160</v>
      </c>
      <c r="L34" s="46" t="s">
        <v>160</v>
      </c>
      <c r="M34" s="46" t="s">
        <v>160</v>
      </c>
      <c r="N34" s="46">
        <v>42.8</v>
      </c>
      <c r="O34" s="46">
        <v>41.7</v>
      </c>
      <c r="P34" s="46">
        <v>49.4</v>
      </c>
      <c r="Q34" s="46">
        <v>48.8</v>
      </c>
      <c r="R34" s="46">
        <v>43.3</v>
      </c>
      <c r="S34" s="46">
        <v>43.2</v>
      </c>
      <c r="T34" s="46">
        <v>48.5</v>
      </c>
      <c r="U34" s="46">
        <v>50.6</v>
      </c>
      <c r="V34" s="46">
        <v>49.2</v>
      </c>
      <c r="W34" s="46">
        <v>45.4</v>
      </c>
      <c r="X34" s="46">
        <v>46.7</v>
      </c>
      <c r="Y34" s="46">
        <v>49.3</v>
      </c>
      <c r="Z34" s="46">
        <v>46.5</v>
      </c>
      <c r="AA34" s="46">
        <v>47.2</v>
      </c>
      <c r="AB34" s="46" t="s">
        <v>160</v>
      </c>
      <c r="AC34" s="46" t="s">
        <v>160</v>
      </c>
    </row>
    <row r="35" spans="1:29">
      <c r="A35" s="62">
        <f t="shared" ca="1" si="4"/>
        <v>25</v>
      </c>
      <c r="B35" s="62" t="str">
        <f t="shared" ca="1" si="5"/>
        <v>E</v>
      </c>
      <c r="C35" s="62" t="str">
        <f t="shared" ca="1" si="6"/>
        <v>A-</v>
      </c>
      <c r="D35" s="62">
        <f t="shared" ca="1" si="7"/>
        <v>15</v>
      </c>
      <c r="E35" s="63">
        <f t="shared" ca="1" si="8"/>
        <v>46.625</v>
      </c>
      <c r="F35" s="46" t="s">
        <v>345</v>
      </c>
      <c r="G35" s="46" t="s">
        <v>160</v>
      </c>
      <c r="H35" s="46" t="s">
        <v>346</v>
      </c>
      <c r="I35" s="46" t="s">
        <v>301</v>
      </c>
      <c r="J35" s="46">
        <v>47.3</v>
      </c>
      <c r="K35" s="46">
        <v>47.3</v>
      </c>
      <c r="L35" s="46">
        <v>47.2</v>
      </c>
      <c r="M35" s="46">
        <v>45.5</v>
      </c>
      <c r="N35" s="46">
        <v>45.3</v>
      </c>
      <c r="O35" s="46">
        <v>44.8</v>
      </c>
      <c r="P35" s="46">
        <v>44.2</v>
      </c>
      <c r="Q35" s="46">
        <v>44.8</v>
      </c>
      <c r="R35" s="46">
        <v>45.6</v>
      </c>
      <c r="S35" s="46">
        <v>45.3</v>
      </c>
      <c r="T35" s="46">
        <v>45</v>
      </c>
      <c r="U35" s="46">
        <v>44.1</v>
      </c>
      <c r="V35" s="46">
        <v>47.4</v>
      </c>
      <c r="W35" s="46">
        <v>48</v>
      </c>
      <c r="X35" s="46">
        <v>48</v>
      </c>
      <c r="Y35" s="46">
        <v>48.9</v>
      </c>
      <c r="Z35" s="46">
        <v>49</v>
      </c>
      <c r="AA35" s="46">
        <v>49.2</v>
      </c>
      <c r="AB35" s="46" t="s">
        <v>160</v>
      </c>
      <c r="AC35" s="46" t="s">
        <v>160</v>
      </c>
    </row>
    <row r="36" spans="1:29">
      <c r="A36" s="62">
        <f t="shared" ca="1" si="4"/>
        <v>26</v>
      </c>
      <c r="B36" s="62" t="str">
        <f t="shared" ca="1" si="5"/>
        <v>E</v>
      </c>
      <c r="C36" s="62" t="str">
        <f t="shared" ca="1" si="6"/>
        <v>A-</v>
      </c>
      <c r="D36" s="62">
        <f t="shared" ca="1" si="7"/>
        <v>15</v>
      </c>
      <c r="E36" s="63">
        <f t="shared" ca="1" si="8"/>
        <v>56.683333333333337</v>
      </c>
      <c r="F36" s="46" t="s">
        <v>347</v>
      </c>
      <c r="G36" s="46" t="s">
        <v>160</v>
      </c>
      <c r="H36" s="46" t="s">
        <v>348</v>
      </c>
      <c r="I36" s="46" t="s">
        <v>301</v>
      </c>
      <c r="J36" s="46">
        <v>57.1</v>
      </c>
      <c r="K36" s="46">
        <v>57.5</v>
      </c>
      <c r="L36" s="46">
        <v>56.6</v>
      </c>
      <c r="M36" s="46">
        <v>57.3</v>
      </c>
      <c r="N36" s="46">
        <v>57.6</v>
      </c>
      <c r="O36" s="46">
        <v>56.8</v>
      </c>
      <c r="P36" s="46">
        <v>55.9</v>
      </c>
      <c r="Q36" s="46">
        <v>54.7</v>
      </c>
      <c r="R36" s="46">
        <v>56.3</v>
      </c>
      <c r="S36" s="46">
        <v>55.6</v>
      </c>
      <c r="T36" s="46">
        <v>56.5</v>
      </c>
      <c r="U36" s="46">
        <v>54.8</v>
      </c>
      <c r="V36" s="46">
        <v>54.9</v>
      </c>
      <c r="W36" s="46">
        <v>59.8</v>
      </c>
      <c r="X36" s="46">
        <v>60.3</v>
      </c>
      <c r="Y36" s="46">
        <v>56.2</v>
      </c>
      <c r="Z36" s="46">
        <v>58</v>
      </c>
      <c r="AA36" s="46">
        <v>57.2</v>
      </c>
      <c r="AB36" s="46" t="s">
        <v>160</v>
      </c>
      <c r="AC36" s="46" t="s">
        <v>160</v>
      </c>
    </row>
    <row r="37" spans="1:29">
      <c r="A37" s="62">
        <f t="shared" ca="1" si="4"/>
        <v>27</v>
      </c>
      <c r="B37" s="62" t="str">
        <f t="shared" ca="1" si="5"/>
        <v>E</v>
      </c>
      <c r="C37" s="62" t="str">
        <f t="shared" ca="1" si="6"/>
        <v>A-</v>
      </c>
      <c r="D37" s="62">
        <f t="shared" ca="1" si="7"/>
        <v>15</v>
      </c>
      <c r="E37" s="63">
        <f t="shared" ca="1" si="8"/>
        <v>53.166666666666679</v>
      </c>
      <c r="F37" s="46" t="s">
        <v>349</v>
      </c>
      <c r="G37" s="46" t="s">
        <v>160</v>
      </c>
      <c r="H37" s="46" t="s">
        <v>350</v>
      </c>
      <c r="I37" s="46" t="s">
        <v>301</v>
      </c>
      <c r="J37" s="46">
        <v>52.1</v>
      </c>
      <c r="K37" s="46">
        <v>51.7</v>
      </c>
      <c r="L37" s="46">
        <v>52.1</v>
      </c>
      <c r="M37" s="46">
        <v>51.4</v>
      </c>
      <c r="N37" s="46">
        <v>50.6</v>
      </c>
      <c r="O37" s="46">
        <v>51.6</v>
      </c>
      <c r="P37" s="46">
        <v>52.8</v>
      </c>
      <c r="Q37" s="46">
        <v>52.4</v>
      </c>
      <c r="R37" s="46">
        <v>51.2</v>
      </c>
      <c r="S37" s="46">
        <v>53.4</v>
      </c>
      <c r="T37" s="46">
        <v>52.8</v>
      </c>
      <c r="U37" s="46">
        <v>53.7</v>
      </c>
      <c r="V37" s="46">
        <v>53.1</v>
      </c>
      <c r="W37" s="46">
        <v>54.6</v>
      </c>
      <c r="X37" s="46">
        <v>53.6</v>
      </c>
      <c r="Y37" s="46">
        <v>53.7</v>
      </c>
      <c r="Z37" s="46">
        <v>53.2</v>
      </c>
      <c r="AA37" s="46">
        <v>53.5</v>
      </c>
      <c r="AB37" s="46" t="s">
        <v>160</v>
      </c>
      <c r="AC37" s="46" t="s">
        <v>160</v>
      </c>
    </row>
    <row r="38" spans="1:29">
      <c r="A38" s="62">
        <f t="shared" ca="1" si="4"/>
        <v>28</v>
      </c>
      <c r="B38" s="62" t="str">
        <f t="shared" ca="1" si="5"/>
        <v>E</v>
      </c>
      <c r="C38" s="62" t="str">
        <f t="shared" ca="1" si="6"/>
        <v>A-</v>
      </c>
      <c r="D38" s="62">
        <f t="shared" ca="1" si="7"/>
        <v>15</v>
      </c>
      <c r="E38" s="63">
        <f t="shared" ca="1" si="8"/>
        <v>50.63</v>
      </c>
      <c r="F38" s="46" t="s">
        <v>351</v>
      </c>
      <c r="G38" s="46" t="s">
        <v>160</v>
      </c>
      <c r="H38" s="46" t="s">
        <v>352</v>
      </c>
      <c r="I38" s="46" t="s">
        <v>301</v>
      </c>
      <c r="J38" s="46">
        <v>50.1</v>
      </c>
      <c r="K38" s="46">
        <v>50</v>
      </c>
      <c r="L38" s="46">
        <v>52.1</v>
      </c>
      <c r="M38" s="46">
        <v>50.3</v>
      </c>
      <c r="N38" s="46">
        <v>49.2</v>
      </c>
      <c r="O38" s="46">
        <v>51.1</v>
      </c>
      <c r="P38" s="46" t="s">
        <v>160</v>
      </c>
      <c r="Q38" s="46" t="s">
        <v>160</v>
      </c>
      <c r="R38" s="46">
        <v>43.1</v>
      </c>
      <c r="S38" s="46">
        <v>48.3</v>
      </c>
      <c r="T38" s="46">
        <v>50.6</v>
      </c>
      <c r="U38" s="46">
        <v>54.5</v>
      </c>
      <c r="V38" s="46">
        <v>52.9</v>
      </c>
      <c r="W38" s="46">
        <v>52.8</v>
      </c>
      <c r="X38" s="46">
        <v>51.3</v>
      </c>
      <c r="Y38" s="46">
        <v>51.8</v>
      </c>
      <c r="Z38" s="46">
        <v>50.3</v>
      </c>
      <c r="AA38" s="46">
        <v>50.7</v>
      </c>
      <c r="AB38" s="46" t="s">
        <v>160</v>
      </c>
      <c r="AC38" s="46" t="s">
        <v>160</v>
      </c>
    </row>
    <row r="39" spans="1:29">
      <c r="A39" s="62">
        <f t="shared" ca="1" si="4"/>
        <v>29</v>
      </c>
      <c r="B39" s="62" t="str">
        <f t="shared" ca="1" si="5"/>
        <v>E</v>
      </c>
      <c r="C39" s="62" t="str">
        <f t="shared" ca="1" si="6"/>
        <v>A-</v>
      </c>
      <c r="D39" s="62">
        <f t="shared" ca="1" si="7"/>
        <v>15</v>
      </c>
      <c r="E39" s="63">
        <f t="shared" ca="1" si="8"/>
        <v>40.733333333333334</v>
      </c>
      <c r="F39" s="46" t="s">
        <v>353</v>
      </c>
      <c r="G39" s="46" t="s">
        <v>160</v>
      </c>
      <c r="H39" s="46" t="s">
        <v>354</v>
      </c>
      <c r="I39" s="46" t="s">
        <v>301</v>
      </c>
      <c r="J39" s="46">
        <v>34.200000000000003</v>
      </c>
      <c r="K39" s="46">
        <v>33.9</v>
      </c>
      <c r="L39" s="46">
        <v>33.1</v>
      </c>
      <c r="M39" s="46">
        <v>32</v>
      </c>
      <c r="N39" s="46">
        <v>39.200000000000003</v>
      </c>
      <c r="O39" s="46">
        <v>40.799999999999997</v>
      </c>
      <c r="P39" s="46">
        <v>36.200000000000003</v>
      </c>
      <c r="Q39" s="46">
        <v>35.200000000000003</v>
      </c>
      <c r="R39" s="46">
        <v>31.1</v>
      </c>
      <c r="S39" s="46">
        <v>40.6</v>
      </c>
      <c r="T39" s="46">
        <v>43.3</v>
      </c>
      <c r="U39" s="46">
        <v>42.3</v>
      </c>
      <c r="V39" s="46">
        <v>41.2</v>
      </c>
      <c r="W39" s="46">
        <v>43.8</v>
      </c>
      <c r="X39" s="46">
        <v>42</v>
      </c>
      <c r="Y39" s="46">
        <v>44</v>
      </c>
      <c r="Z39" s="46">
        <v>44.6</v>
      </c>
      <c r="AA39" s="46">
        <v>44.5</v>
      </c>
      <c r="AB39" s="46" t="s">
        <v>160</v>
      </c>
      <c r="AC39" s="46" t="s">
        <v>160</v>
      </c>
    </row>
    <row r="40" spans="1:29">
      <c r="A40" s="62">
        <f t="shared" ca="1" si="4"/>
        <v>30</v>
      </c>
      <c r="B40" s="62" t="str">
        <f t="shared" ca="1" si="5"/>
        <v>E</v>
      </c>
      <c r="C40" s="62" t="str">
        <f t="shared" ca="1" si="6"/>
        <v>A-</v>
      </c>
      <c r="D40" s="62">
        <f t="shared" ca="1" si="7"/>
        <v>15</v>
      </c>
      <c r="E40" s="63">
        <f t="shared" ca="1" si="8"/>
        <v>56.391666666666673</v>
      </c>
      <c r="F40" s="46" t="s">
        <v>355</v>
      </c>
      <c r="G40" s="46" t="s">
        <v>160</v>
      </c>
      <c r="H40" s="46" t="s">
        <v>356</v>
      </c>
      <c r="I40" s="46" t="s">
        <v>301</v>
      </c>
      <c r="J40" s="46">
        <v>55.4</v>
      </c>
      <c r="K40" s="46">
        <v>55.8</v>
      </c>
      <c r="L40" s="46">
        <v>54.7</v>
      </c>
      <c r="M40" s="46">
        <v>54.1</v>
      </c>
      <c r="N40" s="46">
        <v>53.7</v>
      </c>
      <c r="O40" s="46">
        <v>54.5</v>
      </c>
      <c r="P40" s="46">
        <v>54</v>
      </c>
      <c r="Q40" s="46">
        <v>59.3</v>
      </c>
      <c r="R40" s="46">
        <v>57.9</v>
      </c>
      <c r="S40" s="46">
        <v>57.7</v>
      </c>
      <c r="T40" s="46">
        <v>57.1</v>
      </c>
      <c r="U40" s="46">
        <v>56.2</v>
      </c>
      <c r="V40" s="46">
        <v>55.5</v>
      </c>
      <c r="W40" s="46">
        <v>55</v>
      </c>
      <c r="X40" s="46">
        <v>56</v>
      </c>
      <c r="Y40" s="46">
        <v>56.3</v>
      </c>
      <c r="Z40" s="46">
        <v>56</v>
      </c>
      <c r="AA40" s="46">
        <v>55.7</v>
      </c>
      <c r="AB40" s="46" t="s">
        <v>160</v>
      </c>
      <c r="AC40" s="46" t="s">
        <v>160</v>
      </c>
    </row>
    <row r="41" spans="1:29">
      <c r="A41" s="62">
        <f t="shared" ca="1" si="4"/>
        <v>31</v>
      </c>
      <c r="B41" s="62" t="str">
        <f t="shared" ca="1" si="5"/>
        <v>E</v>
      </c>
      <c r="C41" s="62" t="str">
        <f t="shared" ca="1" si="6"/>
        <v>BBB</v>
      </c>
      <c r="D41" s="62">
        <f t="shared" ca="1" si="7"/>
        <v>13</v>
      </c>
      <c r="E41" s="63">
        <f t="shared" ca="1" si="8"/>
        <v>57.67499999999999</v>
      </c>
      <c r="F41" s="46" t="s">
        <v>98</v>
      </c>
      <c r="G41" s="46" t="s">
        <v>196</v>
      </c>
      <c r="H41" s="46" t="s">
        <v>197</v>
      </c>
      <c r="I41" s="46" t="s">
        <v>357</v>
      </c>
      <c r="J41" s="46">
        <v>58.3</v>
      </c>
      <c r="K41" s="46">
        <v>58.2</v>
      </c>
      <c r="L41" s="46">
        <v>56</v>
      </c>
      <c r="M41" s="46">
        <v>53.9</v>
      </c>
      <c r="N41" s="46">
        <v>54.7</v>
      </c>
      <c r="O41" s="46">
        <v>55.1</v>
      </c>
      <c r="P41" s="46">
        <v>54</v>
      </c>
      <c r="Q41" s="46">
        <v>55.9</v>
      </c>
      <c r="R41" s="46">
        <v>57.6</v>
      </c>
      <c r="S41" s="46">
        <v>58.5</v>
      </c>
      <c r="T41" s="46">
        <v>57.3</v>
      </c>
      <c r="U41" s="46">
        <v>57.6</v>
      </c>
      <c r="V41" s="46">
        <v>59.2</v>
      </c>
      <c r="W41" s="46">
        <v>59.5</v>
      </c>
      <c r="X41" s="46">
        <v>57.3</v>
      </c>
      <c r="Y41" s="46">
        <v>57.5</v>
      </c>
      <c r="Z41" s="46">
        <v>58.8</v>
      </c>
      <c r="AA41" s="46">
        <v>58.9</v>
      </c>
      <c r="AB41" s="46" t="s">
        <v>160</v>
      </c>
      <c r="AC41" s="46" t="s">
        <v>160</v>
      </c>
    </row>
    <row r="42" spans="1:29">
      <c r="A42" s="62">
        <f t="shared" ca="1" si="4"/>
        <v>32</v>
      </c>
      <c r="B42" s="62" t="str">
        <f t="shared" ca="1" si="5"/>
        <v>E</v>
      </c>
      <c r="C42" s="62" t="str">
        <f t="shared" ca="1" si="6"/>
        <v>BBB+</v>
      </c>
      <c r="D42" s="62">
        <f t="shared" ca="1" si="7"/>
        <v>14</v>
      </c>
      <c r="E42" s="63">
        <f t="shared" ca="1" si="8"/>
        <v>60.32500000000001</v>
      </c>
      <c r="F42" s="46" t="s">
        <v>358</v>
      </c>
      <c r="G42" s="46" t="s">
        <v>160</v>
      </c>
      <c r="H42" s="46" t="s">
        <v>359</v>
      </c>
      <c r="I42" s="46" t="s">
        <v>360</v>
      </c>
      <c r="J42" s="46">
        <v>61.9</v>
      </c>
      <c r="K42" s="46">
        <v>64.2</v>
      </c>
      <c r="L42" s="46">
        <v>62.6</v>
      </c>
      <c r="M42" s="46">
        <v>59.6</v>
      </c>
      <c r="N42" s="46">
        <v>60.2</v>
      </c>
      <c r="O42" s="46">
        <v>59.9</v>
      </c>
      <c r="P42" s="46">
        <v>59.2</v>
      </c>
      <c r="Q42" s="46">
        <v>61.4</v>
      </c>
      <c r="R42" s="46">
        <v>61.8</v>
      </c>
      <c r="S42" s="46">
        <v>61.6</v>
      </c>
      <c r="T42" s="46">
        <v>61.4</v>
      </c>
      <c r="U42" s="46">
        <v>61.4</v>
      </c>
      <c r="V42" s="46">
        <v>59.8</v>
      </c>
      <c r="W42" s="46">
        <v>60.1</v>
      </c>
      <c r="X42" s="46">
        <v>59.3</v>
      </c>
      <c r="Y42" s="46">
        <v>58.7</v>
      </c>
      <c r="Z42" s="46">
        <v>59.1</v>
      </c>
      <c r="AA42" s="46">
        <v>60.1</v>
      </c>
      <c r="AB42" s="46" t="s">
        <v>160</v>
      </c>
      <c r="AC42" s="46" t="s">
        <v>160</v>
      </c>
    </row>
    <row r="43" spans="1:29">
      <c r="A43" s="62">
        <f t="shared" ref="A43:A74" ca="1" si="9">MATCH(F43,RATINGSname,0)</f>
        <v>33</v>
      </c>
      <c r="B43" s="62" t="str">
        <f t="shared" ref="B43:B74" ca="1" si="10">INDEX(RATINGSindus,A43)</f>
        <v>E</v>
      </c>
      <c r="C43" s="62" t="str">
        <f t="shared" ref="C43:C74" ca="1" si="11">INDEX(RATINGSlocalcurrLT,A43)</f>
        <v>BBB+</v>
      </c>
      <c r="D43" s="62">
        <f t="shared" ref="D43:D74" ca="1" si="12">IFERROR(VLOOKUP(C43,CR,2,FALSE),"")</f>
        <v>14</v>
      </c>
      <c r="E43" s="63">
        <f t="shared" ref="E43:E74" ca="1" si="13">IFERROR(AVERAGE(OFFSET(I43,0,$H$1,1,$H$2-$H$1+1)),"N/A")</f>
        <v>52.841666666666669</v>
      </c>
      <c r="F43" s="46" t="s">
        <v>361</v>
      </c>
      <c r="G43" s="46" t="s">
        <v>160</v>
      </c>
      <c r="H43" s="46" t="s">
        <v>362</v>
      </c>
      <c r="I43" s="46" t="s">
        <v>360</v>
      </c>
      <c r="J43" s="46">
        <v>59.2</v>
      </c>
      <c r="K43" s="46">
        <v>58.7</v>
      </c>
      <c r="L43" s="46">
        <v>56.5</v>
      </c>
      <c r="M43" s="46">
        <v>55.4</v>
      </c>
      <c r="N43" s="46">
        <v>55.7</v>
      </c>
      <c r="O43" s="46">
        <v>53.9</v>
      </c>
      <c r="P43" s="46">
        <v>54.5</v>
      </c>
      <c r="Q43" s="46">
        <v>54.8</v>
      </c>
      <c r="R43" s="46">
        <v>53.6</v>
      </c>
      <c r="S43" s="46">
        <v>53.2</v>
      </c>
      <c r="T43" s="46">
        <v>50.5</v>
      </c>
      <c r="U43" s="46">
        <v>51.3</v>
      </c>
      <c r="V43" s="46">
        <v>51.5</v>
      </c>
      <c r="W43" s="46">
        <v>52.5</v>
      </c>
      <c r="X43" s="46">
        <v>52.5</v>
      </c>
      <c r="Y43" s="46">
        <v>52.7</v>
      </c>
      <c r="Z43" s="46">
        <v>53.8</v>
      </c>
      <c r="AA43" s="46">
        <v>53.2</v>
      </c>
      <c r="AB43" s="46" t="s">
        <v>160</v>
      </c>
      <c r="AC43" s="46" t="s">
        <v>160</v>
      </c>
    </row>
    <row r="44" spans="1:29">
      <c r="A44" s="62">
        <f t="shared" ca="1" si="9"/>
        <v>34</v>
      </c>
      <c r="B44" s="62" t="str">
        <f t="shared" ca="1" si="10"/>
        <v>E</v>
      </c>
      <c r="C44" s="62" t="str">
        <f t="shared" ca="1" si="11"/>
        <v>BBB+</v>
      </c>
      <c r="D44" s="62">
        <f t="shared" ca="1" si="12"/>
        <v>14</v>
      </c>
      <c r="E44" s="63">
        <f t="shared" ca="1" si="13"/>
        <v>56.400000000000006</v>
      </c>
      <c r="F44" s="46" t="s">
        <v>363</v>
      </c>
      <c r="G44" s="46" t="s">
        <v>160</v>
      </c>
      <c r="H44" s="46" t="s">
        <v>364</v>
      </c>
      <c r="I44" s="46" t="s">
        <v>360</v>
      </c>
      <c r="J44" s="46">
        <v>61.4</v>
      </c>
      <c r="K44" s="46">
        <v>61</v>
      </c>
      <c r="L44" s="46">
        <v>60.5</v>
      </c>
      <c r="M44" s="46">
        <v>56.7</v>
      </c>
      <c r="N44" s="46">
        <v>58</v>
      </c>
      <c r="O44" s="46">
        <v>57.5</v>
      </c>
      <c r="P44" s="46">
        <v>55.8</v>
      </c>
      <c r="Q44" s="46">
        <v>57.5</v>
      </c>
      <c r="R44" s="46">
        <v>56.7</v>
      </c>
      <c r="S44" s="46">
        <v>56.9</v>
      </c>
      <c r="T44" s="46">
        <v>56.2</v>
      </c>
      <c r="U44" s="46">
        <v>56.7</v>
      </c>
      <c r="V44" s="46">
        <v>57.3</v>
      </c>
      <c r="W44" s="46">
        <v>57</v>
      </c>
      <c r="X44" s="46">
        <v>56.6</v>
      </c>
      <c r="Y44" s="46">
        <v>55.7</v>
      </c>
      <c r="Z44" s="46">
        <v>55.3</v>
      </c>
      <c r="AA44" s="46">
        <v>55.1</v>
      </c>
      <c r="AB44" s="46" t="s">
        <v>160</v>
      </c>
      <c r="AC44" s="46" t="s">
        <v>160</v>
      </c>
    </row>
    <row r="45" spans="1:29">
      <c r="A45" s="62">
        <f t="shared" ca="1" si="9"/>
        <v>35</v>
      </c>
      <c r="B45" s="62" t="str">
        <f t="shared" ca="1" si="10"/>
        <v>E</v>
      </c>
      <c r="C45" s="62" t="str">
        <f t="shared" ca="1" si="11"/>
        <v>A-</v>
      </c>
      <c r="D45" s="62">
        <f t="shared" ca="1" si="12"/>
        <v>15</v>
      </c>
      <c r="E45" s="63">
        <f t="shared" ca="1" si="13"/>
        <v>41.258333333333333</v>
      </c>
      <c r="F45" s="46" t="s">
        <v>365</v>
      </c>
      <c r="G45" s="46" t="s">
        <v>160</v>
      </c>
      <c r="H45" s="46" t="s">
        <v>366</v>
      </c>
      <c r="I45" s="46" t="s">
        <v>367</v>
      </c>
      <c r="J45" s="46">
        <v>43.7</v>
      </c>
      <c r="K45" s="46">
        <v>42.7</v>
      </c>
      <c r="L45" s="46">
        <v>43.8</v>
      </c>
      <c r="M45" s="46">
        <v>41.8</v>
      </c>
      <c r="N45" s="46">
        <v>41.2</v>
      </c>
      <c r="O45" s="46">
        <v>42.1</v>
      </c>
      <c r="P45" s="46">
        <v>43.4</v>
      </c>
      <c r="Q45" s="46">
        <v>45.5</v>
      </c>
      <c r="R45" s="46">
        <v>42.1</v>
      </c>
      <c r="S45" s="46">
        <v>41</v>
      </c>
      <c r="T45" s="46">
        <v>37.9</v>
      </c>
      <c r="U45" s="46">
        <v>39.5</v>
      </c>
      <c r="V45" s="46">
        <v>42.5</v>
      </c>
      <c r="W45" s="46">
        <v>41.4</v>
      </c>
      <c r="X45" s="46">
        <v>40.799999999999997</v>
      </c>
      <c r="Y45" s="46">
        <v>38.6</v>
      </c>
      <c r="Z45" s="46">
        <v>41.8</v>
      </c>
      <c r="AA45" s="46">
        <v>40.6</v>
      </c>
      <c r="AB45" s="46" t="s">
        <v>160</v>
      </c>
      <c r="AC45" s="46" t="s">
        <v>160</v>
      </c>
    </row>
    <row r="46" spans="1:29">
      <c r="A46" s="62">
        <f t="shared" ca="1" si="9"/>
        <v>36</v>
      </c>
      <c r="B46" s="62" t="str">
        <f t="shared" ca="1" si="10"/>
        <v>E</v>
      </c>
      <c r="C46" s="62" t="str">
        <f t="shared" ca="1" si="11"/>
        <v>A-</v>
      </c>
      <c r="D46" s="62">
        <f t="shared" ca="1" si="12"/>
        <v>15</v>
      </c>
      <c r="E46" s="63">
        <f t="shared" ca="1" si="13"/>
        <v>54.458333333333343</v>
      </c>
      <c r="F46" s="46" t="s">
        <v>368</v>
      </c>
      <c r="G46" s="46" t="s">
        <v>160</v>
      </c>
      <c r="H46" s="46" t="s">
        <v>369</v>
      </c>
      <c r="I46" s="46" t="s">
        <v>367</v>
      </c>
      <c r="J46" s="46">
        <v>56.4</v>
      </c>
      <c r="K46" s="46">
        <v>56.3</v>
      </c>
      <c r="L46" s="46">
        <v>54.5</v>
      </c>
      <c r="M46" s="46">
        <v>54.3</v>
      </c>
      <c r="N46" s="46">
        <v>54.7</v>
      </c>
      <c r="O46" s="46">
        <v>55.2</v>
      </c>
      <c r="P46" s="46">
        <v>53.5</v>
      </c>
      <c r="Q46" s="46">
        <v>53.8</v>
      </c>
      <c r="R46" s="46">
        <v>54.7</v>
      </c>
      <c r="S46" s="46">
        <v>55.2</v>
      </c>
      <c r="T46" s="46">
        <v>53.6</v>
      </c>
      <c r="U46" s="46">
        <v>54.2</v>
      </c>
      <c r="V46" s="46">
        <v>54.2</v>
      </c>
      <c r="W46" s="46">
        <v>55.3</v>
      </c>
      <c r="X46" s="46">
        <v>54</v>
      </c>
      <c r="Y46" s="46">
        <v>54.6</v>
      </c>
      <c r="Z46" s="46">
        <v>54.7</v>
      </c>
      <c r="AA46" s="46">
        <v>55.7</v>
      </c>
      <c r="AB46" s="46" t="s">
        <v>160</v>
      </c>
      <c r="AC46" s="46" t="s">
        <v>160</v>
      </c>
    </row>
    <row r="47" spans="1:29">
      <c r="A47" s="62">
        <f t="shared" ca="1" si="9"/>
        <v>37</v>
      </c>
      <c r="B47" s="62" t="str">
        <f t="shared" ca="1" si="10"/>
        <v>E</v>
      </c>
      <c r="C47" s="62" t="str">
        <f t="shared" ca="1" si="11"/>
        <v>A-</v>
      </c>
      <c r="D47" s="62">
        <f t="shared" ca="1" si="12"/>
        <v>15</v>
      </c>
      <c r="E47" s="63">
        <f t="shared" ca="1" si="13"/>
        <v>52.94166666666667</v>
      </c>
      <c r="F47" s="46" t="s">
        <v>370</v>
      </c>
      <c r="G47" s="46" t="s">
        <v>160</v>
      </c>
      <c r="H47" s="46" t="s">
        <v>371</v>
      </c>
      <c r="I47" s="46" t="s">
        <v>367</v>
      </c>
      <c r="J47" s="46">
        <v>54.7</v>
      </c>
      <c r="K47" s="46">
        <v>53.7</v>
      </c>
      <c r="L47" s="46">
        <v>52.1</v>
      </c>
      <c r="M47" s="46">
        <v>53.4</v>
      </c>
      <c r="N47" s="46">
        <v>51.1</v>
      </c>
      <c r="O47" s="46">
        <v>52.3</v>
      </c>
      <c r="P47" s="46">
        <v>52.6</v>
      </c>
      <c r="Q47" s="46">
        <v>54.4</v>
      </c>
      <c r="R47" s="46">
        <v>54.4</v>
      </c>
      <c r="S47" s="46">
        <v>54.4</v>
      </c>
      <c r="T47" s="46">
        <v>53.3</v>
      </c>
      <c r="U47" s="46">
        <v>54.8</v>
      </c>
      <c r="V47" s="46">
        <v>54.1</v>
      </c>
      <c r="W47" s="46">
        <v>54</v>
      </c>
      <c r="X47" s="46">
        <v>52.2</v>
      </c>
      <c r="Y47" s="46">
        <v>52.6</v>
      </c>
      <c r="Z47" s="46">
        <v>47.9</v>
      </c>
      <c r="AA47" s="46">
        <v>50.6</v>
      </c>
      <c r="AB47" s="46" t="s">
        <v>160</v>
      </c>
      <c r="AC47" s="46" t="s">
        <v>160</v>
      </c>
    </row>
    <row r="48" spans="1:29">
      <c r="A48" s="62">
        <f t="shared" ca="1" si="9"/>
        <v>38</v>
      </c>
      <c r="B48" s="62" t="str">
        <f t="shared" ca="1" si="10"/>
        <v>E</v>
      </c>
      <c r="C48" s="62" t="str">
        <f t="shared" ca="1" si="11"/>
        <v>BBB-</v>
      </c>
      <c r="D48" s="62">
        <f t="shared" ca="1" si="12"/>
        <v>12</v>
      </c>
      <c r="E48" s="63">
        <f t="shared" ca="1" si="13"/>
        <v>53.116666666666667</v>
      </c>
      <c r="F48" s="46" t="s">
        <v>372</v>
      </c>
      <c r="G48" s="46" t="s">
        <v>160</v>
      </c>
      <c r="H48" s="46" t="s">
        <v>373</v>
      </c>
      <c r="I48" s="46" t="s">
        <v>374</v>
      </c>
      <c r="J48" s="46">
        <v>56</v>
      </c>
      <c r="K48" s="46">
        <v>56.2</v>
      </c>
      <c r="L48" s="46">
        <v>56</v>
      </c>
      <c r="M48" s="46">
        <v>50.9</v>
      </c>
      <c r="N48" s="46">
        <v>51.8</v>
      </c>
      <c r="O48" s="46">
        <v>52.5</v>
      </c>
      <c r="P48" s="46">
        <v>51.9</v>
      </c>
      <c r="Q48" s="46">
        <v>52.8</v>
      </c>
      <c r="R48" s="46">
        <v>53.2</v>
      </c>
      <c r="S48" s="46">
        <v>53.8</v>
      </c>
      <c r="T48" s="46">
        <v>53.6</v>
      </c>
      <c r="U48" s="46">
        <v>53.3</v>
      </c>
      <c r="V48" s="46">
        <v>53</v>
      </c>
      <c r="W48" s="46">
        <v>53.4</v>
      </c>
      <c r="X48" s="46">
        <v>53</v>
      </c>
      <c r="Y48" s="46">
        <v>52.6</v>
      </c>
      <c r="Z48" s="46">
        <v>53.4</v>
      </c>
      <c r="AA48" s="46">
        <v>53.4</v>
      </c>
      <c r="AB48" s="46" t="s">
        <v>160</v>
      </c>
      <c r="AC48" s="46" t="s">
        <v>160</v>
      </c>
    </row>
    <row r="49" spans="1:29">
      <c r="A49" s="62">
        <f t="shared" ca="1" si="9"/>
        <v>39</v>
      </c>
      <c r="B49" s="62" t="str">
        <f t="shared" ca="1" si="10"/>
        <v>E</v>
      </c>
      <c r="C49" s="62" t="str">
        <f t="shared" ca="1" si="11"/>
        <v>BBB</v>
      </c>
      <c r="D49" s="62">
        <f t="shared" ca="1" si="12"/>
        <v>13</v>
      </c>
      <c r="E49" s="63">
        <f t="shared" ca="1" si="13"/>
        <v>52.925000000000004</v>
      </c>
      <c r="F49" s="46" t="s">
        <v>375</v>
      </c>
      <c r="G49" s="46" t="s">
        <v>160</v>
      </c>
      <c r="H49" s="46" t="s">
        <v>376</v>
      </c>
      <c r="I49" s="46" t="s">
        <v>374</v>
      </c>
      <c r="J49" s="46">
        <v>55</v>
      </c>
      <c r="K49" s="46">
        <v>55.1</v>
      </c>
      <c r="L49" s="46">
        <v>54</v>
      </c>
      <c r="M49" s="46">
        <v>52.6</v>
      </c>
      <c r="N49" s="46">
        <v>52.3</v>
      </c>
      <c r="O49" s="46">
        <v>52.4</v>
      </c>
      <c r="P49" s="46">
        <v>51</v>
      </c>
      <c r="Q49" s="46">
        <v>52.6</v>
      </c>
      <c r="R49" s="46">
        <v>52.4</v>
      </c>
      <c r="S49" s="46">
        <v>52.6</v>
      </c>
      <c r="T49" s="46">
        <v>52.2</v>
      </c>
      <c r="U49" s="46">
        <v>51.8</v>
      </c>
      <c r="V49" s="46">
        <v>54</v>
      </c>
      <c r="W49" s="46">
        <v>53.9</v>
      </c>
      <c r="X49" s="46">
        <v>53</v>
      </c>
      <c r="Y49" s="46">
        <v>54.1</v>
      </c>
      <c r="Z49" s="46">
        <v>53.8</v>
      </c>
      <c r="AA49" s="46">
        <v>53.7</v>
      </c>
      <c r="AB49" s="46" t="s">
        <v>160</v>
      </c>
      <c r="AC49" s="46" t="s">
        <v>160</v>
      </c>
    </row>
    <row r="50" spans="1:29">
      <c r="A50" s="62">
        <f t="shared" ca="1" si="9"/>
        <v>40</v>
      </c>
      <c r="B50" s="62" t="str">
        <f t="shared" ca="1" si="10"/>
        <v>E</v>
      </c>
      <c r="C50" s="62" t="str">
        <f t="shared" ca="1" si="11"/>
        <v>A-</v>
      </c>
      <c r="D50" s="62">
        <f t="shared" ca="1" si="12"/>
        <v>15</v>
      </c>
      <c r="E50" s="63">
        <f t="shared" ca="1" si="13"/>
        <v>46.55555555555555</v>
      </c>
      <c r="F50" s="46" t="s">
        <v>377</v>
      </c>
      <c r="G50" s="46" t="s">
        <v>160</v>
      </c>
      <c r="H50" s="46" t="s">
        <v>378</v>
      </c>
      <c r="I50" s="46" t="s">
        <v>379</v>
      </c>
      <c r="J50" s="46">
        <v>37.6</v>
      </c>
      <c r="K50" s="46">
        <v>38.5</v>
      </c>
      <c r="L50" s="46">
        <v>42.3</v>
      </c>
      <c r="M50" s="46">
        <v>43.8</v>
      </c>
      <c r="N50" s="46">
        <v>44.4</v>
      </c>
      <c r="O50" s="46">
        <v>46.1</v>
      </c>
      <c r="P50" s="46" t="s">
        <v>160</v>
      </c>
      <c r="Q50" s="46" t="s">
        <v>160</v>
      </c>
      <c r="R50" s="46" t="s">
        <v>160</v>
      </c>
      <c r="S50" s="46">
        <v>45.5</v>
      </c>
      <c r="T50" s="46">
        <v>48.7</v>
      </c>
      <c r="U50" s="46">
        <v>48.7</v>
      </c>
      <c r="V50" s="46">
        <v>45.5</v>
      </c>
      <c r="W50" s="46">
        <v>45.8</v>
      </c>
      <c r="X50" s="46">
        <v>49.5</v>
      </c>
      <c r="Y50" s="46">
        <v>48.7</v>
      </c>
      <c r="Z50" s="46">
        <v>44.7</v>
      </c>
      <c r="AA50" s="46">
        <v>41.9</v>
      </c>
      <c r="AB50" s="46" t="s">
        <v>160</v>
      </c>
      <c r="AC50" s="46" t="s">
        <v>160</v>
      </c>
    </row>
    <row r="51" spans="1:29">
      <c r="A51" s="62">
        <f t="shared" ca="1" si="9"/>
        <v>41</v>
      </c>
      <c r="B51" s="62" t="str">
        <f t="shared" ca="1" si="10"/>
        <v>E</v>
      </c>
      <c r="C51" s="62" t="str">
        <f t="shared" ca="1" si="11"/>
        <v>A-</v>
      </c>
      <c r="D51" s="62">
        <f t="shared" ca="1" si="12"/>
        <v>15</v>
      </c>
      <c r="E51" s="63">
        <f t="shared" ca="1" si="13"/>
        <v>58.733333333333341</v>
      </c>
      <c r="F51" s="46" t="s">
        <v>380</v>
      </c>
      <c r="G51" s="46" t="s">
        <v>160</v>
      </c>
      <c r="H51" s="46" t="s">
        <v>381</v>
      </c>
      <c r="I51" s="46" t="s">
        <v>360</v>
      </c>
      <c r="J51" s="46">
        <v>62</v>
      </c>
      <c r="K51" s="46">
        <v>61.8</v>
      </c>
      <c r="L51" s="46">
        <v>61</v>
      </c>
      <c r="M51" s="46">
        <v>58.8</v>
      </c>
      <c r="N51" s="46">
        <v>57.5</v>
      </c>
      <c r="O51" s="46">
        <v>58</v>
      </c>
      <c r="P51" s="46">
        <v>58</v>
      </c>
      <c r="Q51" s="46">
        <v>59.3</v>
      </c>
      <c r="R51" s="46">
        <v>58.1</v>
      </c>
      <c r="S51" s="46">
        <v>58.7</v>
      </c>
      <c r="T51" s="46">
        <v>58.2</v>
      </c>
      <c r="U51" s="46">
        <v>58.6</v>
      </c>
      <c r="V51" s="46">
        <v>58.2</v>
      </c>
      <c r="W51" s="46">
        <v>58.9</v>
      </c>
      <c r="X51" s="46">
        <v>58.1</v>
      </c>
      <c r="Y51" s="46">
        <v>59.9</v>
      </c>
      <c r="Z51" s="46">
        <v>59.2</v>
      </c>
      <c r="AA51" s="46">
        <v>59.6</v>
      </c>
      <c r="AB51" s="46" t="s">
        <v>160</v>
      </c>
      <c r="AC51" s="46" t="s">
        <v>160</v>
      </c>
    </row>
    <row r="52" spans="1:29">
      <c r="A52" s="62">
        <f t="shared" ca="1" si="9"/>
        <v>42</v>
      </c>
      <c r="B52" s="62" t="str">
        <f t="shared" ca="1" si="10"/>
        <v>E</v>
      </c>
      <c r="C52" s="62" t="str">
        <f t="shared" ca="1" si="11"/>
        <v>A-</v>
      </c>
      <c r="D52" s="62">
        <f t="shared" ca="1" si="12"/>
        <v>15</v>
      </c>
      <c r="E52" s="63">
        <f t="shared" ca="1" si="13"/>
        <v>51.82500000000001</v>
      </c>
      <c r="F52" s="46" t="s">
        <v>382</v>
      </c>
      <c r="G52" s="46" t="s">
        <v>160</v>
      </c>
      <c r="H52" s="46" t="s">
        <v>383</v>
      </c>
      <c r="I52" s="46" t="s">
        <v>360</v>
      </c>
      <c r="J52" s="46">
        <v>49.6</v>
      </c>
      <c r="K52" s="46">
        <v>49.6</v>
      </c>
      <c r="L52" s="46">
        <v>48.2</v>
      </c>
      <c r="M52" s="46">
        <v>49.7</v>
      </c>
      <c r="N52" s="46">
        <v>49.2</v>
      </c>
      <c r="O52" s="46">
        <v>49.1</v>
      </c>
      <c r="P52" s="46">
        <v>47.8</v>
      </c>
      <c r="Q52" s="46">
        <v>51.5</v>
      </c>
      <c r="R52" s="46">
        <v>51.3</v>
      </c>
      <c r="S52" s="46">
        <v>49.8</v>
      </c>
      <c r="T52" s="46">
        <v>49.9</v>
      </c>
      <c r="U52" s="46">
        <v>51.1</v>
      </c>
      <c r="V52" s="46">
        <v>50.6</v>
      </c>
      <c r="W52" s="46">
        <v>51.4</v>
      </c>
      <c r="X52" s="46">
        <v>55.1</v>
      </c>
      <c r="Y52" s="46">
        <v>54.7</v>
      </c>
      <c r="Z52" s="46">
        <v>54.7</v>
      </c>
      <c r="AA52" s="46">
        <v>54</v>
      </c>
      <c r="AB52" s="46" t="s">
        <v>160</v>
      </c>
      <c r="AC52" s="46" t="s">
        <v>160</v>
      </c>
    </row>
    <row r="53" spans="1:29">
      <c r="A53" s="62">
        <f t="shared" ca="1" si="9"/>
        <v>43</v>
      </c>
      <c r="B53" s="62" t="str">
        <f t="shared" ca="1" si="10"/>
        <v>E</v>
      </c>
      <c r="C53" s="62" t="str">
        <f t="shared" ca="1" si="11"/>
        <v>BBB-</v>
      </c>
      <c r="D53" s="62">
        <f t="shared" ca="1" si="12"/>
        <v>12</v>
      </c>
      <c r="E53" s="63">
        <f t="shared" ca="1" si="13"/>
        <v>48.875</v>
      </c>
      <c r="F53" s="46" t="s">
        <v>384</v>
      </c>
      <c r="G53" s="46" t="s">
        <v>160</v>
      </c>
      <c r="H53" s="46" t="s">
        <v>385</v>
      </c>
      <c r="I53" s="46" t="s">
        <v>367</v>
      </c>
      <c r="J53" s="46">
        <v>49.4</v>
      </c>
      <c r="K53" s="46">
        <v>50.5</v>
      </c>
      <c r="L53" s="46">
        <v>48.9</v>
      </c>
      <c r="M53" s="46">
        <v>51.9</v>
      </c>
      <c r="N53" s="46">
        <v>51.3</v>
      </c>
      <c r="O53" s="46">
        <v>51.9</v>
      </c>
      <c r="P53" s="46">
        <v>50.5</v>
      </c>
      <c r="Q53" s="46">
        <v>51.5</v>
      </c>
      <c r="R53" s="46">
        <v>51.9</v>
      </c>
      <c r="S53" s="46">
        <v>52.6</v>
      </c>
      <c r="T53" s="46">
        <v>50.9</v>
      </c>
      <c r="U53" s="46">
        <v>51.6</v>
      </c>
      <c r="V53" s="46">
        <v>51.3</v>
      </c>
      <c r="W53" s="46">
        <v>47</v>
      </c>
      <c r="X53" s="46">
        <v>45.6</v>
      </c>
      <c r="Y53" s="46">
        <v>46.1</v>
      </c>
      <c r="Z53" s="46">
        <v>45.7</v>
      </c>
      <c r="AA53" s="46">
        <v>41.8</v>
      </c>
      <c r="AB53" s="46" t="s">
        <v>160</v>
      </c>
      <c r="AC53" s="46" t="s">
        <v>160</v>
      </c>
    </row>
    <row r="54" spans="1:29">
      <c r="A54" s="62">
        <f t="shared" ca="1" si="9"/>
        <v>44</v>
      </c>
      <c r="B54" s="62" t="str">
        <f t="shared" ca="1" si="10"/>
        <v>E</v>
      </c>
      <c r="C54" s="62" t="str">
        <f t="shared" ca="1" si="11"/>
        <v>BBB+</v>
      </c>
      <c r="D54" s="62">
        <f t="shared" ca="1" si="12"/>
        <v>14</v>
      </c>
      <c r="E54" s="63">
        <f t="shared" ca="1" si="13"/>
        <v>55.508333333333333</v>
      </c>
      <c r="F54" s="46" t="s">
        <v>386</v>
      </c>
      <c r="G54" s="46" t="s">
        <v>160</v>
      </c>
      <c r="H54" s="46" t="s">
        <v>387</v>
      </c>
      <c r="I54" s="46" t="s">
        <v>360</v>
      </c>
      <c r="J54" s="46">
        <v>55.6</v>
      </c>
      <c r="K54" s="46">
        <v>56.6</v>
      </c>
      <c r="L54" s="46">
        <v>54.2</v>
      </c>
      <c r="M54" s="46">
        <v>54.9</v>
      </c>
      <c r="N54" s="46">
        <v>55.6</v>
      </c>
      <c r="O54" s="46">
        <v>56.4</v>
      </c>
      <c r="P54" s="46">
        <v>54.9</v>
      </c>
      <c r="Q54" s="46">
        <v>56.1</v>
      </c>
      <c r="R54" s="46">
        <v>56.5</v>
      </c>
      <c r="S54" s="46">
        <v>56.8</v>
      </c>
      <c r="T54" s="46">
        <v>55</v>
      </c>
      <c r="U54" s="46">
        <v>56.1</v>
      </c>
      <c r="V54" s="46">
        <v>55.2</v>
      </c>
      <c r="W54" s="46">
        <v>54.9</v>
      </c>
      <c r="X54" s="46">
        <v>53.4</v>
      </c>
      <c r="Y54" s="46">
        <v>55.1</v>
      </c>
      <c r="Z54" s="46">
        <v>55.9</v>
      </c>
      <c r="AA54" s="46">
        <v>56.2</v>
      </c>
      <c r="AB54" s="46" t="s">
        <v>160</v>
      </c>
      <c r="AC54" s="46" t="s">
        <v>160</v>
      </c>
    </row>
    <row r="55" spans="1:29">
      <c r="A55" s="62">
        <f t="shared" ca="1" si="9"/>
        <v>45</v>
      </c>
      <c r="B55" s="62" t="str">
        <f t="shared" ca="1" si="10"/>
        <v>E</v>
      </c>
      <c r="C55" s="62" t="str">
        <f t="shared" ca="1" si="11"/>
        <v>BBB+</v>
      </c>
      <c r="D55" s="62">
        <f t="shared" ca="1" si="12"/>
        <v>14</v>
      </c>
      <c r="E55" s="63" t="str">
        <f t="shared" ca="1" si="13"/>
        <v>N/A</v>
      </c>
      <c r="F55" s="46" t="s">
        <v>388</v>
      </c>
      <c r="G55" s="46" t="s">
        <v>160</v>
      </c>
      <c r="H55" s="46" t="s">
        <v>389</v>
      </c>
      <c r="I55" s="46" t="s">
        <v>360</v>
      </c>
      <c r="J55" s="46" t="s">
        <v>160</v>
      </c>
      <c r="K55" s="46" t="s">
        <v>160</v>
      </c>
      <c r="L55" s="46" t="s">
        <v>160</v>
      </c>
      <c r="M55" s="46" t="s">
        <v>160</v>
      </c>
      <c r="N55" s="46" t="s">
        <v>160</v>
      </c>
      <c r="O55" s="46" t="s">
        <v>160</v>
      </c>
      <c r="P55" s="46" t="s">
        <v>160</v>
      </c>
      <c r="Q55" s="46" t="s">
        <v>160</v>
      </c>
      <c r="R55" s="46" t="s">
        <v>160</v>
      </c>
      <c r="S55" s="46" t="s">
        <v>160</v>
      </c>
      <c r="T55" s="46" t="s">
        <v>160</v>
      </c>
      <c r="U55" s="46" t="s">
        <v>160</v>
      </c>
      <c r="V55" s="46" t="s">
        <v>160</v>
      </c>
      <c r="W55" s="46" t="s">
        <v>160</v>
      </c>
      <c r="X55" s="46" t="s">
        <v>160</v>
      </c>
      <c r="Y55" s="46" t="s">
        <v>160</v>
      </c>
      <c r="Z55" s="46" t="s">
        <v>160</v>
      </c>
      <c r="AA55" s="46" t="s">
        <v>160</v>
      </c>
      <c r="AB55" s="46" t="s">
        <v>160</v>
      </c>
      <c r="AC55" s="46" t="s">
        <v>160</v>
      </c>
    </row>
    <row r="56" spans="1:29">
      <c r="A56" s="62">
        <f t="shared" ca="1" si="9"/>
        <v>46</v>
      </c>
      <c r="B56" s="62" t="str">
        <f t="shared" ca="1" si="10"/>
        <v>E</v>
      </c>
      <c r="C56" s="62" t="str">
        <f t="shared" ca="1" si="11"/>
        <v>BBB+</v>
      </c>
      <c r="D56" s="62">
        <f t="shared" ca="1" si="12"/>
        <v>14</v>
      </c>
      <c r="E56" s="63" t="str">
        <f t="shared" ca="1" si="13"/>
        <v>N/A</v>
      </c>
      <c r="F56" s="46" t="s">
        <v>390</v>
      </c>
      <c r="G56" s="46" t="s">
        <v>160</v>
      </c>
      <c r="H56" s="46" t="s">
        <v>391</v>
      </c>
      <c r="I56" s="46" t="s">
        <v>360</v>
      </c>
      <c r="J56" s="46" t="s">
        <v>160</v>
      </c>
      <c r="K56" s="46" t="s">
        <v>160</v>
      </c>
      <c r="L56" s="46" t="s">
        <v>160</v>
      </c>
      <c r="M56" s="46" t="s">
        <v>160</v>
      </c>
      <c r="N56" s="46" t="s">
        <v>160</v>
      </c>
      <c r="O56" s="46" t="s">
        <v>160</v>
      </c>
      <c r="P56" s="46" t="s">
        <v>160</v>
      </c>
      <c r="Q56" s="46" t="s">
        <v>160</v>
      </c>
      <c r="R56" s="46" t="s">
        <v>160</v>
      </c>
      <c r="S56" s="46" t="s">
        <v>160</v>
      </c>
      <c r="T56" s="46" t="s">
        <v>160</v>
      </c>
      <c r="U56" s="46" t="s">
        <v>160</v>
      </c>
      <c r="V56" s="46" t="s">
        <v>160</v>
      </c>
      <c r="W56" s="46" t="s">
        <v>160</v>
      </c>
      <c r="X56" s="46" t="s">
        <v>160</v>
      </c>
      <c r="Y56" s="46" t="s">
        <v>160</v>
      </c>
      <c r="Z56" s="46" t="s">
        <v>160</v>
      </c>
      <c r="AA56" s="46" t="s">
        <v>160</v>
      </c>
      <c r="AB56" s="46" t="s">
        <v>160</v>
      </c>
      <c r="AC56" s="46" t="s">
        <v>160</v>
      </c>
    </row>
    <row r="57" spans="1:29">
      <c r="A57" s="62">
        <f t="shared" ca="1" si="9"/>
        <v>47</v>
      </c>
      <c r="B57" s="62" t="str">
        <f t="shared" ca="1" si="10"/>
        <v>E</v>
      </c>
      <c r="C57" s="62" t="str">
        <f t="shared" ca="1" si="11"/>
        <v>A-</v>
      </c>
      <c r="D57" s="62">
        <f t="shared" ca="1" si="12"/>
        <v>15</v>
      </c>
      <c r="E57" s="63">
        <f t="shared" ca="1" si="13"/>
        <v>57.925000000000004</v>
      </c>
      <c r="F57" s="46" t="s">
        <v>392</v>
      </c>
      <c r="G57" s="46" t="s">
        <v>160</v>
      </c>
      <c r="H57" s="46" t="s">
        <v>393</v>
      </c>
      <c r="I57" s="46" t="s">
        <v>360</v>
      </c>
      <c r="J57" s="46">
        <v>54.6</v>
      </c>
      <c r="K57" s="46">
        <v>54.1</v>
      </c>
      <c r="L57" s="46">
        <v>55.2</v>
      </c>
      <c r="M57" s="46">
        <v>48.1</v>
      </c>
      <c r="N57" s="46">
        <v>50.5</v>
      </c>
      <c r="O57" s="46">
        <v>52.5</v>
      </c>
      <c r="P57" s="46">
        <v>54.5</v>
      </c>
      <c r="Q57" s="46">
        <v>58.3</v>
      </c>
      <c r="R57" s="46">
        <v>57.4</v>
      </c>
      <c r="S57" s="46">
        <v>58.8</v>
      </c>
      <c r="T57" s="46">
        <v>58.2</v>
      </c>
      <c r="U57" s="46">
        <v>58.8</v>
      </c>
      <c r="V57" s="46">
        <v>58</v>
      </c>
      <c r="W57" s="46">
        <v>58.5</v>
      </c>
      <c r="X57" s="46">
        <v>58</v>
      </c>
      <c r="Y57" s="46">
        <v>58.1</v>
      </c>
      <c r="Z57" s="46">
        <v>58.2</v>
      </c>
      <c r="AA57" s="46">
        <v>58.3</v>
      </c>
      <c r="AB57" s="46" t="s">
        <v>160</v>
      </c>
      <c r="AC57" s="46" t="s">
        <v>160</v>
      </c>
    </row>
    <row r="58" spans="1:29">
      <c r="A58" s="62">
        <f t="shared" ca="1" si="9"/>
        <v>48</v>
      </c>
      <c r="B58" s="62" t="str">
        <f t="shared" ca="1" si="10"/>
        <v>E</v>
      </c>
      <c r="C58" s="62" t="str">
        <f t="shared" ca="1" si="11"/>
        <v>A-</v>
      </c>
      <c r="D58" s="62">
        <f t="shared" ca="1" si="12"/>
        <v>15</v>
      </c>
      <c r="E58" s="63">
        <f t="shared" ca="1" si="13"/>
        <v>45.06666666666667</v>
      </c>
      <c r="F58" s="46" t="s">
        <v>394</v>
      </c>
      <c r="G58" s="46" t="s">
        <v>160</v>
      </c>
      <c r="H58" s="46" t="s">
        <v>395</v>
      </c>
      <c r="I58" s="46" t="s">
        <v>367</v>
      </c>
      <c r="J58" s="46">
        <v>43.2</v>
      </c>
      <c r="K58" s="46">
        <v>43.4</v>
      </c>
      <c r="L58" s="46">
        <v>43.6</v>
      </c>
      <c r="M58" s="46">
        <v>44.7</v>
      </c>
      <c r="N58" s="46">
        <v>43.8</v>
      </c>
      <c r="O58" s="46">
        <v>44.2</v>
      </c>
      <c r="P58" s="46">
        <v>43.8</v>
      </c>
      <c r="Q58" s="46">
        <v>44.8</v>
      </c>
      <c r="R58" s="46">
        <v>44.1</v>
      </c>
      <c r="S58" s="46">
        <v>45.3</v>
      </c>
      <c r="T58" s="46">
        <v>45.3</v>
      </c>
      <c r="U58" s="46">
        <v>45.8</v>
      </c>
      <c r="V58" s="46">
        <v>45.8</v>
      </c>
      <c r="W58" s="46">
        <v>45.4</v>
      </c>
      <c r="X58" s="46">
        <v>45</v>
      </c>
      <c r="Y58" s="46">
        <v>45.1</v>
      </c>
      <c r="Z58" s="46">
        <v>45.5</v>
      </c>
      <c r="AA58" s="46">
        <v>44.9</v>
      </c>
      <c r="AB58" s="46" t="s">
        <v>160</v>
      </c>
      <c r="AC58" s="46" t="s">
        <v>160</v>
      </c>
    </row>
    <row r="59" spans="1:29">
      <c r="A59" s="62">
        <f t="shared" ca="1" si="9"/>
        <v>49</v>
      </c>
      <c r="B59" s="62" t="str">
        <f t="shared" ca="1" si="10"/>
        <v>E</v>
      </c>
      <c r="C59" s="62" t="str">
        <f t="shared" ca="1" si="11"/>
        <v>A-</v>
      </c>
      <c r="D59" s="62">
        <f t="shared" ca="1" si="12"/>
        <v>15</v>
      </c>
      <c r="E59" s="63">
        <f t="shared" ca="1" si="13"/>
        <v>46</v>
      </c>
      <c r="F59" s="46" t="s">
        <v>396</v>
      </c>
      <c r="G59" s="46" t="s">
        <v>160</v>
      </c>
      <c r="H59" s="46" t="s">
        <v>397</v>
      </c>
      <c r="I59" s="46" t="s">
        <v>367</v>
      </c>
      <c r="J59" s="46">
        <v>43.1</v>
      </c>
      <c r="K59" s="46">
        <v>43</v>
      </c>
      <c r="L59" s="46">
        <v>42.7</v>
      </c>
      <c r="M59" s="46">
        <v>44.6</v>
      </c>
      <c r="N59" s="46">
        <v>44.4</v>
      </c>
      <c r="O59" s="46">
        <v>44.5</v>
      </c>
      <c r="P59" s="46">
        <v>45</v>
      </c>
      <c r="Q59" s="46">
        <v>45.1</v>
      </c>
      <c r="R59" s="46">
        <v>44.1</v>
      </c>
      <c r="S59" s="46">
        <v>44.9</v>
      </c>
      <c r="T59" s="46">
        <v>46.5</v>
      </c>
      <c r="U59" s="46">
        <v>47.6</v>
      </c>
      <c r="V59" s="46">
        <v>46.5</v>
      </c>
      <c r="W59" s="46">
        <v>46.5</v>
      </c>
      <c r="X59" s="46">
        <v>46.4</v>
      </c>
      <c r="Y59" s="46">
        <v>46</v>
      </c>
      <c r="Z59" s="46">
        <v>46.9</v>
      </c>
      <c r="AA59" s="46">
        <v>46.5</v>
      </c>
      <c r="AB59" s="46" t="s">
        <v>160</v>
      </c>
      <c r="AC59" s="46" t="s">
        <v>160</v>
      </c>
    </row>
    <row r="60" spans="1:29">
      <c r="A60" s="62">
        <f t="shared" ca="1" si="9"/>
        <v>50</v>
      </c>
      <c r="B60" s="62" t="str">
        <f t="shared" ca="1" si="10"/>
        <v>E</v>
      </c>
      <c r="C60" s="62" t="str">
        <f t="shared" ca="1" si="11"/>
        <v>AA-</v>
      </c>
      <c r="D60" s="62">
        <f t="shared" ca="1" si="12"/>
        <v>18</v>
      </c>
      <c r="E60" s="63">
        <f t="shared" ca="1" si="13"/>
        <v>42.841666666666669</v>
      </c>
      <c r="F60" s="46" t="s">
        <v>398</v>
      </c>
      <c r="G60" s="46" t="s">
        <v>160</v>
      </c>
      <c r="H60" s="46" t="s">
        <v>399</v>
      </c>
      <c r="I60" s="46" t="s">
        <v>360</v>
      </c>
      <c r="J60" s="46">
        <v>47.4</v>
      </c>
      <c r="K60" s="46">
        <v>47.5</v>
      </c>
      <c r="L60" s="46">
        <v>46.8</v>
      </c>
      <c r="M60" s="46">
        <v>44.2</v>
      </c>
      <c r="N60" s="46">
        <v>42.6</v>
      </c>
      <c r="O60" s="46">
        <v>43.1</v>
      </c>
      <c r="P60" s="46">
        <v>42.8</v>
      </c>
      <c r="Q60" s="46">
        <v>45</v>
      </c>
      <c r="R60" s="46">
        <v>43.4</v>
      </c>
      <c r="S60" s="46">
        <v>43</v>
      </c>
      <c r="T60" s="46">
        <v>41.3</v>
      </c>
      <c r="U60" s="46">
        <v>41.8</v>
      </c>
      <c r="V60" s="46">
        <v>41</v>
      </c>
      <c r="W60" s="46">
        <v>40.799999999999997</v>
      </c>
      <c r="X60" s="46">
        <v>42</v>
      </c>
      <c r="Y60" s="46">
        <v>44.1</v>
      </c>
      <c r="Z60" s="46">
        <v>44</v>
      </c>
      <c r="AA60" s="46">
        <v>44.9</v>
      </c>
      <c r="AB60" s="46" t="s">
        <v>160</v>
      </c>
      <c r="AC60" s="46" t="s">
        <v>160</v>
      </c>
    </row>
    <row r="61" spans="1:29">
      <c r="A61" s="62">
        <f t="shared" ca="1" si="9"/>
        <v>51</v>
      </c>
      <c r="B61" s="62" t="str">
        <f t="shared" ca="1" si="10"/>
        <v>E</v>
      </c>
      <c r="C61" s="62" t="str">
        <f t="shared" ca="1" si="11"/>
        <v>-</v>
      </c>
      <c r="D61" s="62" t="str">
        <f t="shared" ca="1" si="12"/>
        <v/>
      </c>
      <c r="E61" s="63" t="str">
        <f t="shared" ca="1" si="13"/>
        <v>N/A</v>
      </c>
      <c r="F61" s="46" t="s">
        <v>400</v>
      </c>
      <c r="G61" s="46" t="s">
        <v>160</v>
      </c>
      <c r="H61" s="46" t="s">
        <v>160</v>
      </c>
      <c r="I61" s="46" t="s">
        <v>326</v>
      </c>
      <c r="J61" s="46" t="s">
        <v>160</v>
      </c>
      <c r="K61" s="46" t="s">
        <v>160</v>
      </c>
      <c r="L61" s="46" t="s">
        <v>160</v>
      </c>
      <c r="M61" s="46" t="s">
        <v>160</v>
      </c>
      <c r="N61" s="46" t="s">
        <v>160</v>
      </c>
      <c r="O61" s="46" t="s">
        <v>160</v>
      </c>
      <c r="P61" s="46" t="s">
        <v>160</v>
      </c>
      <c r="Q61" s="46" t="s">
        <v>160</v>
      </c>
      <c r="R61" s="46" t="s">
        <v>160</v>
      </c>
      <c r="S61" s="46" t="s">
        <v>160</v>
      </c>
      <c r="T61" s="46" t="s">
        <v>160</v>
      </c>
      <c r="U61" s="46" t="s">
        <v>160</v>
      </c>
      <c r="V61" s="46" t="s">
        <v>160</v>
      </c>
      <c r="W61" s="46" t="s">
        <v>160</v>
      </c>
      <c r="X61" s="46" t="s">
        <v>160</v>
      </c>
      <c r="Y61" s="46" t="s">
        <v>160</v>
      </c>
      <c r="Z61" s="46" t="s">
        <v>160</v>
      </c>
      <c r="AA61" s="46" t="s">
        <v>160</v>
      </c>
      <c r="AB61" s="46" t="s">
        <v>160</v>
      </c>
      <c r="AC61" s="46" t="s">
        <v>160</v>
      </c>
    </row>
    <row r="62" spans="1:29">
      <c r="A62" s="62">
        <f t="shared" ca="1" si="9"/>
        <v>52</v>
      </c>
      <c r="B62" s="62" t="str">
        <f t="shared" ca="1" si="10"/>
        <v>E</v>
      </c>
      <c r="C62" s="62" t="str">
        <f t="shared" ca="1" si="11"/>
        <v>BBB-</v>
      </c>
      <c r="D62" s="62">
        <f t="shared" ca="1" si="12"/>
        <v>12</v>
      </c>
      <c r="E62" s="63">
        <f t="shared" ca="1" si="13"/>
        <v>54.6</v>
      </c>
      <c r="F62" s="46" t="s">
        <v>401</v>
      </c>
      <c r="G62" s="46" t="s">
        <v>160</v>
      </c>
      <c r="H62" s="46" t="s">
        <v>402</v>
      </c>
      <c r="I62" s="46" t="s">
        <v>367</v>
      </c>
      <c r="J62" s="46">
        <v>56.6</v>
      </c>
      <c r="K62" s="46">
        <v>55.1</v>
      </c>
      <c r="L62" s="46">
        <v>57</v>
      </c>
      <c r="M62" s="46">
        <v>54.7</v>
      </c>
      <c r="N62" s="46">
        <v>55.5</v>
      </c>
      <c r="O62" s="46">
        <v>55.4</v>
      </c>
      <c r="P62" s="46">
        <v>53.1</v>
      </c>
      <c r="Q62" s="46">
        <v>56.1</v>
      </c>
      <c r="R62" s="46">
        <v>56.7</v>
      </c>
      <c r="S62" s="46">
        <v>56.1</v>
      </c>
      <c r="T62" s="46">
        <v>54.3</v>
      </c>
      <c r="U62" s="46">
        <v>56.7</v>
      </c>
      <c r="V62" s="46" t="s">
        <v>160</v>
      </c>
      <c r="W62" s="46">
        <v>54.6</v>
      </c>
      <c r="X62" s="46">
        <v>53</v>
      </c>
      <c r="Y62" s="46">
        <v>54.1</v>
      </c>
      <c r="Z62" s="46">
        <v>53.4</v>
      </c>
      <c r="AA62" s="46">
        <v>52.5</v>
      </c>
      <c r="AB62" s="46" t="s">
        <v>160</v>
      </c>
      <c r="AC62" s="46" t="s">
        <v>160</v>
      </c>
    </row>
    <row r="63" spans="1:29">
      <c r="A63" s="62">
        <f t="shared" ca="1" si="9"/>
        <v>53</v>
      </c>
      <c r="B63" s="62" t="str">
        <f t="shared" ca="1" si="10"/>
        <v>E</v>
      </c>
      <c r="C63" s="62" t="str">
        <f t="shared" ca="1" si="11"/>
        <v>BBB+</v>
      </c>
      <c r="D63" s="62">
        <f t="shared" ca="1" si="12"/>
        <v>14</v>
      </c>
      <c r="E63" s="63">
        <f t="shared" ca="1" si="13"/>
        <v>55.025000000000006</v>
      </c>
      <c r="F63" s="46" t="s">
        <v>403</v>
      </c>
      <c r="G63" s="46" t="s">
        <v>160</v>
      </c>
      <c r="H63" s="46" t="s">
        <v>404</v>
      </c>
      <c r="I63" s="46" t="s">
        <v>367</v>
      </c>
      <c r="J63" s="46">
        <v>60.3</v>
      </c>
      <c r="K63" s="46">
        <v>59.5</v>
      </c>
      <c r="L63" s="46">
        <v>57.6</v>
      </c>
      <c r="M63" s="46">
        <v>51.9</v>
      </c>
      <c r="N63" s="46">
        <v>58.2</v>
      </c>
      <c r="O63" s="46">
        <v>54.6</v>
      </c>
      <c r="P63" s="46">
        <v>55.5</v>
      </c>
      <c r="Q63" s="46">
        <v>54.3</v>
      </c>
      <c r="R63" s="46">
        <v>52.6</v>
      </c>
      <c r="S63" s="46">
        <v>55.3</v>
      </c>
      <c r="T63" s="46">
        <v>56.3</v>
      </c>
      <c r="U63" s="46">
        <v>57.8</v>
      </c>
      <c r="V63" s="46">
        <v>59.4</v>
      </c>
      <c r="W63" s="46">
        <v>54.9</v>
      </c>
      <c r="X63" s="46">
        <v>54.6</v>
      </c>
      <c r="Y63" s="46">
        <v>51.2</v>
      </c>
      <c r="Z63" s="46">
        <v>53.2</v>
      </c>
      <c r="AA63" s="46">
        <v>55.2</v>
      </c>
      <c r="AB63" s="46" t="s">
        <v>160</v>
      </c>
      <c r="AC63" s="46" t="s">
        <v>160</v>
      </c>
    </row>
    <row r="64" spans="1:29">
      <c r="A64" s="62">
        <f t="shared" ca="1" si="9"/>
        <v>54</v>
      </c>
      <c r="B64" s="62" t="str">
        <f t="shared" ca="1" si="10"/>
        <v>E</v>
      </c>
      <c r="C64" s="62" t="str">
        <f t="shared" ca="1" si="11"/>
        <v>BBB-</v>
      </c>
      <c r="D64" s="62">
        <f t="shared" ca="1" si="12"/>
        <v>12</v>
      </c>
      <c r="E64" s="63">
        <f t="shared" ca="1" si="13"/>
        <v>57.166666666666657</v>
      </c>
      <c r="F64" s="46" t="s">
        <v>405</v>
      </c>
      <c r="G64" s="46" t="s">
        <v>160</v>
      </c>
      <c r="H64" s="46" t="s">
        <v>406</v>
      </c>
      <c r="I64" s="46" t="s">
        <v>367</v>
      </c>
      <c r="J64" s="46">
        <v>64.900000000000006</v>
      </c>
      <c r="K64" s="46">
        <v>63.7</v>
      </c>
      <c r="L64" s="46">
        <v>62.3</v>
      </c>
      <c r="M64" s="46">
        <v>63.3</v>
      </c>
      <c r="N64" s="46">
        <v>62.3</v>
      </c>
      <c r="O64" s="46">
        <v>62.3</v>
      </c>
      <c r="P64" s="46">
        <v>61.4</v>
      </c>
      <c r="Q64" s="46">
        <v>56.7</v>
      </c>
      <c r="R64" s="46">
        <v>56.1</v>
      </c>
      <c r="S64" s="46">
        <v>56.3</v>
      </c>
      <c r="T64" s="46">
        <v>55.2</v>
      </c>
      <c r="U64" s="46">
        <v>57.9</v>
      </c>
      <c r="V64" s="46">
        <v>55.9</v>
      </c>
      <c r="W64" s="46">
        <v>58.1</v>
      </c>
      <c r="X64" s="46">
        <v>56.6</v>
      </c>
      <c r="Y64" s="46">
        <v>58</v>
      </c>
      <c r="Z64" s="46">
        <v>57</v>
      </c>
      <c r="AA64" s="46">
        <v>56.8</v>
      </c>
      <c r="AB64" s="46" t="s">
        <v>160</v>
      </c>
      <c r="AC64" s="46" t="s">
        <v>160</v>
      </c>
    </row>
    <row r="65" spans="1:29">
      <c r="A65" s="62">
        <f t="shared" ca="1" si="9"/>
        <v>55</v>
      </c>
      <c r="B65" s="62" t="str">
        <f t="shared" ca="1" si="10"/>
        <v>G</v>
      </c>
      <c r="C65" s="62" t="str">
        <f t="shared" ca="1" si="11"/>
        <v>A</v>
      </c>
      <c r="D65" s="62">
        <f t="shared" ca="1" si="12"/>
        <v>16</v>
      </c>
      <c r="E65" s="63">
        <f t="shared" ca="1" si="13"/>
        <v>46.18181818181818</v>
      </c>
      <c r="F65" s="46" t="s">
        <v>407</v>
      </c>
      <c r="G65" s="46" t="s">
        <v>160</v>
      </c>
      <c r="H65" s="46" t="s">
        <v>408</v>
      </c>
      <c r="I65" s="46" t="s">
        <v>409</v>
      </c>
      <c r="J65" s="46">
        <v>43.9</v>
      </c>
      <c r="K65" s="46">
        <v>43.7</v>
      </c>
      <c r="L65" s="46">
        <v>43.2</v>
      </c>
      <c r="M65" s="46">
        <v>45.4</v>
      </c>
      <c r="N65" s="46">
        <v>43.9</v>
      </c>
      <c r="O65" s="46">
        <v>43.9</v>
      </c>
      <c r="P65" s="46">
        <v>45.8</v>
      </c>
      <c r="Q65" s="46">
        <v>47.2</v>
      </c>
      <c r="R65" s="46">
        <v>46.8</v>
      </c>
      <c r="S65" s="46">
        <v>45.7</v>
      </c>
      <c r="T65" s="46">
        <v>47.5</v>
      </c>
      <c r="U65" s="46">
        <v>46.9</v>
      </c>
      <c r="V65" s="46">
        <v>45.4</v>
      </c>
      <c r="W65" s="46">
        <v>46.1</v>
      </c>
      <c r="X65" s="46">
        <v>47.4</v>
      </c>
      <c r="Y65" s="46">
        <v>46.8</v>
      </c>
      <c r="Z65" s="46">
        <v>42.4</v>
      </c>
      <c r="AA65" s="46" t="s">
        <v>160</v>
      </c>
      <c r="AB65" s="46" t="s">
        <v>160</v>
      </c>
      <c r="AC65" s="46" t="s">
        <v>160</v>
      </c>
    </row>
    <row r="66" spans="1:29">
      <c r="A66" s="62">
        <f t="shared" ca="1" si="9"/>
        <v>56</v>
      </c>
      <c r="B66" s="62" t="str">
        <f t="shared" ca="1" si="10"/>
        <v>E</v>
      </c>
      <c r="C66" s="62" t="str">
        <f t="shared" ca="1" si="11"/>
        <v>A-</v>
      </c>
      <c r="D66" s="62">
        <f t="shared" ca="1" si="12"/>
        <v>15</v>
      </c>
      <c r="E66" s="63">
        <f t="shared" ca="1" si="13"/>
        <v>54.890909090909098</v>
      </c>
      <c r="F66" s="46" t="s">
        <v>410</v>
      </c>
      <c r="G66" s="46" t="s">
        <v>160</v>
      </c>
      <c r="H66" s="46" t="s">
        <v>411</v>
      </c>
      <c r="I66" s="46" t="s">
        <v>367</v>
      </c>
      <c r="J66" s="46" t="s">
        <v>160</v>
      </c>
      <c r="K66" s="46" t="s">
        <v>160</v>
      </c>
      <c r="L66" s="46" t="s">
        <v>160</v>
      </c>
      <c r="M66" s="46" t="s">
        <v>160</v>
      </c>
      <c r="N66" s="46" t="s">
        <v>160</v>
      </c>
      <c r="O66" s="46" t="s">
        <v>160</v>
      </c>
      <c r="P66" s="46" t="s">
        <v>160</v>
      </c>
      <c r="Q66" s="46">
        <v>56.8</v>
      </c>
      <c r="R66" s="46">
        <v>55.7</v>
      </c>
      <c r="S66" s="46">
        <v>54</v>
      </c>
      <c r="T66" s="46">
        <v>53.8</v>
      </c>
      <c r="U66" s="46">
        <v>56.9</v>
      </c>
      <c r="V66" s="46">
        <v>56.6</v>
      </c>
      <c r="W66" s="46">
        <v>53.6</v>
      </c>
      <c r="X66" s="46">
        <v>53.5</v>
      </c>
      <c r="Y66" s="46">
        <v>54.9</v>
      </c>
      <c r="Z66" s="46">
        <v>54.9</v>
      </c>
      <c r="AA66" s="46">
        <v>53.1</v>
      </c>
      <c r="AB66" s="46" t="s">
        <v>160</v>
      </c>
      <c r="AC66" s="46" t="s">
        <v>160</v>
      </c>
    </row>
    <row r="67" spans="1:29">
      <c r="A67" s="62">
        <f t="shared" ca="1" si="9"/>
        <v>57</v>
      </c>
      <c r="B67" s="62" t="str">
        <f t="shared" ca="1" si="10"/>
        <v>G</v>
      </c>
      <c r="C67" s="62" t="str">
        <f t="shared" ca="1" si="11"/>
        <v>BBB+</v>
      </c>
      <c r="D67" s="62">
        <f t="shared" ca="1" si="12"/>
        <v>14</v>
      </c>
      <c r="E67" s="63">
        <f t="shared" ca="1" si="13"/>
        <v>64.8</v>
      </c>
      <c r="F67" s="46" t="s">
        <v>125</v>
      </c>
      <c r="G67" s="46" t="s">
        <v>221</v>
      </c>
      <c r="H67" s="46" t="s">
        <v>222</v>
      </c>
      <c r="I67" s="46" t="s">
        <v>412</v>
      </c>
      <c r="J67" s="46">
        <v>61.2</v>
      </c>
      <c r="K67" s="46">
        <v>61.5</v>
      </c>
      <c r="L67" s="46">
        <v>62.5</v>
      </c>
      <c r="M67" s="46">
        <v>60.7</v>
      </c>
      <c r="N67" s="46">
        <v>61.3</v>
      </c>
      <c r="O67" s="46">
        <v>62.2</v>
      </c>
      <c r="P67" s="46">
        <v>63.2</v>
      </c>
      <c r="Q67" s="46">
        <v>62.8</v>
      </c>
      <c r="R67" s="46">
        <v>56</v>
      </c>
      <c r="S67" s="46">
        <v>57.1</v>
      </c>
      <c r="T67" s="46">
        <v>66</v>
      </c>
      <c r="U67" s="46">
        <v>66.2</v>
      </c>
      <c r="V67" s="46">
        <v>66.7</v>
      </c>
      <c r="W67" s="46">
        <v>67.7</v>
      </c>
      <c r="X67" s="46">
        <v>68.5</v>
      </c>
      <c r="Y67" s="46">
        <v>67.599999999999994</v>
      </c>
      <c r="Z67" s="46">
        <v>67.400000000000006</v>
      </c>
      <c r="AA67" s="46">
        <v>68.400000000000006</v>
      </c>
      <c r="AB67" s="46" t="s">
        <v>160</v>
      </c>
      <c r="AC67" s="46" t="s">
        <v>160</v>
      </c>
    </row>
    <row r="68" spans="1:29">
      <c r="A68" s="62">
        <f t="shared" ca="1" si="9"/>
        <v>58</v>
      </c>
      <c r="B68" s="62" t="str">
        <f t="shared" ca="1" si="10"/>
        <v>E</v>
      </c>
      <c r="C68" s="62" t="str">
        <f t="shared" ca="1" si="11"/>
        <v>A-</v>
      </c>
      <c r="D68" s="62">
        <f t="shared" ca="1" si="12"/>
        <v>15</v>
      </c>
      <c r="E68" s="63">
        <f t="shared" ca="1" si="13"/>
        <v>49.433333333333337</v>
      </c>
      <c r="F68" s="46" t="s">
        <v>413</v>
      </c>
      <c r="G68" s="46" t="s">
        <v>160</v>
      </c>
      <c r="H68" s="46" t="s">
        <v>414</v>
      </c>
      <c r="I68" s="46" t="s">
        <v>379</v>
      </c>
      <c r="J68" s="46" t="s">
        <v>160</v>
      </c>
      <c r="K68" s="46" t="s">
        <v>160</v>
      </c>
      <c r="L68" s="46" t="s">
        <v>160</v>
      </c>
      <c r="M68" s="46" t="s">
        <v>160</v>
      </c>
      <c r="N68" s="46" t="s">
        <v>160</v>
      </c>
      <c r="O68" s="46" t="s">
        <v>160</v>
      </c>
      <c r="P68" s="46" t="s">
        <v>160</v>
      </c>
      <c r="Q68" s="46" t="s">
        <v>160</v>
      </c>
      <c r="R68" s="46" t="s">
        <v>160</v>
      </c>
      <c r="S68" s="46" t="s">
        <v>160</v>
      </c>
      <c r="T68" s="46" t="s">
        <v>160</v>
      </c>
      <c r="U68" s="46" t="s">
        <v>160</v>
      </c>
      <c r="V68" s="46">
        <v>53.2</v>
      </c>
      <c r="W68" s="46">
        <v>48.7</v>
      </c>
      <c r="X68" s="46">
        <v>48.5</v>
      </c>
      <c r="Y68" s="46">
        <v>48.7</v>
      </c>
      <c r="Z68" s="46">
        <v>50.3</v>
      </c>
      <c r="AA68" s="46">
        <v>47.2</v>
      </c>
      <c r="AB68" s="46" t="s">
        <v>160</v>
      </c>
      <c r="AC68" s="46" t="s">
        <v>160</v>
      </c>
    </row>
    <row r="69" spans="1:29">
      <c r="A69" s="62">
        <f t="shared" ca="1" si="9"/>
        <v>59</v>
      </c>
      <c r="B69" s="62" t="str">
        <f t="shared" ca="1" si="10"/>
        <v>E</v>
      </c>
      <c r="C69" s="62" t="str">
        <f t="shared" ca="1" si="11"/>
        <v>A-</v>
      </c>
      <c r="D69" s="62">
        <f t="shared" ca="1" si="12"/>
        <v>15</v>
      </c>
      <c r="E69" s="63" t="str">
        <f t="shared" ca="1" si="13"/>
        <v>N/A</v>
      </c>
      <c r="F69" s="46" t="s">
        <v>415</v>
      </c>
      <c r="G69" s="46" t="s">
        <v>160</v>
      </c>
      <c r="H69" s="46" t="s">
        <v>416</v>
      </c>
      <c r="I69" s="46" t="s">
        <v>334</v>
      </c>
      <c r="J69" s="46" t="s">
        <v>160</v>
      </c>
      <c r="K69" s="46" t="s">
        <v>160</v>
      </c>
      <c r="L69" s="46" t="s">
        <v>160</v>
      </c>
      <c r="M69" s="46" t="s">
        <v>160</v>
      </c>
      <c r="N69" s="46" t="s">
        <v>160</v>
      </c>
      <c r="O69" s="46" t="s">
        <v>160</v>
      </c>
      <c r="P69" s="46" t="s">
        <v>160</v>
      </c>
      <c r="Q69" s="46" t="s">
        <v>160</v>
      </c>
      <c r="R69" s="46" t="s">
        <v>160</v>
      </c>
      <c r="S69" s="46" t="s">
        <v>160</v>
      </c>
      <c r="T69" s="46" t="s">
        <v>160</v>
      </c>
      <c r="U69" s="46" t="s">
        <v>160</v>
      </c>
      <c r="V69" s="46" t="s">
        <v>160</v>
      </c>
      <c r="W69" s="46" t="s">
        <v>160</v>
      </c>
      <c r="X69" s="46" t="s">
        <v>160</v>
      </c>
      <c r="Y69" s="46" t="s">
        <v>160</v>
      </c>
      <c r="Z69" s="46" t="s">
        <v>160</v>
      </c>
      <c r="AA69" s="46" t="s">
        <v>160</v>
      </c>
      <c r="AB69" s="46" t="s">
        <v>160</v>
      </c>
      <c r="AC69" s="46" t="s">
        <v>160</v>
      </c>
    </row>
    <row r="70" spans="1:29">
      <c r="A70" s="62">
        <f t="shared" ca="1" si="9"/>
        <v>60</v>
      </c>
      <c r="B70" s="62" t="str">
        <f t="shared" ca="1" si="10"/>
        <v>G</v>
      </c>
      <c r="C70" s="62" t="str">
        <f t="shared" ca="1" si="11"/>
        <v>BBB+</v>
      </c>
      <c r="D70" s="62">
        <f t="shared" ca="1" si="12"/>
        <v>14</v>
      </c>
      <c r="E70" s="63">
        <f t="shared" ca="1" si="13"/>
        <v>51.4</v>
      </c>
      <c r="F70" s="46" t="s">
        <v>417</v>
      </c>
      <c r="G70" s="46" t="s">
        <v>160</v>
      </c>
      <c r="H70" s="46" t="s">
        <v>418</v>
      </c>
      <c r="I70" s="46" t="s">
        <v>419</v>
      </c>
      <c r="J70" s="46" t="s">
        <v>160</v>
      </c>
      <c r="K70" s="46">
        <v>53.3</v>
      </c>
      <c r="L70" s="46">
        <v>54.1</v>
      </c>
      <c r="M70" s="46" t="s">
        <v>160</v>
      </c>
      <c r="N70" s="46" t="s">
        <v>160</v>
      </c>
      <c r="O70" s="46">
        <v>50.9</v>
      </c>
      <c r="P70" s="46" t="s">
        <v>160</v>
      </c>
      <c r="Q70" s="46">
        <v>51.4</v>
      </c>
      <c r="R70" s="46">
        <v>51.4</v>
      </c>
      <c r="S70" s="46" t="s">
        <v>160</v>
      </c>
      <c r="T70" s="46" t="s">
        <v>160</v>
      </c>
      <c r="U70" s="46" t="s">
        <v>160</v>
      </c>
      <c r="V70" s="46" t="s">
        <v>160</v>
      </c>
      <c r="W70" s="46" t="s">
        <v>160</v>
      </c>
      <c r="X70" s="46" t="s">
        <v>160</v>
      </c>
      <c r="Y70" s="46" t="s">
        <v>160</v>
      </c>
      <c r="Z70" s="46" t="s">
        <v>160</v>
      </c>
      <c r="AA70" s="46" t="s">
        <v>160</v>
      </c>
      <c r="AB70" s="46" t="s">
        <v>160</v>
      </c>
      <c r="AC70" s="46" t="s">
        <v>160</v>
      </c>
    </row>
    <row r="71" spans="1:29">
      <c r="A71" s="62">
        <f t="shared" ca="1" si="9"/>
        <v>61</v>
      </c>
      <c r="B71" s="62" t="str">
        <f t="shared" ca="1" si="10"/>
        <v>E</v>
      </c>
      <c r="C71" s="62" t="str">
        <f t="shared" ca="1" si="11"/>
        <v>A-</v>
      </c>
      <c r="D71" s="62">
        <f t="shared" ca="1" si="12"/>
        <v>15</v>
      </c>
      <c r="E71" s="63">
        <f t="shared" ca="1" si="13"/>
        <v>48.141666666666673</v>
      </c>
      <c r="F71" s="46" t="s">
        <v>420</v>
      </c>
      <c r="G71" s="46" t="s">
        <v>160</v>
      </c>
      <c r="H71" s="46" t="s">
        <v>421</v>
      </c>
      <c r="I71" s="46" t="s">
        <v>374</v>
      </c>
      <c r="J71" s="46">
        <v>49.8</v>
      </c>
      <c r="K71" s="46">
        <v>47.8</v>
      </c>
      <c r="L71" s="46">
        <v>47.7</v>
      </c>
      <c r="M71" s="46">
        <v>49</v>
      </c>
      <c r="N71" s="46">
        <v>48.8</v>
      </c>
      <c r="O71" s="46">
        <v>49.5</v>
      </c>
      <c r="P71" s="46">
        <v>47.3</v>
      </c>
      <c r="Q71" s="46">
        <v>49.8</v>
      </c>
      <c r="R71" s="46">
        <v>48.7</v>
      </c>
      <c r="S71" s="46">
        <v>48.6</v>
      </c>
      <c r="T71" s="46">
        <v>48.4</v>
      </c>
      <c r="U71" s="46">
        <v>48</v>
      </c>
      <c r="V71" s="46">
        <v>47.5</v>
      </c>
      <c r="W71" s="46">
        <v>47.4</v>
      </c>
      <c r="X71" s="46">
        <v>47.1</v>
      </c>
      <c r="Y71" s="46">
        <v>49.1</v>
      </c>
      <c r="Z71" s="46">
        <v>47.5</v>
      </c>
      <c r="AA71" s="46">
        <v>48.3</v>
      </c>
      <c r="AB71" s="46" t="s">
        <v>160</v>
      </c>
      <c r="AC71" s="46" t="s">
        <v>160</v>
      </c>
    </row>
    <row r="72" spans="1:29">
      <c r="A72" s="62">
        <f t="shared" ca="1" si="9"/>
        <v>61</v>
      </c>
      <c r="B72" s="62" t="str">
        <f t="shared" ca="1" si="10"/>
        <v>E</v>
      </c>
      <c r="C72" s="62" t="str">
        <f t="shared" ca="1" si="11"/>
        <v>A-</v>
      </c>
      <c r="D72" s="62">
        <f t="shared" ca="1" si="12"/>
        <v>15</v>
      </c>
      <c r="E72" s="63">
        <f t="shared" ca="1" si="13"/>
        <v>52.17499999999999</v>
      </c>
      <c r="F72" s="46" t="s">
        <v>420</v>
      </c>
      <c r="G72" s="46" t="s">
        <v>160</v>
      </c>
      <c r="H72" s="46" t="s">
        <v>422</v>
      </c>
      <c r="I72" s="46" t="s">
        <v>374</v>
      </c>
      <c r="J72" s="46">
        <v>50.4</v>
      </c>
      <c r="K72" s="46">
        <v>51.8</v>
      </c>
      <c r="L72" s="46">
        <v>51.3</v>
      </c>
      <c r="M72" s="46">
        <v>51.8</v>
      </c>
      <c r="N72" s="46">
        <v>51.4</v>
      </c>
      <c r="O72" s="46">
        <v>51.8</v>
      </c>
      <c r="P72" s="46">
        <v>51</v>
      </c>
      <c r="Q72" s="46">
        <v>52.4</v>
      </c>
      <c r="R72" s="46">
        <v>51.7</v>
      </c>
      <c r="S72" s="46">
        <v>51.7</v>
      </c>
      <c r="T72" s="46">
        <v>51.2</v>
      </c>
      <c r="U72" s="46">
        <v>53</v>
      </c>
      <c r="V72" s="46">
        <v>52.1</v>
      </c>
      <c r="W72" s="46">
        <v>52.5</v>
      </c>
      <c r="X72" s="46">
        <v>52.4</v>
      </c>
      <c r="Y72" s="46">
        <v>52.8</v>
      </c>
      <c r="Z72" s="46">
        <v>52.4</v>
      </c>
      <c r="AA72" s="46">
        <v>52.9</v>
      </c>
      <c r="AB72" s="46" t="s">
        <v>160</v>
      </c>
      <c r="AC72" s="46" t="s">
        <v>160</v>
      </c>
    </row>
    <row r="73" spans="1:29">
      <c r="A73" s="62">
        <f t="shared" ca="1" si="9"/>
        <v>63</v>
      </c>
      <c r="B73" s="62" t="str">
        <f t="shared" ca="1" si="10"/>
        <v>G</v>
      </c>
      <c r="C73" s="62" t="str">
        <f t="shared" ca="1" si="11"/>
        <v>A+</v>
      </c>
      <c r="D73" s="62">
        <f t="shared" ca="1" si="12"/>
        <v>17</v>
      </c>
      <c r="E73" s="63">
        <f t="shared" ca="1" si="13"/>
        <v>53.266666666666652</v>
      </c>
      <c r="F73" s="46" t="s">
        <v>127</v>
      </c>
      <c r="G73" s="46" t="s">
        <v>223</v>
      </c>
      <c r="H73" s="46" t="s">
        <v>224</v>
      </c>
      <c r="I73" s="46" t="s">
        <v>423</v>
      </c>
      <c r="J73" s="46">
        <v>56.5</v>
      </c>
      <c r="K73" s="46">
        <v>56.7</v>
      </c>
      <c r="L73" s="46">
        <v>58.6</v>
      </c>
      <c r="M73" s="46">
        <v>56.4</v>
      </c>
      <c r="N73" s="46">
        <v>52.2</v>
      </c>
      <c r="O73" s="46">
        <v>53.1</v>
      </c>
      <c r="P73" s="46">
        <v>55.5</v>
      </c>
      <c r="Q73" s="46">
        <v>56</v>
      </c>
      <c r="R73" s="46">
        <v>55.2</v>
      </c>
      <c r="S73" s="46">
        <v>55.2</v>
      </c>
      <c r="T73" s="46">
        <v>56.7</v>
      </c>
      <c r="U73" s="46">
        <v>54.9</v>
      </c>
      <c r="V73" s="46">
        <v>51.4</v>
      </c>
      <c r="W73" s="46">
        <v>52.4</v>
      </c>
      <c r="X73" s="46">
        <v>52.9</v>
      </c>
      <c r="Y73" s="46">
        <v>50.5</v>
      </c>
      <c r="Z73" s="46">
        <v>48.9</v>
      </c>
      <c r="AA73" s="46">
        <v>49.6</v>
      </c>
      <c r="AB73" s="46" t="s">
        <v>160</v>
      </c>
      <c r="AC73" s="46" t="s">
        <v>160</v>
      </c>
    </row>
    <row r="74" spans="1:29">
      <c r="A74" s="62">
        <f t="shared" ca="1" si="9"/>
        <v>64</v>
      </c>
      <c r="B74" s="62" t="str">
        <f t="shared" ca="1" si="10"/>
        <v>E</v>
      </c>
      <c r="C74" s="62" t="str">
        <f t="shared" ca="1" si="11"/>
        <v>BBB</v>
      </c>
      <c r="D74" s="62">
        <f t="shared" ca="1" si="12"/>
        <v>13</v>
      </c>
      <c r="E74" s="63">
        <f t="shared" ca="1" si="13"/>
        <v>57.066666666666663</v>
      </c>
      <c r="F74" s="46" t="s">
        <v>104</v>
      </c>
      <c r="G74" s="46" t="s">
        <v>225</v>
      </c>
      <c r="H74" s="46" t="s">
        <v>226</v>
      </c>
      <c r="I74" s="46" t="s">
        <v>424</v>
      </c>
      <c r="J74" s="46">
        <v>56.4</v>
      </c>
      <c r="K74" s="46">
        <v>56.1</v>
      </c>
      <c r="L74" s="46">
        <v>56.7</v>
      </c>
      <c r="M74" s="46">
        <v>57.5</v>
      </c>
      <c r="N74" s="46">
        <v>55</v>
      </c>
      <c r="O74" s="46">
        <v>56.8</v>
      </c>
      <c r="P74" s="46">
        <v>56.8</v>
      </c>
      <c r="Q74" s="46">
        <v>58.1</v>
      </c>
      <c r="R74" s="46">
        <v>57</v>
      </c>
      <c r="S74" s="46">
        <v>57.3</v>
      </c>
      <c r="T74" s="46">
        <v>58.4</v>
      </c>
      <c r="U74" s="46">
        <v>57.3</v>
      </c>
      <c r="V74" s="46">
        <v>56.1</v>
      </c>
      <c r="W74" s="46">
        <v>57.1</v>
      </c>
      <c r="X74" s="46">
        <v>56.6</v>
      </c>
      <c r="Y74" s="46">
        <v>57.3</v>
      </c>
      <c r="Z74" s="46">
        <v>56</v>
      </c>
      <c r="AA74" s="46">
        <v>56.8</v>
      </c>
      <c r="AB74" s="46" t="s">
        <v>160</v>
      </c>
      <c r="AC74" s="46" t="s">
        <v>160</v>
      </c>
    </row>
    <row r="75" spans="1:29">
      <c r="A75" s="62">
        <f t="shared" ref="A75:A106" ca="1" si="14">MATCH(F75,RATINGSname,0)</f>
        <v>65</v>
      </c>
      <c r="B75" s="62" t="str">
        <f t="shared" ref="B75:B106" ca="1" si="15">INDEX(RATINGSindus,A75)</f>
        <v>E</v>
      </c>
      <c r="C75" s="62" t="str">
        <f t="shared" ref="C75:C106" ca="1" si="16">INDEX(RATINGSlocalcurrLT,A75)</f>
        <v>A</v>
      </c>
      <c r="D75" s="62">
        <f t="shared" ref="D75:D106" ca="1" si="17">IFERROR(VLOOKUP(C75,CR,2,FALSE),"")</f>
        <v>16</v>
      </c>
      <c r="E75" s="63">
        <f t="shared" ref="E75:E106" ca="1" si="18">IFERROR(AVERAGE(OFFSET(I75,0,$H$1,1,$H$2-$H$1+1)),"N/A")</f>
        <v>47.55833333333333</v>
      </c>
      <c r="F75" s="46" t="s">
        <v>425</v>
      </c>
      <c r="G75" s="46" t="s">
        <v>160</v>
      </c>
      <c r="H75" s="46" t="s">
        <v>426</v>
      </c>
      <c r="I75" s="46" t="s">
        <v>367</v>
      </c>
      <c r="J75" s="46">
        <v>49.5</v>
      </c>
      <c r="K75" s="46">
        <v>51.1</v>
      </c>
      <c r="L75" s="46">
        <v>48.9</v>
      </c>
      <c r="M75" s="46">
        <v>45.7</v>
      </c>
      <c r="N75" s="46">
        <v>50</v>
      </c>
      <c r="O75" s="46">
        <v>48.4</v>
      </c>
      <c r="P75" s="46">
        <v>46.8</v>
      </c>
      <c r="Q75" s="46">
        <v>48.5</v>
      </c>
      <c r="R75" s="46">
        <v>46.9</v>
      </c>
      <c r="S75" s="46">
        <v>48.5</v>
      </c>
      <c r="T75" s="46">
        <v>46.6</v>
      </c>
      <c r="U75" s="46">
        <v>46.7</v>
      </c>
      <c r="V75" s="46">
        <v>47.9</v>
      </c>
      <c r="W75" s="46">
        <v>51.4</v>
      </c>
      <c r="X75" s="46">
        <v>47</v>
      </c>
      <c r="Y75" s="46">
        <v>46.1</v>
      </c>
      <c r="Z75" s="46">
        <v>46.4</v>
      </c>
      <c r="AA75" s="46">
        <v>47.9</v>
      </c>
      <c r="AB75" s="46" t="s">
        <v>160</v>
      </c>
      <c r="AC75" s="46" t="s">
        <v>160</v>
      </c>
    </row>
    <row r="76" spans="1:29">
      <c r="A76" s="62">
        <f t="shared" ca="1" si="14"/>
        <v>66</v>
      </c>
      <c r="B76" s="62" t="str">
        <f t="shared" ca="1" si="15"/>
        <v>E</v>
      </c>
      <c r="C76" s="62" t="str">
        <f t="shared" ca="1" si="16"/>
        <v>BBB-</v>
      </c>
      <c r="D76" s="62">
        <f t="shared" ca="1" si="17"/>
        <v>12</v>
      </c>
      <c r="E76" s="63">
        <f t="shared" ca="1" si="18"/>
        <v>50.291666666666664</v>
      </c>
      <c r="F76" s="46" t="s">
        <v>427</v>
      </c>
      <c r="G76" s="46" t="s">
        <v>160</v>
      </c>
      <c r="H76" s="46" t="s">
        <v>428</v>
      </c>
      <c r="I76" s="46" t="s">
        <v>367</v>
      </c>
      <c r="J76" s="46" t="s">
        <v>160</v>
      </c>
      <c r="K76" s="46" t="s">
        <v>160</v>
      </c>
      <c r="L76" s="46" t="s">
        <v>160</v>
      </c>
      <c r="M76" s="46">
        <v>66.5</v>
      </c>
      <c r="N76" s="46">
        <v>64.900000000000006</v>
      </c>
      <c r="O76" s="46">
        <v>64.3</v>
      </c>
      <c r="P76" s="46">
        <v>61.8</v>
      </c>
      <c r="Q76" s="46">
        <v>52.5</v>
      </c>
      <c r="R76" s="46">
        <v>51.6</v>
      </c>
      <c r="S76" s="46">
        <v>50.8</v>
      </c>
      <c r="T76" s="46">
        <v>49.7</v>
      </c>
      <c r="U76" s="46">
        <v>50</v>
      </c>
      <c r="V76" s="46">
        <v>49.3</v>
      </c>
      <c r="W76" s="46">
        <v>49.1</v>
      </c>
      <c r="X76" s="46">
        <v>49.5</v>
      </c>
      <c r="Y76" s="46">
        <v>45.6</v>
      </c>
      <c r="Z76" s="46">
        <v>46.8</v>
      </c>
      <c r="AA76" s="46">
        <v>46.8</v>
      </c>
      <c r="AB76" s="46" t="s">
        <v>160</v>
      </c>
      <c r="AC76" s="46" t="s">
        <v>160</v>
      </c>
    </row>
    <row r="77" spans="1:29">
      <c r="A77" s="62">
        <f t="shared" ca="1" si="14"/>
        <v>67</v>
      </c>
      <c r="B77" s="62" t="str">
        <f t="shared" ca="1" si="15"/>
        <v>E</v>
      </c>
      <c r="C77" s="62" t="str">
        <f t="shared" ca="1" si="16"/>
        <v>A-</v>
      </c>
      <c r="D77" s="62">
        <f t="shared" ca="1" si="17"/>
        <v>15</v>
      </c>
      <c r="E77" s="63">
        <f t="shared" ca="1" si="18"/>
        <v>50.19166666666667</v>
      </c>
      <c r="F77" s="46" t="s">
        <v>429</v>
      </c>
      <c r="G77" s="46" t="s">
        <v>160</v>
      </c>
      <c r="H77" s="46" t="s">
        <v>430</v>
      </c>
      <c r="I77" s="46" t="s">
        <v>360</v>
      </c>
      <c r="J77" s="46">
        <v>48.6</v>
      </c>
      <c r="K77" s="46">
        <v>49.3</v>
      </c>
      <c r="L77" s="46">
        <v>48.3</v>
      </c>
      <c r="M77" s="46">
        <v>63.6</v>
      </c>
      <c r="N77" s="46">
        <v>61.4</v>
      </c>
      <c r="O77" s="46">
        <v>59.4</v>
      </c>
      <c r="P77" s="46">
        <v>57.7</v>
      </c>
      <c r="Q77" s="46">
        <v>54.8</v>
      </c>
      <c r="R77" s="46">
        <v>54.2</v>
      </c>
      <c r="S77" s="46">
        <v>53.2</v>
      </c>
      <c r="T77" s="46">
        <v>53</v>
      </c>
      <c r="U77" s="46">
        <v>50.7</v>
      </c>
      <c r="V77" s="46">
        <v>50.6</v>
      </c>
      <c r="W77" s="46">
        <v>48.2</v>
      </c>
      <c r="X77" s="46">
        <v>44.3</v>
      </c>
      <c r="Y77" s="46">
        <v>44.7</v>
      </c>
      <c r="Z77" s="46">
        <v>44.2</v>
      </c>
      <c r="AA77" s="46">
        <v>46.7</v>
      </c>
      <c r="AB77" s="46" t="s">
        <v>160</v>
      </c>
      <c r="AC77" s="46" t="s">
        <v>160</v>
      </c>
    </row>
    <row r="78" spans="1:29">
      <c r="A78" s="62">
        <f t="shared" ca="1" si="14"/>
        <v>68</v>
      </c>
      <c r="B78" s="62" t="str">
        <f t="shared" ca="1" si="15"/>
        <v>E</v>
      </c>
      <c r="C78" s="62" t="str">
        <f t="shared" ca="1" si="16"/>
        <v>A-</v>
      </c>
      <c r="D78" s="62">
        <f t="shared" ca="1" si="17"/>
        <v>15</v>
      </c>
      <c r="E78" s="63">
        <f t="shared" ca="1" si="18"/>
        <v>47.891666666666673</v>
      </c>
      <c r="F78" s="46" t="s">
        <v>431</v>
      </c>
      <c r="G78" s="46" t="s">
        <v>160</v>
      </c>
      <c r="H78" s="46" t="s">
        <v>432</v>
      </c>
      <c r="I78" s="46" t="s">
        <v>360</v>
      </c>
      <c r="J78" s="46">
        <v>47.5</v>
      </c>
      <c r="K78" s="46">
        <v>49.2</v>
      </c>
      <c r="L78" s="46">
        <v>48</v>
      </c>
      <c r="M78" s="46">
        <v>47.1</v>
      </c>
      <c r="N78" s="46">
        <v>49.5</v>
      </c>
      <c r="O78" s="46">
        <v>49.5</v>
      </c>
      <c r="P78" s="46">
        <v>47.3</v>
      </c>
      <c r="Q78" s="46">
        <v>49.2</v>
      </c>
      <c r="R78" s="46">
        <v>49.2</v>
      </c>
      <c r="S78" s="46">
        <v>49</v>
      </c>
      <c r="T78" s="46">
        <v>47.8</v>
      </c>
      <c r="U78" s="46">
        <v>48</v>
      </c>
      <c r="V78" s="46">
        <v>47</v>
      </c>
      <c r="W78" s="46">
        <v>47</v>
      </c>
      <c r="X78" s="46">
        <v>45.9</v>
      </c>
      <c r="Y78" s="46">
        <v>46.6</v>
      </c>
      <c r="Z78" s="46">
        <v>48.5</v>
      </c>
      <c r="AA78" s="46">
        <v>49.2</v>
      </c>
      <c r="AB78" s="46" t="s">
        <v>160</v>
      </c>
      <c r="AC78" s="46" t="s">
        <v>160</v>
      </c>
    </row>
    <row r="79" spans="1:29">
      <c r="A79" s="62">
        <f t="shared" ca="1" si="14"/>
        <v>69</v>
      </c>
      <c r="B79" s="62" t="str">
        <f t="shared" ca="1" si="15"/>
        <v>G</v>
      </c>
      <c r="C79" s="62" t="str">
        <f t="shared" ca="1" si="16"/>
        <v>A</v>
      </c>
      <c r="D79" s="62">
        <f t="shared" ca="1" si="17"/>
        <v>16</v>
      </c>
      <c r="E79" s="63">
        <f t="shared" ca="1" si="18"/>
        <v>42.208333333333336</v>
      </c>
      <c r="F79" s="46" t="s">
        <v>129</v>
      </c>
      <c r="G79" s="46" t="s">
        <v>229</v>
      </c>
      <c r="H79" s="46" t="s">
        <v>230</v>
      </c>
      <c r="I79" s="46" t="s">
        <v>433</v>
      </c>
      <c r="J79" s="46" t="s">
        <v>160</v>
      </c>
      <c r="K79" s="46" t="s">
        <v>160</v>
      </c>
      <c r="L79" s="46" t="s">
        <v>160</v>
      </c>
      <c r="M79" s="46">
        <v>54.5</v>
      </c>
      <c r="N79" s="46">
        <v>37.700000000000003</v>
      </c>
      <c r="O79" s="46">
        <v>38</v>
      </c>
      <c r="P79" s="46">
        <v>39.700000000000003</v>
      </c>
      <c r="Q79" s="46">
        <v>43.8</v>
      </c>
      <c r="R79" s="46">
        <v>40.799999999999997</v>
      </c>
      <c r="S79" s="46">
        <v>41.2</v>
      </c>
      <c r="T79" s="46">
        <v>43</v>
      </c>
      <c r="U79" s="46">
        <v>43.5</v>
      </c>
      <c r="V79" s="46">
        <v>41.9</v>
      </c>
      <c r="W79" s="46">
        <v>41.9</v>
      </c>
      <c r="X79" s="46">
        <v>42.8</v>
      </c>
      <c r="Y79" s="46">
        <v>43.3</v>
      </c>
      <c r="Z79" s="46">
        <v>42</v>
      </c>
      <c r="AA79" s="46">
        <v>42.6</v>
      </c>
      <c r="AB79" s="46" t="s">
        <v>160</v>
      </c>
      <c r="AC79" s="46" t="s">
        <v>160</v>
      </c>
    </row>
    <row r="80" spans="1:29">
      <c r="A80" s="62">
        <f t="shared" ca="1" si="14"/>
        <v>70</v>
      </c>
      <c r="B80" s="62" t="str">
        <f t="shared" ca="1" si="15"/>
        <v>E</v>
      </c>
      <c r="C80" s="62" t="str">
        <f t="shared" ca="1" si="16"/>
        <v>A-</v>
      </c>
      <c r="D80" s="62">
        <f t="shared" ca="1" si="17"/>
        <v>15</v>
      </c>
      <c r="E80" s="63">
        <f t="shared" ca="1" si="18"/>
        <v>58.816666666666663</v>
      </c>
      <c r="F80" s="46" t="s">
        <v>434</v>
      </c>
      <c r="G80" s="46" t="s">
        <v>160</v>
      </c>
      <c r="H80" s="46" t="s">
        <v>435</v>
      </c>
      <c r="I80" s="46" t="s">
        <v>367</v>
      </c>
      <c r="J80" s="46">
        <v>60.7</v>
      </c>
      <c r="K80" s="46">
        <v>63.8</v>
      </c>
      <c r="L80" s="46">
        <v>61.1</v>
      </c>
      <c r="M80" s="46" t="s">
        <v>160</v>
      </c>
      <c r="N80" s="46">
        <v>56.9</v>
      </c>
      <c r="O80" s="46">
        <v>56.6</v>
      </c>
      <c r="P80" s="46">
        <v>56.8</v>
      </c>
      <c r="Q80" s="46">
        <v>58.9</v>
      </c>
      <c r="R80" s="46">
        <v>61.2</v>
      </c>
      <c r="S80" s="46">
        <v>61.3</v>
      </c>
      <c r="T80" s="46">
        <v>60.5</v>
      </c>
      <c r="U80" s="46">
        <v>60.2</v>
      </c>
      <c r="V80" s="46">
        <v>58.9</v>
      </c>
      <c r="W80" s="46">
        <v>57.8</v>
      </c>
      <c r="X80" s="46">
        <v>57.3</v>
      </c>
      <c r="Y80" s="46">
        <v>58</v>
      </c>
      <c r="Z80" s="46">
        <v>57.5</v>
      </c>
      <c r="AA80" s="46">
        <v>57.4</v>
      </c>
      <c r="AB80" s="46" t="s">
        <v>160</v>
      </c>
      <c r="AC80" s="46" t="s">
        <v>160</v>
      </c>
    </row>
    <row r="81" spans="1:29">
      <c r="A81" s="62">
        <f t="shared" ca="1" si="14"/>
        <v>71</v>
      </c>
      <c r="B81" s="62" t="str">
        <f t="shared" ca="1" si="15"/>
        <v>E</v>
      </c>
      <c r="C81" s="62" t="str">
        <f t="shared" ca="1" si="16"/>
        <v>BBB</v>
      </c>
      <c r="D81" s="62">
        <f t="shared" ca="1" si="17"/>
        <v>13</v>
      </c>
      <c r="E81" s="63" t="str">
        <f t="shared" ca="1" si="18"/>
        <v>N/A</v>
      </c>
      <c r="F81" s="46" t="s">
        <v>436</v>
      </c>
      <c r="G81" s="46" t="s">
        <v>160</v>
      </c>
      <c r="H81" s="46" t="s">
        <v>437</v>
      </c>
      <c r="I81" s="46" t="s">
        <v>360</v>
      </c>
      <c r="J81" s="46" t="s">
        <v>160</v>
      </c>
      <c r="K81" s="46" t="s">
        <v>160</v>
      </c>
      <c r="L81" s="46" t="s">
        <v>160</v>
      </c>
      <c r="M81" s="46" t="s">
        <v>160</v>
      </c>
      <c r="N81" s="46" t="s">
        <v>160</v>
      </c>
      <c r="O81" s="46" t="s">
        <v>160</v>
      </c>
      <c r="P81" s="46" t="s">
        <v>160</v>
      </c>
      <c r="Q81" s="46" t="s">
        <v>160</v>
      </c>
      <c r="R81" s="46" t="s">
        <v>160</v>
      </c>
      <c r="S81" s="46" t="s">
        <v>160</v>
      </c>
      <c r="T81" s="46" t="s">
        <v>160</v>
      </c>
      <c r="U81" s="46" t="s">
        <v>160</v>
      </c>
      <c r="V81" s="46" t="s">
        <v>160</v>
      </c>
      <c r="W81" s="46" t="s">
        <v>160</v>
      </c>
      <c r="X81" s="46" t="s">
        <v>160</v>
      </c>
      <c r="Y81" s="46" t="s">
        <v>160</v>
      </c>
      <c r="Z81" s="46" t="s">
        <v>160</v>
      </c>
      <c r="AA81" s="46" t="s">
        <v>160</v>
      </c>
      <c r="AB81" s="46" t="s">
        <v>160</v>
      </c>
      <c r="AC81" s="46" t="s">
        <v>160</v>
      </c>
    </row>
    <row r="82" spans="1:29">
      <c r="A82" s="62">
        <f t="shared" ca="1" si="14"/>
        <v>72</v>
      </c>
      <c r="B82" s="62" t="str">
        <f t="shared" ca="1" si="15"/>
        <v>E</v>
      </c>
      <c r="C82" s="62" t="str">
        <f t="shared" ca="1" si="16"/>
        <v>A-</v>
      </c>
      <c r="D82" s="62">
        <f t="shared" ca="1" si="17"/>
        <v>15</v>
      </c>
      <c r="E82" s="63">
        <f t="shared" ca="1" si="18"/>
        <v>56.68333333333333</v>
      </c>
      <c r="F82" s="46" t="s">
        <v>438</v>
      </c>
      <c r="G82" s="46" t="s">
        <v>160</v>
      </c>
      <c r="H82" s="46" t="s">
        <v>439</v>
      </c>
      <c r="I82" s="46" t="s">
        <v>440</v>
      </c>
      <c r="J82" s="46">
        <v>57.4</v>
      </c>
      <c r="K82" s="46">
        <v>57.5</v>
      </c>
      <c r="L82" s="46">
        <v>57.3</v>
      </c>
      <c r="M82" s="46">
        <v>56</v>
      </c>
      <c r="N82" s="46">
        <v>55.9</v>
      </c>
      <c r="O82" s="46">
        <v>55.9</v>
      </c>
      <c r="P82" s="46">
        <v>53.3</v>
      </c>
      <c r="Q82" s="46">
        <v>56.5</v>
      </c>
      <c r="R82" s="46">
        <v>56.8</v>
      </c>
      <c r="S82" s="46">
        <v>57</v>
      </c>
      <c r="T82" s="46">
        <v>56.2</v>
      </c>
      <c r="U82" s="46">
        <v>57.2</v>
      </c>
      <c r="V82" s="46">
        <v>57.8</v>
      </c>
      <c r="W82" s="46">
        <v>58.5</v>
      </c>
      <c r="X82" s="46">
        <v>57.1</v>
      </c>
      <c r="Y82" s="46">
        <v>57.2</v>
      </c>
      <c r="Z82" s="46">
        <v>56.3</v>
      </c>
      <c r="AA82" s="46">
        <v>56.3</v>
      </c>
      <c r="AB82" s="46" t="s">
        <v>160</v>
      </c>
      <c r="AC82" s="46" t="s">
        <v>160</v>
      </c>
    </row>
    <row r="83" spans="1:29">
      <c r="A83" s="62">
        <f t="shared" ca="1" si="14"/>
        <v>73</v>
      </c>
      <c r="B83" s="62" t="str">
        <f t="shared" ca="1" si="15"/>
        <v>E</v>
      </c>
      <c r="C83" s="62" t="str">
        <f t="shared" ca="1" si="16"/>
        <v>BBB</v>
      </c>
      <c r="D83" s="62">
        <f t="shared" ca="1" si="17"/>
        <v>13</v>
      </c>
      <c r="E83" s="63">
        <f t="shared" ca="1" si="18"/>
        <v>47.483333333333341</v>
      </c>
      <c r="F83" s="46" t="s">
        <v>441</v>
      </c>
      <c r="G83" s="46" t="s">
        <v>160</v>
      </c>
      <c r="H83" s="46" t="s">
        <v>442</v>
      </c>
      <c r="I83" s="46" t="s">
        <v>443</v>
      </c>
      <c r="J83" s="46">
        <v>45.4</v>
      </c>
      <c r="K83" s="46">
        <v>47.9</v>
      </c>
      <c r="L83" s="46">
        <v>47.1</v>
      </c>
      <c r="M83" s="46">
        <v>45.9</v>
      </c>
      <c r="N83" s="46">
        <v>46.1</v>
      </c>
      <c r="O83" s="46">
        <v>46.1</v>
      </c>
      <c r="P83" s="46">
        <v>46.3</v>
      </c>
      <c r="Q83" s="46">
        <v>48.7</v>
      </c>
      <c r="R83" s="46">
        <v>48.7</v>
      </c>
      <c r="S83" s="46">
        <v>48.5</v>
      </c>
      <c r="T83" s="46">
        <v>48.3</v>
      </c>
      <c r="U83" s="46">
        <v>46.6</v>
      </c>
      <c r="V83" s="46">
        <v>48.5</v>
      </c>
      <c r="W83" s="46">
        <v>46.7</v>
      </c>
      <c r="X83" s="46">
        <v>46.1</v>
      </c>
      <c r="Y83" s="46">
        <v>47.3</v>
      </c>
      <c r="Z83" s="46">
        <v>47.2</v>
      </c>
      <c r="AA83" s="46">
        <v>46.9</v>
      </c>
      <c r="AB83" s="46" t="s">
        <v>160</v>
      </c>
      <c r="AC83" s="46" t="s">
        <v>160</v>
      </c>
    </row>
    <row r="84" spans="1:29">
      <c r="A84" s="62">
        <f t="shared" ca="1" si="14"/>
        <v>74</v>
      </c>
      <c r="B84" s="62" t="str">
        <f t="shared" ca="1" si="15"/>
        <v>E</v>
      </c>
      <c r="C84" s="62" t="str">
        <f t="shared" ca="1" si="16"/>
        <v>BBB-</v>
      </c>
      <c r="D84" s="62">
        <f t="shared" ca="1" si="17"/>
        <v>12</v>
      </c>
      <c r="E84" s="63">
        <f t="shared" ca="1" si="18"/>
        <v>56.066666666666663</v>
      </c>
      <c r="F84" s="46" t="s">
        <v>444</v>
      </c>
      <c r="G84" s="46" t="s">
        <v>160</v>
      </c>
      <c r="H84" s="46" t="s">
        <v>445</v>
      </c>
      <c r="I84" s="46" t="s">
        <v>443</v>
      </c>
      <c r="J84" s="46">
        <v>58</v>
      </c>
      <c r="K84" s="46">
        <v>56.3</v>
      </c>
      <c r="L84" s="46">
        <v>56.9</v>
      </c>
      <c r="M84" s="46">
        <v>57.6</v>
      </c>
      <c r="N84" s="46">
        <v>57.1</v>
      </c>
      <c r="O84" s="46">
        <v>56.9</v>
      </c>
      <c r="P84" s="46">
        <v>56.5</v>
      </c>
      <c r="Q84" s="46">
        <v>57.9</v>
      </c>
      <c r="R84" s="46">
        <v>57.6</v>
      </c>
      <c r="S84" s="46">
        <v>57</v>
      </c>
      <c r="T84" s="46">
        <v>56.6</v>
      </c>
      <c r="U84" s="46">
        <v>58.4</v>
      </c>
      <c r="V84" s="46">
        <v>57.8</v>
      </c>
      <c r="W84" s="46">
        <v>57.3</v>
      </c>
      <c r="X84" s="46">
        <v>56.8</v>
      </c>
      <c r="Y84" s="46">
        <v>52.7</v>
      </c>
      <c r="Z84" s="46">
        <v>52.4</v>
      </c>
      <c r="AA84" s="46">
        <v>51.8</v>
      </c>
      <c r="AB84" s="46" t="s">
        <v>160</v>
      </c>
      <c r="AC84" s="46" t="s">
        <v>160</v>
      </c>
    </row>
    <row r="85" spans="1:29">
      <c r="A85" s="62">
        <f t="shared" ca="1" si="14"/>
        <v>75</v>
      </c>
      <c r="B85" s="62" t="str">
        <f t="shared" ca="1" si="15"/>
        <v>E</v>
      </c>
      <c r="C85" s="62" t="str">
        <f t="shared" ca="1" si="16"/>
        <v>NR</v>
      </c>
      <c r="D85" s="62" t="str">
        <f t="shared" ca="1" si="17"/>
        <v/>
      </c>
      <c r="E85" s="63" t="str">
        <f t="shared" ca="1" si="18"/>
        <v>N/A</v>
      </c>
      <c r="F85" s="46" t="s">
        <v>446</v>
      </c>
      <c r="G85" s="46" t="s">
        <v>160</v>
      </c>
      <c r="H85" s="46" t="s">
        <v>447</v>
      </c>
      <c r="I85" s="46" t="s">
        <v>448</v>
      </c>
      <c r="J85" s="46" t="s">
        <v>160</v>
      </c>
      <c r="K85" s="46" t="s">
        <v>160</v>
      </c>
      <c r="L85" s="46" t="s">
        <v>160</v>
      </c>
      <c r="M85" s="46" t="s">
        <v>160</v>
      </c>
      <c r="N85" s="46" t="s">
        <v>160</v>
      </c>
      <c r="O85" s="46" t="s">
        <v>160</v>
      </c>
      <c r="P85" s="46" t="s">
        <v>160</v>
      </c>
      <c r="Q85" s="46" t="s">
        <v>160</v>
      </c>
      <c r="R85" s="46" t="s">
        <v>160</v>
      </c>
      <c r="S85" s="46" t="s">
        <v>160</v>
      </c>
      <c r="T85" s="46" t="s">
        <v>160</v>
      </c>
      <c r="U85" s="46" t="s">
        <v>160</v>
      </c>
      <c r="V85" s="46" t="s">
        <v>160</v>
      </c>
      <c r="W85" s="46" t="s">
        <v>160</v>
      </c>
      <c r="X85" s="46" t="s">
        <v>160</v>
      </c>
      <c r="Y85" s="46" t="s">
        <v>160</v>
      </c>
      <c r="Z85" s="46" t="s">
        <v>160</v>
      </c>
      <c r="AA85" s="46" t="s">
        <v>160</v>
      </c>
      <c r="AB85" s="46" t="s">
        <v>160</v>
      </c>
      <c r="AC85" s="46" t="s">
        <v>160</v>
      </c>
    </row>
    <row r="86" spans="1:29">
      <c r="A86" s="62">
        <f t="shared" ca="1" si="14"/>
        <v>76</v>
      </c>
      <c r="B86" s="62" t="str">
        <f t="shared" ca="1" si="15"/>
        <v>E</v>
      </c>
      <c r="C86" s="62" t="str">
        <f t="shared" ca="1" si="16"/>
        <v>A-</v>
      </c>
      <c r="D86" s="62">
        <f t="shared" ca="1" si="17"/>
        <v>15</v>
      </c>
      <c r="E86" s="63">
        <f t="shared" ca="1" si="18"/>
        <v>56.358333333333341</v>
      </c>
      <c r="F86" s="46" t="s">
        <v>449</v>
      </c>
      <c r="G86" s="46" t="s">
        <v>160</v>
      </c>
      <c r="H86" s="46" t="s">
        <v>450</v>
      </c>
      <c r="I86" s="46" t="s">
        <v>451</v>
      </c>
      <c r="J86" s="46">
        <v>57.9</v>
      </c>
      <c r="K86" s="46">
        <v>52.6</v>
      </c>
      <c r="L86" s="46">
        <v>55.5</v>
      </c>
      <c r="M86" s="46">
        <v>58.5</v>
      </c>
      <c r="N86" s="46">
        <v>56.9</v>
      </c>
      <c r="O86" s="46">
        <v>53.4</v>
      </c>
      <c r="P86" s="46">
        <v>55.2</v>
      </c>
      <c r="Q86" s="46">
        <v>57.3</v>
      </c>
      <c r="R86" s="46">
        <v>57.4</v>
      </c>
      <c r="S86" s="46">
        <v>54</v>
      </c>
      <c r="T86" s="46">
        <v>56</v>
      </c>
      <c r="U86" s="46">
        <v>57.1</v>
      </c>
      <c r="V86" s="46">
        <v>57.6</v>
      </c>
      <c r="W86" s="46">
        <v>56.1</v>
      </c>
      <c r="X86" s="46">
        <v>57.7</v>
      </c>
      <c r="Y86" s="46">
        <v>56.3</v>
      </c>
      <c r="Z86" s="46">
        <v>54.5</v>
      </c>
      <c r="AA86" s="46">
        <v>57.1</v>
      </c>
      <c r="AB86" s="46" t="s">
        <v>160</v>
      </c>
      <c r="AC86" s="46" t="s">
        <v>160</v>
      </c>
    </row>
    <row r="87" spans="1:29">
      <c r="A87" s="62">
        <f t="shared" ca="1" si="14"/>
        <v>77</v>
      </c>
      <c r="B87" s="62" t="str">
        <f t="shared" ca="1" si="15"/>
        <v>E</v>
      </c>
      <c r="C87" s="62" t="str">
        <f t="shared" ca="1" si="16"/>
        <v>BBB</v>
      </c>
      <c r="D87" s="62">
        <f t="shared" ca="1" si="17"/>
        <v>13</v>
      </c>
      <c r="E87" s="63">
        <f t="shared" ca="1" si="18"/>
        <v>56.266666666666659</v>
      </c>
      <c r="F87" s="46" t="s">
        <v>112</v>
      </c>
      <c r="G87" s="46" t="s">
        <v>240</v>
      </c>
      <c r="H87" s="46" t="s">
        <v>241</v>
      </c>
      <c r="I87" s="46" t="s">
        <v>424</v>
      </c>
      <c r="J87" s="46">
        <v>54.6</v>
      </c>
      <c r="K87" s="46">
        <v>54.8</v>
      </c>
      <c r="L87" s="46">
        <v>55</v>
      </c>
      <c r="M87" s="46">
        <v>55.2</v>
      </c>
      <c r="N87" s="46">
        <v>55.2</v>
      </c>
      <c r="O87" s="46">
        <v>56.9</v>
      </c>
      <c r="P87" s="46">
        <v>58.6</v>
      </c>
      <c r="Q87" s="46">
        <v>59.8</v>
      </c>
      <c r="R87" s="46">
        <v>60</v>
      </c>
      <c r="S87" s="46">
        <v>54.1</v>
      </c>
      <c r="T87" s="46">
        <v>54.2</v>
      </c>
      <c r="U87" s="46">
        <v>54.8</v>
      </c>
      <c r="V87" s="46">
        <v>54.9</v>
      </c>
      <c r="W87" s="46">
        <v>55</v>
      </c>
      <c r="X87" s="46">
        <v>55.1</v>
      </c>
      <c r="Y87" s="46">
        <v>56.8</v>
      </c>
      <c r="Z87" s="46">
        <v>55.9</v>
      </c>
      <c r="AA87" s="46">
        <v>56</v>
      </c>
      <c r="AB87" s="46" t="s">
        <v>160</v>
      </c>
      <c r="AC87" s="46" t="s">
        <v>160</v>
      </c>
    </row>
    <row r="88" spans="1:29">
      <c r="A88" s="62">
        <f t="shared" ca="1" si="14"/>
        <v>78</v>
      </c>
      <c r="B88" s="62" t="str">
        <f t="shared" ca="1" si="15"/>
        <v>E</v>
      </c>
      <c r="C88" s="62" t="str">
        <f t="shared" ca="1" si="16"/>
        <v>BBB+</v>
      </c>
      <c r="D88" s="62">
        <f t="shared" ca="1" si="17"/>
        <v>14</v>
      </c>
      <c r="E88" s="63">
        <f t="shared" ca="1" si="18"/>
        <v>51.458333333333336</v>
      </c>
      <c r="F88" s="46" t="s">
        <v>452</v>
      </c>
      <c r="G88" s="46" t="s">
        <v>160</v>
      </c>
      <c r="H88" s="46" t="s">
        <v>453</v>
      </c>
      <c r="I88" s="46" t="s">
        <v>443</v>
      </c>
      <c r="J88" s="46">
        <v>52.4</v>
      </c>
      <c r="K88" s="46">
        <v>52.7</v>
      </c>
      <c r="L88" s="46">
        <v>52.8</v>
      </c>
      <c r="M88" s="46">
        <v>53</v>
      </c>
      <c r="N88" s="46">
        <v>53.7</v>
      </c>
      <c r="O88" s="46">
        <v>52.3</v>
      </c>
      <c r="P88" s="46">
        <v>51.3</v>
      </c>
      <c r="Q88" s="46">
        <v>52.9</v>
      </c>
      <c r="R88" s="46">
        <v>51.2</v>
      </c>
      <c r="S88" s="46">
        <v>52</v>
      </c>
      <c r="T88" s="46">
        <v>52.7</v>
      </c>
      <c r="U88" s="46">
        <v>52.3</v>
      </c>
      <c r="V88" s="46">
        <v>52.9</v>
      </c>
      <c r="W88" s="46">
        <v>49.6</v>
      </c>
      <c r="X88" s="46">
        <v>49.5</v>
      </c>
      <c r="Y88" s="46">
        <v>51.2</v>
      </c>
      <c r="Z88" s="46">
        <v>52.1</v>
      </c>
      <c r="AA88" s="46">
        <v>49.8</v>
      </c>
      <c r="AB88" s="46" t="s">
        <v>160</v>
      </c>
      <c r="AC88" s="46" t="s">
        <v>160</v>
      </c>
    </row>
    <row r="89" spans="1:29">
      <c r="A89" s="62">
        <f t="shared" ca="1" si="14"/>
        <v>79</v>
      </c>
      <c r="B89" s="62" t="str">
        <f t="shared" ca="1" si="15"/>
        <v>E</v>
      </c>
      <c r="C89" s="62" t="str">
        <f t="shared" ca="1" si="16"/>
        <v>A-</v>
      </c>
      <c r="D89" s="62">
        <f t="shared" ca="1" si="17"/>
        <v>15</v>
      </c>
      <c r="E89" s="63">
        <f t="shared" ca="1" si="18"/>
        <v>62.066666666666663</v>
      </c>
      <c r="F89" s="46" t="s">
        <v>454</v>
      </c>
      <c r="G89" s="46" t="s">
        <v>160</v>
      </c>
      <c r="H89" s="46" t="s">
        <v>455</v>
      </c>
      <c r="I89" s="46" t="s">
        <v>443</v>
      </c>
      <c r="J89" s="46">
        <v>63.5</v>
      </c>
      <c r="K89" s="46">
        <v>63.3</v>
      </c>
      <c r="L89" s="46">
        <v>62.5</v>
      </c>
      <c r="M89" s="46">
        <v>61.3</v>
      </c>
      <c r="N89" s="46">
        <v>62.3</v>
      </c>
      <c r="O89" s="46">
        <v>61.9</v>
      </c>
      <c r="P89" s="46">
        <v>61</v>
      </c>
      <c r="Q89" s="46">
        <v>63.4</v>
      </c>
      <c r="R89" s="46">
        <v>62.3</v>
      </c>
      <c r="S89" s="46">
        <v>62.1</v>
      </c>
      <c r="T89" s="46">
        <v>60.9</v>
      </c>
      <c r="U89" s="46">
        <v>60.5</v>
      </c>
      <c r="V89" s="46">
        <v>59.9</v>
      </c>
      <c r="W89" s="46">
        <v>61.5</v>
      </c>
      <c r="X89" s="46">
        <v>62.2</v>
      </c>
      <c r="Y89" s="46">
        <v>63.5</v>
      </c>
      <c r="Z89" s="46">
        <v>63.9</v>
      </c>
      <c r="AA89" s="46">
        <v>63.6</v>
      </c>
      <c r="AB89" s="46" t="s">
        <v>160</v>
      </c>
      <c r="AC89" s="46" t="s">
        <v>160</v>
      </c>
    </row>
    <row r="90" spans="1:29">
      <c r="A90" s="62">
        <f t="shared" ca="1" si="14"/>
        <v>80</v>
      </c>
      <c r="B90" s="62" t="str">
        <f t="shared" ca="1" si="15"/>
        <v>E</v>
      </c>
      <c r="C90" s="62" t="str">
        <f t="shared" ca="1" si="16"/>
        <v>A-</v>
      </c>
      <c r="D90" s="62">
        <f t="shared" ca="1" si="17"/>
        <v>15</v>
      </c>
      <c r="E90" s="63">
        <f t="shared" ca="1" si="18"/>
        <v>48.766666666666673</v>
      </c>
      <c r="F90" s="46" t="s">
        <v>456</v>
      </c>
      <c r="G90" s="46" t="s">
        <v>160</v>
      </c>
      <c r="H90" s="46" t="s">
        <v>457</v>
      </c>
      <c r="I90" s="46" t="s">
        <v>440</v>
      </c>
      <c r="J90" s="46">
        <v>48.8</v>
      </c>
      <c r="K90" s="46">
        <v>49.3</v>
      </c>
      <c r="L90" s="46">
        <v>48.4</v>
      </c>
      <c r="M90" s="46">
        <v>49.4</v>
      </c>
      <c r="N90" s="46">
        <v>50.3</v>
      </c>
      <c r="O90" s="46">
        <v>51.1</v>
      </c>
      <c r="P90" s="46">
        <v>50.6</v>
      </c>
      <c r="Q90" s="46">
        <v>49.7</v>
      </c>
      <c r="R90" s="46">
        <v>48.3</v>
      </c>
      <c r="S90" s="46">
        <v>49</v>
      </c>
      <c r="T90" s="46">
        <v>48</v>
      </c>
      <c r="U90" s="46">
        <v>48.5</v>
      </c>
      <c r="V90" s="46">
        <v>47.5</v>
      </c>
      <c r="W90" s="46">
        <v>48.8</v>
      </c>
      <c r="X90" s="46">
        <v>48.3</v>
      </c>
      <c r="Y90" s="46">
        <v>49.4</v>
      </c>
      <c r="Z90" s="46">
        <v>48</v>
      </c>
      <c r="AA90" s="46">
        <v>49.1</v>
      </c>
      <c r="AB90" s="46" t="s">
        <v>160</v>
      </c>
      <c r="AC90" s="46" t="s">
        <v>160</v>
      </c>
    </row>
    <row r="91" spans="1:29">
      <c r="A91" s="62">
        <f t="shared" ca="1" si="14"/>
        <v>81</v>
      </c>
      <c r="B91" s="62" t="str">
        <f t="shared" ca="1" si="15"/>
        <v>E</v>
      </c>
      <c r="C91" s="62" t="str">
        <f t="shared" ca="1" si="16"/>
        <v>A</v>
      </c>
      <c r="D91" s="62">
        <f t="shared" ca="1" si="17"/>
        <v>16</v>
      </c>
      <c r="E91" s="63">
        <f t="shared" ca="1" si="18"/>
        <v>49.741666666666667</v>
      </c>
      <c r="F91" s="46" t="s">
        <v>458</v>
      </c>
      <c r="G91" s="46" t="s">
        <v>160</v>
      </c>
      <c r="H91" s="46" t="s">
        <v>459</v>
      </c>
      <c r="I91" s="46" t="s">
        <v>443</v>
      </c>
      <c r="J91" s="46">
        <v>52.6</v>
      </c>
      <c r="K91" s="46">
        <v>52.7</v>
      </c>
      <c r="L91" s="46">
        <v>53.3</v>
      </c>
      <c r="M91" s="46">
        <v>50.6</v>
      </c>
      <c r="N91" s="46">
        <v>49.1</v>
      </c>
      <c r="O91" s="46">
        <v>50.2</v>
      </c>
      <c r="P91" s="46">
        <v>50.1</v>
      </c>
      <c r="Q91" s="46">
        <v>50.3</v>
      </c>
      <c r="R91" s="46">
        <v>50</v>
      </c>
      <c r="S91" s="46">
        <v>51</v>
      </c>
      <c r="T91" s="46">
        <v>51</v>
      </c>
      <c r="U91" s="46">
        <v>52.7</v>
      </c>
      <c r="V91" s="46">
        <v>50.7</v>
      </c>
      <c r="W91" s="46">
        <v>48.4</v>
      </c>
      <c r="X91" s="46">
        <v>47.5</v>
      </c>
      <c r="Y91" s="46">
        <v>48.6</v>
      </c>
      <c r="Z91" s="46">
        <v>48</v>
      </c>
      <c r="AA91" s="46">
        <v>48.6</v>
      </c>
      <c r="AB91" s="46" t="s">
        <v>160</v>
      </c>
      <c r="AC91" s="46" t="s">
        <v>160</v>
      </c>
    </row>
    <row r="92" spans="1:29">
      <c r="A92" s="62">
        <f t="shared" ca="1" si="14"/>
        <v>82</v>
      </c>
      <c r="B92" s="62" t="str">
        <f t="shared" ca="1" si="15"/>
        <v>E</v>
      </c>
      <c r="C92" s="62" t="str">
        <f t="shared" ca="1" si="16"/>
        <v>BBB+</v>
      </c>
      <c r="D92" s="62">
        <f t="shared" ca="1" si="17"/>
        <v>14</v>
      </c>
      <c r="E92" s="63">
        <f t="shared" ca="1" si="18"/>
        <v>56.975000000000001</v>
      </c>
      <c r="F92" s="46" t="s">
        <v>460</v>
      </c>
      <c r="G92" s="46" t="s">
        <v>160</v>
      </c>
      <c r="H92" s="46" t="s">
        <v>461</v>
      </c>
      <c r="I92" s="46" t="s">
        <v>440</v>
      </c>
      <c r="J92" s="46">
        <v>55.7</v>
      </c>
      <c r="K92" s="46">
        <v>54.7</v>
      </c>
      <c r="L92" s="46">
        <v>55.1</v>
      </c>
      <c r="M92" s="46">
        <v>57.5</v>
      </c>
      <c r="N92" s="46">
        <v>57.4</v>
      </c>
      <c r="O92" s="46">
        <v>57.1</v>
      </c>
      <c r="P92" s="46">
        <v>57.1</v>
      </c>
      <c r="Q92" s="46">
        <v>57.3</v>
      </c>
      <c r="R92" s="46">
        <v>57.3</v>
      </c>
      <c r="S92" s="46">
        <v>58.4</v>
      </c>
      <c r="T92" s="46">
        <v>58.2</v>
      </c>
      <c r="U92" s="46">
        <v>55.5</v>
      </c>
      <c r="V92" s="46">
        <v>57.7</v>
      </c>
      <c r="W92" s="46">
        <v>58.2</v>
      </c>
      <c r="X92" s="46">
        <v>56</v>
      </c>
      <c r="Y92" s="46">
        <v>56.6</v>
      </c>
      <c r="Z92" s="46">
        <v>55.8</v>
      </c>
      <c r="AA92" s="46">
        <v>55.6</v>
      </c>
      <c r="AB92" s="46" t="s">
        <v>160</v>
      </c>
      <c r="AC92" s="46" t="s">
        <v>160</v>
      </c>
    </row>
    <row r="93" spans="1:29">
      <c r="A93" s="62">
        <f t="shared" ca="1" si="14"/>
        <v>83</v>
      </c>
      <c r="B93" s="62" t="str">
        <f t="shared" ca="1" si="15"/>
        <v>E</v>
      </c>
      <c r="C93" s="62" t="str">
        <f t="shared" ca="1" si="16"/>
        <v>BBB+</v>
      </c>
      <c r="D93" s="62">
        <f t="shared" ca="1" si="17"/>
        <v>14</v>
      </c>
      <c r="E93" s="63">
        <f t="shared" ca="1" si="18"/>
        <v>39.619999999999997</v>
      </c>
      <c r="F93" s="46" t="s">
        <v>462</v>
      </c>
      <c r="G93" s="46" t="s">
        <v>160</v>
      </c>
      <c r="H93" s="46" t="s">
        <v>463</v>
      </c>
      <c r="I93" s="46" t="s">
        <v>451</v>
      </c>
      <c r="J93" s="46">
        <v>37.4</v>
      </c>
      <c r="K93" s="46">
        <v>37.6</v>
      </c>
      <c r="L93" s="46">
        <v>37.9</v>
      </c>
      <c r="M93" s="46">
        <v>36.799999999999997</v>
      </c>
      <c r="N93" s="46">
        <v>35.799999999999997</v>
      </c>
      <c r="O93" s="46">
        <v>36.1</v>
      </c>
      <c r="P93" s="46" t="s">
        <v>160</v>
      </c>
      <c r="Q93" s="46" t="s">
        <v>160</v>
      </c>
      <c r="R93" s="46">
        <v>35.6</v>
      </c>
      <c r="S93" s="46">
        <v>35.9</v>
      </c>
      <c r="T93" s="46">
        <v>37.200000000000003</v>
      </c>
      <c r="U93" s="46">
        <v>39.6</v>
      </c>
      <c r="V93" s="46">
        <v>36.9</v>
      </c>
      <c r="W93" s="46">
        <v>39.799999999999997</v>
      </c>
      <c r="X93" s="46">
        <v>41.5</v>
      </c>
      <c r="Y93" s="46">
        <v>43.2</v>
      </c>
      <c r="Z93" s="46">
        <v>40.6</v>
      </c>
      <c r="AA93" s="46">
        <v>45.9</v>
      </c>
      <c r="AB93" s="46" t="s">
        <v>160</v>
      </c>
      <c r="AC93" s="46" t="s">
        <v>160</v>
      </c>
    </row>
    <row r="94" spans="1:29">
      <c r="A94" s="62">
        <f t="shared" ca="1" si="14"/>
        <v>84</v>
      </c>
      <c r="B94" s="62" t="str">
        <f t="shared" ca="1" si="15"/>
        <v>E</v>
      </c>
      <c r="C94" s="62" t="str">
        <f t="shared" ca="1" si="16"/>
        <v>A-</v>
      </c>
      <c r="D94" s="62">
        <f t="shared" ca="1" si="17"/>
        <v>15</v>
      </c>
      <c r="E94" s="63">
        <f t="shared" ca="1" si="18"/>
        <v>54.708333333333336</v>
      </c>
      <c r="F94" s="46" t="s">
        <v>464</v>
      </c>
      <c r="G94" s="46" t="s">
        <v>160</v>
      </c>
      <c r="H94" s="46" t="s">
        <v>465</v>
      </c>
      <c r="I94" s="46" t="s">
        <v>466</v>
      </c>
      <c r="J94" s="46">
        <v>52.3</v>
      </c>
      <c r="K94" s="46">
        <v>52.4</v>
      </c>
      <c r="L94" s="46">
        <v>50.9</v>
      </c>
      <c r="M94" s="46">
        <v>53.2</v>
      </c>
      <c r="N94" s="46">
        <v>54.9</v>
      </c>
      <c r="O94" s="46">
        <v>55.2</v>
      </c>
      <c r="P94" s="46">
        <v>53.7</v>
      </c>
      <c r="Q94" s="46">
        <v>55.1</v>
      </c>
      <c r="R94" s="46">
        <v>56.7</v>
      </c>
      <c r="S94" s="46">
        <v>55.8</v>
      </c>
      <c r="T94" s="46">
        <v>55.1</v>
      </c>
      <c r="U94" s="46">
        <v>54.6</v>
      </c>
      <c r="V94" s="46">
        <v>54.3</v>
      </c>
      <c r="W94" s="46">
        <v>53.6</v>
      </c>
      <c r="X94" s="46">
        <v>52.6</v>
      </c>
      <c r="Y94" s="46">
        <v>53.8</v>
      </c>
      <c r="Z94" s="46">
        <v>55.9</v>
      </c>
      <c r="AA94" s="46">
        <v>55.3</v>
      </c>
      <c r="AB94" s="46" t="s">
        <v>160</v>
      </c>
      <c r="AC94" s="46" t="s">
        <v>160</v>
      </c>
    </row>
    <row r="95" spans="1:29">
      <c r="A95" s="62">
        <f t="shared" ca="1" si="14"/>
        <v>85</v>
      </c>
      <c r="B95" s="62" t="str">
        <f t="shared" ca="1" si="15"/>
        <v>E</v>
      </c>
      <c r="C95" s="62" t="str">
        <f t="shared" ca="1" si="16"/>
        <v>BBB+</v>
      </c>
      <c r="D95" s="62">
        <f t="shared" ca="1" si="17"/>
        <v>14</v>
      </c>
      <c r="E95" s="63">
        <f t="shared" ca="1" si="18"/>
        <v>50.05833333333333</v>
      </c>
      <c r="F95" s="46" t="s">
        <v>467</v>
      </c>
      <c r="G95" s="46" t="s">
        <v>160</v>
      </c>
      <c r="H95" s="46" t="s">
        <v>468</v>
      </c>
      <c r="I95" s="46" t="s">
        <v>443</v>
      </c>
      <c r="J95" s="46">
        <v>53.2</v>
      </c>
      <c r="K95" s="46">
        <v>54.4</v>
      </c>
      <c r="L95" s="46">
        <v>53.4</v>
      </c>
      <c r="M95" s="46">
        <v>51.7</v>
      </c>
      <c r="N95" s="46">
        <v>49</v>
      </c>
      <c r="O95" s="46">
        <v>49.8</v>
      </c>
      <c r="P95" s="46">
        <v>48.7</v>
      </c>
      <c r="Q95" s="46">
        <v>51</v>
      </c>
      <c r="R95" s="46">
        <v>50</v>
      </c>
      <c r="S95" s="46">
        <v>50.6</v>
      </c>
      <c r="T95" s="46">
        <v>50.3</v>
      </c>
      <c r="U95" s="46">
        <v>50.6</v>
      </c>
      <c r="V95" s="46">
        <v>50.3</v>
      </c>
      <c r="W95" s="46">
        <v>50.9</v>
      </c>
      <c r="X95" s="46">
        <v>50.4</v>
      </c>
      <c r="Y95" s="46">
        <v>49.2</v>
      </c>
      <c r="Z95" s="46">
        <v>49.1</v>
      </c>
      <c r="AA95" s="46">
        <v>49.6</v>
      </c>
      <c r="AB95" s="46" t="s">
        <v>160</v>
      </c>
      <c r="AC95" s="46" t="s">
        <v>160</v>
      </c>
    </row>
    <row r="96" spans="1:29">
      <c r="A96" s="62">
        <f t="shared" ca="1" si="14"/>
        <v>86</v>
      </c>
      <c r="B96" s="62" t="str">
        <f t="shared" ca="1" si="15"/>
        <v>E</v>
      </c>
      <c r="C96" s="62" t="str">
        <f t="shared" ca="1" si="16"/>
        <v>BBB+</v>
      </c>
      <c r="D96" s="62">
        <f t="shared" ca="1" si="17"/>
        <v>14</v>
      </c>
      <c r="E96" s="63">
        <f t="shared" ca="1" si="18"/>
        <v>52.363636363636367</v>
      </c>
      <c r="F96" s="46" t="s">
        <v>469</v>
      </c>
      <c r="G96" s="46" t="s">
        <v>160</v>
      </c>
      <c r="H96" s="46" t="s">
        <v>470</v>
      </c>
      <c r="I96" s="46" t="s">
        <v>451</v>
      </c>
      <c r="J96" s="46">
        <v>51.2</v>
      </c>
      <c r="K96" s="46">
        <v>52.1</v>
      </c>
      <c r="L96" s="46">
        <v>55.5</v>
      </c>
      <c r="M96" s="46">
        <v>48.9</v>
      </c>
      <c r="N96" s="46">
        <v>47</v>
      </c>
      <c r="O96" s="46">
        <v>47.8</v>
      </c>
      <c r="P96" s="46">
        <v>52.2</v>
      </c>
      <c r="Q96" s="46">
        <v>51.8</v>
      </c>
      <c r="R96" s="46">
        <v>47.8</v>
      </c>
      <c r="S96" s="46">
        <v>49.4</v>
      </c>
      <c r="T96" s="46">
        <v>54.5</v>
      </c>
      <c r="U96" s="46">
        <v>54.9</v>
      </c>
      <c r="V96" s="46">
        <v>50.2</v>
      </c>
      <c r="W96" s="46">
        <v>49.7</v>
      </c>
      <c r="X96" s="46">
        <v>55</v>
      </c>
      <c r="Y96" s="46">
        <v>57.1</v>
      </c>
      <c r="Z96" s="46">
        <v>53.4</v>
      </c>
      <c r="AA96" s="46" t="s">
        <v>160</v>
      </c>
      <c r="AB96" s="46" t="s">
        <v>160</v>
      </c>
      <c r="AC96" s="46" t="s">
        <v>160</v>
      </c>
    </row>
    <row r="97" spans="1:29">
      <c r="A97" s="62">
        <f t="shared" ca="1" si="14"/>
        <v>87</v>
      </c>
      <c r="B97" s="62" t="str">
        <f t="shared" ca="1" si="15"/>
        <v>E</v>
      </c>
      <c r="C97" s="62" t="str">
        <f t="shared" ca="1" si="16"/>
        <v>A-</v>
      </c>
      <c r="D97" s="62">
        <f t="shared" ca="1" si="17"/>
        <v>15</v>
      </c>
      <c r="E97" s="63">
        <f t="shared" ca="1" si="18"/>
        <v>55.279999999999994</v>
      </c>
      <c r="F97" s="46" t="s">
        <v>471</v>
      </c>
      <c r="G97" s="46" t="s">
        <v>160</v>
      </c>
      <c r="H97" s="46" t="s">
        <v>472</v>
      </c>
      <c r="I97" s="46" t="s">
        <v>473</v>
      </c>
      <c r="J97" s="46" t="s">
        <v>160</v>
      </c>
      <c r="K97" s="46" t="s">
        <v>160</v>
      </c>
      <c r="L97" s="46" t="s">
        <v>160</v>
      </c>
      <c r="M97" s="46">
        <v>53.9</v>
      </c>
      <c r="N97" s="46" t="s">
        <v>160</v>
      </c>
      <c r="O97" s="46" t="s">
        <v>160</v>
      </c>
      <c r="P97" s="46" t="s">
        <v>160</v>
      </c>
      <c r="Q97" s="46" t="s">
        <v>160</v>
      </c>
      <c r="R97" s="46">
        <v>56.9</v>
      </c>
      <c r="S97" s="46">
        <v>55.9</v>
      </c>
      <c r="T97" s="46">
        <v>56.3</v>
      </c>
      <c r="U97" s="46">
        <v>55</v>
      </c>
      <c r="V97" s="46">
        <v>53.3</v>
      </c>
      <c r="W97" s="46">
        <v>52.6</v>
      </c>
      <c r="X97" s="46">
        <v>53.8</v>
      </c>
      <c r="Y97" s="46">
        <v>57</v>
      </c>
      <c r="Z97" s="46">
        <v>57.4</v>
      </c>
      <c r="AA97" s="46">
        <v>54.6</v>
      </c>
      <c r="AB97" s="46" t="s">
        <v>160</v>
      </c>
      <c r="AC97" s="46" t="s">
        <v>160</v>
      </c>
    </row>
    <row r="98" spans="1:29">
      <c r="A98" s="62">
        <f t="shared" ca="1" si="14"/>
        <v>88</v>
      </c>
      <c r="B98" s="62" t="str">
        <f t="shared" ca="1" si="15"/>
        <v>E</v>
      </c>
      <c r="C98" s="62" t="str">
        <f t="shared" ca="1" si="16"/>
        <v>A</v>
      </c>
      <c r="D98" s="62">
        <f t="shared" ca="1" si="17"/>
        <v>16</v>
      </c>
      <c r="E98" s="63">
        <f t="shared" ca="1" si="18"/>
        <v>50.666666666666679</v>
      </c>
      <c r="F98" s="46" t="s">
        <v>474</v>
      </c>
      <c r="G98" s="46" t="s">
        <v>160</v>
      </c>
      <c r="H98" s="46" t="s">
        <v>475</v>
      </c>
      <c r="I98" s="46" t="s">
        <v>440</v>
      </c>
      <c r="J98" s="46">
        <v>52</v>
      </c>
      <c r="K98" s="46">
        <v>52.1</v>
      </c>
      <c r="L98" s="46">
        <v>52</v>
      </c>
      <c r="M98" s="46">
        <v>51.2</v>
      </c>
      <c r="N98" s="46">
        <v>57.1</v>
      </c>
      <c r="O98" s="46">
        <v>56.9</v>
      </c>
      <c r="P98" s="46">
        <v>55.6</v>
      </c>
      <c r="Q98" s="46">
        <v>57.1</v>
      </c>
      <c r="R98" s="46">
        <v>51.7</v>
      </c>
      <c r="S98" s="46">
        <v>50.7</v>
      </c>
      <c r="T98" s="46">
        <v>49.8</v>
      </c>
      <c r="U98" s="46">
        <v>48.7</v>
      </c>
      <c r="V98" s="46">
        <v>48.3</v>
      </c>
      <c r="W98" s="46">
        <v>50.1</v>
      </c>
      <c r="X98" s="46">
        <v>49</v>
      </c>
      <c r="Y98" s="46">
        <v>47.8</v>
      </c>
      <c r="Z98" s="46">
        <v>48.7</v>
      </c>
      <c r="AA98" s="46">
        <v>50.5</v>
      </c>
      <c r="AB98" s="46" t="s">
        <v>160</v>
      </c>
      <c r="AC98" s="46" t="s">
        <v>160</v>
      </c>
    </row>
    <row r="99" spans="1:29">
      <c r="A99" s="62">
        <f t="shared" ca="1" si="14"/>
        <v>89</v>
      </c>
      <c r="B99" s="62" t="str">
        <f t="shared" ca="1" si="15"/>
        <v>E</v>
      </c>
      <c r="C99" s="62" t="str">
        <f t="shared" ca="1" si="16"/>
        <v>BBB+</v>
      </c>
      <c r="D99" s="62">
        <f t="shared" ca="1" si="17"/>
        <v>14</v>
      </c>
      <c r="E99" s="63">
        <f t="shared" ca="1" si="18"/>
        <v>53.083333333333336</v>
      </c>
      <c r="F99" s="46" t="s">
        <v>476</v>
      </c>
      <c r="G99" s="46" t="s">
        <v>160</v>
      </c>
      <c r="H99" s="46" t="s">
        <v>477</v>
      </c>
      <c r="I99" s="46" t="s">
        <v>443</v>
      </c>
      <c r="J99" s="46">
        <v>51.2</v>
      </c>
      <c r="K99" s="46">
        <v>51.2</v>
      </c>
      <c r="L99" s="46">
        <v>51.1</v>
      </c>
      <c r="M99" s="46">
        <v>50.3</v>
      </c>
      <c r="N99" s="46">
        <v>51.1</v>
      </c>
      <c r="O99" s="46">
        <v>51.6</v>
      </c>
      <c r="P99" s="46">
        <v>51.1</v>
      </c>
      <c r="Q99" s="46">
        <v>52.6</v>
      </c>
      <c r="R99" s="46">
        <v>52.9</v>
      </c>
      <c r="S99" s="46">
        <v>52.2</v>
      </c>
      <c r="T99" s="46">
        <v>51.4</v>
      </c>
      <c r="U99" s="46">
        <v>51.7</v>
      </c>
      <c r="V99" s="46">
        <v>53.7</v>
      </c>
      <c r="W99" s="46">
        <v>54.1</v>
      </c>
      <c r="X99" s="46">
        <v>54.2</v>
      </c>
      <c r="Y99" s="46">
        <v>53.9</v>
      </c>
      <c r="Z99" s="46">
        <v>54.2</v>
      </c>
      <c r="AA99" s="46">
        <v>55</v>
      </c>
      <c r="AB99" s="46" t="s">
        <v>160</v>
      </c>
      <c r="AC99" s="46" t="s">
        <v>160</v>
      </c>
    </row>
    <row r="100" spans="1:29">
      <c r="A100" s="62">
        <f t="shared" ca="1" si="14"/>
        <v>90</v>
      </c>
      <c r="B100" s="62" t="str">
        <f t="shared" ca="1" si="15"/>
        <v>G</v>
      </c>
      <c r="C100" s="62" t="str">
        <f t="shared" ca="1" si="16"/>
        <v>BBB+</v>
      </c>
      <c r="D100" s="62">
        <f t="shared" ca="1" si="17"/>
        <v>14</v>
      </c>
      <c r="E100" s="63">
        <f t="shared" ca="1" si="18"/>
        <v>50.141666666666659</v>
      </c>
      <c r="F100" s="46" t="s">
        <v>478</v>
      </c>
      <c r="G100" s="46" t="s">
        <v>160</v>
      </c>
      <c r="H100" s="46" t="s">
        <v>479</v>
      </c>
      <c r="I100" s="46" t="s">
        <v>409</v>
      </c>
      <c r="J100" s="46">
        <v>52</v>
      </c>
      <c r="K100" s="46">
        <v>52.4</v>
      </c>
      <c r="L100" s="46">
        <v>50.3</v>
      </c>
      <c r="M100" s="46">
        <v>48.8</v>
      </c>
      <c r="N100" s="46">
        <v>48.4</v>
      </c>
      <c r="O100" s="46">
        <v>48</v>
      </c>
      <c r="P100" s="46">
        <v>48.3</v>
      </c>
      <c r="Q100" s="46">
        <v>51.2</v>
      </c>
      <c r="R100" s="46">
        <v>51.2</v>
      </c>
      <c r="S100" s="46">
        <v>51.2</v>
      </c>
      <c r="T100" s="46">
        <v>52.5</v>
      </c>
      <c r="U100" s="46">
        <v>53.6</v>
      </c>
      <c r="V100" s="46">
        <v>51.9</v>
      </c>
      <c r="W100" s="46">
        <v>47.9</v>
      </c>
      <c r="X100" s="46">
        <v>49.2</v>
      </c>
      <c r="Y100" s="46">
        <v>49.9</v>
      </c>
      <c r="Z100" s="46">
        <v>46.7</v>
      </c>
      <c r="AA100" s="46">
        <v>48.1</v>
      </c>
      <c r="AB100" s="46" t="s">
        <v>160</v>
      </c>
      <c r="AC100" s="46" t="s">
        <v>160</v>
      </c>
    </row>
    <row r="101" spans="1:29">
      <c r="A101" s="62">
        <f t="shared" ca="1" si="14"/>
        <v>91</v>
      </c>
      <c r="B101" s="62" t="str">
        <f t="shared" ca="1" si="15"/>
        <v>E</v>
      </c>
      <c r="C101" s="62" t="str">
        <f t="shared" ca="1" si="16"/>
        <v>BBB+</v>
      </c>
      <c r="D101" s="62">
        <f t="shared" ca="1" si="17"/>
        <v>14</v>
      </c>
      <c r="E101" s="63">
        <f t="shared" ca="1" si="18"/>
        <v>56.150000000000006</v>
      </c>
      <c r="F101" s="46" t="s">
        <v>480</v>
      </c>
      <c r="G101" s="46" t="s">
        <v>160</v>
      </c>
      <c r="H101" s="46" t="s">
        <v>481</v>
      </c>
      <c r="I101" s="46" t="s">
        <v>440</v>
      </c>
      <c r="J101" s="46">
        <v>57.2</v>
      </c>
      <c r="K101" s="46">
        <v>59</v>
      </c>
      <c r="L101" s="46">
        <v>58.4</v>
      </c>
      <c r="M101" s="46">
        <v>57</v>
      </c>
      <c r="N101" s="46">
        <v>56.6</v>
      </c>
      <c r="O101" s="46">
        <v>57.1</v>
      </c>
      <c r="P101" s="46">
        <v>55.8</v>
      </c>
      <c r="Q101" s="46">
        <v>59.6</v>
      </c>
      <c r="R101" s="46">
        <v>60</v>
      </c>
      <c r="S101" s="46">
        <v>60</v>
      </c>
      <c r="T101" s="46">
        <v>58.9</v>
      </c>
      <c r="U101" s="46">
        <v>54.9</v>
      </c>
      <c r="V101" s="46">
        <v>54.6</v>
      </c>
      <c r="W101" s="46">
        <v>54.9</v>
      </c>
      <c r="X101" s="46">
        <v>53.9</v>
      </c>
      <c r="Y101" s="46">
        <v>53.7</v>
      </c>
      <c r="Z101" s="46">
        <v>53.9</v>
      </c>
      <c r="AA101" s="46">
        <v>53.6</v>
      </c>
      <c r="AB101" s="46" t="s">
        <v>160</v>
      </c>
      <c r="AC101" s="46" t="s">
        <v>160</v>
      </c>
    </row>
    <row r="102" spans="1:29">
      <c r="A102" s="62">
        <f t="shared" ca="1" si="14"/>
        <v>92</v>
      </c>
      <c r="B102" s="62" t="str">
        <f t="shared" ca="1" si="15"/>
        <v>E</v>
      </c>
      <c r="C102" s="62" t="str">
        <f t="shared" ca="1" si="16"/>
        <v>A</v>
      </c>
      <c r="D102" s="62">
        <f t="shared" ca="1" si="17"/>
        <v>16</v>
      </c>
      <c r="E102" s="63">
        <f t="shared" ca="1" si="18"/>
        <v>55.616666666666674</v>
      </c>
      <c r="F102" s="46" t="s">
        <v>482</v>
      </c>
      <c r="G102" s="46" t="s">
        <v>160</v>
      </c>
      <c r="H102" s="46" t="s">
        <v>483</v>
      </c>
      <c r="I102" s="46" t="s">
        <v>484</v>
      </c>
      <c r="J102" s="46">
        <v>56.6</v>
      </c>
      <c r="K102" s="46">
        <v>56.2</v>
      </c>
      <c r="L102" s="46">
        <v>55.2</v>
      </c>
      <c r="M102" s="46">
        <v>50.7</v>
      </c>
      <c r="N102" s="46">
        <v>49.4</v>
      </c>
      <c r="O102" s="46">
        <v>49.5</v>
      </c>
      <c r="P102" s="46">
        <v>52.6</v>
      </c>
      <c r="Q102" s="46">
        <v>54.8</v>
      </c>
      <c r="R102" s="46">
        <v>53</v>
      </c>
      <c r="S102" s="46">
        <v>55.2</v>
      </c>
      <c r="T102" s="46">
        <v>56.4</v>
      </c>
      <c r="U102" s="46">
        <v>56</v>
      </c>
      <c r="V102" s="46">
        <v>54.7</v>
      </c>
      <c r="W102" s="46">
        <v>57.6</v>
      </c>
      <c r="X102" s="46">
        <v>58.6</v>
      </c>
      <c r="Y102" s="46">
        <v>57.5</v>
      </c>
      <c r="Z102" s="46">
        <v>55.7</v>
      </c>
      <c r="AA102" s="46">
        <v>55.3</v>
      </c>
      <c r="AB102" s="46" t="s">
        <v>160</v>
      </c>
      <c r="AC102" s="46" t="s">
        <v>160</v>
      </c>
    </row>
    <row r="103" spans="1:29">
      <c r="A103" s="62">
        <f t="shared" ca="1" si="14"/>
        <v>93</v>
      </c>
      <c r="B103" s="62" t="str">
        <f t="shared" ca="1" si="15"/>
        <v>E</v>
      </c>
      <c r="C103" s="62" t="str">
        <f t="shared" ca="1" si="16"/>
        <v>A-</v>
      </c>
      <c r="D103" s="62">
        <f t="shared" ca="1" si="17"/>
        <v>15</v>
      </c>
      <c r="E103" s="63">
        <f t="shared" ca="1" si="18"/>
        <v>49.366666666666667</v>
      </c>
      <c r="F103" s="46" t="s">
        <v>485</v>
      </c>
      <c r="G103" s="46" t="s">
        <v>160</v>
      </c>
      <c r="H103" s="46" t="s">
        <v>486</v>
      </c>
      <c r="I103" s="46" t="s">
        <v>487</v>
      </c>
      <c r="J103" s="46">
        <v>57.5</v>
      </c>
      <c r="K103" s="46">
        <v>56.9</v>
      </c>
      <c r="L103" s="46">
        <v>58.6</v>
      </c>
      <c r="M103" s="46">
        <v>55.8</v>
      </c>
      <c r="N103" s="46">
        <v>54.6</v>
      </c>
      <c r="O103" s="46">
        <v>53.7</v>
      </c>
      <c r="P103" s="46">
        <v>56.2</v>
      </c>
      <c r="Q103" s="46">
        <v>56.8</v>
      </c>
      <c r="R103" s="46">
        <v>53.5</v>
      </c>
      <c r="S103" s="46">
        <v>50.6</v>
      </c>
      <c r="T103" s="46">
        <v>52.3</v>
      </c>
      <c r="U103" s="46">
        <v>53.9</v>
      </c>
      <c r="V103" s="46">
        <v>54</v>
      </c>
      <c r="W103" s="46">
        <v>54.6</v>
      </c>
      <c r="X103" s="46">
        <v>39.200000000000003</v>
      </c>
      <c r="Y103" s="46">
        <v>40.700000000000003</v>
      </c>
      <c r="Z103" s="46">
        <v>40.5</v>
      </c>
      <c r="AA103" s="46">
        <v>40.1</v>
      </c>
      <c r="AB103" s="46" t="s">
        <v>160</v>
      </c>
      <c r="AC103" s="46" t="s">
        <v>160</v>
      </c>
    </row>
    <row r="104" spans="1:29">
      <c r="A104" s="62">
        <f t="shared" ca="1" si="14"/>
        <v>94</v>
      </c>
      <c r="B104" s="62" t="str">
        <f t="shared" ca="1" si="15"/>
        <v>E</v>
      </c>
      <c r="C104" s="62" t="str">
        <f t="shared" ca="1" si="16"/>
        <v>A-</v>
      </c>
      <c r="D104" s="62">
        <f t="shared" ca="1" si="17"/>
        <v>15</v>
      </c>
      <c r="E104" s="63">
        <f t="shared" ca="1" si="18"/>
        <v>44.888888888888886</v>
      </c>
      <c r="F104" s="46" t="s">
        <v>488</v>
      </c>
      <c r="G104" s="46" t="s">
        <v>160</v>
      </c>
      <c r="H104" s="46" t="s">
        <v>489</v>
      </c>
      <c r="I104" s="46" t="s">
        <v>466</v>
      </c>
      <c r="J104" s="46">
        <v>45.9</v>
      </c>
      <c r="K104" s="46">
        <v>45.8</v>
      </c>
      <c r="L104" s="46">
        <v>44.3</v>
      </c>
      <c r="M104" s="46">
        <v>44.4</v>
      </c>
      <c r="N104" s="46">
        <v>44.9</v>
      </c>
      <c r="O104" s="46">
        <v>45</v>
      </c>
      <c r="P104" s="46" t="s">
        <v>160</v>
      </c>
      <c r="Q104" s="46" t="s">
        <v>160</v>
      </c>
      <c r="R104" s="46">
        <v>43.5</v>
      </c>
      <c r="S104" s="46">
        <v>43.5</v>
      </c>
      <c r="T104" s="46">
        <v>44.7</v>
      </c>
      <c r="U104" s="46">
        <v>45.9</v>
      </c>
      <c r="V104" s="46">
        <v>45.5</v>
      </c>
      <c r="W104" s="46">
        <v>45.2</v>
      </c>
      <c r="X104" s="46" t="s">
        <v>160</v>
      </c>
      <c r="Y104" s="46">
        <v>45.3</v>
      </c>
      <c r="Z104" s="46">
        <v>45.2</v>
      </c>
      <c r="AA104" s="46">
        <v>45.2</v>
      </c>
      <c r="AB104" s="46" t="s">
        <v>160</v>
      </c>
      <c r="AC104" s="46" t="s">
        <v>160</v>
      </c>
    </row>
    <row r="105" spans="1:29">
      <c r="A105" s="62">
        <f t="shared" ca="1" si="14"/>
        <v>95</v>
      </c>
      <c r="B105" s="62" t="str">
        <f t="shared" ca="1" si="15"/>
        <v>E</v>
      </c>
      <c r="C105" s="62" t="str">
        <f t="shared" ca="1" si="16"/>
        <v>BBB+</v>
      </c>
      <c r="D105" s="62">
        <f t="shared" ca="1" si="17"/>
        <v>14</v>
      </c>
      <c r="E105" s="63">
        <f t="shared" ca="1" si="18"/>
        <v>49.4</v>
      </c>
      <c r="F105" s="46" t="s">
        <v>490</v>
      </c>
      <c r="G105" s="46" t="s">
        <v>160</v>
      </c>
      <c r="H105" s="46" t="s">
        <v>491</v>
      </c>
      <c r="I105" s="46" t="s">
        <v>443</v>
      </c>
      <c r="J105" s="46">
        <v>48.2</v>
      </c>
      <c r="K105" s="46">
        <v>51.2</v>
      </c>
      <c r="L105" s="46">
        <v>53.2</v>
      </c>
      <c r="M105" s="46">
        <v>50.6</v>
      </c>
      <c r="N105" s="46">
        <v>49.6</v>
      </c>
      <c r="O105" s="46">
        <v>52.2</v>
      </c>
      <c r="P105" s="46">
        <v>50</v>
      </c>
      <c r="Q105" s="46">
        <v>47.6</v>
      </c>
      <c r="R105" s="46">
        <v>48.6</v>
      </c>
      <c r="S105" s="46">
        <v>49.7</v>
      </c>
      <c r="T105" s="46">
        <v>45.2</v>
      </c>
      <c r="U105" s="46">
        <v>44.1</v>
      </c>
      <c r="V105" s="46">
        <v>52.7</v>
      </c>
      <c r="W105" s="46">
        <v>54.2</v>
      </c>
      <c r="X105" s="46">
        <v>50.4</v>
      </c>
      <c r="Y105" s="46">
        <v>46.4</v>
      </c>
      <c r="Z105" s="46">
        <v>51.8</v>
      </c>
      <c r="AA105" s="46">
        <v>52.1</v>
      </c>
      <c r="AB105" s="46" t="s">
        <v>160</v>
      </c>
      <c r="AC105" s="46" t="s">
        <v>160</v>
      </c>
    </row>
    <row r="106" spans="1:29">
      <c r="A106" s="62">
        <f t="shared" ca="1" si="14"/>
        <v>96</v>
      </c>
      <c r="B106" s="62" t="str">
        <f t="shared" ca="1" si="15"/>
        <v>G</v>
      </c>
      <c r="C106" s="62" t="str">
        <f t="shared" ca="1" si="16"/>
        <v>BBB+</v>
      </c>
      <c r="D106" s="62">
        <f t="shared" ca="1" si="17"/>
        <v>14</v>
      </c>
      <c r="E106" s="63">
        <f t="shared" ca="1" si="18"/>
        <v>52.641666666666673</v>
      </c>
      <c r="F106" s="46" t="s">
        <v>492</v>
      </c>
      <c r="G106" s="46" t="s">
        <v>160</v>
      </c>
      <c r="H106" s="46" t="s">
        <v>493</v>
      </c>
      <c r="I106" s="46" t="s">
        <v>494</v>
      </c>
      <c r="J106" s="46">
        <v>52</v>
      </c>
      <c r="K106" s="46">
        <v>52.4</v>
      </c>
      <c r="L106" s="46">
        <v>53.7</v>
      </c>
      <c r="M106" s="46">
        <v>52.2</v>
      </c>
      <c r="N106" s="46">
        <v>50.5</v>
      </c>
      <c r="O106" s="46">
        <v>51.4</v>
      </c>
      <c r="P106" s="46">
        <v>52.5</v>
      </c>
      <c r="Q106" s="46">
        <v>55.7</v>
      </c>
      <c r="R106" s="46">
        <v>52.9</v>
      </c>
      <c r="S106" s="46">
        <v>53</v>
      </c>
      <c r="T106" s="46">
        <v>53.6</v>
      </c>
      <c r="U106" s="46">
        <v>53.3</v>
      </c>
      <c r="V106" s="46">
        <v>50</v>
      </c>
      <c r="W106" s="46">
        <v>51.3</v>
      </c>
      <c r="X106" s="46">
        <v>52.9</v>
      </c>
      <c r="Y106" s="46">
        <v>52.4</v>
      </c>
      <c r="Z106" s="46">
        <v>51.4</v>
      </c>
      <c r="AA106" s="46">
        <v>52.7</v>
      </c>
      <c r="AB106" s="46" t="s">
        <v>160</v>
      </c>
      <c r="AC106" s="46" t="s">
        <v>160</v>
      </c>
    </row>
    <row r="107" spans="1:29">
      <c r="A107" s="62">
        <f t="shared" ref="A107:A128" ca="1" si="19">MATCH(F107,RATINGSname,0)</f>
        <v>97</v>
      </c>
      <c r="B107" s="62" t="str">
        <f t="shared" ref="B107:B128" ca="1" si="20">INDEX(RATINGSindus,A107)</f>
        <v>E</v>
      </c>
      <c r="C107" s="62" t="str">
        <f t="shared" ref="C107:C128" ca="1" si="21">INDEX(RATINGSlocalcurrLT,A107)</f>
        <v>A-</v>
      </c>
      <c r="D107" s="62">
        <f t="shared" ref="D107:D128" ca="1" si="22">IFERROR(VLOOKUP(C107,CR,2,FALSE),"")</f>
        <v>15</v>
      </c>
      <c r="E107" s="63">
        <f t="shared" ref="E107:E128" ca="1" si="23">IFERROR(AVERAGE(OFFSET(I107,0,$H$1,1,$H$2-$H$1+1)),"N/A")</f>
        <v>54.925000000000004</v>
      </c>
      <c r="F107" s="46" t="s">
        <v>495</v>
      </c>
      <c r="G107" s="46" t="s">
        <v>160</v>
      </c>
      <c r="H107" s="46" t="s">
        <v>496</v>
      </c>
      <c r="I107" s="46" t="s">
        <v>466</v>
      </c>
      <c r="J107" s="46">
        <v>53.2</v>
      </c>
      <c r="K107" s="46">
        <v>53.4</v>
      </c>
      <c r="L107" s="46">
        <v>53.4</v>
      </c>
      <c r="M107" s="46">
        <v>52.7</v>
      </c>
      <c r="N107" s="46">
        <v>53.6</v>
      </c>
      <c r="O107" s="46">
        <v>53.3</v>
      </c>
      <c r="P107" s="46">
        <v>52.7</v>
      </c>
      <c r="Q107" s="46">
        <v>53</v>
      </c>
      <c r="R107" s="46">
        <v>56.4</v>
      </c>
      <c r="S107" s="46">
        <v>55.5</v>
      </c>
      <c r="T107" s="46">
        <v>53.1</v>
      </c>
      <c r="U107" s="46">
        <v>52.8</v>
      </c>
      <c r="V107" s="46">
        <v>55.6</v>
      </c>
      <c r="W107" s="46">
        <v>55</v>
      </c>
      <c r="X107" s="46">
        <v>56.4</v>
      </c>
      <c r="Y107" s="46">
        <v>56.9</v>
      </c>
      <c r="Z107" s="46">
        <v>56.1</v>
      </c>
      <c r="AA107" s="46">
        <v>55.6</v>
      </c>
      <c r="AB107" s="46" t="s">
        <v>160</v>
      </c>
      <c r="AC107" s="46" t="s">
        <v>160</v>
      </c>
    </row>
    <row r="108" spans="1:29">
      <c r="A108" s="62">
        <f t="shared" ca="1" si="19"/>
        <v>98</v>
      </c>
      <c r="B108" s="62" t="str">
        <f t="shared" ca="1" si="20"/>
        <v>E</v>
      </c>
      <c r="C108" s="62" t="str">
        <f t="shared" ca="1" si="21"/>
        <v>A-</v>
      </c>
      <c r="D108" s="62">
        <f t="shared" ca="1" si="22"/>
        <v>15</v>
      </c>
      <c r="E108" s="63">
        <f t="shared" ca="1" si="23"/>
        <v>52.416666666666664</v>
      </c>
      <c r="F108" s="46" t="s">
        <v>497</v>
      </c>
      <c r="G108" s="46" t="s">
        <v>160</v>
      </c>
      <c r="H108" s="46" t="s">
        <v>498</v>
      </c>
      <c r="I108" s="46" t="s">
        <v>440</v>
      </c>
      <c r="J108" s="46">
        <v>53.8</v>
      </c>
      <c r="K108" s="46">
        <v>53.6</v>
      </c>
      <c r="L108" s="46">
        <v>54.4</v>
      </c>
      <c r="M108" s="46">
        <v>54.7</v>
      </c>
      <c r="N108" s="46">
        <v>54.8</v>
      </c>
      <c r="O108" s="46">
        <v>54.7</v>
      </c>
      <c r="P108" s="46">
        <v>51.7</v>
      </c>
      <c r="Q108" s="46">
        <v>52.3</v>
      </c>
      <c r="R108" s="46">
        <v>53.5</v>
      </c>
      <c r="S108" s="46">
        <v>54</v>
      </c>
      <c r="T108" s="46">
        <v>53.7</v>
      </c>
      <c r="U108" s="46">
        <v>51.6</v>
      </c>
      <c r="V108" s="46">
        <v>52.1</v>
      </c>
      <c r="W108" s="46">
        <v>52.4</v>
      </c>
      <c r="X108" s="46">
        <v>51.6</v>
      </c>
      <c r="Y108" s="46">
        <v>51.7</v>
      </c>
      <c r="Z108" s="46">
        <v>52</v>
      </c>
      <c r="AA108" s="46">
        <v>52.4</v>
      </c>
      <c r="AB108" s="46" t="s">
        <v>160</v>
      </c>
      <c r="AC108" s="46" t="s">
        <v>160</v>
      </c>
    </row>
    <row r="109" spans="1:29">
      <c r="A109" s="62">
        <f t="shared" ca="1" si="19"/>
        <v>99</v>
      </c>
      <c r="B109" s="62" t="str">
        <f t="shared" ca="1" si="20"/>
        <v>G</v>
      </c>
      <c r="C109" s="62" t="str">
        <f t="shared" ca="1" si="21"/>
        <v>A-</v>
      </c>
      <c r="D109" s="62">
        <f t="shared" ca="1" si="22"/>
        <v>15</v>
      </c>
      <c r="E109" s="63">
        <f t="shared" ca="1" si="23"/>
        <v>29.525000000000002</v>
      </c>
      <c r="F109" s="46" t="s">
        <v>499</v>
      </c>
      <c r="G109" s="46" t="s">
        <v>160</v>
      </c>
      <c r="H109" s="46" t="s">
        <v>500</v>
      </c>
      <c r="I109" s="46" t="s">
        <v>501</v>
      </c>
      <c r="J109" s="46">
        <v>43.4</v>
      </c>
      <c r="K109" s="46">
        <v>42.7</v>
      </c>
      <c r="L109" s="46">
        <v>47.7</v>
      </c>
      <c r="M109" s="46">
        <v>46.7</v>
      </c>
      <c r="N109" s="46">
        <v>38.799999999999997</v>
      </c>
      <c r="O109" s="46">
        <v>40.9</v>
      </c>
      <c r="P109" s="46">
        <v>26.2</v>
      </c>
      <c r="Q109" s="46">
        <v>26.6</v>
      </c>
      <c r="R109" s="46">
        <v>21.5</v>
      </c>
      <c r="S109" s="46">
        <v>23.2</v>
      </c>
      <c r="T109" s="46">
        <v>30.1</v>
      </c>
      <c r="U109" s="46">
        <v>30.8</v>
      </c>
      <c r="V109" s="46">
        <v>30.7</v>
      </c>
      <c r="W109" s="46">
        <v>30.9</v>
      </c>
      <c r="X109" s="46">
        <v>32.4</v>
      </c>
      <c r="Y109" s="46">
        <v>33.799999999999997</v>
      </c>
      <c r="Z109" s="46">
        <v>34</v>
      </c>
      <c r="AA109" s="46">
        <v>34.1</v>
      </c>
      <c r="AB109" s="46" t="s">
        <v>160</v>
      </c>
      <c r="AC109" s="46" t="s">
        <v>160</v>
      </c>
    </row>
    <row r="110" spans="1:29">
      <c r="A110" s="62">
        <f t="shared" ca="1" si="19"/>
        <v>100</v>
      </c>
      <c r="B110" s="62" t="str">
        <f t="shared" ca="1" si="20"/>
        <v>G</v>
      </c>
      <c r="C110" s="62" t="str">
        <f t="shared" ca="1" si="21"/>
        <v>A-</v>
      </c>
      <c r="D110" s="62">
        <f t="shared" ca="1" si="22"/>
        <v>15</v>
      </c>
      <c r="E110" s="63">
        <f t="shared" ca="1" si="23"/>
        <v>51.116666666666667</v>
      </c>
      <c r="F110" s="46" t="s">
        <v>502</v>
      </c>
      <c r="G110" s="46" t="s">
        <v>160</v>
      </c>
      <c r="H110" s="46" t="s">
        <v>503</v>
      </c>
      <c r="I110" s="46" t="s">
        <v>501</v>
      </c>
      <c r="J110" s="46">
        <v>51.8</v>
      </c>
      <c r="K110" s="46">
        <v>52.7</v>
      </c>
      <c r="L110" s="46">
        <v>52.7</v>
      </c>
      <c r="M110" s="46">
        <v>52.4</v>
      </c>
      <c r="N110" s="46">
        <v>50.9</v>
      </c>
      <c r="O110" s="46">
        <v>49.8</v>
      </c>
      <c r="P110" s="46">
        <v>51.8</v>
      </c>
      <c r="Q110" s="46">
        <v>53.6</v>
      </c>
      <c r="R110" s="46">
        <v>51.4</v>
      </c>
      <c r="S110" s="46">
        <v>50.5</v>
      </c>
      <c r="T110" s="46">
        <v>51</v>
      </c>
      <c r="U110" s="46">
        <v>51.9</v>
      </c>
      <c r="V110" s="46">
        <v>50.1</v>
      </c>
      <c r="W110" s="46">
        <v>49.2</v>
      </c>
      <c r="X110" s="46">
        <v>50.9</v>
      </c>
      <c r="Y110" s="46">
        <v>52.1</v>
      </c>
      <c r="Z110" s="46">
        <v>51</v>
      </c>
      <c r="AA110" s="46">
        <v>49.9</v>
      </c>
      <c r="AB110" s="46" t="s">
        <v>160</v>
      </c>
      <c r="AC110" s="46" t="s">
        <v>160</v>
      </c>
    </row>
    <row r="111" spans="1:29">
      <c r="A111" s="62">
        <f t="shared" ca="1" si="19"/>
        <v>101</v>
      </c>
      <c r="B111" s="62" t="str">
        <f t="shared" ca="1" si="20"/>
        <v>E</v>
      </c>
      <c r="C111" s="62" t="str">
        <f t="shared" ca="1" si="21"/>
        <v>BBB+</v>
      </c>
      <c r="D111" s="62">
        <f t="shared" ca="1" si="22"/>
        <v>14</v>
      </c>
      <c r="E111" s="63">
        <f t="shared" ca="1" si="23"/>
        <v>43.766666666666659</v>
      </c>
      <c r="F111" s="46" t="s">
        <v>504</v>
      </c>
      <c r="G111" s="46" t="s">
        <v>160</v>
      </c>
      <c r="H111" s="46" t="s">
        <v>505</v>
      </c>
      <c r="I111" s="46" t="s">
        <v>506</v>
      </c>
      <c r="J111" s="46">
        <v>43</v>
      </c>
      <c r="K111" s="46">
        <v>46.4</v>
      </c>
      <c r="L111" s="46">
        <v>44.9</v>
      </c>
      <c r="M111" s="46">
        <v>42.3</v>
      </c>
      <c r="N111" s="46">
        <v>42.1</v>
      </c>
      <c r="O111" s="46">
        <v>43.5</v>
      </c>
      <c r="P111" s="46">
        <v>43</v>
      </c>
      <c r="Q111" s="46">
        <v>43.3</v>
      </c>
      <c r="R111" s="46">
        <v>42.9</v>
      </c>
      <c r="S111" s="46">
        <v>43</v>
      </c>
      <c r="T111" s="46">
        <v>43.9</v>
      </c>
      <c r="U111" s="46">
        <v>45.1</v>
      </c>
      <c r="V111" s="46">
        <v>45.4</v>
      </c>
      <c r="W111" s="46">
        <v>46.3</v>
      </c>
      <c r="X111" s="46">
        <v>41.5</v>
      </c>
      <c r="Y111" s="46">
        <v>42.2</v>
      </c>
      <c r="Z111" s="46">
        <v>43.7</v>
      </c>
      <c r="AA111" s="46">
        <v>44.9</v>
      </c>
      <c r="AB111" s="46" t="s">
        <v>160</v>
      </c>
      <c r="AC111" s="46" t="s">
        <v>160</v>
      </c>
    </row>
    <row r="112" spans="1:29">
      <c r="A112" s="62">
        <f t="shared" ca="1" si="19"/>
        <v>102</v>
      </c>
      <c r="B112" s="62" t="str">
        <f t="shared" ca="1" si="20"/>
        <v>E</v>
      </c>
      <c r="C112" s="62" t="str">
        <f t="shared" ca="1" si="21"/>
        <v>BBB-</v>
      </c>
      <c r="D112" s="62">
        <f t="shared" ca="1" si="22"/>
        <v>12</v>
      </c>
      <c r="E112" s="63">
        <f t="shared" ca="1" si="23"/>
        <v>56.690909090909095</v>
      </c>
      <c r="F112" s="46" t="s">
        <v>507</v>
      </c>
      <c r="G112" s="46" t="s">
        <v>160</v>
      </c>
      <c r="H112" s="46" t="s">
        <v>508</v>
      </c>
      <c r="I112" s="46" t="s">
        <v>301</v>
      </c>
      <c r="J112" s="46">
        <v>62.5</v>
      </c>
      <c r="K112" s="46">
        <v>62</v>
      </c>
      <c r="L112" s="46">
        <v>59</v>
      </c>
      <c r="M112" s="46">
        <v>61.1</v>
      </c>
      <c r="N112" s="46">
        <v>63</v>
      </c>
      <c r="O112" s="46">
        <v>63.3</v>
      </c>
      <c r="P112" s="46">
        <v>62.4</v>
      </c>
      <c r="Q112" s="46">
        <v>59.2</v>
      </c>
      <c r="R112" s="46">
        <v>59</v>
      </c>
      <c r="S112" s="46">
        <v>60.9</v>
      </c>
      <c r="T112" s="46">
        <v>60</v>
      </c>
      <c r="U112" s="46">
        <v>60</v>
      </c>
      <c r="V112" s="46" t="s">
        <v>160</v>
      </c>
      <c r="W112" s="46">
        <v>59.5</v>
      </c>
      <c r="X112" s="46">
        <v>51.1</v>
      </c>
      <c r="Y112" s="46">
        <v>50.9</v>
      </c>
      <c r="Z112" s="46">
        <v>50.9</v>
      </c>
      <c r="AA112" s="46">
        <v>49.7</v>
      </c>
      <c r="AB112" s="46" t="s">
        <v>160</v>
      </c>
      <c r="AC112" s="46" t="s">
        <v>160</v>
      </c>
    </row>
    <row r="113" spans="1:29">
      <c r="A113" s="62">
        <f t="shared" ca="1" si="19"/>
        <v>103</v>
      </c>
      <c r="B113" s="62" t="str">
        <f t="shared" ca="1" si="20"/>
        <v>E</v>
      </c>
      <c r="C113" s="62" t="str">
        <f t="shared" ca="1" si="21"/>
        <v>A</v>
      </c>
      <c r="D113" s="62">
        <f t="shared" ca="1" si="22"/>
        <v>16</v>
      </c>
      <c r="E113" s="63">
        <f t="shared" ca="1" si="23"/>
        <v>49.120000000000012</v>
      </c>
      <c r="F113" s="46" t="s">
        <v>509</v>
      </c>
      <c r="G113" s="46" t="s">
        <v>160</v>
      </c>
      <c r="H113" s="46" t="s">
        <v>510</v>
      </c>
      <c r="I113" s="46" t="s">
        <v>301</v>
      </c>
      <c r="J113" s="46">
        <v>56.2</v>
      </c>
      <c r="K113" s="46">
        <v>55.8</v>
      </c>
      <c r="L113" s="46">
        <v>55.7</v>
      </c>
      <c r="M113" s="46">
        <v>53.5</v>
      </c>
      <c r="N113" s="46" t="s">
        <v>160</v>
      </c>
      <c r="O113" s="46" t="s">
        <v>160</v>
      </c>
      <c r="P113" s="46" t="s">
        <v>160</v>
      </c>
      <c r="Q113" s="46" t="s">
        <v>160</v>
      </c>
      <c r="R113" s="46">
        <v>52.2</v>
      </c>
      <c r="S113" s="46">
        <v>52.2</v>
      </c>
      <c r="T113" s="46">
        <v>50.4</v>
      </c>
      <c r="U113" s="46">
        <v>50.8</v>
      </c>
      <c r="V113" s="46">
        <v>48.1</v>
      </c>
      <c r="W113" s="46">
        <v>47.7</v>
      </c>
      <c r="X113" s="46">
        <v>47.6</v>
      </c>
      <c r="Y113" s="46">
        <v>47.1</v>
      </c>
      <c r="Z113" s="46">
        <v>47.3</v>
      </c>
      <c r="AA113" s="46">
        <v>47.8</v>
      </c>
      <c r="AB113" s="46" t="s">
        <v>160</v>
      </c>
      <c r="AC113" s="46" t="s">
        <v>160</v>
      </c>
    </row>
    <row r="114" spans="1:29">
      <c r="A114" s="62">
        <f t="shared" ca="1" si="19"/>
        <v>104</v>
      </c>
      <c r="B114" s="62" t="str">
        <f t="shared" ca="1" si="20"/>
        <v>E</v>
      </c>
      <c r="C114" s="62" t="str">
        <f t="shared" ca="1" si="21"/>
        <v>A-</v>
      </c>
      <c r="D114" s="62">
        <f t="shared" ca="1" si="22"/>
        <v>15</v>
      </c>
      <c r="E114" s="63">
        <f t="shared" ca="1" si="23"/>
        <v>56.528571428571425</v>
      </c>
      <c r="F114" s="46" t="s">
        <v>511</v>
      </c>
      <c r="G114" s="46" t="s">
        <v>160</v>
      </c>
      <c r="H114" s="46" t="s">
        <v>512</v>
      </c>
      <c r="I114" s="46" t="s">
        <v>448</v>
      </c>
      <c r="J114" s="46" t="s">
        <v>160</v>
      </c>
      <c r="K114" s="46" t="s">
        <v>160</v>
      </c>
      <c r="L114" s="46" t="s">
        <v>160</v>
      </c>
      <c r="M114" s="46" t="s">
        <v>160</v>
      </c>
      <c r="N114" s="46" t="s">
        <v>160</v>
      </c>
      <c r="O114" s="46" t="s">
        <v>160</v>
      </c>
      <c r="P114" s="46" t="s">
        <v>160</v>
      </c>
      <c r="Q114" s="46" t="s">
        <v>160</v>
      </c>
      <c r="R114" s="46" t="s">
        <v>160</v>
      </c>
      <c r="S114" s="46" t="s">
        <v>160</v>
      </c>
      <c r="T114" s="46">
        <v>58.4</v>
      </c>
      <c r="U114" s="46" t="s">
        <v>160</v>
      </c>
      <c r="V114" s="46">
        <v>57.1</v>
      </c>
      <c r="W114" s="46">
        <v>56.8</v>
      </c>
      <c r="X114" s="46">
        <v>56.4</v>
      </c>
      <c r="Y114" s="46">
        <v>57.3</v>
      </c>
      <c r="Z114" s="46">
        <v>55.9</v>
      </c>
      <c r="AA114" s="46">
        <v>53.8</v>
      </c>
      <c r="AB114" s="46" t="s">
        <v>160</v>
      </c>
      <c r="AC114" s="46" t="s">
        <v>160</v>
      </c>
    </row>
    <row r="115" spans="1:29">
      <c r="A115" s="62">
        <f t="shared" ca="1" si="19"/>
        <v>105</v>
      </c>
      <c r="B115" s="62" t="str">
        <f t="shared" ca="1" si="20"/>
        <v>E</v>
      </c>
      <c r="C115" s="62" t="str">
        <f t="shared" ca="1" si="21"/>
        <v>BBB-</v>
      </c>
      <c r="D115" s="62">
        <f t="shared" ca="1" si="22"/>
        <v>12</v>
      </c>
      <c r="E115" s="63">
        <f t="shared" ca="1" si="23"/>
        <v>52.983333333333327</v>
      </c>
      <c r="F115" s="46" t="s">
        <v>513</v>
      </c>
      <c r="G115" s="46" t="s">
        <v>160</v>
      </c>
      <c r="H115" s="46" t="s">
        <v>514</v>
      </c>
      <c r="I115" s="46" t="s">
        <v>443</v>
      </c>
      <c r="J115" s="46">
        <v>59.6</v>
      </c>
      <c r="K115" s="46">
        <v>58.4</v>
      </c>
      <c r="L115" s="46">
        <v>56.6</v>
      </c>
      <c r="M115" s="46">
        <v>60.3</v>
      </c>
      <c r="N115" s="46">
        <v>58.2</v>
      </c>
      <c r="O115" s="46">
        <v>58.1</v>
      </c>
      <c r="P115" s="46">
        <v>57.3</v>
      </c>
      <c r="Q115" s="46">
        <v>52.4</v>
      </c>
      <c r="R115" s="46">
        <v>53.6</v>
      </c>
      <c r="S115" s="46">
        <v>53.3</v>
      </c>
      <c r="T115" s="46">
        <v>52.2</v>
      </c>
      <c r="U115" s="46">
        <v>55.2</v>
      </c>
      <c r="V115" s="46">
        <v>52.1</v>
      </c>
      <c r="W115" s="46">
        <v>53.5</v>
      </c>
      <c r="X115" s="46">
        <v>51.1</v>
      </c>
      <c r="Y115" s="46">
        <v>52.8</v>
      </c>
      <c r="Z115" s="46">
        <v>51.3</v>
      </c>
      <c r="AA115" s="46">
        <v>51</v>
      </c>
      <c r="AB115" s="46" t="s">
        <v>160</v>
      </c>
      <c r="AC115" s="46" t="s">
        <v>160</v>
      </c>
    </row>
    <row r="116" spans="1:29">
      <c r="A116" s="62">
        <f t="shared" ca="1" si="19"/>
        <v>106</v>
      </c>
      <c r="B116" s="62" t="str">
        <f t="shared" ca="1" si="20"/>
        <v>E</v>
      </c>
      <c r="C116" s="62" t="str">
        <f t="shared" ca="1" si="21"/>
        <v>A-</v>
      </c>
      <c r="D116" s="62">
        <f t="shared" ca="1" si="22"/>
        <v>15</v>
      </c>
      <c r="E116" s="63">
        <f t="shared" ca="1" si="23"/>
        <v>39.31818181818182</v>
      </c>
      <c r="F116" s="46" t="s">
        <v>515</v>
      </c>
      <c r="G116" s="46" t="s">
        <v>160</v>
      </c>
      <c r="H116" s="46" t="s">
        <v>516</v>
      </c>
      <c r="I116" s="46" t="s">
        <v>334</v>
      </c>
      <c r="J116" s="46">
        <v>44.5</v>
      </c>
      <c r="K116" s="46">
        <v>44.1</v>
      </c>
      <c r="L116" s="46">
        <v>44.9</v>
      </c>
      <c r="M116" s="46">
        <v>40.200000000000003</v>
      </c>
      <c r="N116" s="46">
        <v>37.9</v>
      </c>
      <c r="O116" s="46">
        <v>36.9</v>
      </c>
      <c r="P116" s="46">
        <v>40.200000000000003</v>
      </c>
      <c r="Q116" s="46">
        <v>40</v>
      </c>
      <c r="R116" s="46">
        <v>40.799999999999997</v>
      </c>
      <c r="S116" s="46">
        <v>38.6</v>
      </c>
      <c r="T116" s="46">
        <v>39.200000000000003</v>
      </c>
      <c r="U116" s="46">
        <v>39.299999999999997</v>
      </c>
      <c r="V116" s="46">
        <v>38.200000000000003</v>
      </c>
      <c r="W116" s="46">
        <v>38.700000000000003</v>
      </c>
      <c r="X116" s="46">
        <v>38.799999999999997</v>
      </c>
      <c r="Y116" s="46">
        <v>39.4</v>
      </c>
      <c r="Z116" s="46">
        <v>39.299999999999997</v>
      </c>
      <c r="AA116" s="46" t="s">
        <v>160</v>
      </c>
      <c r="AB116" s="46" t="s">
        <v>160</v>
      </c>
      <c r="AC116" s="46" t="s">
        <v>160</v>
      </c>
    </row>
    <row r="117" spans="1:29">
      <c r="A117" s="62">
        <f t="shared" ca="1" si="19"/>
        <v>107</v>
      </c>
      <c r="B117" s="62" t="str">
        <f t="shared" ca="1" si="20"/>
        <v>E</v>
      </c>
      <c r="C117" s="62" t="str">
        <f t="shared" ca="1" si="21"/>
        <v>BBB-</v>
      </c>
      <c r="D117" s="62">
        <f t="shared" ca="1" si="22"/>
        <v>12</v>
      </c>
      <c r="E117" s="63">
        <f t="shared" ca="1" si="23"/>
        <v>52.283333333333339</v>
      </c>
      <c r="F117" s="46" t="s">
        <v>517</v>
      </c>
      <c r="G117" s="46" t="s">
        <v>160</v>
      </c>
      <c r="H117" s="46" t="s">
        <v>518</v>
      </c>
      <c r="I117" s="46" t="s">
        <v>443</v>
      </c>
      <c r="J117" s="46">
        <v>69.2</v>
      </c>
      <c r="K117" s="46">
        <v>69.099999999999994</v>
      </c>
      <c r="L117" s="46">
        <v>63.1</v>
      </c>
      <c r="M117" s="46">
        <v>64.400000000000006</v>
      </c>
      <c r="N117" s="46">
        <v>66.8</v>
      </c>
      <c r="O117" s="46">
        <v>67.8</v>
      </c>
      <c r="P117" s="46">
        <v>67</v>
      </c>
      <c r="Q117" s="46">
        <v>63.4</v>
      </c>
      <c r="R117" s="46">
        <v>62.5</v>
      </c>
      <c r="S117" s="46">
        <v>64.599999999999994</v>
      </c>
      <c r="T117" s="46">
        <v>63.8</v>
      </c>
      <c r="U117" s="46">
        <v>46.6</v>
      </c>
      <c r="V117" s="46">
        <v>46.3</v>
      </c>
      <c r="W117" s="46">
        <v>45.8</v>
      </c>
      <c r="X117" s="46">
        <v>43.5</v>
      </c>
      <c r="Y117" s="46">
        <v>41.4</v>
      </c>
      <c r="Z117" s="46">
        <v>40.700000000000003</v>
      </c>
      <c r="AA117" s="46">
        <v>41.8</v>
      </c>
      <c r="AB117" s="46" t="s">
        <v>160</v>
      </c>
      <c r="AC117" s="46" t="s">
        <v>160</v>
      </c>
    </row>
    <row r="118" spans="1:29">
      <c r="A118" s="62">
        <f t="shared" ca="1" si="19"/>
        <v>108</v>
      </c>
      <c r="B118" s="62" t="str">
        <f t="shared" ca="1" si="20"/>
        <v>G</v>
      </c>
      <c r="C118" s="62" t="str">
        <f t="shared" ca="1" si="21"/>
        <v>-</v>
      </c>
      <c r="D118" s="62" t="str">
        <f t="shared" ca="1" si="22"/>
        <v/>
      </c>
      <c r="E118" s="63" t="str">
        <f t="shared" ca="1" si="23"/>
        <v>N/A</v>
      </c>
      <c r="F118" s="46" t="s">
        <v>137</v>
      </c>
      <c r="G118" s="46" t="s">
        <v>261</v>
      </c>
      <c r="H118" s="46" t="s">
        <v>262</v>
      </c>
      <c r="I118" s="46" t="s">
        <v>519</v>
      </c>
      <c r="J118" s="46" t="s">
        <v>160</v>
      </c>
      <c r="K118" s="46" t="s">
        <v>160</v>
      </c>
      <c r="L118" s="46" t="s">
        <v>160</v>
      </c>
      <c r="M118" s="46" t="s">
        <v>160</v>
      </c>
      <c r="N118" s="46" t="s">
        <v>160</v>
      </c>
      <c r="O118" s="46" t="s">
        <v>160</v>
      </c>
      <c r="P118" s="46" t="s">
        <v>160</v>
      </c>
      <c r="Q118" s="46" t="s">
        <v>160</v>
      </c>
      <c r="R118" s="46" t="s">
        <v>160</v>
      </c>
      <c r="S118" s="46" t="s">
        <v>160</v>
      </c>
      <c r="T118" s="46" t="s">
        <v>160</v>
      </c>
      <c r="U118" s="46" t="s">
        <v>160</v>
      </c>
      <c r="V118" s="46" t="s">
        <v>160</v>
      </c>
      <c r="W118" s="46" t="s">
        <v>160</v>
      </c>
      <c r="X118" s="46" t="s">
        <v>160</v>
      </c>
      <c r="Y118" s="46" t="s">
        <v>160</v>
      </c>
      <c r="Z118" s="46" t="s">
        <v>160</v>
      </c>
      <c r="AA118" s="46" t="s">
        <v>160</v>
      </c>
      <c r="AB118" s="46" t="s">
        <v>160</v>
      </c>
      <c r="AC118" s="46" t="s">
        <v>160</v>
      </c>
    </row>
    <row r="119" spans="1:29">
      <c r="A119" s="62">
        <f t="shared" ca="1" si="19"/>
        <v>109</v>
      </c>
      <c r="B119" s="62" t="str">
        <f t="shared" ca="1" si="20"/>
        <v>E</v>
      </c>
      <c r="C119" s="62" t="str">
        <f t="shared" ca="1" si="21"/>
        <v>BBB+</v>
      </c>
      <c r="D119" s="62">
        <f t="shared" ca="1" si="22"/>
        <v>14</v>
      </c>
      <c r="E119" s="63">
        <f t="shared" ca="1" si="23"/>
        <v>51.158333333333331</v>
      </c>
      <c r="F119" s="46" t="s">
        <v>520</v>
      </c>
      <c r="G119" s="46" t="s">
        <v>160</v>
      </c>
      <c r="H119" s="46" t="s">
        <v>521</v>
      </c>
      <c r="I119" s="46" t="s">
        <v>466</v>
      </c>
      <c r="J119" s="46">
        <v>50.9</v>
      </c>
      <c r="K119" s="46">
        <v>51</v>
      </c>
      <c r="L119" s="46">
        <v>50</v>
      </c>
      <c r="M119" s="46">
        <v>50</v>
      </c>
      <c r="N119" s="46">
        <v>51.3</v>
      </c>
      <c r="O119" s="46">
        <v>52.3</v>
      </c>
      <c r="P119" s="46">
        <v>50.6</v>
      </c>
      <c r="Q119" s="46">
        <v>51</v>
      </c>
      <c r="R119" s="46">
        <v>52.3</v>
      </c>
      <c r="S119" s="46">
        <v>52.9</v>
      </c>
      <c r="T119" s="46">
        <v>52.7</v>
      </c>
      <c r="U119" s="46">
        <v>49.7</v>
      </c>
      <c r="V119" s="46">
        <v>51.1</v>
      </c>
      <c r="W119" s="46">
        <v>51.6</v>
      </c>
      <c r="X119" s="46">
        <v>50</v>
      </c>
      <c r="Y119" s="46">
        <v>50.3</v>
      </c>
      <c r="Z119" s="46">
        <v>50.9</v>
      </c>
      <c r="AA119" s="46">
        <v>50.8</v>
      </c>
      <c r="AB119" s="46" t="s">
        <v>160</v>
      </c>
      <c r="AC119" s="46" t="s">
        <v>160</v>
      </c>
    </row>
    <row r="120" spans="1:29">
      <c r="A120" s="62">
        <f t="shared" ca="1" si="19"/>
        <v>110</v>
      </c>
      <c r="B120" s="62" t="str">
        <f t="shared" ca="1" si="20"/>
        <v>E</v>
      </c>
      <c r="C120" s="62" t="str">
        <f t="shared" ca="1" si="21"/>
        <v>A-</v>
      </c>
      <c r="D120" s="62">
        <f t="shared" ca="1" si="22"/>
        <v>15</v>
      </c>
      <c r="E120" s="63">
        <f t="shared" ca="1" si="23"/>
        <v>53.410000000000004</v>
      </c>
      <c r="F120" s="46" t="s">
        <v>522</v>
      </c>
      <c r="G120" s="46" t="s">
        <v>160</v>
      </c>
      <c r="H120" s="46" t="s">
        <v>523</v>
      </c>
      <c r="I120" s="46" t="s">
        <v>443</v>
      </c>
      <c r="J120" s="46" t="s">
        <v>160</v>
      </c>
      <c r="K120" s="46" t="s">
        <v>160</v>
      </c>
      <c r="L120" s="46" t="s">
        <v>160</v>
      </c>
      <c r="M120" s="46" t="s">
        <v>160</v>
      </c>
      <c r="N120" s="46" t="s">
        <v>160</v>
      </c>
      <c r="O120" s="46" t="s">
        <v>160</v>
      </c>
      <c r="P120" s="46" t="s">
        <v>160</v>
      </c>
      <c r="Q120" s="46" t="s">
        <v>160</v>
      </c>
      <c r="R120" s="46">
        <v>55</v>
      </c>
      <c r="S120" s="46">
        <v>52.9</v>
      </c>
      <c r="T120" s="46">
        <v>53.4</v>
      </c>
      <c r="U120" s="46">
        <v>54.1</v>
      </c>
      <c r="V120" s="46">
        <v>53.4</v>
      </c>
      <c r="W120" s="46">
        <v>53.1</v>
      </c>
      <c r="X120" s="46">
        <v>52.3</v>
      </c>
      <c r="Y120" s="46">
        <v>51.4</v>
      </c>
      <c r="Z120" s="46">
        <v>51.6</v>
      </c>
      <c r="AA120" s="46">
        <v>56.9</v>
      </c>
      <c r="AB120" s="46" t="s">
        <v>160</v>
      </c>
      <c r="AC120" s="46" t="s">
        <v>160</v>
      </c>
    </row>
    <row r="121" spans="1:29">
      <c r="A121" s="62">
        <f t="shared" ca="1" si="19"/>
        <v>111</v>
      </c>
      <c r="B121" s="62" t="str">
        <f t="shared" ca="1" si="20"/>
        <v>E</v>
      </c>
      <c r="C121" s="62" t="str">
        <f t="shared" ca="1" si="21"/>
        <v>BBB+</v>
      </c>
      <c r="D121" s="62">
        <f t="shared" ca="1" si="22"/>
        <v>14</v>
      </c>
      <c r="E121" s="63">
        <f t="shared" ca="1" si="23"/>
        <v>51.07500000000001</v>
      </c>
      <c r="F121" s="46" t="s">
        <v>524</v>
      </c>
      <c r="G121" s="46" t="s">
        <v>160</v>
      </c>
      <c r="H121" s="46" t="s">
        <v>525</v>
      </c>
      <c r="I121" s="46" t="s">
        <v>443</v>
      </c>
      <c r="J121" s="46">
        <v>48.3</v>
      </c>
      <c r="K121" s="46">
        <v>49.1</v>
      </c>
      <c r="L121" s="46">
        <v>48.3</v>
      </c>
      <c r="M121" s="46">
        <v>49.4</v>
      </c>
      <c r="N121" s="46">
        <v>50.5</v>
      </c>
      <c r="O121" s="46">
        <v>52</v>
      </c>
      <c r="P121" s="46">
        <v>52</v>
      </c>
      <c r="Q121" s="46">
        <v>52.4</v>
      </c>
      <c r="R121" s="46">
        <v>51.7</v>
      </c>
      <c r="S121" s="46">
        <v>52.5</v>
      </c>
      <c r="T121" s="46">
        <v>52.3</v>
      </c>
      <c r="U121" s="46">
        <v>52.5</v>
      </c>
      <c r="V121" s="46">
        <v>50.8</v>
      </c>
      <c r="W121" s="46">
        <v>50.5</v>
      </c>
      <c r="X121" s="46">
        <v>48.5</v>
      </c>
      <c r="Y121" s="46">
        <v>49.1</v>
      </c>
      <c r="Z121" s="46">
        <v>49.6</v>
      </c>
      <c r="AA121" s="46">
        <v>51</v>
      </c>
      <c r="AB121" s="46" t="s">
        <v>160</v>
      </c>
      <c r="AC121" s="46" t="s">
        <v>160</v>
      </c>
    </row>
    <row r="122" spans="1:29">
      <c r="A122" s="62">
        <f t="shared" ca="1" si="19"/>
        <v>112</v>
      </c>
      <c r="B122" s="62" t="str">
        <f t="shared" ca="1" si="20"/>
        <v>G</v>
      </c>
      <c r="C122" s="62" t="str">
        <f t="shared" ca="1" si="21"/>
        <v>A</v>
      </c>
      <c r="D122" s="62">
        <f t="shared" ca="1" si="22"/>
        <v>16</v>
      </c>
      <c r="E122" s="63">
        <f t="shared" ca="1" si="23"/>
        <v>47.800000000000004</v>
      </c>
      <c r="F122" s="46" t="s">
        <v>526</v>
      </c>
      <c r="G122" s="46" t="s">
        <v>160</v>
      </c>
      <c r="H122" s="46" t="s">
        <v>527</v>
      </c>
      <c r="I122" s="46" t="s">
        <v>501</v>
      </c>
      <c r="J122" s="46">
        <v>44</v>
      </c>
      <c r="K122" s="46">
        <v>43.6</v>
      </c>
      <c r="L122" s="46">
        <v>43.2</v>
      </c>
      <c r="M122" s="46">
        <v>45.9</v>
      </c>
      <c r="N122" s="46">
        <v>43.5</v>
      </c>
      <c r="O122" s="46">
        <v>43.6</v>
      </c>
      <c r="P122" s="46">
        <v>45</v>
      </c>
      <c r="Q122" s="46">
        <v>45.5</v>
      </c>
      <c r="R122" s="46">
        <v>43.9</v>
      </c>
      <c r="S122" s="46">
        <v>43.2</v>
      </c>
      <c r="T122" s="46">
        <v>45.7</v>
      </c>
      <c r="U122" s="46">
        <v>48.1</v>
      </c>
      <c r="V122" s="46">
        <v>46.1</v>
      </c>
      <c r="W122" s="46">
        <v>47.4</v>
      </c>
      <c r="X122" s="46">
        <v>51.1</v>
      </c>
      <c r="Y122" s="46">
        <v>53.5</v>
      </c>
      <c r="Z122" s="46">
        <v>52.3</v>
      </c>
      <c r="AA122" s="46">
        <v>51.8</v>
      </c>
      <c r="AB122" s="46" t="s">
        <v>160</v>
      </c>
      <c r="AC122" s="46" t="s">
        <v>160</v>
      </c>
    </row>
    <row r="123" spans="1:29">
      <c r="A123" s="62">
        <f t="shared" ca="1" si="19"/>
        <v>113</v>
      </c>
      <c r="B123" s="62" t="str">
        <f t="shared" ca="1" si="20"/>
        <v>E</v>
      </c>
      <c r="C123" s="62" t="str">
        <f t="shared" ca="1" si="21"/>
        <v>BBB-</v>
      </c>
      <c r="D123" s="62">
        <f t="shared" ca="1" si="22"/>
        <v>12</v>
      </c>
      <c r="E123" s="63">
        <f t="shared" ca="1" si="23"/>
        <v>52.541666666666664</v>
      </c>
      <c r="F123" s="46" t="s">
        <v>528</v>
      </c>
      <c r="G123" s="46" t="s">
        <v>160</v>
      </c>
      <c r="H123" s="46" t="s">
        <v>529</v>
      </c>
      <c r="I123" s="46" t="s">
        <v>443</v>
      </c>
      <c r="J123" s="46">
        <v>53.5</v>
      </c>
      <c r="K123" s="46">
        <v>51.3</v>
      </c>
      <c r="L123" s="46">
        <v>48.7</v>
      </c>
      <c r="M123" s="46">
        <v>53.7</v>
      </c>
      <c r="N123" s="46">
        <v>54.3</v>
      </c>
      <c r="O123" s="46">
        <v>53.7</v>
      </c>
      <c r="P123" s="46">
        <v>51.5</v>
      </c>
      <c r="Q123" s="46">
        <v>53.7</v>
      </c>
      <c r="R123" s="46">
        <v>55.6</v>
      </c>
      <c r="S123" s="46">
        <v>54.8</v>
      </c>
      <c r="T123" s="46">
        <v>52.8</v>
      </c>
      <c r="U123" s="46">
        <v>53.2</v>
      </c>
      <c r="V123" s="46">
        <v>52.2</v>
      </c>
      <c r="W123" s="46">
        <v>51</v>
      </c>
      <c r="X123" s="46">
        <v>48.4</v>
      </c>
      <c r="Y123" s="46">
        <v>53.2</v>
      </c>
      <c r="Z123" s="46">
        <v>52.4</v>
      </c>
      <c r="AA123" s="46">
        <v>51.7</v>
      </c>
      <c r="AB123" s="46" t="s">
        <v>160</v>
      </c>
      <c r="AC123" s="46" t="s">
        <v>160</v>
      </c>
    </row>
    <row r="124" spans="1:29">
      <c r="A124" s="62">
        <f t="shared" ca="1" si="19"/>
        <v>114</v>
      </c>
      <c r="B124" s="62" t="str">
        <f t="shared" ca="1" si="20"/>
        <v>E</v>
      </c>
      <c r="C124" s="62" t="str">
        <f t="shared" ca="1" si="21"/>
        <v>A</v>
      </c>
      <c r="D124" s="62">
        <f t="shared" ca="1" si="22"/>
        <v>16</v>
      </c>
      <c r="E124" s="63">
        <f t="shared" ca="1" si="23"/>
        <v>51.533333333333331</v>
      </c>
      <c r="F124" s="46" t="s">
        <v>530</v>
      </c>
      <c r="G124" s="46" t="s">
        <v>160</v>
      </c>
      <c r="H124" s="46" t="s">
        <v>531</v>
      </c>
      <c r="I124" s="46" t="s">
        <v>443</v>
      </c>
      <c r="J124" s="46">
        <v>53.7</v>
      </c>
      <c r="K124" s="46">
        <v>53.5</v>
      </c>
      <c r="L124" s="46">
        <v>52.8</v>
      </c>
      <c r="M124" s="46">
        <v>51.8</v>
      </c>
      <c r="N124" s="46">
        <v>54.5</v>
      </c>
      <c r="O124" s="46">
        <v>53.4</v>
      </c>
      <c r="P124" s="46">
        <v>52.3</v>
      </c>
      <c r="Q124" s="46">
        <v>52.9</v>
      </c>
      <c r="R124" s="46">
        <v>54.3</v>
      </c>
      <c r="S124" s="46">
        <v>53.6</v>
      </c>
      <c r="T124" s="46">
        <v>53.8</v>
      </c>
      <c r="U124" s="46">
        <v>53.2</v>
      </c>
      <c r="V124" s="46">
        <v>52.9</v>
      </c>
      <c r="W124" s="46">
        <v>49.8</v>
      </c>
      <c r="X124" s="46">
        <v>48.7</v>
      </c>
      <c r="Y124" s="46">
        <v>48.8</v>
      </c>
      <c r="Z124" s="46">
        <v>49.2</v>
      </c>
      <c r="AA124" s="46">
        <v>48.9</v>
      </c>
      <c r="AB124" s="46" t="s">
        <v>160</v>
      </c>
      <c r="AC124" s="46" t="s">
        <v>160</v>
      </c>
    </row>
    <row r="125" spans="1:29">
      <c r="A125" s="62">
        <f t="shared" ca="1" si="19"/>
        <v>115</v>
      </c>
      <c r="B125" s="62" t="str">
        <f t="shared" ca="1" si="20"/>
        <v>E</v>
      </c>
      <c r="C125" s="62" t="str">
        <f t="shared" ca="1" si="21"/>
        <v>A-</v>
      </c>
      <c r="D125" s="62">
        <f t="shared" ca="1" si="22"/>
        <v>15</v>
      </c>
      <c r="E125" s="63">
        <f t="shared" ca="1" si="23"/>
        <v>64.88333333333334</v>
      </c>
      <c r="F125" s="46" t="s">
        <v>532</v>
      </c>
      <c r="G125" s="46" t="s">
        <v>160</v>
      </c>
      <c r="H125" s="46" t="s">
        <v>533</v>
      </c>
      <c r="I125" s="46" t="s">
        <v>466</v>
      </c>
      <c r="J125" s="46">
        <v>63.5</v>
      </c>
      <c r="K125" s="46">
        <v>63.8</v>
      </c>
      <c r="L125" s="46">
        <v>62.9</v>
      </c>
      <c r="M125" s="46">
        <v>64</v>
      </c>
      <c r="N125" s="46">
        <v>63.5</v>
      </c>
      <c r="O125" s="46">
        <v>63.7</v>
      </c>
      <c r="P125" s="46">
        <v>63.9</v>
      </c>
      <c r="Q125" s="46">
        <v>64.5</v>
      </c>
      <c r="R125" s="46">
        <v>64.099999999999994</v>
      </c>
      <c r="S125" s="46">
        <v>64</v>
      </c>
      <c r="T125" s="46">
        <v>63.8</v>
      </c>
      <c r="U125" s="46">
        <v>63.7</v>
      </c>
      <c r="V125" s="46">
        <v>64.2</v>
      </c>
      <c r="W125" s="46">
        <v>63.8</v>
      </c>
      <c r="X125" s="46">
        <v>63.6</v>
      </c>
      <c r="Y125" s="46">
        <v>67.099999999999994</v>
      </c>
      <c r="Z125" s="46">
        <v>68</v>
      </c>
      <c r="AA125" s="46">
        <v>67.900000000000006</v>
      </c>
      <c r="AB125" s="46" t="s">
        <v>160</v>
      </c>
      <c r="AC125" s="46" t="s">
        <v>160</v>
      </c>
    </row>
    <row r="126" spans="1:29">
      <c r="A126" s="62">
        <f t="shared" ca="1" si="19"/>
        <v>116</v>
      </c>
      <c r="B126" s="62" t="str">
        <f t="shared" ca="1" si="20"/>
        <v>E</v>
      </c>
      <c r="C126" s="62" t="str">
        <f t="shared" ca="1" si="21"/>
        <v>A</v>
      </c>
      <c r="D126" s="62">
        <f t="shared" ca="1" si="22"/>
        <v>16</v>
      </c>
      <c r="E126" s="63">
        <f t="shared" ca="1" si="23"/>
        <v>40.719999999999992</v>
      </c>
      <c r="F126" s="46" t="s">
        <v>534</v>
      </c>
      <c r="G126" s="46" t="s">
        <v>160</v>
      </c>
      <c r="H126" s="46" t="s">
        <v>535</v>
      </c>
      <c r="I126" s="46" t="s">
        <v>536</v>
      </c>
      <c r="J126" s="46" t="s">
        <v>160</v>
      </c>
      <c r="K126" s="46" t="s">
        <v>160</v>
      </c>
      <c r="L126" s="46" t="s">
        <v>160</v>
      </c>
      <c r="M126" s="46" t="s">
        <v>160</v>
      </c>
      <c r="N126" s="46" t="s">
        <v>160</v>
      </c>
      <c r="O126" s="46" t="s">
        <v>160</v>
      </c>
      <c r="P126" s="46" t="s">
        <v>160</v>
      </c>
      <c r="Q126" s="46" t="s">
        <v>160</v>
      </c>
      <c r="R126" s="46" t="s">
        <v>160</v>
      </c>
      <c r="S126" s="46" t="s">
        <v>160</v>
      </c>
      <c r="T126" s="46" t="s">
        <v>160</v>
      </c>
      <c r="U126" s="46" t="s">
        <v>160</v>
      </c>
      <c r="V126" s="46" t="s">
        <v>160</v>
      </c>
      <c r="W126" s="46">
        <v>39</v>
      </c>
      <c r="X126" s="46">
        <v>40.5</v>
      </c>
      <c r="Y126" s="46">
        <v>43.1</v>
      </c>
      <c r="Z126" s="46">
        <v>41.3</v>
      </c>
      <c r="AA126" s="46">
        <v>39.700000000000003</v>
      </c>
      <c r="AB126" s="46" t="s">
        <v>160</v>
      </c>
      <c r="AC126" s="46" t="s">
        <v>160</v>
      </c>
    </row>
    <row r="127" spans="1:29">
      <c r="A127" s="62">
        <f t="shared" ca="1" si="19"/>
        <v>117</v>
      </c>
      <c r="B127" s="62" t="str">
        <f t="shared" ca="1" si="20"/>
        <v>E</v>
      </c>
      <c r="C127" s="62" t="str">
        <f t="shared" ca="1" si="21"/>
        <v>A</v>
      </c>
      <c r="D127" s="62">
        <f t="shared" ca="1" si="22"/>
        <v>16</v>
      </c>
      <c r="E127" s="63">
        <f t="shared" ca="1" si="23"/>
        <v>52.175000000000004</v>
      </c>
      <c r="F127" s="46" t="s">
        <v>537</v>
      </c>
      <c r="G127" s="46" t="s">
        <v>160</v>
      </c>
      <c r="H127" s="46" t="s">
        <v>538</v>
      </c>
      <c r="I127" s="46" t="s">
        <v>466</v>
      </c>
      <c r="J127" s="46">
        <v>53.8</v>
      </c>
      <c r="K127" s="46">
        <v>53.6</v>
      </c>
      <c r="L127" s="46">
        <v>53</v>
      </c>
      <c r="M127" s="46">
        <v>51.4</v>
      </c>
      <c r="N127" s="46">
        <v>51.5</v>
      </c>
      <c r="O127" s="46">
        <v>51.4</v>
      </c>
      <c r="P127" s="46">
        <v>50.6</v>
      </c>
      <c r="Q127" s="46">
        <v>52.2</v>
      </c>
      <c r="R127" s="46">
        <v>51.4</v>
      </c>
      <c r="S127" s="46">
        <v>51.8</v>
      </c>
      <c r="T127" s="46">
        <v>51.1</v>
      </c>
      <c r="U127" s="46">
        <v>51.6</v>
      </c>
      <c r="V127" s="46">
        <v>51.5</v>
      </c>
      <c r="W127" s="46">
        <v>51.9</v>
      </c>
      <c r="X127" s="46">
        <v>51</v>
      </c>
      <c r="Y127" s="46">
        <v>53</v>
      </c>
      <c r="Z127" s="46">
        <v>54.4</v>
      </c>
      <c r="AA127" s="46">
        <v>55.6</v>
      </c>
      <c r="AB127" s="46" t="s">
        <v>160</v>
      </c>
      <c r="AC127" s="46" t="s">
        <v>160</v>
      </c>
    </row>
    <row r="128" spans="1:29">
      <c r="A128" s="62">
        <f t="shared" ca="1" si="19"/>
        <v>118</v>
      </c>
      <c r="B128" s="62" t="str">
        <f t="shared" ca="1" si="20"/>
        <v>E</v>
      </c>
      <c r="C128" s="62" t="str">
        <f t="shared" ca="1" si="21"/>
        <v>A-</v>
      </c>
      <c r="D128" s="62">
        <f t="shared" ca="1" si="22"/>
        <v>15</v>
      </c>
      <c r="E128" s="63">
        <f t="shared" ca="1" si="23"/>
        <v>52.216666666666661</v>
      </c>
      <c r="F128" s="46" t="s">
        <v>539</v>
      </c>
      <c r="G128" s="46" t="s">
        <v>160</v>
      </c>
      <c r="H128" s="46" t="s">
        <v>540</v>
      </c>
      <c r="I128" s="46" t="s">
        <v>541</v>
      </c>
      <c r="J128" s="46">
        <v>52.9</v>
      </c>
      <c r="K128" s="46">
        <v>54.3</v>
      </c>
      <c r="L128" s="46">
        <v>53.6</v>
      </c>
      <c r="M128" s="46">
        <v>52.4</v>
      </c>
      <c r="N128" s="46">
        <v>51.8</v>
      </c>
      <c r="O128" s="46">
        <v>51.8</v>
      </c>
      <c r="P128" s="46">
        <v>52.2</v>
      </c>
      <c r="Q128" s="46">
        <v>52.8</v>
      </c>
      <c r="R128" s="46">
        <v>51.9</v>
      </c>
      <c r="S128" s="46">
        <v>52.6</v>
      </c>
      <c r="T128" s="46">
        <v>50.3</v>
      </c>
      <c r="U128" s="46">
        <v>53.7</v>
      </c>
      <c r="V128" s="46">
        <v>51.7</v>
      </c>
      <c r="W128" s="46">
        <v>51.9</v>
      </c>
      <c r="X128" s="46">
        <v>51.8</v>
      </c>
      <c r="Y128" s="46">
        <v>52.3</v>
      </c>
      <c r="Z128" s="46">
        <v>53.5</v>
      </c>
      <c r="AA128" s="46">
        <v>51.9</v>
      </c>
      <c r="AB128" s="46" t="s">
        <v>160</v>
      </c>
      <c r="AC128" s="46" t="s">
        <v>160</v>
      </c>
    </row>
  </sheetData>
  <dataValidations count="1">
    <dataValidation type="list" allowBlank="1" showInputMessage="1" showErrorMessage="1" sqref="G1:G2">
      <formula1>QTRS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128"/>
  <sheetViews>
    <sheetView workbookViewId="0"/>
  </sheetViews>
  <sheetFormatPr defaultColWidth="8.75" defaultRowHeight="14.25"/>
  <cols>
    <col min="1" max="1" width="4.25" style="46" bestFit="1" customWidth="1"/>
    <col min="2" max="2" width="2.75" style="46" bestFit="1" customWidth="1"/>
    <col min="3" max="4" width="4.375" style="46" bestFit="1" customWidth="1"/>
    <col min="5" max="5" width="6.75" style="46" bestFit="1" customWidth="1"/>
    <col min="6" max="6" width="46.375" style="46" bestFit="1" customWidth="1"/>
    <col min="7" max="9" width="8.75" style="46"/>
    <col min="10" max="29" width="10.375" style="46" customWidth="1"/>
    <col min="30" max="16384" width="8.75" style="46"/>
  </cols>
  <sheetData>
    <row r="1" spans="1:30">
      <c r="B1" s="53"/>
      <c r="C1" s="53"/>
      <c r="D1" s="53"/>
      <c r="E1" s="53"/>
      <c r="F1" s="54" t="s">
        <v>610</v>
      </c>
      <c r="G1" s="55" t="str">
        <f>DebtRatios!$G$1</f>
        <v>2014Q3</v>
      </c>
      <c r="H1" s="56">
        <f>MATCH(G1,$J$1:$XFD$1,0)</f>
        <v>7</v>
      </c>
      <c r="I1" s="56" t="s">
        <v>608</v>
      </c>
      <c r="J1" s="57" t="str">
        <f>LEFT(RIGHT(J10,5),4)&amp;LEFT(RIGHT(J10,8),2)</f>
        <v>2013Q1</v>
      </c>
      <c r="K1" s="57" t="str">
        <f t="shared" ref="K1:AC1" si="0">LEFT(RIGHT(K10,5),4)&amp;LEFT(RIGHT(K10,8),2)</f>
        <v>2013Q2</v>
      </c>
      <c r="L1" s="57" t="str">
        <f t="shared" si="0"/>
        <v>2013Q3</v>
      </c>
      <c r="M1" s="57" t="str">
        <f t="shared" si="0"/>
        <v>2013Q4</v>
      </c>
      <c r="N1" s="57" t="str">
        <f t="shared" si="0"/>
        <v>2014Q1</v>
      </c>
      <c r="O1" s="57" t="str">
        <f t="shared" si="0"/>
        <v>2014Q2</v>
      </c>
      <c r="P1" s="57" t="str">
        <f t="shared" si="0"/>
        <v>2014Q3</v>
      </c>
      <c r="Q1" s="57" t="str">
        <f t="shared" si="0"/>
        <v>2014Q4</v>
      </c>
      <c r="R1" s="57" t="str">
        <f t="shared" si="0"/>
        <v>2015Q1</v>
      </c>
      <c r="S1" s="57" t="str">
        <f t="shared" si="0"/>
        <v>2015Q2</v>
      </c>
      <c r="T1" s="57" t="str">
        <f t="shared" si="0"/>
        <v>2015Q3</v>
      </c>
      <c r="U1" s="57" t="str">
        <f t="shared" si="0"/>
        <v>2015Q4</v>
      </c>
      <c r="V1" s="57" t="str">
        <f t="shared" si="0"/>
        <v>2016Q1</v>
      </c>
      <c r="W1" s="57" t="str">
        <f t="shared" si="0"/>
        <v>2016Q2</v>
      </c>
      <c r="X1" s="57" t="str">
        <f t="shared" si="0"/>
        <v>2016Q3</v>
      </c>
      <c r="Y1" s="57" t="str">
        <f t="shared" si="0"/>
        <v>2016Q4</v>
      </c>
      <c r="Z1" s="57" t="str">
        <f t="shared" si="0"/>
        <v>2017Q1</v>
      </c>
      <c r="AA1" s="57" t="str">
        <f t="shared" si="0"/>
        <v>2017Q2</v>
      </c>
      <c r="AB1" s="57" t="str">
        <f t="shared" si="0"/>
        <v>2017Q3</v>
      </c>
      <c r="AC1" s="57" t="str">
        <f t="shared" si="0"/>
        <v>2017Q4</v>
      </c>
    </row>
    <row r="2" spans="1:30">
      <c r="C2" s="53"/>
      <c r="D2" s="53"/>
      <c r="E2" s="53"/>
      <c r="F2" s="54" t="s">
        <v>611</v>
      </c>
      <c r="G2" s="55" t="str">
        <f>DebtRatios!$G$2</f>
        <v>2017Q2</v>
      </c>
      <c r="H2" s="56">
        <f>MATCH(G2,$J$1:$XFD$1,0)</f>
        <v>18</v>
      </c>
      <c r="I2" s="58" t="s">
        <v>32</v>
      </c>
      <c r="J2" s="53">
        <f t="shared" ref="J2:AC2" ca="1" si="1">COUNTIFS(J$11:J$130,"&gt;0",$B$11:$B$130,$I$2)</f>
        <v>88</v>
      </c>
      <c r="K2" s="53">
        <f t="shared" ca="1" si="1"/>
        <v>88</v>
      </c>
      <c r="L2" s="53">
        <f t="shared" ca="1" si="1"/>
        <v>89</v>
      </c>
      <c r="M2" s="53">
        <f t="shared" ca="1" si="1"/>
        <v>87</v>
      </c>
      <c r="N2" s="53">
        <f t="shared" ca="1" si="1"/>
        <v>90</v>
      </c>
      <c r="O2" s="53">
        <f t="shared" ca="1" si="1"/>
        <v>89</v>
      </c>
      <c r="P2" s="53">
        <f t="shared" ca="1" si="1"/>
        <v>86</v>
      </c>
      <c r="Q2" s="53">
        <f t="shared" ca="1" si="1"/>
        <v>80</v>
      </c>
      <c r="R2" s="53">
        <f t="shared" ca="1" si="1"/>
        <v>94</v>
      </c>
      <c r="S2" s="53">
        <f t="shared" ca="1" si="1"/>
        <v>96</v>
      </c>
      <c r="T2" s="53">
        <f t="shared" ca="1" si="1"/>
        <v>95</v>
      </c>
      <c r="U2" s="53">
        <f t="shared" ca="1" si="1"/>
        <v>90</v>
      </c>
      <c r="V2" s="53">
        <f t="shared" ca="1" si="1"/>
        <v>90</v>
      </c>
      <c r="W2" s="53">
        <f t="shared" ca="1" si="1"/>
        <v>99</v>
      </c>
      <c r="X2" s="53">
        <f t="shared" ca="1" si="1"/>
        <v>97</v>
      </c>
      <c r="Y2" s="53">
        <f t="shared" ca="1" si="1"/>
        <v>94</v>
      </c>
      <c r="Z2" s="53">
        <f t="shared" ca="1" si="1"/>
        <v>96</v>
      </c>
      <c r="AA2" s="53">
        <f t="shared" ca="1" si="1"/>
        <v>97</v>
      </c>
      <c r="AB2" s="53">
        <f t="shared" si="1"/>
        <v>0</v>
      </c>
      <c r="AC2" s="53">
        <f t="shared" si="1"/>
        <v>0</v>
      </c>
    </row>
    <row r="3" spans="1:30">
      <c r="C3" s="53"/>
      <c r="D3" s="53"/>
      <c r="E3" s="53"/>
      <c r="F3" s="53"/>
      <c r="G3" s="53"/>
      <c r="H3" s="53"/>
      <c r="I3" s="58" t="s">
        <v>118</v>
      </c>
      <c r="J3" s="53">
        <f t="shared" ref="J3:AC3" ca="1" si="2">COUNTIFS(J$11:J$130,"&gt;0",$B$11:$B$130,$I$3)</f>
        <v>9</v>
      </c>
      <c r="K3" s="53">
        <f t="shared" ca="1" si="2"/>
        <v>10</v>
      </c>
      <c r="L3" s="53">
        <f t="shared" ca="1" si="2"/>
        <v>8</v>
      </c>
      <c r="M3" s="53">
        <f t="shared" ca="1" si="2"/>
        <v>10</v>
      </c>
      <c r="N3" s="53">
        <f t="shared" ca="1" si="2"/>
        <v>10</v>
      </c>
      <c r="O3" s="53">
        <f t="shared" ca="1" si="2"/>
        <v>11</v>
      </c>
      <c r="P3" s="53">
        <f t="shared" ca="1" si="2"/>
        <v>10</v>
      </c>
      <c r="Q3" s="53">
        <f t="shared" ca="1" si="2"/>
        <v>11</v>
      </c>
      <c r="R3" s="53">
        <f t="shared" ca="1" si="2"/>
        <v>11</v>
      </c>
      <c r="S3" s="53">
        <f t="shared" ca="1" si="2"/>
        <v>9</v>
      </c>
      <c r="T3" s="53">
        <f t="shared" ca="1" si="2"/>
        <v>9</v>
      </c>
      <c r="U3" s="53">
        <f t="shared" ca="1" si="2"/>
        <v>10</v>
      </c>
      <c r="V3" s="53">
        <f t="shared" ca="1" si="2"/>
        <v>10</v>
      </c>
      <c r="W3" s="53">
        <f t="shared" ca="1" si="2"/>
        <v>10</v>
      </c>
      <c r="X3" s="53">
        <f t="shared" ca="1" si="2"/>
        <v>8</v>
      </c>
      <c r="Y3" s="53">
        <f t="shared" ca="1" si="2"/>
        <v>10</v>
      </c>
      <c r="Z3" s="53">
        <f t="shared" ca="1" si="2"/>
        <v>10</v>
      </c>
      <c r="AA3" s="53">
        <f t="shared" ca="1" si="2"/>
        <v>9</v>
      </c>
      <c r="AB3" s="53">
        <f t="shared" si="2"/>
        <v>0</v>
      </c>
      <c r="AC3" s="53">
        <f t="shared" si="2"/>
        <v>0</v>
      </c>
    </row>
    <row r="4" spans="1:30">
      <c r="C4" s="53"/>
      <c r="D4" s="53"/>
      <c r="F4" s="53"/>
      <c r="G4" s="53"/>
      <c r="H4" s="53"/>
      <c r="I4" s="58" t="s">
        <v>547</v>
      </c>
      <c r="J4" s="53">
        <f>COUNTIFS(J$11:J$130,"&gt;0")</f>
        <v>97</v>
      </c>
      <c r="K4" s="53">
        <f t="shared" ref="K4:AC4" si="3">COUNTIFS(K$11:K$130,"&gt;0")</f>
        <v>98</v>
      </c>
      <c r="L4" s="53">
        <f t="shared" si="3"/>
        <v>97</v>
      </c>
      <c r="M4" s="53">
        <f t="shared" si="3"/>
        <v>97</v>
      </c>
      <c r="N4" s="53">
        <f t="shared" si="3"/>
        <v>100</v>
      </c>
      <c r="O4" s="53">
        <f t="shared" si="3"/>
        <v>100</v>
      </c>
      <c r="P4" s="53">
        <f t="shared" si="3"/>
        <v>96</v>
      </c>
      <c r="Q4" s="53">
        <f t="shared" si="3"/>
        <v>91</v>
      </c>
      <c r="R4" s="53">
        <f t="shared" si="3"/>
        <v>105</v>
      </c>
      <c r="S4" s="53">
        <f t="shared" si="3"/>
        <v>105</v>
      </c>
      <c r="T4" s="53">
        <f t="shared" si="3"/>
        <v>104</v>
      </c>
      <c r="U4" s="53">
        <f t="shared" si="3"/>
        <v>100</v>
      </c>
      <c r="V4" s="53">
        <f t="shared" si="3"/>
        <v>100</v>
      </c>
      <c r="W4" s="53">
        <f t="shared" si="3"/>
        <v>109</v>
      </c>
      <c r="X4" s="53">
        <f t="shared" si="3"/>
        <v>105</v>
      </c>
      <c r="Y4" s="53">
        <f t="shared" si="3"/>
        <v>104</v>
      </c>
      <c r="Z4" s="53">
        <f t="shared" si="3"/>
        <v>106</v>
      </c>
      <c r="AA4" s="53">
        <f t="shared" si="3"/>
        <v>106</v>
      </c>
      <c r="AB4" s="53">
        <f t="shared" si="3"/>
        <v>0</v>
      </c>
      <c r="AC4" s="53">
        <f t="shared" si="3"/>
        <v>0</v>
      </c>
    </row>
    <row r="5" spans="1:30">
      <c r="A5" s="59"/>
      <c r="D5" s="59"/>
      <c r="E5" s="59"/>
      <c r="F5" s="59"/>
      <c r="G5" s="60" t="s">
        <v>612</v>
      </c>
      <c r="H5" s="56">
        <f>H2-H1+1</f>
        <v>12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30">
      <c r="A6" s="59"/>
      <c r="D6" s="59"/>
      <c r="E6" s="59"/>
      <c r="F6" s="59"/>
      <c r="G6" s="60" t="s">
        <v>613</v>
      </c>
      <c r="H6" s="56">
        <f>MATCH(9.99999999999999E+307,J:J)-ROW(J10)</f>
        <v>118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0">
      <c r="F7" s="47" t="s">
        <v>607</v>
      </c>
    </row>
    <row r="8" spans="1:30" ht="15">
      <c r="F8" s="48" t="s">
        <v>140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</row>
    <row r="9" spans="1:30" ht="15"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spans="1:30" ht="72">
      <c r="A10" s="64" t="s">
        <v>542</v>
      </c>
      <c r="B10" s="64" t="s">
        <v>28</v>
      </c>
      <c r="C10" s="65" t="s">
        <v>543</v>
      </c>
      <c r="D10" s="65" t="s">
        <v>544</v>
      </c>
      <c r="E10" s="65" t="s">
        <v>545</v>
      </c>
      <c r="F10" s="50" t="s">
        <v>142</v>
      </c>
      <c r="G10" s="50" t="s">
        <v>143</v>
      </c>
      <c r="H10" s="50" t="s">
        <v>144</v>
      </c>
      <c r="I10" s="50" t="s">
        <v>145</v>
      </c>
      <c r="J10" s="51" t="s">
        <v>616</v>
      </c>
      <c r="K10" s="51" t="s">
        <v>617</v>
      </c>
      <c r="L10" s="51" t="s">
        <v>618</v>
      </c>
      <c r="M10" s="51" t="s">
        <v>619</v>
      </c>
      <c r="N10" s="51" t="s">
        <v>620</v>
      </c>
      <c r="O10" s="51" t="s">
        <v>621</v>
      </c>
      <c r="P10" s="51" t="s">
        <v>622</v>
      </c>
      <c r="Q10" s="51" t="s">
        <v>623</v>
      </c>
      <c r="R10" s="51" t="s">
        <v>624</v>
      </c>
      <c r="S10" s="51" t="s">
        <v>625</v>
      </c>
      <c r="T10" s="51" t="s">
        <v>626</v>
      </c>
      <c r="U10" s="51" t="s">
        <v>627</v>
      </c>
      <c r="V10" s="51" t="s">
        <v>628</v>
      </c>
      <c r="W10" s="51" t="s">
        <v>629</v>
      </c>
      <c r="X10" s="51" t="s">
        <v>630</v>
      </c>
      <c r="Y10" s="51" t="s">
        <v>631</v>
      </c>
      <c r="Z10" s="51" t="s">
        <v>632</v>
      </c>
      <c r="AA10" s="51" t="s">
        <v>633</v>
      </c>
      <c r="AB10" s="51" t="s">
        <v>634</v>
      </c>
      <c r="AC10" s="51" t="s">
        <v>635</v>
      </c>
      <c r="AD10" s="61"/>
    </row>
    <row r="11" spans="1:30">
      <c r="A11" s="62">
        <f ca="1">MATCH(F11,RATINGSname,0)</f>
        <v>1</v>
      </c>
      <c r="B11" s="62" t="str">
        <f ca="1">INDEX(RATINGSindus,A11)</f>
        <v>E</v>
      </c>
      <c r="C11" s="62" t="str">
        <f t="shared" ref="C11:C74" ca="1" si="4">INDEX(RATINGSlocalcurrLT,A11)</f>
        <v>NR</v>
      </c>
      <c r="D11" s="62" t="str">
        <f ca="1">IFERROR(VLOOKUP(C11,CR,2,FALSE),"")</f>
        <v/>
      </c>
      <c r="E11" s="63">
        <f ca="1">IFERROR(AVERAGE(OFFSET(I11,0,$H$1,1,$H$2-$H$1+1)),"N/A")</f>
        <v>15.664444444444447</v>
      </c>
      <c r="F11" s="46" t="s">
        <v>294</v>
      </c>
      <c r="G11" s="46" t="s">
        <v>160</v>
      </c>
      <c r="H11" s="46" t="s">
        <v>295</v>
      </c>
      <c r="I11" s="46" t="s">
        <v>326</v>
      </c>
      <c r="J11" s="46">
        <v>-3.84</v>
      </c>
      <c r="K11" s="46">
        <v>-10.4</v>
      </c>
      <c r="L11" s="46">
        <v>-38</v>
      </c>
      <c r="M11" s="46" t="s">
        <v>160</v>
      </c>
      <c r="N11" s="46">
        <v>38.1</v>
      </c>
      <c r="O11" s="46">
        <v>-6.55</v>
      </c>
      <c r="P11" s="46">
        <v>-4.26</v>
      </c>
      <c r="Q11" s="46">
        <v>31.2</v>
      </c>
      <c r="R11" s="46">
        <v>13.2</v>
      </c>
      <c r="S11" s="46">
        <v>16.600000000000001</v>
      </c>
      <c r="T11" s="46">
        <v>17.3</v>
      </c>
      <c r="U11" s="46">
        <v>15.4</v>
      </c>
      <c r="V11" s="46">
        <v>-3.76</v>
      </c>
      <c r="W11" s="46">
        <v>28</v>
      </c>
      <c r="X11" s="46">
        <v>27.3</v>
      </c>
      <c r="Y11" s="46" t="s">
        <v>160</v>
      </c>
      <c r="Z11" s="46" t="s">
        <v>160</v>
      </c>
      <c r="AA11" s="46" t="s">
        <v>160</v>
      </c>
      <c r="AB11" s="46" t="s">
        <v>160</v>
      </c>
      <c r="AC11" s="46" t="s">
        <v>160</v>
      </c>
    </row>
    <row r="12" spans="1:30">
      <c r="A12" s="62">
        <f t="shared" ref="A12:A74" ca="1" si="5">MATCH(F12,RATINGSname,0)</f>
        <v>2</v>
      </c>
      <c r="B12" s="62" t="str">
        <f t="shared" ref="B12:B74" ca="1" si="6">INDEX(RATINGSindus,A12)</f>
        <v>E</v>
      </c>
      <c r="C12" s="62" t="str">
        <f t="shared" ca="1" si="4"/>
        <v>NR</v>
      </c>
      <c r="D12" s="62" t="str">
        <f t="shared" ref="D12:D74" ca="1" si="7">IFERROR(VLOOKUP(C12,CR,2,FALSE),"")</f>
        <v/>
      </c>
      <c r="E12" s="63">
        <f t="shared" ref="E12:E74" ca="1" si="8">IFERROR(AVERAGE(OFFSET(I12,0,$H$1,1,$H$2-$H$1+1)),"N/A")</f>
        <v>21.666666666666664</v>
      </c>
      <c r="F12" s="46" t="s">
        <v>297</v>
      </c>
      <c r="G12" s="46" t="s">
        <v>160</v>
      </c>
      <c r="H12" s="46" t="s">
        <v>298</v>
      </c>
      <c r="I12" s="46" t="s">
        <v>326</v>
      </c>
      <c r="J12" s="46">
        <v>21.4</v>
      </c>
      <c r="K12" s="46">
        <v>21.1</v>
      </c>
      <c r="L12" s="46">
        <v>23.6</v>
      </c>
      <c r="M12" s="46">
        <v>10.7</v>
      </c>
      <c r="N12" s="46">
        <v>20.8</v>
      </c>
      <c r="O12" s="46">
        <v>17.100000000000001</v>
      </c>
      <c r="P12" s="46">
        <v>32.5</v>
      </c>
      <c r="Q12" s="46">
        <v>14.1</v>
      </c>
      <c r="R12" s="46">
        <v>19</v>
      </c>
      <c r="S12" s="46">
        <v>21.3</v>
      </c>
      <c r="T12" s="46">
        <v>22.3</v>
      </c>
      <c r="U12" s="46">
        <v>19</v>
      </c>
      <c r="V12" s="46">
        <v>23.7</v>
      </c>
      <c r="W12" s="46">
        <v>21.7</v>
      </c>
      <c r="X12" s="46">
        <v>21.4</v>
      </c>
      <c r="Y12" s="46" t="s">
        <v>160</v>
      </c>
      <c r="Z12" s="46" t="s">
        <v>160</v>
      </c>
      <c r="AA12" s="46" t="s">
        <v>160</v>
      </c>
      <c r="AB12" s="46" t="s">
        <v>160</v>
      </c>
      <c r="AC12" s="46" t="s">
        <v>160</v>
      </c>
    </row>
    <row r="13" spans="1:30">
      <c r="A13" s="62">
        <f t="shared" ca="1" si="5"/>
        <v>3</v>
      </c>
      <c r="B13" s="62" t="str">
        <f t="shared" ca="1" si="6"/>
        <v>E</v>
      </c>
      <c r="C13" s="62" t="str">
        <f t="shared" ca="1" si="4"/>
        <v>A-</v>
      </c>
      <c r="D13" s="62">
        <f t="shared" ca="1" si="7"/>
        <v>15</v>
      </c>
      <c r="E13" s="63">
        <f t="shared" ca="1" si="8"/>
        <v>27.400000000000002</v>
      </c>
      <c r="F13" s="46" t="s">
        <v>299</v>
      </c>
      <c r="G13" s="46" t="s">
        <v>160</v>
      </c>
      <c r="H13" s="46" t="s">
        <v>300</v>
      </c>
      <c r="I13" s="46" t="s">
        <v>473</v>
      </c>
      <c r="J13" s="46">
        <v>22</v>
      </c>
      <c r="K13" s="46">
        <v>23.2</v>
      </c>
      <c r="L13" s="46">
        <v>38.200000000000003</v>
      </c>
      <c r="M13" s="46">
        <v>22.7</v>
      </c>
      <c r="N13" s="46">
        <v>26.5</v>
      </c>
      <c r="O13" s="46">
        <v>24.6</v>
      </c>
      <c r="P13" s="46">
        <v>30.7</v>
      </c>
      <c r="Q13" s="46">
        <v>24</v>
      </c>
      <c r="R13" s="46">
        <v>20.7</v>
      </c>
      <c r="S13" s="46">
        <v>28.5</v>
      </c>
      <c r="T13" s="46">
        <v>26.6</v>
      </c>
      <c r="U13" s="46">
        <v>34.799999999999997</v>
      </c>
      <c r="V13" s="46">
        <v>24.9</v>
      </c>
      <c r="W13" s="46">
        <v>27.7</v>
      </c>
      <c r="X13" s="46">
        <v>35.299999999999997</v>
      </c>
      <c r="Y13" s="46">
        <v>23.9</v>
      </c>
      <c r="Z13" s="46">
        <v>22.6</v>
      </c>
      <c r="AA13" s="46">
        <v>29.1</v>
      </c>
      <c r="AB13" s="46" t="s">
        <v>160</v>
      </c>
      <c r="AC13" s="46" t="s">
        <v>160</v>
      </c>
    </row>
    <row r="14" spans="1:30">
      <c r="A14" s="62">
        <f t="shared" ca="1" si="5"/>
        <v>4</v>
      </c>
      <c r="B14" s="62" t="str">
        <f t="shared" ca="1" si="6"/>
        <v>E</v>
      </c>
      <c r="C14" s="62" t="str">
        <f t="shared" ca="1" si="4"/>
        <v>BBB+</v>
      </c>
      <c r="D14" s="62">
        <f t="shared" ca="1" si="7"/>
        <v>14</v>
      </c>
      <c r="E14" s="63">
        <f t="shared" ca="1" si="8"/>
        <v>20.758333333333333</v>
      </c>
      <c r="F14" s="46" t="s">
        <v>34</v>
      </c>
      <c r="G14" s="46" t="s">
        <v>155</v>
      </c>
      <c r="H14" s="46" t="s">
        <v>156</v>
      </c>
      <c r="I14" s="46" t="s">
        <v>326</v>
      </c>
      <c r="J14" s="46">
        <v>21.2</v>
      </c>
      <c r="K14" s="46">
        <v>14.8</v>
      </c>
      <c r="L14" s="46">
        <v>19.3</v>
      </c>
      <c r="M14" s="46">
        <v>22.8</v>
      </c>
      <c r="N14" s="46">
        <v>20.8</v>
      </c>
      <c r="O14" s="46">
        <v>14.5</v>
      </c>
      <c r="P14" s="46">
        <v>22.5</v>
      </c>
      <c r="Q14" s="46">
        <v>19.899999999999999</v>
      </c>
      <c r="R14" s="46">
        <v>21.2</v>
      </c>
      <c r="S14" s="46">
        <v>17</v>
      </c>
      <c r="T14" s="46">
        <v>25.8</v>
      </c>
      <c r="U14" s="46">
        <v>22.2</v>
      </c>
      <c r="V14" s="46">
        <v>22.4</v>
      </c>
      <c r="W14" s="46">
        <v>17.600000000000001</v>
      </c>
      <c r="X14" s="46">
        <v>21.3</v>
      </c>
      <c r="Y14" s="46">
        <v>16.600000000000001</v>
      </c>
      <c r="Z14" s="46">
        <v>23.9</v>
      </c>
      <c r="AA14" s="46">
        <v>18.7</v>
      </c>
      <c r="AB14" s="46" t="s">
        <v>160</v>
      </c>
      <c r="AC14" s="46" t="s">
        <v>160</v>
      </c>
    </row>
    <row r="15" spans="1:30">
      <c r="A15" s="62">
        <f t="shared" ca="1" si="5"/>
        <v>5</v>
      </c>
      <c r="B15" s="62" t="str">
        <f t="shared" ca="1" si="6"/>
        <v>E</v>
      </c>
      <c r="C15" s="62" t="str">
        <f t="shared" ca="1" si="4"/>
        <v>BBB+</v>
      </c>
      <c r="D15" s="62">
        <f t="shared" ca="1" si="7"/>
        <v>14</v>
      </c>
      <c r="E15" s="63">
        <f t="shared" ca="1" si="8"/>
        <v>30.733333333333334</v>
      </c>
      <c r="F15" s="46" t="s">
        <v>303</v>
      </c>
      <c r="G15" s="46" t="s">
        <v>160</v>
      </c>
      <c r="H15" s="46" t="s">
        <v>304</v>
      </c>
      <c r="I15" s="46" t="s">
        <v>326</v>
      </c>
      <c r="J15" s="46">
        <v>33.9</v>
      </c>
      <c r="K15" s="46">
        <v>25.2</v>
      </c>
      <c r="L15" s="46">
        <v>44.4</v>
      </c>
      <c r="M15" s="46">
        <v>13.3</v>
      </c>
      <c r="N15" s="46">
        <v>32</v>
      </c>
      <c r="O15" s="46">
        <v>21.7</v>
      </c>
      <c r="P15" s="46">
        <v>40.6</v>
      </c>
      <c r="Q15" s="46">
        <v>30.5</v>
      </c>
      <c r="R15" s="46">
        <v>25.7</v>
      </c>
      <c r="S15" s="46">
        <v>25.3</v>
      </c>
      <c r="T15" s="46">
        <v>39.4</v>
      </c>
      <c r="U15" s="46">
        <v>32.6</v>
      </c>
      <c r="V15" s="46">
        <v>28</v>
      </c>
      <c r="W15" s="46">
        <v>23.9</v>
      </c>
      <c r="X15" s="46">
        <v>42</v>
      </c>
      <c r="Y15" s="46">
        <v>18.8</v>
      </c>
      <c r="Z15" s="46">
        <v>32.1</v>
      </c>
      <c r="AA15" s="46">
        <v>29.9</v>
      </c>
      <c r="AB15" s="46" t="s">
        <v>160</v>
      </c>
      <c r="AC15" s="46" t="s">
        <v>160</v>
      </c>
    </row>
    <row r="16" spans="1:30">
      <c r="A16" s="62">
        <f t="shared" ca="1" si="5"/>
        <v>6</v>
      </c>
      <c r="B16" s="62" t="str">
        <f t="shared" ca="1" si="6"/>
        <v>E</v>
      </c>
      <c r="C16" s="62" t="str">
        <f t="shared" ca="1" si="4"/>
        <v>A-</v>
      </c>
      <c r="D16" s="62">
        <f t="shared" ca="1" si="7"/>
        <v>15</v>
      </c>
      <c r="E16" s="63">
        <f t="shared" ca="1" si="8"/>
        <v>20.483333333333334</v>
      </c>
      <c r="F16" s="46" t="s">
        <v>306</v>
      </c>
      <c r="G16" s="46" t="s">
        <v>160</v>
      </c>
      <c r="H16" s="46" t="s">
        <v>307</v>
      </c>
      <c r="I16" s="46" t="s">
        <v>326</v>
      </c>
      <c r="J16" s="46">
        <v>17.2</v>
      </c>
      <c r="K16" s="46">
        <v>13.2</v>
      </c>
      <c r="L16" s="46">
        <v>20.3</v>
      </c>
      <c r="M16" s="46">
        <v>12.9</v>
      </c>
      <c r="N16" s="46">
        <v>24.8</v>
      </c>
      <c r="O16" s="46">
        <v>14.9</v>
      </c>
      <c r="P16" s="46">
        <v>16.5</v>
      </c>
      <c r="Q16" s="46">
        <v>14</v>
      </c>
      <c r="R16" s="46">
        <v>27.1</v>
      </c>
      <c r="S16" s="46">
        <v>20.7</v>
      </c>
      <c r="T16" s="46">
        <v>20.6</v>
      </c>
      <c r="U16" s="46">
        <v>20.5</v>
      </c>
      <c r="V16" s="46">
        <v>25.2</v>
      </c>
      <c r="W16" s="46">
        <v>19</v>
      </c>
      <c r="X16" s="46">
        <v>21.8</v>
      </c>
      <c r="Y16" s="46">
        <v>17.899999999999999</v>
      </c>
      <c r="Z16" s="46">
        <v>25.1</v>
      </c>
      <c r="AA16" s="46">
        <v>17.399999999999999</v>
      </c>
      <c r="AB16" s="46" t="s">
        <v>160</v>
      </c>
      <c r="AC16" s="46" t="s">
        <v>160</v>
      </c>
    </row>
    <row r="17" spans="1:29">
      <c r="A17" s="62">
        <f t="shared" ca="1" si="5"/>
        <v>7</v>
      </c>
      <c r="B17" s="62" t="str">
        <f t="shared" ca="1" si="6"/>
        <v>E</v>
      </c>
      <c r="C17" s="62" t="str">
        <f t="shared" ca="1" si="4"/>
        <v>A-</v>
      </c>
      <c r="D17" s="62">
        <f t="shared" ca="1" si="7"/>
        <v>15</v>
      </c>
      <c r="E17" s="63">
        <f t="shared" ca="1" si="8"/>
        <v>27.866666666666671</v>
      </c>
      <c r="F17" s="46" t="s">
        <v>308</v>
      </c>
      <c r="G17" s="46" t="s">
        <v>160</v>
      </c>
      <c r="H17" s="46" t="s">
        <v>309</v>
      </c>
      <c r="I17" s="46" t="s">
        <v>551</v>
      </c>
      <c r="J17" s="46">
        <v>16.899999999999999</v>
      </c>
      <c r="K17" s="46">
        <v>30.6</v>
      </c>
      <c r="L17" s="46">
        <v>54.3</v>
      </c>
      <c r="M17" s="46">
        <v>21.7</v>
      </c>
      <c r="N17" s="46">
        <v>15.3</v>
      </c>
      <c r="O17" s="46">
        <v>30.6</v>
      </c>
      <c r="P17" s="46">
        <v>41.6</v>
      </c>
      <c r="Q17" s="46">
        <v>21.6</v>
      </c>
      <c r="R17" s="46">
        <v>14.7</v>
      </c>
      <c r="S17" s="46">
        <v>27</v>
      </c>
      <c r="T17" s="46">
        <v>44.7</v>
      </c>
      <c r="U17" s="46">
        <v>33.5</v>
      </c>
      <c r="V17" s="46">
        <v>12.5</v>
      </c>
      <c r="W17" s="46">
        <v>27</v>
      </c>
      <c r="X17" s="46">
        <v>44.6</v>
      </c>
      <c r="Y17" s="46">
        <v>23.4</v>
      </c>
      <c r="Z17" s="46">
        <v>14</v>
      </c>
      <c r="AA17" s="46">
        <v>29.8</v>
      </c>
      <c r="AB17" s="46" t="s">
        <v>160</v>
      </c>
      <c r="AC17" s="46" t="s">
        <v>160</v>
      </c>
    </row>
    <row r="18" spans="1:29">
      <c r="A18" s="62">
        <f t="shared" ca="1" si="5"/>
        <v>8</v>
      </c>
      <c r="B18" s="62" t="str">
        <f t="shared" ca="1" si="6"/>
        <v>E</v>
      </c>
      <c r="C18" s="62" t="str">
        <f t="shared" ca="1" si="4"/>
        <v>BBB+</v>
      </c>
      <c r="D18" s="62">
        <f t="shared" ca="1" si="7"/>
        <v>14</v>
      </c>
      <c r="E18" s="63">
        <f t="shared" ca="1" si="8"/>
        <v>15.024999999999999</v>
      </c>
      <c r="F18" s="46" t="s">
        <v>311</v>
      </c>
      <c r="G18" s="46" t="s">
        <v>160</v>
      </c>
      <c r="H18" s="46" t="s">
        <v>312</v>
      </c>
      <c r="I18" s="46" t="s">
        <v>473</v>
      </c>
      <c r="J18" s="46">
        <v>12</v>
      </c>
      <c r="K18" s="46">
        <v>18.600000000000001</v>
      </c>
      <c r="L18" s="46">
        <v>30.3</v>
      </c>
      <c r="M18" s="46">
        <v>16.2</v>
      </c>
      <c r="N18" s="46">
        <v>17.3</v>
      </c>
      <c r="O18" s="46">
        <v>13.1</v>
      </c>
      <c r="P18" s="46">
        <v>27.8</v>
      </c>
      <c r="Q18" s="46">
        <v>16.899999999999999</v>
      </c>
      <c r="R18" s="46">
        <v>13.8</v>
      </c>
      <c r="S18" s="46">
        <v>16.600000000000001</v>
      </c>
      <c r="T18" s="46">
        <v>21</v>
      </c>
      <c r="U18" s="46">
        <v>19.8</v>
      </c>
      <c r="V18" s="46">
        <v>-45.3</v>
      </c>
      <c r="W18" s="46">
        <v>14.5</v>
      </c>
      <c r="X18" s="46">
        <v>43.9</v>
      </c>
      <c r="Y18" s="46">
        <v>24.5</v>
      </c>
      <c r="Z18" s="46">
        <v>16.2</v>
      </c>
      <c r="AA18" s="46">
        <v>10.6</v>
      </c>
      <c r="AB18" s="46" t="s">
        <v>160</v>
      </c>
      <c r="AC18" s="46" t="s">
        <v>160</v>
      </c>
    </row>
    <row r="19" spans="1:29">
      <c r="A19" s="62">
        <f t="shared" ca="1" si="5"/>
        <v>9</v>
      </c>
      <c r="B19" s="62" t="str">
        <f t="shared" ca="1" si="6"/>
        <v>G</v>
      </c>
      <c r="C19" s="62" t="str">
        <f t="shared" ca="1" si="4"/>
        <v>A</v>
      </c>
      <c r="D19" s="62">
        <f t="shared" ca="1" si="7"/>
        <v>16</v>
      </c>
      <c r="E19" s="63">
        <f t="shared" ca="1" si="8"/>
        <v>27.633333333333336</v>
      </c>
      <c r="F19" s="46" t="s">
        <v>119</v>
      </c>
      <c r="G19" s="46" t="s">
        <v>167</v>
      </c>
      <c r="H19" s="46" t="s">
        <v>168</v>
      </c>
      <c r="I19" s="46" t="s">
        <v>554</v>
      </c>
      <c r="J19" s="46">
        <v>33</v>
      </c>
      <c r="K19" s="46">
        <v>17.3</v>
      </c>
      <c r="L19" s="46">
        <v>11.4</v>
      </c>
      <c r="M19" s="46">
        <v>26.6</v>
      </c>
      <c r="N19" s="46">
        <v>42.5</v>
      </c>
      <c r="O19" s="46">
        <v>21.6</v>
      </c>
      <c r="P19" s="46">
        <v>21.3</v>
      </c>
      <c r="Q19" s="46">
        <v>31.2</v>
      </c>
      <c r="R19" s="46">
        <v>41.6</v>
      </c>
      <c r="S19" s="46">
        <v>22.3</v>
      </c>
      <c r="T19" s="46">
        <v>17.8</v>
      </c>
      <c r="U19" s="46">
        <v>30.1</v>
      </c>
      <c r="V19" s="46">
        <v>37.4</v>
      </c>
      <c r="W19" s="46">
        <v>24.4</v>
      </c>
      <c r="X19" s="46">
        <v>15.6</v>
      </c>
      <c r="Y19" s="46">
        <v>29.1</v>
      </c>
      <c r="Z19" s="46">
        <v>38.1</v>
      </c>
      <c r="AA19" s="46">
        <v>22.7</v>
      </c>
      <c r="AB19" s="46" t="s">
        <v>160</v>
      </c>
      <c r="AC19" s="46" t="s">
        <v>160</v>
      </c>
    </row>
    <row r="20" spans="1:29">
      <c r="A20" s="62">
        <f t="shared" ca="1" si="5"/>
        <v>10</v>
      </c>
      <c r="B20" s="62" t="str">
        <f t="shared" ca="1" si="6"/>
        <v>E</v>
      </c>
      <c r="C20" s="62" t="str">
        <f t="shared" ca="1" si="4"/>
        <v>BBB</v>
      </c>
      <c r="D20" s="62">
        <f t="shared" ca="1" si="7"/>
        <v>13</v>
      </c>
      <c r="E20" s="63">
        <f t="shared" ca="1" si="8"/>
        <v>21.183333333333334</v>
      </c>
      <c r="F20" s="46" t="s">
        <v>92</v>
      </c>
      <c r="G20" s="46" t="s">
        <v>174</v>
      </c>
      <c r="H20" s="46" t="s">
        <v>175</v>
      </c>
      <c r="I20" s="46" t="s">
        <v>551</v>
      </c>
      <c r="J20" s="46">
        <v>20.5</v>
      </c>
      <c r="K20" s="46">
        <v>15</v>
      </c>
      <c r="L20" s="46">
        <v>17.8</v>
      </c>
      <c r="M20" s="46">
        <v>16.3</v>
      </c>
      <c r="N20" s="46">
        <v>23.1</v>
      </c>
      <c r="O20" s="46">
        <v>25.2</v>
      </c>
      <c r="P20" s="46">
        <v>33.6</v>
      </c>
      <c r="Q20" s="46">
        <v>19.100000000000001</v>
      </c>
      <c r="R20" s="46">
        <v>18.5</v>
      </c>
      <c r="S20" s="46">
        <v>16.3</v>
      </c>
      <c r="T20" s="46">
        <v>12.6</v>
      </c>
      <c r="U20" s="46">
        <v>24.6</v>
      </c>
      <c r="V20" s="46">
        <v>28.4</v>
      </c>
      <c r="W20" s="46">
        <v>18.899999999999999</v>
      </c>
      <c r="X20" s="46">
        <v>17.7</v>
      </c>
      <c r="Y20" s="46">
        <v>24</v>
      </c>
      <c r="Z20" s="46">
        <v>23.8</v>
      </c>
      <c r="AA20" s="46">
        <v>16.7</v>
      </c>
      <c r="AB20" s="46" t="s">
        <v>160</v>
      </c>
      <c r="AC20" s="46" t="s">
        <v>160</v>
      </c>
    </row>
    <row r="21" spans="1:29">
      <c r="A21" s="62">
        <f t="shared" ca="1" si="5"/>
        <v>11</v>
      </c>
      <c r="B21" s="62" t="str">
        <f t="shared" ca="1" si="6"/>
        <v>E</v>
      </c>
      <c r="C21" s="62" t="str">
        <f t="shared" ca="1" si="4"/>
        <v>A-</v>
      </c>
      <c r="D21" s="62">
        <f t="shared" ca="1" si="7"/>
        <v>15</v>
      </c>
      <c r="E21" s="63">
        <f t="shared" ca="1" si="8"/>
        <v>28.675000000000001</v>
      </c>
      <c r="F21" s="46" t="s">
        <v>315</v>
      </c>
      <c r="G21" s="46" t="s">
        <v>160</v>
      </c>
      <c r="H21" s="46" t="s">
        <v>316</v>
      </c>
      <c r="I21" s="46" t="s">
        <v>473</v>
      </c>
      <c r="J21" s="46">
        <v>40.6</v>
      </c>
      <c r="K21" s="46">
        <v>20.2</v>
      </c>
      <c r="L21" s="46">
        <v>21.8</v>
      </c>
      <c r="M21" s="46">
        <v>23.7</v>
      </c>
      <c r="N21" s="46">
        <v>36</v>
      </c>
      <c r="O21" s="46">
        <v>19.600000000000001</v>
      </c>
      <c r="P21" s="46">
        <v>21.7</v>
      </c>
      <c r="Q21" s="46">
        <v>29</v>
      </c>
      <c r="R21" s="46">
        <v>37.6</v>
      </c>
      <c r="S21" s="46">
        <v>21.9</v>
      </c>
      <c r="T21" s="46">
        <v>22</v>
      </c>
      <c r="U21" s="46">
        <v>35.5</v>
      </c>
      <c r="V21" s="46">
        <v>33.5</v>
      </c>
      <c r="W21" s="46">
        <v>23.2</v>
      </c>
      <c r="X21" s="46">
        <v>24.6</v>
      </c>
      <c r="Y21" s="46">
        <v>34.700000000000003</v>
      </c>
      <c r="Z21" s="46">
        <v>39.299999999999997</v>
      </c>
      <c r="AA21" s="46">
        <v>21.1</v>
      </c>
      <c r="AB21" s="46" t="s">
        <v>160</v>
      </c>
      <c r="AC21" s="46" t="s">
        <v>160</v>
      </c>
    </row>
    <row r="22" spans="1:29">
      <c r="A22" s="62">
        <f t="shared" ca="1" si="5"/>
        <v>12</v>
      </c>
      <c r="B22" s="62" t="str">
        <f t="shared" ca="1" si="6"/>
        <v>E</v>
      </c>
      <c r="C22" s="62" t="str">
        <f t="shared" ca="1" si="4"/>
        <v>BBB</v>
      </c>
      <c r="D22" s="62">
        <f t="shared" ca="1" si="7"/>
        <v>13</v>
      </c>
      <c r="E22" s="63">
        <f t="shared" ca="1" si="8"/>
        <v>25.566666666666666</v>
      </c>
      <c r="F22" s="46" t="s">
        <v>317</v>
      </c>
      <c r="G22" s="46" t="s">
        <v>160</v>
      </c>
      <c r="H22" s="46" t="s">
        <v>318</v>
      </c>
      <c r="I22" s="46" t="s">
        <v>551</v>
      </c>
      <c r="J22" s="46">
        <v>18.7</v>
      </c>
      <c r="K22" s="46">
        <v>21.7</v>
      </c>
      <c r="L22" s="46">
        <v>27.4</v>
      </c>
      <c r="M22" s="46">
        <v>26.6</v>
      </c>
      <c r="N22" s="46">
        <v>26.9</v>
      </c>
      <c r="O22" s="46">
        <v>22.3</v>
      </c>
      <c r="P22" s="46">
        <v>28.5</v>
      </c>
      <c r="Q22" s="46">
        <v>23.6</v>
      </c>
      <c r="R22" s="46">
        <v>28.9</v>
      </c>
      <c r="S22" s="46">
        <v>31.2</v>
      </c>
      <c r="T22" s="46">
        <v>21</v>
      </c>
      <c r="U22" s="46">
        <v>21.3</v>
      </c>
      <c r="V22" s="46">
        <v>42.9</v>
      </c>
      <c r="W22" s="46">
        <v>19.899999999999999</v>
      </c>
      <c r="X22" s="46">
        <v>26.4</v>
      </c>
      <c r="Y22" s="46">
        <v>20.3</v>
      </c>
      <c r="Z22" s="46">
        <v>25.5</v>
      </c>
      <c r="AA22" s="46">
        <v>17.3</v>
      </c>
      <c r="AB22" s="46" t="s">
        <v>160</v>
      </c>
      <c r="AC22" s="46" t="s">
        <v>160</v>
      </c>
    </row>
    <row r="23" spans="1:29">
      <c r="A23" s="62">
        <f t="shared" ca="1" si="5"/>
        <v>13</v>
      </c>
      <c r="B23" s="62" t="str">
        <f t="shared" ca="1" si="6"/>
        <v>E</v>
      </c>
      <c r="C23" s="62" t="str">
        <f t="shared" ca="1" si="4"/>
        <v>A-</v>
      </c>
      <c r="D23" s="62">
        <f t="shared" ca="1" si="7"/>
        <v>15</v>
      </c>
      <c r="E23" s="63">
        <f t="shared" ca="1" si="8"/>
        <v>25.500909090909094</v>
      </c>
      <c r="F23" s="46" t="s">
        <v>319</v>
      </c>
      <c r="G23" s="46" t="s">
        <v>160</v>
      </c>
      <c r="H23" s="46" t="s">
        <v>320</v>
      </c>
      <c r="I23" s="46" t="s">
        <v>326</v>
      </c>
      <c r="J23" s="46">
        <v>17</v>
      </c>
      <c r="K23" s="46">
        <v>37.799999999999997</v>
      </c>
      <c r="L23" s="46">
        <v>63.6</v>
      </c>
      <c r="M23" s="46">
        <v>9.86</v>
      </c>
      <c r="N23" s="46">
        <v>22.1</v>
      </c>
      <c r="O23" s="46">
        <v>18</v>
      </c>
      <c r="P23" s="46">
        <v>49.5</v>
      </c>
      <c r="Q23" s="46" t="s">
        <v>160</v>
      </c>
      <c r="R23" s="46">
        <v>7.75</v>
      </c>
      <c r="S23" s="46">
        <v>19.399999999999999</v>
      </c>
      <c r="T23" s="46">
        <v>32.700000000000003</v>
      </c>
      <c r="U23" s="46">
        <v>40.5</v>
      </c>
      <c r="V23" s="46">
        <v>8.09</v>
      </c>
      <c r="W23" s="46">
        <v>30.9</v>
      </c>
      <c r="X23" s="46">
        <v>35</v>
      </c>
      <c r="Y23" s="46">
        <v>21</v>
      </c>
      <c r="Z23" s="46">
        <v>6.77</v>
      </c>
      <c r="AA23" s="46">
        <v>28.9</v>
      </c>
      <c r="AB23" s="46" t="s">
        <v>160</v>
      </c>
      <c r="AC23" s="46" t="s">
        <v>160</v>
      </c>
    </row>
    <row r="24" spans="1:29">
      <c r="A24" s="62">
        <f t="shared" ca="1" si="5"/>
        <v>14</v>
      </c>
      <c r="B24" s="62" t="str">
        <f t="shared" ca="1" si="6"/>
        <v>E</v>
      </c>
      <c r="C24" s="62" t="str">
        <f t="shared" ca="1" si="4"/>
        <v>A-</v>
      </c>
      <c r="D24" s="62">
        <f t="shared" ca="1" si="7"/>
        <v>15</v>
      </c>
      <c r="E24" s="63">
        <f t="shared" ca="1" si="8"/>
        <v>27.071666666666673</v>
      </c>
      <c r="F24" s="46" t="s">
        <v>321</v>
      </c>
      <c r="G24" s="46" t="s">
        <v>160</v>
      </c>
      <c r="H24" s="46" t="s">
        <v>322</v>
      </c>
      <c r="I24" s="46" t="s">
        <v>326</v>
      </c>
      <c r="J24" s="46">
        <v>39.200000000000003</v>
      </c>
      <c r="K24" s="46">
        <v>14.4</v>
      </c>
      <c r="L24" s="46">
        <v>9.9499999999999993</v>
      </c>
      <c r="M24" s="46">
        <v>27.8</v>
      </c>
      <c r="N24" s="46">
        <v>34.5</v>
      </c>
      <c r="O24" s="46">
        <v>9.4499999999999993</v>
      </c>
      <c r="P24" s="46">
        <v>2.9</v>
      </c>
      <c r="Q24" s="46">
        <v>18.600000000000001</v>
      </c>
      <c r="R24" s="46">
        <v>27.7</v>
      </c>
      <c r="S24" s="46">
        <v>8.16</v>
      </c>
      <c r="T24" s="46">
        <v>16.100000000000001</v>
      </c>
      <c r="U24" s="46">
        <v>57.6</v>
      </c>
      <c r="V24" s="46">
        <v>45.9</v>
      </c>
      <c r="W24" s="46">
        <v>22.8</v>
      </c>
      <c r="X24" s="46">
        <v>22</v>
      </c>
      <c r="Y24" s="46">
        <v>33.200000000000003</v>
      </c>
      <c r="Z24" s="46">
        <v>46.1</v>
      </c>
      <c r="AA24" s="46">
        <v>23.8</v>
      </c>
      <c r="AB24" s="46" t="s">
        <v>160</v>
      </c>
      <c r="AC24" s="46" t="s">
        <v>160</v>
      </c>
    </row>
    <row r="25" spans="1:29">
      <c r="A25" s="62">
        <f t="shared" ca="1" si="5"/>
        <v>15</v>
      </c>
      <c r="B25" s="62" t="str">
        <f t="shared" ca="1" si="6"/>
        <v>E</v>
      </c>
      <c r="C25" s="62" t="str">
        <f t="shared" ca="1" si="4"/>
        <v>A-</v>
      </c>
      <c r="D25" s="62">
        <f t="shared" ca="1" si="7"/>
        <v>15</v>
      </c>
      <c r="E25" s="63">
        <f t="shared" ca="1" si="8"/>
        <v>20.193333333333335</v>
      </c>
      <c r="F25" s="46" t="s">
        <v>324</v>
      </c>
      <c r="G25" s="46" t="s">
        <v>160</v>
      </c>
      <c r="H25" s="46" t="s">
        <v>325</v>
      </c>
      <c r="I25" s="46" t="s">
        <v>326</v>
      </c>
      <c r="J25" s="46">
        <v>19.3</v>
      </c>
      <c r="K25" s="46">
        <v>-6.56</v>
      </c>
      <c r="L25" s="46">
        <v>14.4</v>
      </c>
      <c r="M25" s="46" t="s">
        <v>160</v>
      </c>
      <c r="N25" s="46">
        <v>19.100000000000001</v>
      </c>
      <c r="O25" s="46">
        <v>6.81</v>
      </c>
      <c r="P25" s="46">
        <v>15.7</v>
      </c>
      <c r="Q25" s="46">
        <v>22</v>
      </c>
      <c r="R25" s="46">
        <v>11.2</v>
      </c>
      <c r="S25" s="46">
        <v>9.2200000000000006</v>
      </c>
      <c r="T25" s="46">
        <v>14.4</v>
      </c>
      <c r="U25" s="46">
        <v>35</v>
      </c>
      <c r="V25" s="46">
        <v>24.1</v>
      </c>
      <c r="W25" s="46">
        <v>17.8</v>
      </c>
      <c r="X25" s="46">
        <v>14.5</v>
      </c>
      <c r="Y25" s="46">
        <v>33.5</v>
      </c>
      <c r="Z25" s="46">
        <v>27.5</v>
      </c>
      <c r="AA25" s="46">
        <v>17.399999999999999</v>
      </c>
      <c r="AB25" s="46" t="s">
        <v>160</v>
      </c>
      <c r="AC25" s="46" t="s">
        <v>160</v>
      </c>
    </row>
    <row r="26" spans="1:29">
      <c r="A26" s="62">
        <f t="shared" ca="1" si="5"/>
        <v>16</v>
      </c>
      <c r="B26" s="62" t="str">
        <f t="shared" ca="1" si="6"/>
        <v>E</v>
      </c>
      <c r="C26" s="62" t="str">
        <f t="shared" ca="1" si="4"/>
        <v>A-</v>
      </c>
      <c r="D26" s="62">
        <f t="shared" ca="1" si="7"/>
        <v>15</v>
      </c>
      <c r="E26" s="63">
        <f t="shared" ca="1" si="8"/>
        <v>21.643000000000001</v>
      </c>
      <c r="F26" s="46" t="s">
        <v>327</v>
      </c>
      <c r="G26" s="46" t="s">
        <v>160</v>
      </c>
      <c r="H26" s="46" t="s">
        <v>328</v>
      </c>
      <c r="I26" s="46" t="s">
        <v>473</v>
      </c>
      <c r="J26" s="46">
        <v>22.7</v>
      </c>
      <c r="K26" s="46">
        <v>16.100000000000001</v>
      </c>
      <c r="L26" s="46">
        <v>39</v>
      </c>
      <c r="M26" s="46">
        <v>15.6</v>
      </c>
      <c r="N26" s="46">
        <v>26.6</v>
      </c>
      <c r="O26" s="46">
        <v>6.84</v>
      </c>
      <c r="P26" s="46" t="s">
        <v>160</v>
      </c>
      <c r="Q26" s="46" t="s">
        <v>160</v>
      </c>
      <c r="R26" s="46">
        <v>15</v>
      </c>
      <c r="S26" s="46">
        <v>13.2</v>
      </c>
      <c r="T26" s="46">
        <v>25.6</v>
      </c>
      <c r="U26" s="46">
        <v>31.3</v>
      </c>
      <c r="V26" s="46">
        <v>19.600000000000001</v>
      </c>
      <c r="W26" s="46">
        <v>3.73</v>
      </c>
      <c r="X26" s="46">
        <v>29.7</v>
      </c>
      <c r="Y26" s="46">
        <v>30.4</v>
      </c>
      <c r="Z26" s="46">
        <v>18.5</v>
      </c>
      <c r="AA26" s="46">
        <v>29.4</v>
      </c>
      <c r="AB26" s="46" t="s">
        <v>160</v>
      </c>
      <c r="AC26" s="46" t="s">
        <v>160</v>
      </c>
    </row>
    <row r="27" spans="1:29">
      <c r="A27" s="62">
        <f t="shared" ca="1" si="5"/>
        <v>17</v>
      </c>
      <c r="B27" s="62" t="str">
        <f t="shared" ca="1" si="6"/>
        <v>G</v>
      </c>
      <c r="C27" s="62" t="str">
        <f t="shared" ca="1" si="4"/>
        <v>-</v>
      </c>
      <c r="D27" s="62" t="str">
        <f t="shared" ca="1" si="7"/>
        <v/>
      </c>
      <c r="E27" s="63" t="str">
        <f t="shared" ca="1" si="8"/>
        <v>N/A</v>
      </c>
      <c r="F27" s="46" t="s">
        <v>121</v>
      </c>
      <c r="G27" s="46" t="s">
        <v>183</v>
      </c>
      <c r="H27" s="46" t="s">
        <v>160</v>
      </c>
      <c r="I27" s="46" t="s">
        <v>554</v>
      </c>
      <c r="J27" s="46" t="s">
        <v>160</v>
      </c>
      <c r="K27" s="46" t="s">
        <v>160</v>
      </c>
      <c r="L27" s="46" t="s">
        <v>160</v>
      </c>
      <c r="M27" s="46" t="s">
        <v>160</v>
      </c>
      <c r="N27" s="46" t="s">
        <v>160</v>
      </c>
      <c r="O27" s="46" t="s">
        <v>160</v>
      </c>
      <c r="P27" s="46" t="s">
        <v>160</v>
      </c>
      <c r="Q27" s="46" t="s">
        <v>160</v>
      </c>
      <c r="R27" s="46" t="s">
        <v>160</v>
      </c>
      <c r="S27" s="46" t="s">
        <v>160</v>
      </c>
      <c r="T27" s="46" t="s">
        <v>160</v>
      </c>
      <c r="U27" s="46" t="s">
        <v>160</v>
      </c>
      <c r="V27" s="46" t="s">
        <v>160</v>
      </c>
      <c r="W27" s="46" t="s">
        <v>160</v>
      </c>
      <c r="X27" s="46" t="s">
        <v>160</v>
      </c>
      <c r="Y27" s="46" t="s">
        <v>160</v>
      </c>
      <c r="Z27" s="46" t="s">
        <v>160</v>
      </c>
      <c r="AA27" s="46" t="s">
        <v>160</v>
      </c>
      <c r="AB27" s="46" t="s">
        <v>160</v>
      </c>
      <c r="AC27" s="46" t="s">
        <v>160</v>
      </c>
    </row>
    <row r="28" spans="1:29">
      <c r="A28" s="62">
        <f t="shared" ca="1" si="5"/>
        <v>18</v>
      </c>
      <c r="B28" s="62" t="str">
        <f t="shared" ca="1" si="6"/>
        <v>E</v>
      </c>
      <c r="C28" s="62" t="str">
        <f t="shared" ca="1" si="4"/>
        <v>BBB</v>
      </c>
      <c r="D28" s="62">
        <f t="shared" ca="1" si="7"/>
        <v>13</v>
      </c>
      <c r="E28" s="63">
        <f t="shared" ca="1" si="8"/>
        <v>19.733333333333331</v>
      </c>
      <c r="F28" s="46" t="s">
        <v>330</v>
      </c>
      <c r="G28" s="46" t="s">
        <v>160</v>
      </c>
      <c r="H28" s="46" t="s">
        <v>331</v>
      </c>
      <c r="I28" s="46" t="s">
        <v>473</v>
      </c>
      <c r="J28" s="46">
        <v>5.49</v>
      </c>
      <c r="K28" s="46">
        <v>27.6</v>
      </c>
      <c r="L28" s="46">
        <v>20.3</v>
      </c>
      <c r="M28" s="46">
        <v>-4.8499999999999996</v>
      </c>
      <c r="N28" s="46">
        <v>17.100000000000001</v>
      </c>
      <c r="O28" s="46">
        <v>17.5</v>
      </c>
      <c r="P28" s="46">
        <v>21.7</v>
      </c>
      <c r="Q28" s="46">
        <v>26.3</v>
      </c>
      <c r="R28" s="46">
        <v>14.4</v>
      </c>
      <c r="S28" s="46">
        <v>13</v>
      </c>
      <c r="T28" s="46">
        <v>18.7</v>
      </c>
      <c r="U28" s="46">
        <v>24.8</v>
      </c>
      <c r="V28" s="46">
        <v>17.2</v>
      </c>
      <c r="W28" s="46">
        <v>23</v>
      </c>
      <c r="X28" s="46">
        <v>23.2</v>
      </c>
      <c r="Y28" s="46">
        <v>14.7</v>
      </c>
      <c r="Z28" s="46">
        <v>21.2</v>
      </c>
      <c r="AA28" s="46">
        <v>18.600000000000001</v>
      </c>
      <c r="AB28" s="46" t="s">
        <v>160</v>
      </c>
      <c r="AC28" s="46" t="s">
        <v>160</v>
      </c>
    </row>
    <row r="29" spans="1:29">
      <c r="A29" s="62">
        <f t="shared" ca="1" si="5"/>
        <v>19</v>
      </c>
      <c r="B29" s="62" t="str">
        <f t="shared" ca="1" si="6"/>
        <v>E</v>
      </c>
      <c r="C29" s="62" t="str">
        <f t="shared" ca="1" si="4"/>
        <v>A-</v>
      </c>
      <c r="D29" s="62">
        <f t="shared" ca="1" si="7"/>
        <v>15</v>
      </c>
      <c r="E29" s="63">
        <f t="shared" ca="1" si="8"/>
        <v>25.703333333333333</v>
      </c>
      <c r="F29" s="46" t="s">
        <v>332</v>
      </c>
      <c r="G29" s="46" t="s">
        <v>160</v>
      </c>
      <c r="H29" s="46" t="s">
        <v>333</v>
      </c>
      <c r="I29" s="46" t="s">
        <v>473</v>
      </c>
      <c r="J29" s="46" t="s">
        <v>160</v>
      </c>
      <c r="K29" s="46" t="s">
        <v>160</v>
      </c>
      <c r="L29" s="46">
        <v>4.6900000000000004</v>
      </c>
      <c r="M29" s="46">
        <v>39.1</v>
      </c>
      <c r="N29" s="46">
        <v>58.9</v>
      </c>
      <c r="O29" s="46">
        <v>-3.06</v>
      </c>
      <c r="P29" s="46">
        <v>2.58</v>
      </c>
      <c r="Q29" s="46">
        <v>51.4</v>
      </c>
      <c r="R29" s="46">
        <v>47.9</v>
      </c>
      <c r="S29" s="46">
        <v>23.3</v>
      </c>
      <c r="T29" s="46">
        <v>3.31</v>
      </c>
      <c r="U29" s="46">
        <v>-7.05</v>
      </c>
      <c r="V29" s="46">
        <v>70</v>
      </c>
      <c r="W29" s="46">
        <v>20</v>
      </c>
      <c r="X29" s="46">
        <v>10.5</v>
      </c>
      <c r="Y29" s="46">
        <v>16.8</v>
      </c>
      <c r="Z29" s="46">
        <v>41</v>
      </c>
      <c r="AA29" s="46">
        <v>28.7</v>
      </c>
      <c r="AB29" s="46" t="s">
        <v>160</v>
      </c>
      <c r="AC29" s="46" t="s">
        <v>160</v>
      </c>
    </row>
    <row r="30" spans="1:29">
      <c r="A30" s="62">
        <f t="shared" ca="1" si="5"/>
        <v>20</v>
      </c>
      <c r="B30" s="62" t="str">
        <f t="shared" ca="1" si="6"/>
        <v>E</v>
      </c>
      <c r="C30" s="62" t="str">
        <f t="shared" ca="1" si="4"/>
        <v>A-</v>
      </c>
      <c r="D30" s="62">
        <f t="shared" ca="1" si="7"/>
        <v>15</v>
      </c>
      <c r="E30" s="63">
        <f t="shared" ca="1" si="8"/>
        <v>18.824999999999999</v>
      </c>
      <c r="F30" s="46" t="s">
        <v>335</v>
      </c>
      <c r="G30" s="46" t="s">
        <v>160</v>
      </c>
      <c r="H30" s="46" t="s">
        <v>336</v>
      </c>
      <c r="I30" s="46" t="s">
        <v>473</v>
      </c>
      <c r="J30" s="46">
        <v>22.4</v>
      </c>
      <c r="K30" s="46">
        <v>0.68899999999999995</v>
      </c>
      <c r="L30" s="46">
        <v>32.5</v>
      </c>
      <c r="M30" s="46">
        <v>9.75</v>
      </c>
      <c r="N30" s="46">
        <v>24</v>
      </c>
      <c r="O30" s="46">
        <v>12</v>
      </c>
      <c r="P30" s="46">
        <v>24.5</v>
      </c>
      <c r="Q30" s="46">
        <v>13.8</v>
      </c>
      <c r="R30" s="46">
        <v>21.4</v>
      </c>
      <c r="S30" s="46">
        <v>14.1</v>
      </c>
      <c r="T30" s="46">
        <v>25.3</v>
      </c>
      <c r="U30" s="46">
        <v>13.3</v>
      </c>
      <c r="V30" s="46">
        <v>22.5</v>
      </c>
      <c r="W30" s="46">
        <v>13.1</v>
      </c>
      <c r="X30" s="46">
        <v>26.1</v>
      </c>
      <c r="Y30" s="46">
        <v>13.4</v>
      </c>
      <c r="Z30" s="46">
        <v>23.8</v>
      </c>
      <c r="AA30" s="46">
        <v>14.6</v>
      </c>
      <c r="AB30" s="46" t="s">
        <v>160</v>
      </c>
      <c r="AC30" s="46" t="s">
        <v>160</v>
      </c>
    </row>
    <row r="31" spans="1:29">
      <c r="A31" s="62">
        <f t="shared" ca="1" si="5"/>
        <v>21</v>
      </c>
      <c r="B31" s="62" t="str">
        <f t="shared" ca="1" si="6"/>
        <v>E</v>
      </c>
      <c r="C31" s="62" t="str">
        <f t="shared" ca="1" si="4"/>
        <v>BBB+</v>
      </c>
      <c r="D31" s="62">
        <f t="shared" ca="1" si="7"/>
        <v>14</v>
      </c>
      <c r="E31" s="63">
        <f t="shared" ca="1" si="8"/>
        <v>24.108333333333334</v>
      </c>
      <c r="F31" s="46" t="s">
        <v>337</v>
      </c>
      <c r="G31" s="46" t="s">
        <v>160</v>
      </c>
      <c r="H31" s="46" t="s">
        <v>338</v>
      </c>
      <c r="I31" s="46" t="s">
        <v>326</v>
      </c>
      <c r="J31" s="46">
        <v>24.9</v>
      </c>
      <c r="K31" s="46">
        <v>18.7</v>
      </c>
      <c r="L31" s="46">
        <v>21.9</v>
      </c>
      <c r="M31" s="46">
        <v>20.2</v>
      </c>
      <c r="N31" s="46">
        <v>31.4</v>
      </c>
      <c r="O31" s="46">
        <v>18.899999999999999</v>
      </c>
      <c r="P31" s="46">
        <v>16.7</v>
      </c>
      <c r="Q31" s="46">
        <v>30.1</v>
      </c>
      <c r="R31" s="46">
        <v>29.2</v>
      </c>
      <c r="S31" s="46">
        <v>15.1</v>
      </c>
      <c r="T31" s="46">
        <v>21.5</v>
      </c>
      <c r="U31" s="46">
        <v>27.4</v>
      </c>
      <c r="V31" s="46">
        <v>26.9</v>
      </c>
      <c r="W31" s="46">
        <v>21.5</v>
      </c>
      <c r="X31" s="46">
        <v>25.6</v>
      </c>
      <c r="Y31" s="46">
        <v>24.2</v>
      </c>
      <c r="Z31" s="46">
        <v>29.1</v>
      </c>
      <c r="AA31" s="46">
        <v>22</v>
      </c>
      <c r="AB31" s="46" t="s">
        <v>160</v>
      </c>
      <c r="AC31" s="46" t="s">
        <v>160</v>
      </c>
    </row>
    <row r="32" spans="1:29">
      <c r="A32" s="62">
        <f t="shared" ca="1" si="5"/>
        <v>22</v>
      </c>
      <c r="B32" s="62" t="str">
        <f t="shared" ca="1" si="6"/>
        <v>E</v>
      </c>
      <c r="C32" s="62" t="str">
        <f t="shared" ca="1" si="4"/>
        <v>BBB+</v>
      </c>
      <c r="D32" s="62">
        <f t="shared" ca="1" si="7"/>
        <v>14</v>
      </c>
      <c r="E32" s="63">
        <f t="shared" ca="1" si="8"/>
        <v>21.516666666666666</v>
      </c>
      <c r="F32" s="46" t="s">
        <v>339</v>
      </c>
      <c r="G32" s="46" t="s">
        <v>160</v>
      </c>
      <c r="H32" s="46" t="s">
        <v>340</v>
      </c>
      <c r="I32" s="46" t="s">
        <v>473</v>
      </c>
      <c r="J32" s="46">
        <v>22.1</v>
      </c>
      <c r="K32" s="46">
        <v>15.4</v>
      </c>
      <c r="L32" s="46">
        <v>21.3</v>
      </c>
      <c r="M32" s="46">
        <v>21</v>
      </c>
      <c r="N32" s="46">
        <v>26.6</v>
      </c>
      <c r="O32" s="46">
        <v>18.399999999999999</v>
      </c>
      <c r="P32" s="46">
        <v>34.6</v>
      </c>
      <c r="Q32" s="46">
        <v>21.6</v>
      </c>
      <c r="R32" s="46">
        <v>25</v>
      </c>
      <c r="S32" s="46">
        <v>13.9</v>
      </c>
      <c r="T32" s="46">
        <v>19</v>
      </c>
      <c r="U32" s="46">
        <v>24.8</v>
      </c>
      <c r="V32" s="46">
        <v>-10.8</v>
      </c>
      <c r="W32" s="46">
        <v>22.3</v>
      </c>
      <c r="X32" s="46">
        <v>37.299999999999997</v>
      </c>
      <c r="Y32" s="46">
        <v>20.3</v>
      </c>
      <c r="Z32" s="46">
        <v>29.8</v>
      </c>
      <c r="AA32" s="46">
        <v>20.399999999999999</v>
      </c>
      <c r="AB32" s="46" t="s">
        <v>160</v>
      </c>
      <c r="AC32" s="46" t="s">
        <v>160</v>
      </c>
    </row>
    <row r="33" spans="1:29">
      <c r="A33" s="62">
        <f t="shared" ca="1" si="5"/>
        <v>23</v>
      </c>
      <c r="B33" s="62" t="str">
        <f t="shared" ca="1" si="6"/>
        <v>E</v>
      </c>
      <c r="C33" s="62" t="str">
        <f t="shared" ca="1" si="4"/>
        <v>BBB+</v>
      </c>
      <c r="D33" s="62">
        <f t="shared" ca="1" si="7"/>
        <v>14</v>
      </c>
      <c r="E33" s="63">
        <f t="shared" ca="1" si="8"/>
        <v>18.283333333333331</v>
      </c>
      <c r="F33" s="46" t="s">
        <v>341</v>
      </c>
      <c r="G33" s="46" t="s">
        <v>160</v>
      </c>
      <c r="H33" s="46" t="s">
        <v>342</v>
      </c>
      <c r="I33" s="46" t="s">
        <v>326</v>
      </c>
      <c r="J33" s="46">
        <v>19.5</v>
      </c>
      <c r="K33" s="46">
        <v>17.899999999999999</v>
      </c>
      <c r="L33" s="46">
        <v>25.1</v>
      </c>
      <c r="M33" s="46">
        <v>15</v>
      </c>
      <c r="N33" s="46">
        <v>20.7</v>
      </c>
      <c r="O33" s="46">
        <v>22</v>
      </c>
      <c r="P33" s="46">
        <v>20.5</v>
      </c>
      <c r="Q33" s="46">
        <v>19.2</v>
      </c>
      <c r="R33" s="46">
        <v>16.2</v>
      </c>
      <c r="S33" s="46">
        <v>13.8</v>
      </c>
      <c r="T33" s="46">
        <v>22.5</v>
      </c>
      <c r="U33" s="46">
        <v>12.3</v>
      </c>
      <c r="V33" s="46">
        <v>17.5</v>
      </c>
      <c r="W33" s="46">
        <v>17.600000000000001</v>
      </c>
      <c r="X33" s="46">
        <v>28.6</v>
      </c>
      <c r="Y33" s="46">
        <v>16.399999999999999</v>
      </c>
      <c r="Z33" s="46">
        <v>16.100000000000001</v>
      </c>
      <c r="AA33" s="46">
        <v>18.7</v>
      </c>
      <c r="AB33" s="46" t="s">
        <v>160</v>
      </c>
      <c r="AC33" s="46" t="s">
        <v>160</v>
      </c>
    </row>
    <row r="34" spans="1:29">
      <c r="A34" s="62">
        <f t="shared" ca="1" si="5"/>
        <v>24</v>
      </c>
      <c r="B34" s="62" t="str">
        <f t="shared" ca="1" si="6"/>
        <v>E</v>
      </c>
      <c r="C34" s="62" t="str">
        <f t="shared" ca="1" si="4"/>
        <v>BBB+</v>
      </c>
      <c r="D34" s="62">
        <f t="shared" ca="1" si="7"/>
        <v>14</v>
      </c>
      <c r="E34" s="63">
        <f t="shared" ca="1" si="8"/>
        <v>23.758333333333336</v>
      </c>
      <c r="F34" s="46" t="s">
        <v>343</v>
      </c>
      <c r="G34" s="46" t="s">
        <v>160</v>
      </c>
      <c r="H34" s="46" t="s">
        <v>344</v>
      </c>
      <c r="I34" s="46" t="s">
        <v>326</v>
      </c>
      <c r="J34" s="46" t="s">
        <v>160</v>
      </c>
      <c r="K34" s="46" t="s">
        <v>160</v>
      </c>
      <c r="L34" s="46" t="s">
        <v>160</v>
      </c>
      <c r="M34" s="46" t="s">
        <v>160</v>
      </c>
      <c r="N34" s="46">
        <v>75.5</v>
      </c>
      <c r="O34" s="46">
        <v>11.2</v>
      </c>
      <c r="P34" s="46">
        <v>4.26</v>
      </c>
      <c r="Q34" s="46">
        <v>33</v>
      </c>
      <c r="R34" s="46">
        <v>55.4</v>
      </c>
      <c r="S34" s="46">
        <v>10.8</v>
      </c>
      <c r="T34" s="46">
        <v>6.53</v>
      </c>
      <c r="U34" s="46">
        <v>27.8</v>
      </c>
      <c r="V34" s="46">
        <v>44.4</v>
      </c>
      <c r="W34" s="46">
        <v>16.2</v>
      </c>
      <c r="X34" s="46">
        <v>6.44</v>
      </c>
      <c r="Y34" s="46">
        <v>25.7</v>
      </c>
      <c r="Z34" s="46">
        <v>48.6</v>
      </c>
      <c r="AA34" s="46">
        <v>5.97</v>
      </c>
      <c r="AB34" s="46" t="s">
        <v>160</v>
      </c>
      <c r="AC34" s="46" t="s">
        <v>160</v>
      </c>
    </row>
    <row r="35" spans="1:29">
      <c r="A35" s="62">
        <f t="shared" ca="1" si="5"/>
        <v>25</v>
      </c>
      <c r="B35" s="62" t="str">
        <f t="shared" ca="1" si="6"/>
        <v>E</v>
      </c>
      <c r="C35" s="62" t="str">
        <f t="shared" ca="1" si="4"/>
        <v>A-</v>
      </c>
      <c r="D35" s="62">
        <f t="shared" ca="1" si="7"/>
        <v>15</v>
      </c>
      <c r="E35" s="63">
        <f t="shared" ca="1" si="8"/>
        <v>29.991666666666671</v>
      </c>
      <c r="F35" s="46" t="s">
        <v>345</v>
      </c>
      <c r="G35" s="46" t="s">
        <v>160</v>
      </c>
      <c r="H35" s="46" t="s">
        <v>346</v>
      </c>
      <c r="I35" s="46" t="s">
        <v>473</v>
      </c>
      <c r="J35" s="46">
        <v>28.2</v>
      </c>
      <c r="K35" s="46">
        <v>24.3</v>
      </c>
      <c r="L35" s="46">
        <v>37.9</v>
      </c>
      <c r="M35" s="46">
        <v>25.9</v>
      </c>
      <c r="N35" s="46">
        <v>29.6</v>
      </c>
      <c r="O35" s="46">
        <v>27.6</v>
      </c>
      <c r="P35" s="46">
        <v>27.4</v>
      </c>
      <c r="Q35" s="46">
        <v>41.4</v>
      </c>
      <c r="R35" s="46">
        <v>36</v>
      </c>
      <c r="S35" s="46">
        <v>29.7</v>
      </c>
      <c r="T35" s="46">
        <v>29.1</v>
      </c>
      <c r="U35" s="46">
        <v>29.8</v>
      </c>
      <c r="V35" s="46">
        <v>28.4</v>
      </c>
      <c r="W35" s="46">
        <v>27.7</v>
      </c>
      <c r="X35" s="46">
        <v>35.799999999999997</v>
      </c>
      <c r="Y35" s="46">
        <v>21</v>
      </c>
      <c r="Z35" s="46">
        <v>27.5</v>
      </c>
      <c r="AA35" s="46">
        <v>26.1</v>
      </c>
      <c r="AB35" s="46" t="s">
        <v>160</v>
      </c>
      <c r="AC35" s="46" t="s">
        <v>160</v>
      </c>
    </row>
    <row r="36" spans="1:29">
      <c r="A36" s="62">
        <f t="shared" ca="1" si="5"/>
        <v>26</v>
      </c>
      <c r="B36" s="62" t="str">
        <f t="shared" ca="1" si="6"/>
        <v>E</v>
      </c>
      <c r="C36" s="62" t="str">
        <f t="shared" ca="1" si="4"/>
        <v>A-</v>
      </c>
      <c r="D36" s="62">
        <f t="shared" ca="1" si="7"/>
        <v>15</v>
      </c>
      <c r="E36" s="63">
        <f t="shared" ca="1" si="8"/>
        <v>22.066666666666666</v>
      </c>
      <c r="F36" s="46" t="s">
        <v>347</v>
      </c>
      <c r="G36" s="46" t="s">
        <v>160</v>
      </c>
      <c r="H36" s="46" t="s">
        <v>348</v>
      </c>
      <c r="I36" s="46" t="s">
        <v>473</v>
      </c>
      <c r="J36" s="46">
        <v>15.6</v>
      </c>
      <c r="K36" s="46">
        <v>23.3</v>
      </c>
      <c r="L36" s="46">
        <v>32.4</v>
      </c>
      <c r="M36" s="46">
        <v>21.3</v>
      </c>
      <c r="N36" s="46">
        <v>19.3</v>
      </c>
      <c r="O36" s="46">
        <v>19.600000000000001</v>
      </c>
      <c r="P36" s="46">
        <v>28.8</v>
      </c>
      <c r="Q36" s="46">
        <v>28.7</v>
      </c>
      <c r="R36" s="46">
        <v>18.8</v>
      </c>
      <c r="S36" s="46">
        <v>31.4</v>
      </c>
      <c r="T36" s="46">
        <v>28.4</v>
      </c>
      <c r="U36" s="46">
        <v>13.8</v>
      </c>
      <c r="V36" s="46">
        <v>19.7</v>
      </c>
      <c r="W36" s="46">
        <v>18</v>
      </c>
      <c r="X36" s="46">
        <v>20.399999999999999</v>
      </c>
      <c r="Y36" s="46">
        <v>18.2</v>
      </c>
      <c r="Z36" s="46">
        <v>17.5</v>
      </c>
      <c r="AA36" s="46">
        <v>21.1</v>
      </c>
      <c r="AB36" s="46" t="s">
        <v>160</v>
      </c>
      <c r="AC36" s="46" t="s">
        <v>160</v>
      </c>
    </row>
    <row r="37" spans="1:29">
      <c r="A37" s="62">
        <f t="shared" ca="1" si="5"/>
        <v>27</v>
      </c>
      <c r="B37" s="62" t="str">
        <f t="shared" ca="1" si="6"/>
        <v>E</v>
      </c>
      <c r="C37" s="62" t="str">
        <f t="shared" ca="1" si="4"/>
        <v>A-</v>
      </c>
      <c r="D37" s="62">
        <f t="shared" ca="1" si="7"/>
        <v>15</v>
      </c>
      <c r="E37" s="63">
        <f t="shared" ca="1" si="8"/>
        <v>26.241666666666671</v>
      </c>
      <c r="F37" s="46" t="s">
        <v>349</v>
      </c>
      <c r="G37" s="46" t="s">
        <v>160</v>
      </c>
      <c r="H37" s="46" t="s">
        <v>350</v>
      </c>
      <c r="I37" s="46" t="s">
        <v>473</v>
      </c>
      <c r="J37" s="46">
        <v>19.7</v>
      </c>
      <c r="K37" s="46">
        <v>18.899999999999999</v>
      </c>
      <c r="L37" s="46">
        <v>25.1</v>
      </c>
      <c r="M37" s="46">
        <v>32</v>
      </c>
      <c r="N37" s="46">
        <v>16.600000000000001</v>
      </c>
      <c r="O37" s="46">
        <v>26.1</v>
      </c>
      <c r="P37" s="46">
        <v>27.7</v>
      </c>
      <c r="Q37" s="46">
        <v>31.9</v>
      </c>
      <c r="R37" s="46">
        <v>33.700000000000003</v>
      </c>
      <c r="S37" s="46">
        <v>37.1</v>
      </c>
      <c r="T37" s="46">
        <v>25.8</v>
      </c>
      <c r="U37" s="46">
        <v>21.4</v>
      </c>
      <c r="V37" s="46">
        <v>18</v>
      </c>
      <c r="W37" s="46">
        <v>19.399999999999999</v>
      </c>
      <c r="X37" s="46">
        <v>29.1</v>
      </c>
      <c r="Y37" s="46">
        <v>26.2</v>
      </c>
      <c r="Z37" s="46">
        <v>20.8</v>
      </c>
      <c r="AA37" s="46">
        <v>23.8</v>
      </c>
      <c r="AB37" s="46" t="s">
        <v>160</v>
      </c>
      <c r="AC37" s="46" t="s">
        <v>160</v>
      </c>
    </row>
    <row r="38" spans="1:29">
      <c r="A38" s="62">
        <f t="shared" ca="1" si="5"/>
        <v>28</v>
      </c>
      <c r="B38" s="62" t="str">
        <f t="shared" ca="1" si="6"/>
        <v>E</v>
      </c>
      <c r="C38" s="62" t="str">
        <f t="shared" ca="1" si="4"/>
        <v>A-</v>
      </c>
      <c r="D38" s="62">
        <f t="shared" ca="1" si="7"/>
        <v>15</v>
      </c>
      <c r="E38" s="63">
        <f t="shared" ca="1" si="8"/>
        <v>32.11</v>
      </c>
      <c r="F38" s="46" t="s">
        <v>351</v>
      </c>
      <c r="G38" s="46" t="s">
        <v>160</v>
      </c>
      <c r="H38" s="46" t="s">
        <v>352</v>
      </c>
      <c r="I38" s="46" t="s">
        <v>473</v>
      </c>
      <c r="J38" s="46">
        <v>32.9</v>
      </c>
      <c r="K38" s="46">
        <v>14.8</v>
      </c>
      <c r="L38" s="46">
        <v>29.4</v>
      </c>
      <c r="M38" s="46">
        <v>29</v>
      </c>
      <c r="N38" s="46">
        <v>32.1</v>
      </c>
      <c r="O38" s="46">
        <v>16.899999999999999</v>
      </c>
      <c r="P38" s="46" t="s">
        <v>160</v>
      </c>
      <c r="Q38" s="46" t="s">
        <v>160</v>
      </c>
      <c r="R38" s="46">
        <v>36.799999999999997</v>
      </c>
      <c r="S38" s="46">
        <v>62.4</v>
      </c>
      <c r="T38" s="46">
        <v>22.7</v>
      </c>
      <c r="U38" s="46">
        <v>31.1</v>
      </c>
      <c r="V38" s="46">
        <v>36.799999999999997</v>
      </c>
      <c r="W38" s="46">
        <v>26.5</v>
      </c>
      <c r="X38" s="46">
        <v>33.299999999999997</v>
      </c>
      <c r="Y38" s="46">
        <v>16.3</v>
      </c>
      <c r="Z38" s="46">
        <v>29.4</v>
      </c>
      <c r="AA38" s="46">
        <v>25.8</v>
      </c>
      <c r="AB38" s="46" t="s">
        <v>160</v>
      </c>
      <c r="AC38" s="46" t="s">
        <v>160</v>
      </c>
    </row>
    <row r="39" spans="1:29">
      <c r="A39" s="62">
        <f t="shared" ca="1" si="5"/>
        <v>29</v>
      </c>
      <c r="B39" s="62" t="str">
        <f t="shared" ca="1" si="6"/>
        <v>E</v>
      </c>
      <c r="C39" s="62" t="str">
        <f t="shared" ca="1" si="4"/>
        <v>A-</v>
      </c>
      <c r="D39" s="62">
        <f t="shared" ca="1" si="7"/>
        <v>15</v>
      </c>
      <c r="E39" s="63">
        <f t="shared" ca="1" si="8"/>
        <v>25.508333333333336</v>
      </c>
      <c r="F39" s="46" t="s">
        <v>353</v>
      </c>
      <c r="G39" s="46" t="s">
        <v>160</v>
      </c>
      <c r="H39" s="46" t="s">
        <v>354</v>
      </c>
      <c r="I39" s="46" t="s">
        <v>473</v>
      </c>
      <c r="J39" s="46">
        <v>7.75</v>
      </c>
      <c r="K39" s="46">
        <v>25.2</v>
      </c>
      <c r="L39" s="46">
        <v>31.6</v>
      </c>
      <c r="M39" s="46">
        <v>19.7</v>
      </c>
      <c r="N39" s="46">
        <v>16.600000000000001</v>
      </c>
      <c r="O39" s="46">
        <v>-5.41</v>
      </c>
      <c r="P39" s="46">
        <v>51.2</v>
      </c>
      <c r="Q39" s="46">
        <v>18.100000000000001</v>
      </c>
      <c r="R39" s="46">
        <v>26.4</v>
      </c>
      <c r="S39" s="46">
        <v>30.9</v>
      </c>
      <c r="T39" s="46">
        <v>29.7</v>
      </c>
      <c r="U39" s="46">
        <v>11.4</v>
      </c>
      <c r="V39" s="46">
        <v>26.9</v>
      </c>
      <c r="W39" s="46">
        <v>27.3</v>
      </c>
      <c r="X39" s="46">
        <v>12.7</v>
      </c>
      <c r="Y39" s="46">
        <v>30.1</v>
      </c>
      <c r="Z39" s="46">
        <v>21.5</v>
      </c>
      <c r="AA39" s="46">
        <v>19.899999999999999</v>
      </c>
      <c r="AB39" s="46" t="s">
        <v>160</v>
      </c>
      <c r="AC39" s="46" t="s">
        <v>160</v>
      </c>
    </row>
    <row r="40" spans="1:29">
      <c r="A40" s="62">
        <f t="shared" ca="1" si="5"/>
        <v>30</v>
      </c>
      <c r="B40" s="62" t="str">
        <f t="shared" ca="1" si="6"/>
        <v>E</v>
      </c>
      <c r="C40" s="62" t="str">
        <f t="shared" ca="1" si="4"/>
        <v>A-</v>
      </c>
      <c r="D40" s="62">
        <f t="shared" ca="1" si="7"/>
        <v>15</v>
      </c>
      <c r="E40" s="63">
        <f t="shared" ca="1" si="8"/>
        <v>22.075000000000003</v>
      </c>
      <c r="F40" s="46" t="s">
        <v>355</v>
      </c>
      <c r="G40" s="46" t="s">
        <v>160</v>
      </c>
      <c r="H40" s="46" t="s">
        <v>356</v>
      </c>
      <c r="I40" s="46" t="s">
        <v>473</v>
      </c>
      <c r="J40" s="46">
        <v>26.5</v>
      </c>
      <c r="K40" s="46">
        <v>22.2</v>
      </c>
      <c r="L40" s="46">
        <v>32.5</v>
      </c>
      <c r="M40" s="46">
        <v>25.2</v>
      </c>
      <c r="N40" s="46">
        <v>26.4</v>
      </c>
      <c r="O40" s="46">
        <v>18.5</v>
      </c>
      <c r="P40" s="46">
        <v>20.7</v>
      </c>
      <c r="Q40" s="46">
        <v>34.1</v>
      </c>
      <c r="R40" s="46">
        <v>31.9</v>
      </c>
      <c r="S40" s="46">
        <v>19.7</v>
      </c>
      <c r="T40" s="46">
        <v>23.9</v>
      </c>
      <c r="U40" s="46">
        <v>15.4</v>
      </c>
      <c r="V40" s="46">
        <v>20.8</v>
      </c>
      <c r="W40" s="46">
        <v>19.8</v>
      </c>
      <c r="X40" s="46">
        <v>26.4</v>
      </c>
      <c r="Y40" s="46">
        <v>13.5</v>
      </c>
      <c r="Z40" s="46">
        <v>19.600000000000001</v>
      </c>
      <c r="AA40" s="46">
        <v>19.100000000000001</v>
      </c>
      <c r="AB40" s="46" t="s">
        <v>160</v>
      </c>
      <c r="AC40" s="46" t="s">
        <v>160</v>
      </c>
    </row>
    <row r="41" spans="1:29">
      <c r="A41" s="62">
        <f t="shared" ca="1" si="5"/>
        <v>31</v>
      </c>
      <c r="B41" s="62" t="str">
        <f t="shared" ca="1" si="6"/>
        <v>E</v>
      </c>
      <c r="C41" s="62" t="str">
        <f t="shared" ca="1" si="4"/>
        <v>BBB</v>
      </c>
      <c r="D41" s="62">
        <f t="shared" ca="1" si="7"/>
        <v>13</v>
      </c>
      <c r="E41" s="63">
        <f t="shared" ca="1" si="8"/>
        <v>16.175000000000001</v>
      </c>
      <c r="F41" s="46" t="s">
        <v>98</v>
      </c>
      <c r="G41" s="46" t="s">
        <v>196</v>
      </c>
      <c r="H41" s="46" t="s">
        <v>197</v>
      </c>
      <c r="I41" s="46" t="s">
        <v>551</v>
      </c>
      <c r="J41" s="46">
        <v>13</v>
      </c>
      <c r="K41" s="46">
        <v>23.8</v>
      </c>
      <c r="L41" s="46">
        <v>38</v>
      </c>
      <c r="M41" s="46">
        <v>8.86</v>
      </c>
      <c r="N41" s="46">
        <v>10.8</v>
      </c>
      <c r="O41" s="46">
        <v>23.3</v>
      </c>
      <c r="P41" s="46">
        <v>33.6</v>
      </c>
      <c r="Q41" s="46">
        <v>10</v>
      </c>
      <c r="R41" s="46">
        <v>10.199999999999999</v>
      </c>
      <c r="S41" s="46">
        <v>14.9</v>
      </c>
      <c r="T41" s="46">
        <v>31.7</v>
      </c>
      <c r="U41" s="46">
        <v>-4.75</v>
      </c>
      <c r="V41" s="46">
        <v>5.61</v>
      </c>
      <c r="W41" s="46">
        <v>16.899999999999999</v>
      </c>
      <c r="X41" s="46">
        <v>39</v>
      </c>
      <c r="Y41" s="46">
        <v>9.86</v>
      </c>
      <c r="Z41" s="46">
        <v>5.78</v>
      </c>
      <c r="AA41" s="46">
        <v>21.3</v>
      </c>
      <c r="AB41" s="46" t="s">
        <v>160</v>
      </c>
      <c r="AC41" s="46" t="s">
        <v>160</v>
      </c>
    </row>
    <row r="42" spans="1:29">
      <c r="A42" s="62">
        <f t="shared" ca="1" si="5"/>
        <v>32</v>
      </c>
      <c r="B42" s="62" t="str">
        <f t="shared" ca="1" si="6"/>
        <v>E</v>
      </c>
      <c r="C42" s="62" t="str">
        <f t="shared" ca="1" si="4"/>
        <v>BBB+</v>
      </c>
      <c r="D42" s="62">
        <f t="shared" ca="1" si="7"/>
        <v>14</v>
      </c>
      <c r="E42" s="63">
        <f t="shared" ca="1" si="8"/>
        <v>17.933333333333334</v>
      </c>
      <c r="F42" s="46" t="s">
        <v>358</v>
      </c>
      <c r="G42" s="46" t="s">
        <v>160</v>
      </c>
      <c r="H42" s="46" t="s">
        <v>359</v>
      </c>
      <c r="I42" s="46" t="s">
        <v>326</v>
      </c>
      <c r="J42" s="46">
        <v>20.8</v>
      </c>
      <c r="K42" s="46">
        <v>20.399999999999999</v>
      </c>
      <c r="L42" s="46">
        <v>30.7</v>
      </c>
      <c r="M42" s="46">
        <v>19.899999999999999</v>
      </c>
      <c r="N42" s="46">
        <v>28.5</v>
      </c>
      <c r="O42" s="46">
        <v>23.7</v>
      </c>
      <c r="P42" s="46">
        <v>29.6</v>
      </c>
      <c r="Q42" s="46">
        <v>13.9</v>
      </c>
      <c r="R42" s="46">
        <v>16.899999999999999</v>
      </c>
      <c r="S42" s="46">
        <v>18.3</v>
      </c>
      <c r="T42" s="46">
        <v>15.3</v>
      </c>
      <c r="U42" s="46">
        <v>4.87</v>
      </c>
      <c r="V42" s="46">
        <v>17.8</v>
      </c>
      <c r="W42" s="46">
        <v>29.1</v>
      </c>
      <c r="X42" s="46">
        <v>31.6</v>
      </c>
      <c r="Y42" s="46">
        <v>5.83</v>
      </c>
      <c r="Z42" s="46">
        <v>15.9</v>
      </c>
      <c r="AA42" s="46">
        <v>16.100000000000001</v>
      </c>
      <c r="AB42" s="46" t="s">
        <v>160</v>
      </c>
      <c r="AC42" s="46" t="s">
        <v>160</v>
      </c>
    </row>
    <row r="43" spans="1:29">
      <c r="A43" s="62">
        <f t="shared" ca="1" si="5"/>
        <v>33</v>
      </c>
      <c r="B43" s="62" t="str">
        <f t="shared" ca="1" si="6"/>
        <v>E</v>
      </c>
      <c r="C43" s="62" t="str">
        <f t="shared" ca="1" si="4"/>
        <v>BBB+</v>
      </c>
      <c r="D43" s="62">
        <f t="shared" ca="1" si="7"/>
        <v>14</v>
      </c>
      <c r="E43" s="63">
        <f t="shared" ca="1" si="8"/>
        <v>25.6645</v>
      </c>
      <c r="F43" s="46" t="s">
        <v>361</v>
      </c>
      <c r="G43" s="46" t="s">
        <v>160</v>
      </c>
      <c r="H43" s="46" t="s">
        <v>362</v>
      </c>
      <c r="I43" s="46" t="s">
        <v>326</v>
      </c>
      <c r="J43" s="46">
        <v>14.1</v>
      </c>
      <c r="K43" s="46">
        <v>18</v>
      </c>
      <c r="L43" s="46">
        <v>26.4</v>
      </c>
      <c r="M43" s="46">
        <v>17.100000000000001</v>
      </c>
      <c r="N43" s="46">
        <v>16.399999999999999</v>
      </c>
      <c r="O43" s="46">
        <v>23.8</v>
      </c>
      <c r="P43" s="46">
        <v>21.7</v>
      </c>
      <c r="Q43" s="46">
        <v>54</v>
      </c>
      <c r="R43" s="46">
        <v>0.77400000000000002</v>
      </c>
      <c r="S43" s="46">
        <v>29.4</v>
      </c>
      <c r="T43" s="46">
        <v>31.6</v>
      </c>
      <c r="U43" s="46">
        <v>28.5</v>
      </c>
      <c r="V43" s="46">
        <v>15.2</v>
      </c>
      <c r="W43" s="46">
        <v>32.4</v>
      </c>
      <c r="X43" s="46">
        <v>33.200000000000003</v>
      </c>
      <c r="Y43" s="46">
        <v>17.5</v>
      </c>
      <c r="Z43" s="46">
        <v>19.5</v>
      </c>
      <c r="AA43" s="46">
        <v>24.2</v>
      </c>
      <c r="AB43" s="46" t="s">
        <v>160</v>
      </c>
      <c r="AC43" s="46" t="s">
        <v>160</v>
      </c>
    </row>
    <row r="44" spans="1:29">
      <c r="A44" s="62">
        <f t="shared" ca="1" si="5"/>
        <v>34</v>
      </c>
      <c r="B44" s="62" t="str">
        <f t="shared" ca="1" si="6"/>
        <v>E</v>
      </c>
      <c r="C44" s="62" t="str">
        <f t="shared" ca="1" si="4"/>
        <v>BBB+</v>
      </c>
      <c r="D44" s="62">
        <f t="shared" ca="1" si="7"/>
        <v>14</v>
      </c>
      <c r="E44" s="63">
        <f t="shared" ca="1" si="8"/>
        <v>11.4475</v>
      </c>
      <c r="F44" s="46" t="s">
        <v>363</v>
      </c>
      <c r="G44" s="46" t="s">
        <v>160</v>
      </c>
      <c r="H44" s="46" t="s">
        <v>364</v>
      </c>
      <c r="I44" s="46" t="s">
        <v>326</v>
      </c>
      <c r="J44" s="46">
        <v>-6.93</v>
      </c>
      <c r="K44" s="46">
        <v>9.18</v>
      </c>
      <c r="L44" s="46">
        <v>46</v>
      </c>
      <c r="M44" s="46">
        <v>-21.2</v>
      </c>
      <c r="N44" s="46">
        <v>-10.4</v>
      </c>
      <c r="O44" s="46">
        <v>11.1</v>
      </c>
      <c r="P44" s="46">
        <v>19.399999999999999</v>
      </c>
      <c r="Q44" s="46">
        <v>20.7</v>
      </c>
      <c r="R44" s="46">
        <v>-17.3</v>
      </c>
      <c r="S44" s="46">
        <v>11.5</v>
      </c>
      <c r="T44" s="46">
        <v>20.100000000000001</v>
      </c>
      <c r="U44" s="46">
        <v>20</v>
      </c>
      <c r="V44" s="46">
        <v>-3.04</v>
      </c>
      <c r="W44" s="46">
        <v>7.45</v>
      </c>
      <c r="X44" s="46">
        <v>28.8</v>
      </c>
      <c r="Y44" s="46">
        <v>21.2</v>
      </c>
      <c r="Z44" s="46">
        <v>-4.4400000000000004</v>
      </c>
      <c r="AA44" s="46">
        <v>13</v>
      </c>
      <c r="AB44" s="46" t="s">
        <v>160</v>
      </c>
      <c r="AC44" s="46" t="s">
        <v>160</v>
      </c>
    </row>
    <row r="45" spans="1:29">
      <c r="A45" s="62">
        <f t="shared" ca="1" si="5"/>
        <v>35</v>
      </c>
      <c r="B45" s="62" t="str">
        <f t="shared" ca="1" si="6"/>
        <v>E</v>
      </c>
      <c r="C45" s="62" t="str">
        <f t="shared" ca="1" si="4"/>
        <v>A-</v>
      </c>
      <c r="D45" s="62">
        <f t="shared" ca="1" si="7"/>
        <v>15</v>
      </c>
      <c r="E45" s="63">
        <f t="shared" ca="1" si="8"/>
        <v>39.133333333333333</v>
      </c>
      <c r="F45" s="46" t="s">
        <v>365</v>
      </c>
      <c r="G45" s="46" t="s">
        <v>160</v>
      </c>
      <c r="H45" s="46" t="s">
        <v>366</v>
      </c>
      <c r="I45" s="46" t="s">
        <v>473</v>
      </c>
      <c r="J45" s="46">
        <v>30.1</v>
      </c>
      <c r="K45" s="46">
        <v>33.200000000000003</v>
      </c>
      <c r="L45" s="46">
        <v>38.1</v>
      </c>
      <c r="M45" s="46">
        <v>34.4</v>
      </c>
      <c r="N45" s="46">
        <v>32</v>
      </c>
      <c r="O45" s="46">
        <v>38.200000000000003</v>
      </c>
      <c r="P45" s="46">
        <v>38.1</v>
      </c>
      <c r="Q45" s="46">
        <v>39.5</v>
      </c>
      <c r="R45" s="46">
        <v>28.3</v>
      </c>
      <c r="S45" s="46">
        <v>36.4</v>
      </c>
      <c r="T45" s="46">
        <v>42.9</v>
      </c>
      <c r="U45" s="46">
        <v>46</v>
      </c>
      <c r="V45" s="46">
        <v>33.9</v>
      </c>
      <c r="W45" s="46">
        <v>39</v>
      </c>
      <c r="X45" s="46">
        <v>44.8</v>
      </c>
      <c r="Y45" s="46">
        <v>45.4</v>
      </c>
      <c r="Z45" s="46">
        <v>34</v>
      </c>
      <c r="AA45" s="46">
        <v>41.3</v>
      </c>
      <c r="AB45" s="46" t="s">
        <v>160</v>
      </c>
      <c r="AC45" s="46" t="s">
        <v>160</v>
      </c>
    </row>
    <row r="46" spans="1:29">
      <c r="A46" s="62">
        <f t="shared" ca="1" si="5"/>
        <v>36</v>
      </c>
      <c r="B46" s="62" t="str">
        <f t="shared" ca="1" si="6"/>
        <v>E</v>
      </c>
      <c r="C46" s="62" t="str">
        <f t="shared" ca="1" si="4"/>
        <v>A-</v>
      </c>
      <c r="D46" s="62">
        <f t="shared" ca="1" si="7"/>
        <v>15</v>
      </c>
      <c r="E46" s="63">
        <f t="shared" ca="1" si="8"/>
        <v>19.733333333333334</v>
      </c>
      <c r="F46" s="46" t="s">
        <v>368</v>
      </c>
      <c r="G46" s="46" t="s">
        <v>160</v>
      </c>
      <c r="H46" s="46" t="s">
        <v>369</v>
      </c>
      <c r="I46" s="46" t="s">
        <v>473</v>
      </c>
      <c r="J46" s="46">
        <v>16.8</v>
      </c>
      <c r="K46" s="46">
        <v>19.899999999999999</v>
      </c>
      <c r="L46" s="46">
        <v>33.200000000000003</v>
      </c>
      <c r="M46" s="46">
        <v>20.399999999999999</v>
      </c>
      <c r="N46" s="46">
        <v>21.6</v>
      </c>
      <c r="O46" s="46">
        <v>19.899999999999999</v>
      </c>
      <c r="P46" s="46">
        <v>27.1</v>
      </c>
      <c r="Q46" s="46">
        <v>20.5</v>
      </c>
      <c r="R46" s="46">
        <v>16</v>
      </c>
      <c r="S46" s="46">
        <v>15.7</v>
      </c>
      <c r="T46" s="46">
        <v>25.7</v>
      </c>
      <c r="U46" s="46">
        <v>18.8</v>
      </c>
      <c r="V46" s="46">
        <v>17.600000000000001</v>
      </c>
      <c r="W46" s="46">
        <v>20.399999999999999</v>
      </c>
      <c r="X46" s="46">
        <v>31.1</v>
      </c>
      <c r="Y46" s="46">
        <v>11.1</v>
      </c>
      <c r="Z46" s="46">
        <v>15.3</v>
      </c>
      <c r="AA46" s="46">
        <v>17.5</v>
      </c>
      <c r="AB46" s="46" t="s">
        <v>160</v>
      </c>
      <c r="AC46" s="46" t="s">
        <v>160</v>
      </c>
    </row>
    <row r="47" spans="1:29">
      <c r="A47" s="62">
        <f t="shared" ca="1" si="5"/>
        <v>37</v>
      </c>
      <c r="B47" s="62" t="str">
        <f t="shared" ca="1" si="6"/>
        <v>E</v>
      </c>
      <c r="C47" s="62" t="str">
        <f t="shared" ca="1" si="4"/>
        <v>A-</v>
      </c>
      <c r="D47" s="62">
        <f t="shared" ca="1" si="7"/>
        <v>15</v>
      </c>
      <c r="E47" s="63">
        <f t="shared" ca="1" si="8"/>
        <v>23.858333333333334</v>
      </c>
      <c r="F47" s="46" t="s">
        <v>370</v>
      </c>
      <c r="G47" s="46" t="s">
        <v>160</v>
      </c>
      <c r="H47" s="46" t="s">
        <v>371</v>
      </c>
      <c r="I47" s="46" t="s">
        <v>473</v>
      </c>
      <c r="J47" s="46">
        <v>20.7</v>
      </c>
      <c r="K47" s="46">
        <v>24.1</v>
      </c>
      <c r="L47" s="46">
        <v>28.6</v>
      </c>
      <c r="M47" s="46">
        <v>23.2</v>
      </c>
      <c r="N47" s="46">
        <v>24.3</v>
      </c>
      <c r="O47" s="46">
        <v>21.2</v>
      </c>
      <c r="P47" s="46">
        <v>25.3</v>
      </c>
      <c r="Q47" s="46">
        <v>23.4</v>
      </c>
      <c r="R47" s="46">
        <v>19.8</v>
      </c>
      <c r="S47" s="46">
        <v>21.4</v>
      </c>
      <c r="T47" s="46">
        <v>28.4</v>
      </c>
      <c r="U47" s="46">
        <v>27.9</v>
      </c>
      <c r="V47" s="46">
        <v>22.5</v>
      </c>
      <c r="W47" s="46">
        <v>21.9</v>
      </c>
      <c r="X47" s="46">
        <v>26.1</v>
      </c>
      <c r="Y47" s="46">
        <v>27.5</v>
      </c>
      <c r="Z47" s="46">
        <v>20.3</v>
      </c>
      <c r="AA47" s="46">
        <v>21.8</v>
      </c>
      <c r="AB47" s="46" t="s">
        <v>160</v>
      </c>
      <c r="AC47" s="46" t="s">
        <v>160</v>
      </c>
    </row>
    <row r="48" spans="1:29">
      <c r="A48" s="62">
        <f t="shared" ca="1" si="5"/>
        <v>38</v>
      </c>
      <c r="B48" s="62" t="str">
        <f t="shared" ca="1" si="6"/>
        <v>E</v>
      </c>
      <c r="C48" s="62" t="str">
        <f t="shared" ca="1" si="4"/>
        <v>BBB-</v>
      </c>
      <c r="D48" s="62">
        <f t="shared" ca="1" si="7"/>
        <v>12</v>
      </c>
      <c r="E48" s="63">
        <f t="shared" ca="1" si="8"/>
        <v>18.708333333333336</v>
      </c>
      <c r="F48" s="46" t="s">
        <v>372</v>
      </c>
      <c r="G48" s="46" t="s">
        <v>160</v>
      </c>
      <c r="H48" s="46" t="s">
        <v>373</v>
      </c>
      <c r="I48" s="46" t="s">
        <v>551</v>
      </c>
      <c r="J48" s="46">
        <v>16.3</v>
      </c>
      <c r="K48" s="46">
        <v>17.899999999999999</v>
      </c>
      <c r="L48" s="46">
        <v>17.399999999999999</v>
      </c>
      <c r="M48" s="46">
        <v>15.9</v>
      </c>
      <c r="N48" s="46">
        <v>20.9</v>
      </c>
      <c r="O48" s="46">
        <v>21.9</v>
      </c>
      <c r="P48" s="46">
        <v>20.2</v>
      </c>
      <c r="Q48" s="46">
        <v>18.600000000000001</v>
      </c>
      <c r="R48" s="46">
        <v>17.5</v>
      </c>
      <c r="S48" s="46">
        <v>20.100000000000001</v>
      </c>
      <c r="T48" s="46">
        <v>21.2</v>
      </c>
      <c r="U48" s="46">
        <v>17.899999999999999</v>
      </c>
      <c r="V48" s="46">
        <v>16.899999999999999</v>
      </c>
      <c r="W48" s="46">
        <v>19.899999999999999</v>
      </c>
      <c r="X48" s="46">
        <v>21.3</v>
      </c>
      <c r="Y48" s="46">
        <v>19.399999999999999</v>
      </c>
      <c r="Z48" s="46">
        <v>15.4</v>
      </c>
      <c r="AA48" s="46">
        <v>16.100000000000001</v>
      </c>
      <c r="AB48" s="46" t="s">
        <v>160</v>
      </c>
      <c r="AC48" s="46" t="s">
        <v>160</v>
      </c>
    </row>
    <row r="49" spans="1:29">
      <c r="A49" s="62">
        <f t="shared" ca="1" si="5"/>
        <v>39</v>
      </c>
      <c r="B49" s="62" t="str">
        <f t="shared" ca="1" si="6"/>
        <v>E</v>
      </c>
      <c r="C49" s="62" t="str">
        <f t="shared" ca="1" si="4"/>
        <v>BBB</v>
      </c>
      <c r="D49" s="62">
        <f t="shared" ca="1" si="7"/>
        <v>13</v>
      </c>
      <c r="E49" s="63">
        <f t="shared" ca="1" si="8"/>
        <v>17.175000000000001</v>
      </c>
      <c r="F49" s="46" t="s">
        <v>375</v>
      </c>
      <c r="G49" s="46" t="s">
        <v>160</v>
      </c>
      <c r="H49" s="46" t="s">
        <v>376</v>
      </c>
      <c r="I49" s="46" t="s">
        <v>551</v>
      </c>
      <c r="J49" s="46">
        <v>16.5</v>
      </c>
      <c r="K49" s="46">
        <v>16.3</v>
      </c>
      <c r="L49" s="46">
        <v>24.6</v>
      </c>
      <c r="M49" s="46">
        <v>12.7</v>
      </c>
      <c r="N49" s="46">
        <v>10.4</v>
      </c>
      <c r="O49" s="46">
        <v>7.58</v>
      </c>
      <c r="P49" s="46">
        <v>29.4</v>
      </c>
      <c r="Q49" s="46">
        <v>20.7</v>
      </c>
      <c r="R49" s="46">
        <v>10.3</v>
      </c>
      <c r="S49" s="46">
        <v>17.399999999999999</v>
      </c>
      <c r="T49" s="46">
        <v>18.100000000000001</v>
      </c>
      <c r="U49" s="46">
        <v>19.8</v>
      </c>
      <c r="V49" s="46">
        <v>11.4</v>
      </c>
      <c r="W49" s="46">
        <v>16.3</v>
      </c>
      <c r="X49" s="46">
        <v>17.899999999999999</v>
      </c>
      <c r="Y49" s="46">
        <v>17.3</v>
      </c>
      <c r="Z49" s="46">
        <v>11.8</v>
      </c>
      <c r="AA49" s="46">
        <v>15.7</v>
      </c>
      <c r="AB49" s="46" t="s">
        <v>160</v>
      </c>
      <c r="AC49" s="46" t="s">
        <v>160</v>
      </c>
    </row>
    <row r="50" spans="1:29">
      <c r="A50" s="62">
        <f t="shared" ca="1" si="5"/>
        <v>40</v>
      </c>
      <c r="B50" s="62" t="str">
        <f t="shared" ca="1" si="6"/>
        <v>E</v>
      </c>
      <c r="C50" s="62" t="str">
        <f t="shared" ca="1" si="4"/>
        <v>A-</v>
      </c>
      <c r="D50" s="62">
        <f t="shared" ca="1" si="7"/>
        <v>15</v>
      </c>
      <c r="E50" s="63">
        <f t="shared" ca="1" si="8"/>
        <v>35.988888888888887</v>
      </c>
      <c r="F50" s="46" t="s">
        <v>377</v>
      </c>
      <c r="G50" s="46" t="s">
        <v>160</v>
      </c>
      <c r="H50" s="46" t="s">
        <v>378</v>
      </c>
      <c r="I50" s="46" t="s">
        <v>326</v>
      </c>
      <c r="J50" s="46">
        <v>74</v>
      </c>
      <c r="K50" s="46">
        <v>28.3</v>
      </c>
      <c r="L50" s="46">
        <v>17</v>
      </c>
      <c r="M50" s="46">
        <v>36.200000000000003</v>
      </c>
      <c r="N50" s="46">
        <v>54.2</v>
      </c>
      <c r="O50" s="46">
        <v>16.100000000000001</v>
      </c>
      <c r="P50" s="46" t="s">
        <v>160</v>
      </c>
      <c r="Q50" s="46" t="s">
        <v>160</v>
      </c>
      <c r="R50" s="46" t="s">
        <v>160</v>
      </c>
      <c r="S50" s="46">
        <v>16.8</v>
      </c>
      <c r="T50" s="46">
        <v>-3</v>
      </c>
      <c r="U50" s="46">
        <v>65.400000000000006</v>
      </c>
      <c r="V50" s="46">
        <v>59.4</v>
      </c>
      <c r="W50" s="46">
        <v>27.7</v>
      </c>
      <c r="X50" s="46">
        <v>23</v>
      </c>
      <c r="Y50" s="46">
        <v>46.7</v>
      </c>
      <c r="Z50" s="46">
        <v>59</v>
      </c>
      <c r="AA50" s="46">
        <v>28.9</v>
      </c>
      <c r="AB50" s="46" t="s">
        <v>160</v>
      </c>
      <c r="AC50" s="46" t="s">
        <v>160</v>
      </c>
    </row>
    <row r="51" spans="1:29">
      <c r="A51" s="62">
        <f t="shared" ca="1" si="5"/>
        <v>41</v>
      </c>
      <c r="B51" s="62" t="str">
        <f t="shared" ca="1" si="6"/>
        <v>E</v>
      </c>
      <c r="C51" s="62" t="str">
        <f t="shared" ca="1" si="4"/>
        <v>A-</v>
      </c>
      <c r="D51" s="62">
        <f t="shared" ca="1" si="7"/>
        <v>15</v>
      </c>
      <c r="E51" s="63">
        <f t="shared" ca="1" si="8"/>
        <v>23.141666666666666</v>
      </c>
      <c r="F51" s="46" t="s">
        <v>380</v>
      </c>
      <c r="G51" s="46" t="s">
        <v>160</v>
      </c>
      <c r="H51" s="46" t="s">
        <v>381</v>
      </c>
      <c r="I51" s="46" t="s">
        <v>326</v>
      </c>
      <c r="J51" s="46">
        <v>20.8</v>
      </c>
      <c r="K51" s="46">
        <v>19.8</v>
      </c>
      <c r="L51" s="46">
        <v>24.2</v>
      </c>
      <c r="M51" s="46">
        <v>24.2</v>
      </c>
      <c r="N51" s="46">
        <v>33.700000000000003</v>
      </c>
      <c r="O51" s="46">
        <v>16.8</v>
      </c>
      <c r="P51" s="46">
        <v>18.399999999999999</v>
      </c>
      <c r="Q51" s="46">
        <v>22.2</v>
      </c>
      <c r="R51" s="46">
        <v>27.5</v>
      </c>
      <c r="S51" s="46">
        <v>24.3</v>
      </c>
      <c r="T51" s="46">
        <v>20.8</v>
      </c>
      <c r="U51" s="46">
        <v>25.9</v>
      </c>
      <c r="V51" s="46">
        <v>30.2</v>
      </c>
      <c r="W51" s="46">
        <v>24.6</v>
      </c>
      <c r="X51" s="46">
        <v>28.5</v>
      </c>
      <c r="Y51" s="46">
        <v>12.5</v>
      </c>
      <c r="Z51" s="46">
        <v>26.6</v>
      </c>
      <c r="AA51" s="46">
        <v>16.2</v>
      </c>
      <c r="AB51" s="46" t="s">
        <v>160</v>
      </c>
      <c r="AC51" s="46" t="s">
        <v>160</v>
      </c>
    </row>
    <row r="52" spans="1:29">
      <c r="A52" s="62">
        <f t="shared" ca="1" si="5"/>
        <v>42</v>
      </c>
      <c r="B52" s="62" t="str">
        <f t="shared" ca="1" si="6"/>
        <v>E</v>
      </c>
      <c r="C52" s="62" t="str">
        <f t="shared" ca="1" si="4"/>
        <v>A-</v>
      </c>
      <c r="D52" s="62">
        <f t="shared" ca="1" si="7"/>
        <v>15</v>
      </c>
      <c r="E52" s="63">
        <f t="shared" ca="1" si="8"/>
        <v>18.508333333333333</v>
      </c>
      <c r="F52" s="46" t="s">
        <v>382</v>
      </c>
      <c r="G52" s="46" t="s">
        <v>160</v>
      </c>
      <c r="H52" s="46" t="s">
        <v>383</v>
      </c>
      <c r="I52" s="46" t="s">
        <v>326</v>
      </c>
      <c r="J52" s="46">
        <v>23.7</v>
      </c>
      <c r="K52" s="46">
        <v>24.8</v>
      </c>
      <c r="L52" s="46">
        <v>47.1</v>
      </c>
      <c r="M52" s="46">
        <v>0.39400000000000002</v>
      </c>
      <c r="N52" s="46">
        <v>24.3</v>
      </c>
      <c r="O52" s="46">
        <v>25.4</v>
      </c>
      <c r="P52" s="46">
        <v>46.7</v>
      </c>
      <c r="Q52" s="46">
        <v>-10.9</v>
      </c>
      <c r="R52" s="46">
        <v>18.7</v>
      </c>
      <c r="S52" s="46">
        <v>11.7</v>
      </c>
      <c r="T52" s="46">
        <v>33.9</v>
      </c>
      <c r="U52" s="46">
        <v>18.899999999999999</v>
      </c>
      <c r="V52" s="46">
        <v>15.3</v>
      </c>
      <c r="W52" s="46">
        <v>19.600000000000001</v>
      </c>
      <c r="X52" s="46">
        <v>25.2</v>
      </c>
      <c r="Y52" s="46">
        <v>10.7</v>
      </c>
      <c r="Z52" s="46">
        <v>14.5</v>
      </c>
      <c r="AA52" s="46">
        <v>17.8</v>
      </c>
      <c r="AB52" s="46" t="s">
        <v>160</v>
      </c>
      <c r="AC52" s="46" t="s">
        <v>160</v>
      </c>
    </row>
    <row r="53" spans="1:29">
      <c r="A53" s="62">
        <f t="shared" ca="1" si="5"/>
        <v>43</v>
      </c>
      <c r="B53" s="62" t="str">
        <f t="shared" ca="1" si="6"/>
        <v>E</v>
      </c>
      <c r="C53" s="62" t="str">
        <f t="shared" ca="1" si="4"/>
        <v>BBB-</v>
      </c>
      <c r="D53" s="62">
        <f t="shared" ca="1" si="7"/>
        <v>12</v>
      </c>
      <c r="E53" s="63">
        <f t="shared" ca="1" si="8"/>
        <v>11.69</v>
      </c>
      <c r="F53" s="46" t="s">
        <v>384</v>
      </c>
      <c r="G53" s="46" t="s">
        <v>160</v>
      </c>
      <c r="H53" s="46" t="s">
        <v>385</v>
      </c>
      <c r="I53" s="46" t="s">
        <v>473</v>
      </c>
      <c r="J53" s="46">
        <v>12.3</v>
      </c>
      <c r="K53" s="46">
        <v>14.2</v>
      </c>
      <c r="L53" s="46">
        <v>17.899999999999999</v>
      </c>
      <c r="M53" s="46">
        <v>19.2</v>
      </c>
      <c r="N53" s="46">
        <v>7.32</v>
      </c>
      <c r="O53" s="46">
        <v>12.2</v>
      </c>
      <c r="P53" s="46">
        <v>17.5</v>
      </c>
      <c r="Q53" s="46">
        <v>-14.2</v>
      </c>
      <c r="R53" s="46">
        <v>12.8</v>
      </c>
      <c r="S53" s="46">
        <v>12.8</v>
      </c>
      <c r="T53" s="46">
        <v>24.3</v>
      </c>
      <c r="U53" s="46">
        <v>4.54</v>
      </c>
      <c r="V53" s="46">
        <v>7.81</v>
      </c>
      <c r="W53" s="46">
        <v>13.5</v>
      </c>
      <c r="X53" s="46">
        <v>24.3</v>
      </c>
      <c r="Y53" s="46">
        <v>9.33</v>
      </c>
      <c r="Z53" s="46">
        <v>10.3</v>
      </c>
      <c r="AA53" s="46">
        <v>17.3</v>
      </c>
      <c r="AB53" s="46" t="s">
        <v>160</v>
      </c>
      <c r="AC53" s="46" t="s">
        <v>160</v>
      </c>
    </row>
    <row r="54" spans="1:29">
      <c r="A54" s="62">
        <f t="shared" ca="1" si="5"/>
        <v>44</v>
      </c>
      <c r="B54" s="62" t="str">
        <f t="shared" ca="1" si="6"/>
        <v>E</v>
      </c>
      <c r="C54" s="62" t="str">
        <f t="shared" ca="1" si="4"/>
        <v>BBB+</v>
      </c>
      <c r="D54" s="62">
        <f t="shared" ca="1" si="7"/>
        <v>14</v>
      </c>
      <c r="E54" s="63">
        <f t="shared" ca="1" si="8"/>
        <v>18.775000000000002</v>
      </c>
      <c r="F54" s="46" t="s">
        <v>386</v>
      </c>
      <c r="G54" s="46" t="s">
        <v>160</v>
      </c>
      <c r="H54" s="46" t="s">
        <v>387</v>
      </c>
      <c r="I54" s="46" t="s">
        <v>326</v>
      </c>
      <c r="J54" s="46">
        <v>12.5</v>
      </c>
      <c r="K54" s="46">
        <v>18.3</v>
      </c>
      <c r="L54" s="46">
        <v>34.6</v>
      </c>
      <c r="M54" s="46">
        <v>4.6900000000000004</v>
      </c>
      <c r="N54" s="46">
        <v>10.8</v>
      </c>
      <c r="O54" s="46">
        <v>15</v>
      </c>
      <c r="P54" s="46">
        <v>24.2</v>
      </c>
      <c r="Q54" s="46">
        <v>18.600000000000001</v>
      </c>
      <c r="R54" s="46">
        <v>11.1</v>
      </c>
      <c r="S54" s="46">
        <v>15.9</v>
      </c>
      <c r="T54" s="46">
        <v>21.1</v>
      </c>
      <c r="U54" s="46">
        <v>24.3</v>
      </c>
      <c r="V54" s="46">
        <v>14.7</v>
      </c>
      <c r="W54" s="46">
        <v>23.4</v>
      </c>
      <c r="X54" s="46">
        <v>29.5</v>
      </c>
      <c r="Y54" s="46">
        <v>12.7</v>
      </c>
      <c r="Z54" s="46">
        <v>12.3</v>
      </c>
      <c r="AA54" s="46">
        <v>17.5</v>
      </c>
      <c r="AB54" s="46" t="s">
        <v>160</v>
      </c>
      <c r="AC54" s="46" t="s">
        <v>160</v>
      </c>
    </row>
    <row r="55" spans="1:29">
      <c r="A55" s="62">
        <f t="shared" ca="1" si="5"/>
        <v>45</v>
      </c>
      <c r="B55" s="62" t="str">
        <f t="shared" ca="1" si="6"/>
        <v>E</v>
      </c>
      <c r="C55" s="62" t="str">
        <f t="shared" ca="1" si="4"/>
        <v>BBB+</v>
      </c>
      <c r="D55" s="62">
        <f t="shared" ca="1" si="7"/>
        <v>14</v>
      </c>
      <c r="E55" s="63" t="str">
        <f t="shared" ca="1" si="8"/>
        <v>N/A</v>
      </c>
      <c r="F55" s="46" t="s">
        <v>388</v>
      </c>
      <c r="G55" s="46" t="s">
        <v>160</v>
      </c>
      <c r="H55" s="46" t="s">
        <v>389</v>
      </c>
      <c r="I55" s="46" t="s">
        <v>326</v>
      </c>
      <c r="J55" s="46" t="s">
        <v>160</v>
      </c>
      <c r="K55" s="46" t="s">
        <v>160</v>
      </c>
      <c r="L55" s="46" t="s">
        <v>160</v>
      </c>
      <c r="M55" s="46" t="s">
        <v>160</v>
      </c>
      <c r="N55" s="46" t="s">
        <v>160</v>
      </c>
      <c r="O55" s="46" t="s">
        <v>160</v>
      </c>
      <c r="P55" s="46" t="s">
        <v>160</v>
      </c>
      <c r="Q55" s="46" t="s">
        <v>160</v>
      </c>
      <c r="R55" s="46" t="s">
        <v>160</v>
      </c>
      <c r="S55" s="46" t="s">
        <v>160</v>
      </c>
      <c r="T55" s="46" t="s">
        <v>160</v>
      </c>
      <c r="U55" s="46" t="s">
        <v>160</v>
      </c>
      <c r="V55" s="46" t="s">
        <v>160</v>
      </c>
      <c r="W55" s="46" t="s">
        <v>160</v>
      </c>
      <c r="X55" s="46" t="s">
        <v>160</v>
      </c>
      <c r="Y55" s="46" t="s">
        <v>160</v>
      </c>
      <c r="Z55" s="46" t="s">
        <v>160</v>
      </c>
      <c r="AA55" s="46" t="s">
        <v>160</v>
      </c>
      <c r="AB55" s="46" t="s">
        <v>160</v>
      </c>
      <c r="AC55" s="46" t="s">
        <v>160</v>
      </c>
    </row>
    <row r="56" spans="1:29">
      <c r="A56" s="62">
        <f t="shared" ca="1" si="5"/>
        <v>46</v>
      </c>
      <c r="B56" s="62" t="str">
        <f t="shared" ca="1" si="6"/>
        <v>E</v>
      </c>
      <c r="C56" s="62" t="str">
        <f t="shared" ca="1" si="4"/>
        <v>BBB+</v>
      </c>
      <c r="D56" s="62">
        <f t="shared" ca="1" si="7"/>
        <v>14</v>
      </c>
      <c r="E56" s="63" t="str">
        <f t="shared" ca="1" si="8"/>
        <v>N/A</v>
      </c>
      <c r="F56" s="46" t="s">
        <v>390</v>
      </c>
      <c r="G56" s="46" t="s">
        <v>160</v>
      </c>
      <c r="H56" s="46" t="s">
        <v>391</v>
      </c>
      <c r="I56" s="46" t="s">
        <v>326</v>
      </c>
      <c r="J56" s="46" t="s">
        <v>160</v>
      </c>
      <c r="K56" s="46" t="s">
        <v>160</v>
      </c>
      <c r="L56" s="46" t="s">
        <v>160</v>
      </c>
      <c r="M56" s="46" t="s">
        <v>160</v>
      </c>
      <c r="N56" s="46" t="s">
        <v>160</v>
      </c>
      <c r="O56" s="46" t="s">
        <v>160</v>
      </c>
      <c r="P56" s="46" t="s">
        <v>160</v>
      </c>
      <c r="Q56" s="46" t="s">
        <v>160</v>
      </c>
      <c r="R56" s="46" t="s">
        <v>160</v>
      </c>
      <c r="S56" s="46" t="s">
        <v>160</v>
      </c>
      <c r="T56" s="46" t="s">
        <v>160</v>
      </c>
      <c r="U56" s="46" t="s">
        <v>160</v>
      </c>
      <c r="V56" s="46" t="s">
        <v>160</v>
      </c>
      <c r="W56" s="46" t="s">
        <v>160</v>
      </c>
      <c r="X56" s="46" t="s">
        <v>160</v>
      </c>
      <c r="Y56" s="46" t="s">
        <v>160</v>
      </c>
      <c r="Z56" s="46" t="s">
        <v>160</v>
      </c>
      <c r="AA56" s="46" t="s">
        <v>160</v>
      </c>
      <c r="AB56" s="46" t="s">
        <v>160</v>
      </c>
      <c r="AC56" s="46" t="s">
        <v>160</v>
      </c>
    </row>
    <row r="57" spans="1:29">
      <c r="A57" s="62">
        <f t="shared" ca="1" si="5"/>
        <v>47</v>
      </c>
      <c r="B57" s="62" t="str">
        <f t="shared" ca="1" si="6"/>
        <v>E</v>
      </c>
      <c r="C57" s="62" t="str">
        <f t="shared" ca="1" si="4"/>
        <v>A-</v>
      </c>
      <c r="D57" s="62">
        <f t="shared" ca="1" si="7"/>
        <v>15</v>
      </c>
      <c r="E57" s="63">
        <f t="shared" ca="1" si="8"/>
        <v>16.420833333333334</v>
      </c>
      <c r="F57" s="46" t="s">
        <v>392</v>
      </c>
      <c r="G57" s="46" t="s">
        <v>160</v>
      </c>
      <c r="H57" s="46" t="s">
        <v>393</v>
      </c>
      <c r="I57" s="46" t="s">
        <v>326</v>
      </c>
      <c r="J57" s="46">
        <v>24.9</v>
      </c>
      <c r="K57" s="46">
        <v>14.8</v>
      </c>
      <c r="L57" s="46">
        <v>12.6</v>
      </c>
      <c r="M57" s="46">
        <v>33</v>
      </c>
      <c r="N57" s="46">
        <v>29</v>
      </c>
      <c r="O57" s="46">
        <v>15.6</v>
      </c>
      <c r="P57" s="46">
        <v>15.5</v>
      </c>
      <c r="Q57" s="46">
        <v>8.35</v>
      </c>
      <c r="R57" s="46">
        <v>20.7</v>
      </c>
      <c r="S57" s="46">
        <v>24.7</v>
      </c>
      <c r="T57" s="46">
        <v>11.6</v>
      </c>
      <c r="U57" s="46">
        <v>23.7</v>
      </c>
      <c r="V57" s="46">
        <v>22</v>
      </c>
      <c r="W57" s="46">
        <v>13.9</v>
      </c>
      <c r="X57" s="46">
        <v>17.899999999999999</v>
      </c>
      <c r="Y57" s="46">
        <v>11.1</v>
      </c>
      <c r="Z57" s="46">
        <v>16.3</v>
      </c>
      <c r="AA57" s="46">
        <v>11.3</v>
      </c>
      <c r="AB57" s="46" t="s">
        <v>160</v>
      </c>
      <c r="AC57" s="46" t="s">
        <v>160</v>
      </c>
    </row>
    <row r="58" spans="1:29">
      <c r="A58" s="62">
        <f t="shared" ca="1" si="5"/>
        <v>48</v>
      </c>
      <c r="B58" s="62" t="str">
        <f t="shared" ca="1" si="6"/>
        <v>E</v>
      </c>
      <c r="C58" s="62" t="str">
        <f t="shared" ca="1" si="4"/>
        <v>A-</v>
      </c>
      <c r="D58" s="62">
        <f t="shared" ca="1" si="7"/>
        <v>15</v>
      </c>
      <c r="E58" s="63">
        <f t="shared" ca="1" si="8"/>
        <v>24.375</v>
      </c>
      <c r="F58" s="46" t="s">
        <v>394</v>
      </c>
      <c r="G58" s="46" t="s">
        <v>160</v>
      </c>
      <c r="H58" s="46" t="s">
        <v>395</v>
      </c>
      <c r="I58" s="46" t="s">
        <v>473</v>
      </c>
      <c r="J58" s="46">
        <v>26.8</v>
      </c>
      <c r="K58" s="46">
        <v>22.6</v>
      </c>
      <c r="L58" s="46">
        <v>19.899999999999999</v>
      </c>
      <c r="M58" s="46">
        <v>16.7</v>
      </c>
      <c r="N58" s="46">
        <v>26.2</v>
      </c>
      <c r="O58" s="46">
        <v>23</v>
      </c>
      <c r="P58" s="46">
        <v>23.9</v>
      </c>
      <c r="Q58" s="46">
        <v>31.9</v>
      </c>
      <c r="R58" s="46">
        <v>28.1</v>
      </c>
      <c r="S58" s="46">
        <v>20</v>
      </c>
      <c r="T58" s="46">
        <v>26.9</v>
      </c>
      <c r="U58" s="46">
        <v>19.7</v>
      </c>
      <c r="V58" s="46">
        <v>26.8</v>
      </c>
      <c r="W58" s="46">
        <v>21.6</v>
      </c>
      <c r="X58" s="46">
        <v>28.1</v>
      </c>
      <c r="Y58" s="46">
        <v>18.8</v>
      </c>
      <c r="Z58" s="46">
        <v>24</v>
      </c>
      <c r="AA58" s="46">
        <v>22.7</v>
      </c>
      <c r="AB58" s="46" t="s">
        <v>160</v>
      </c>
      <c r="AC58" s="46" t="s">
        <v>160</v>
      </c>
    </row>
    <row r="59" spans="1:29">
      <c r="A59" s="62">
        <f t="shared" ca="1" si="5"/>
        <v>49</v>
      </c>
      <c r="B59" s="62" t="str">
        <f t="shared" ca="1" si="6"/>
        <v>E</v>
      </c>
      <c r="C59" s="62" t="str">
        <f t="shared" ca="1" si="4"/>
        <v>A-</v>
      </c>
      <c r="D59" s="62">
        <f t="shared" ca="1" si="7"/>
        <v>15</v>
      </c>
      <c r="E59" s="63">
        <f t="shared" ca="1" si="8"/>
        <v>26.166666666666668</v>
      </c>
      <c r="F59" s="46" t="s">
        <v>396</v>
      </c>
      <c r="G59" s="46" t="s">
        <v>160</v>
      </c>
      <c r="H59" s="46" t="s">
        <v>397</v>
      </c>
      <c r="I59" s="46" t="s">
        <v>473</v>
      </c>
      <c r="J59" s="46">
        <v>26.4</v>
      </c>
      <c r="K59" s="46">
        <v>21.8</v>
      </c>
      <c r="L59" s="46">
        <v>24.8</v>
      </c>
      <c r="M59" s="46">
        <v>20.8</v>
      </c>
      <c r="N59" s="46">
        <v>25.1</v>
      </c>
      <c r="O59" s="46">
        <v>22.1</v>
      </c>
      <c r="P59" s="46">
        <v>24.3</v>
      </c>
      <c r="Q59" s="46">
        <v>35.6</v>
      </c>
      <c r="R59" s="46">
        <v>30.1</v>
      </c>
      <c r="S59" s="46">
        <v>23.6</v>
      </c>
      <c r="T59" s="46">
        <v>28.1</v>
      </c>
      <c r="U59" s="46">
        <v>22.5</v>
      </c>
      <c r="V59" s="46">
        <v>26.7</v>
      </c>
      <c r="W59" s="46">
        <v>22.1</v>
      </c>
      <c r="X59" s="46">
        <v>31.5</v>
      </c>
      <c r="Y59" s="46">
        <v>22.9</v>
      </c>
      <c r="Z59" s="46">
        <v>24.8</v>
      </c>
      <c r="AA59" s="46">
        <v>21.8</v>
      </c>
      <c r="AB59" s="46" t="s">
        <v>160</v>
      </c>
      <c r="AC59" s="46" t="s">
        <v>160</v>
      </c>
    </row>
    <row r="60" spans="1:29">
      <c r="A60" s="62">
        <f t="shared" ca="1" si="5"/>
        <v>50</v>
      </c>
      <c r="B60" s="62" t="str">
        <f t="shared" ca="1" si="6"/>
        <v>E</v>
      </c>
      <c r="C60" s="62" t="str">
        <f t="shared" ca="1" si="4"/>
        <v>AA-</v>
      </c>
      <c r="D60" s="62">
        <f t="shared" ca="1" si="7"/>
        <v>18</v>
      </c>
      <c r="E60" s="63">
        <f t="shared" ca="1" si="8"/>
        <v>28.883333333333336</v>
      </c>
      <c r="F60" s="46" t="s">
        <v>398</v>
      </c>
      <c r="G60" s="46" t="s">
        <v>160</v>
      </c>
      <c r="H60" s="46" t="s">
        <v>399</v>
      </c>
      <c r="I60" s="46" t="s">
        <v>326</v>
      </c>
      <c r="J60" s="46">
        <v>43.7</v>
      </c>
      <c r="K60" s="46">
        <v>30.4</v>
      </c>
      <c r="L60" s="46">
        <v>44.6</v>
      </c>
      <c r="M60" s="46">
        <v>30.6</v>
      </c>
      <c r="N60" s="46">
        <v>43.5</v>
      </c>
      <c r="O60" s="46">
        <v>34.299999999999997</v>
      </c>
      <c r="P60" s="46">
        <v>36.700000000000003</v>
      </c>
      <c r="Q60" s="46">
        <v>26.8</v>
      </c>
      <c r="R60" s="46">
        <v>24.6</v>
      </c>
      <c r="S60" s="46">
        <v>19.7</v>
      </c>
      <c r="T60" s="46">
        <v>44.5</v>
      </c>
      <c r="U60" s="46">
        <v>20.100000000000001</v>
      </c>
      <c r="V60" s="46">
        <v>26</v>
      </c>
      <c r="W60" s="46">
        <v>29.5</v>
      </c>
      <c r="X60" s="46">
        <v>37.1</v>
      </c>
      <c r="Y60" s="46">
        <v>28.6</v>
      </c>
      <c r="Z60" s="46">
        <v>21.9</v>
      </c>
      <c r="AA60" s="46">
        <v>31.1</v>
      </c>
      <c r="AB60" s="46" t="s">
        <v>160</v>
      </c>
      <c r="AC60" s="46" t="s">
        <v>160</v>
      </c>
    </row>
    <row r="61" spans="1:29">
      <c r="A61" s="62">
        <f t="shared" ca="1" si="5"/>
        <v>51</v>
      </c>
      <c r="B61" s="62" t="str">
        <f t="shared" ca="1" si="6"/>
        <v>E</v>
      </c>
      <c r="C61" s="62" t="str">
        <f t="shared" ca="1" si="4"/>
        <v>-</v>
      </c>
      <c r="D61" s="62" t="str">
        <f t="shared" ca="1" si="7"/>
        <v/>
      </c>
      <c r="E61" s="63" t="str">
        <f t="shared" ca="1" si="8"/>
        <v>N/A</v>
      </c>
      <c r="F61" s="46" t="s">
        <v>400</v>
      </c>
      <c r="G61" s="46" t="s">
        <v>160</v>
      </c>
      <c r="H61" s="46" t="s">
        <v>160</v>
      </c>
      <c r="I61" s="46" t="s">
        <v>326</v>
      </c>
      <c r="J61" s="46" t="s">
        <v>160</v>
      </c>
      <c r="K61" s="46" t="s">
        <v>160</v>
      </c>
      <c r="L61" s="46" t="s">
        <v>160</v>
      </c>
      <c r="M61" s="46" t="s">
        <v>160</v>
      </c>
      <c r="N61" s="46" t="s">
        <v>160</v>
      </c>
      <c r="O61" s="46" t="s">
        <v>160</v>
      </c>
      <c r="P61" s="46" t="s">
        <v>160</v>
      </c>
      <c r="Q61" s="46" t="s">
        <v>160</v>
      </c>
      <c r="R61" s="46" t="s">
        <v>160</v>
      </c>
      <c r="S61" s="46" t="s">
        <v>160</v>
      </c>
      <c r="T61" s="46" t="s">
        <v>160</v>
      </c>
      <c r="U61" s="46" t="s">
        <v>160</v>
      </c>
      <c r="V61" s="46" t="s">
        <v>160</v>
      </c>
      <c r="W61" s="46" t="s">
        <v>160</v>
      </c>
      <c r="X61" s="46" t="s">
        <v>160</v>
      </c>
      <c r="Y61" s="46" t="s">
        <v>160</v>
      </c>
      <c r="Z61" s="46" t="s">
        <v>160</v>
      </c>
      <c r="AA61" s="46" t="s">
        <v>160</v>
      </c>
      <c r="AB61" s="46" t="s">
        <v>160</v>
      </c>
      <c r="AC61" s="46" t="s">
        <v>160</v>
      </c>
    </row>
    <row r="62" spans="1:29">
      <c r="A62" s="62">
        <f t="shared" ca="1" si="5"/>
        <v>52</v>
      </c>
      <c r="B62" s="62" t="str">
        <f t="shared" ca="1" si="6"/>
        <v>E</v>
      </c>
      <c r="C62" s="62" t="str">
        <f t="shared" ca="1" si="4"/>
        <v>BBB-</v>
      </c>
      <c r="D62" s="62">
        <f t="shared" ca="1" si="7"/>
        <v>12</v>
      </c>
      <c r="E62" s="63">
        <f t="shared" ca="1" si="8"/>
        <v>15.635999999999997</v>
      </c>
      <c r="F62" s="46" t="s">
        <v>401</v>
      </c>
      <c r="G62" s="46" t="s">
        <v>160</v>
      </c>
      <c r="H62" s="46" t="s">
        <v>402</v>
      </c>
      <c r="I62" s="46" t="s">
        <v>473</v>
      </c>
      <c r="J62" s="46">
        <v>22.6</v>
      </c>
      <c r="K62" s="46">
        <v>19</v>
      </c>
      <c r="L62" s="46">
        <v>19</v>
      </c>
      <c r="M62" s="46">
        <v>20.399999999999999</v>
      </c>
      <c r="N62" s="46">
        <v>0.68500000000000005</v>
      </c>
      <c r="O62" s="46">
        <v>15.9</v>
      </c>
      <c r="P62" s="46">
        <v>14.3</v>
      </c>
      <c r="Q62" s="46">
        <v>-3.97</v>
      </c>
      <c r="R62" s="46">
        <v>19.2</v>
      </c>
      <c r="S62" s="46">
        <v>22.3</v>
      </c>
      <c r="T62" s="46">
        <v>28.8</v>
      </c>
      <c r="U62" s="46">
        <v>-0.27400000000000002</v>
      </c>
      <c r="V62" s="46" t="s">
        <v>160</v>
      </c>
      <c r="W62" s="46">
        <v>21.2</v>
      </c>
      <c r="X62" s="46">
        <v>26.3</v>
      </c>
      <c r="Y62" s="46">
        <v>-3.06</v>
      </c>
      <c r="Z62" s="46">
        <v>26.2</v>
      </c>
      <c r="AA62" s="46">
        <v>21</v>
      </c>
      <c r="AB62" s="46" t="s">
        <v>160</v>
      </c>
      <c r="AC62" s="46" t="s">
        <v>160</v>
      </c>
    </row>
    <row r="63" spans="1:29">
      <c r="A63" s="62">
        <f t="shared" ca="1" si="5"/>
        <v>53</v>
      </c>
      <c r="B63" s="62" t="str">
        <f t="shared" ca="1" si="6"/>
        <v>E</v>
      </c>
      <c r="C63" s="62" t="str">
        <f t="shared" ca="1" si="4"/>
        <v>BBB+</v>
      </c>
      <c r="D63" s="62">
        <f t="shared" ca="1" si="7"/>
        <v>14</v>
      </c>
      <c r="E63" s="63">
        <f t="shared" ca="1" si="8"/>
        <v>24.572500000000002</v>
      </c>
      <c r="F63" s="46" t="s">
        <v>403</v>
      </c>
      <c r="G63" s="46" t="s">
        <v>160</v>
      </c>
      <c r="H63" s="46" t="s">
        <v>404</v>
      </c>
      <c r="I63" s="46" t="s">
        <v>473</v>
      </c>
      <c r="J63" s="46">
        <v>4.5199999999999996</v>
      </c>
      <c r="K63" s="46">
        <v>20.100000000000001</v>
      </c>
      <c r="L63" s="46">
        <v>4.78</v>
      </c>
      <c r="M63" s="46">
        <v>-3.51</v>
      </c>
      <c r="N63" s="46">
        <v>8.4</v>
      </c>
      <c r="O63" s="46">
        <v>11.1</v>
      </c>
      <c r="P63" s="46">
        <v>52.9</v>
      </c>
      <c r="Q63" s="46">
        <v>21.7</v>
      </c>
      <c r="R63" s="46">
        <v>28.2</v>
      </c>
      <c r="S63" s="46">
        <v>90.7</v>
      </c>
      <c r="T63" s="46">
        <v>-8.24</v>
      </c>
      <c r="U63" s="46">
        <v>43.1</v>
      </c>
      <c r="V63" s="46">
        <v>8.23</v>
      </c>
      <c r="W63" s="46">
        <v>8.98</v>
      </c>
      <c r="X63" s="46">
        <v>8.94</v>
      </c>
      <c r="Y63" s="46">
        <v>12.7</v>
      </c>
      <c r="Z63" s="46">
        <v>4.66</v>
      </c>
      <c r="AA63" s="46">
        <v>23</v>
      </c>
      <c r="AB63" s="46" t="s">
        <v>160</v>
      </c>
      <c r="AC63" s="46" t="s">
        <v>160</v>
      </c>
    </row>
    <row r="64" spans="1:29">
      <c r="A64" s="62">
        <f t="shared" ca="1" si="5"/>
        <v>54</v>
      </c>
      <c r="B64" s="62" t="str">
        <f t="shared" ca="1" si="6"/>
        <v>E</v>
      </c>
      <c r="C64" s="62" t="str">
        <f t="shared" ca="1" si="4"/>
        <v>BBB-</v>
      </c>
      <c r="D64" s="62">
        <f t="shared" ca="1" si="7"/>
        <v>12</v>
      </c>
      <c r="E64" s="63">
        <f t="shared" ca="1" si="8"/>
        <v>18.108333333333334</v>
      </c>
      <c r="F64" s="46" t="s">
        <v>405</v>
      </c>
      <c r="G64" s="46" t="s">
        <v>160</v>
      </c>
      <c r="H64" s="46" t="s">
        <v>406</v>
      </c>
      <c r="I64" s="46" t="s">
        <v>473</v>
      </c>
      <c r="J64" s="46">
        <v>30.2</v>
      </c>
      <c r="K64" s="46">
        <v>19.7</v>
      </c>
      <c r="L64" s="46">
        <v>22.1</v>
      </c>
      <c r="M64" s="46">
        <v>20.6</v>
      </c>
      <c r="N64" s="46">
        <v>12.7</v>
      </c>
      <c r="O64" s="46">
        <v>13.2</v>
      </c>
      <c r="P64" s="46">
        <v>11.4</v>
      </c>
      <c r="Q64" s="46">
        <v>13.8</v>
      </c>
      <c r="R64" s="46">
        <v>20.8</v>
      </c>
      <c r="S64" s="46">
        <v>15.1</v>
      </c>
      <c r="T64" s="46">
        <v>19.5</v>
      </c>
      <c r="U64" s="46">
        <v>22.7</v>
      </c>
      <c r="V64" s="46">
        <v>23.1</v>
      </c>
      <c r="W64" s="46">
        <v>14</v>
      </c>
      <c r="X64" s="46">
        <v>21</v>
      </c>
      <c r="Y64" s="46">
        <v>19.7</v>
      </c>
      <c r="Z64" s="46">
        <v>20.3</v>
      </c>
      <c r="AA64" s="46">
        <v>15.9</v>
      </c>
      <c r="AB64" s="46" t="s">
        <v>160</v>
      </c>
      <c r="AC64" s="46" t="s">
        <v>160</v>
      </c>
    </row>
    <row r="65" spans="1:29">
      <c r="A65" s="62">
        <f t="shared" ca="1" si="5"/>
        <v>55</v>
      </c>
      <c r="B65" s="62" t="str">
        <f t="shared" ca="1" si="6"/>
        <v>G</v>
      </c>
      <c r="C65" s="62" t="str">
        <f t="shared" ca="1" si="4"/>
        <v>A</v>
      </c>
      <c r="D65" s="62">
        <f t="shared" ca="1" si="7"/>
        <v>16</v>
      </c>
      <c r="E65" s="63">
        <f t="shared" ca="1" si="8"/>
        <v>23.83818181818182</v>
      </c>
      <c r="F65" s="46" t="s">
        <v>407</v>
      </c>
      <c r="G65" s="46" t="s">
        <v>160</v>
      </c>
      <c r="H65" s="46" t="s">
        <v>408</v>
      </c>
      <c r="I65" s="46" t="s">
        <v>554</v>
      </c>
      <c r="J65" s="46">
        <v>41.2</v>
      </c>
      <c r="K65" s="46">
        <v>12.3</v>
      </c>
      <c r="L65" s="46">
        <v>6.25</v>
      </c>
      <c r="M65" s="46">
        <v>20.100000000000001</v>
      </c>
      <c r="N65" s="46">
        <v>34.5</v>
      </c>
      <c r="O65" s="46">
        <v>16.8</v>
      </c>
      <c r="P65" s="46">
        <v>4.1100000000000003</v>
      </c>
      <c r="Q65" s="46">
        <v>32.6</v>
      </c>
      <c r="R65" s="46">
        <v>28.6</v>
      </c>
      <c r="S65" s="46">
        <v>7.41</v>
      </c>
      <c r="T65" s="46">
        <v>11.6</v>
      </c>
      <c r="U65" s="46">
        <v>32.299999999999997</v>
      </c>
      <c r="V65" s="46">
        <v>36.700000000000003</v>
      </c>
      <c r="W65" s="46">
        <v>24.6</v>
      </c>
      <c r="X65" s="46">
        <v>12.8</v>
      </c>
      <c r="Y65" s="46">
        <v>25.3</v>
      </c>
      <c r="Z65" s="46">
        <v>46.2</v>
      </c>
      <c r="AA65" s="46" t="s">
        <v>160</v>
      </c>
      <c r="AB65" s="46" t="s">
        <v>160</v>
      </c>
      <c r="AC65" s="46" t="s">
        <v>160</v>
      </c>
    </row>
    <row r="66" spans="1:29">
      <c r="A66" s="62">
        <f t="shared" ca="1" si="5"/>
        <v>56</v>
      </c>
      <c r="B66" s="62" t="str">
        <f t="shared" ca="1" si="6"/>
        <v>E</v>
      </c>
      <c r="C66" s="62" t="str">
        <f t="shared" ca="1" si="4"/>
        <v>A-</v>
      </c>
      <c r="D66" s="62">
        <f t="shared" ca="1" si="7"/>
        <v>15</v>
      </c>
      <c r="E66" s="63">
        <f t="shared" ca="1" si="8"/>
        <v>18.136363636363637</v>
      </c>
      <c r="F66" s="46" t="s">
        <v>410</v>
      </c>
      <c r="G66" s="46" t="s">
        <v>160</v>
      </c>
      <c r="H66" s="46" t="s">
        <v>411</v>
      </c>
      <c r="I66" s="46" t="s">
        <v>473</v>
      </c>
      <c r="J66" s="46" t="s">
        <v>160</v>
      </c>
      <c r="K66" s="46" t="s">
        <v>160</v>
      </c>
      <c r="L66" s="46" t="s">
        <v>160</v>
      </c>
      <c r="M66" s="46" t="s">
        <v>160</v>
      </c>
      <c r="N66" s="46" t="s">
        <v>160</v>
      </c>
      <c r="O66" s="46" t="s">
        <v>160</v>
      </c>
      <c r="P66" s="46" t="s">
        <v>160</v>
      </c>
      <c r="Q66" s="46">
        <v>14.2</v>
      </c>
      <c r="R66" s="46">
        <v>12.2</v>
      </c>
      <c r="S66" s="46">
        <v>13.6</v>
      </c>
      <c r="T66" s="46">
        <v>3.5</v>
      </c>
      <c r="U66" s="46">
        <v>23.5</v>
      </c>
      <c r="V66" s="46">
        <v>22.6</v>
      </c>
      <c r="W66" s="46">
        <v>16.8</v>
      </c>
      <c r="X66" s="46">
        <v>16</v>
      </c>
      <c r="Y66" s="46">
        <v>33.200000000000003</v>
      </c>
      <c r="Z66" s="46">
        <v>25.9</v>
      </c>
      <c r="AA66" s="46">
        <v>18</v>
      </c>
      <c r="AB66" s="46" t="s">
        <v>160</v>
      </c>
      <c r="AC66" s="46" t="s">
        <v>160</v>
      </c>
    </row>
    <row r="67" spans="1:29">
      <c r="A67" s="62">
        <f t="shared" ca="1" si="5"/>
        <v>57</v>
      </c>
      <c r="B67" s="62" t="str">
        <f t="shared" ca="1" si="6"/>
        <v>G</v>
      </c>
      <c r="C67" s="62" t="str">
        <f t="shared" ca="1" si="4"/>
        <v>BBB+</v>
      </c>
      <c r="D67" s="62">
        <f t="shared" ca="1" si="7"/>
        <v>14</v>
      </c>
      <c r="E67" s="63">
        <f t="shared" ca="1" si="8"/>
        <v>12.896666666666667</v>
      </c>
      <c r="F67" s="46" t="s">
        <v>125</v>
      </c>
      <c r="G67" s="46" t="s">
        <v>221</v>
      </c>
      <c r="H67" s="46" t="s">
        <v>222</v>
      </c>
      <c r="I67" s="46" t="s">
        <v>554</v>
      </c>
      <c r="J67" s="46">
        <v>22</v>
      </c>
      <c r="K67" s="46">
        <v>12</v>
      </c>
      <c r="L67" s="46">
        <v>10</v>
      </c>
      <c r="M67" s="46">
        <v>17.600000000000001</v>
      </c>
      <c r="N67" s="46">
        <v>23.6</v>
      </c>
      <c r="O67" s="46">
        <v>11</v>
      </c>
      <c r="P67" s="46">
        <v>9.6199999999999992</v>
      </c>
      <c r="Q67" s="46">
        <v>14.4</v>
      </c>
      <c r="R67" s="46">
        <v>24.2</v>
      </c>
      <c r="S67" s="46">
        <v>8.7100000000000009</v>
      </c>
      <c r="T67" s="46">
        <v>4.2</v>
      </c>
      <c r="U67" s="46">
        <v>6.35</v>
      </c>
      <c r="V67" s="46">
        <v>22.1</v>
      </c>
      <c r="W67" s="46">
        <v>10.5</v>
      </c>
      <c r="X67" s="46">
        <v>8.99</v>
      </c>
      <c r="Y67" s="46">
        <v>15</v>
      </c>
      <c r="Z67" s="46">
        <v>21.9</v>
      </c>
      <c r="AA67" s="46">
        <v>8.7899999999999991</v>
      </c>
      <c r="AB67" s="46" t="s">
        <v>160</v>
      </c>
      <c r="AC67" s="46" t="s">
        <v>160</v>
      </c>
    </row>
    <row r="68" spans="1:29">
      <c r="A68" s="62">
        <f t="shared" ca="1" si="5"/>
        <v>58</v>
      </c>
      <c r="B68" s="62" t="str">
        <f t="shared" ca="1" si="6"/>
        <v>E</v>
      </c>
      <c r="C68" s="62" t="str">
        <f t="shared" ca="1" si="4"/>
        <v>A-</v>
      </c>
      <c r="D68" s="62">
        <f t="shared" ca="1" si="7"/>
        <v>15</v>
      </c>
      <c r="E68" s="63">
        <f t="shared" ca="1" si="8"/>
        <v>30.283333333333331</v>
      </c>
      <c r="F68" s="46" t="s">
        <v>413</v>
      </c>
      <c r="G68" s="46" t="s">
        <v>160</v>
      </c>
      <c r="H68" s="46" t="s">
        <v>414</v>
      </c>
      <c r="I68" s="46" t="s">
        <v>326</v>
      </c>
      <c r="J68" s="46" t="s">
        <v>160</v>
      </c>
      <c r="K68" s="46" t="s">
        <v>160</v>
      </c>
      <c r="L68" s="46" t="s">
        <v>160</v>
      </c>
      <c r="M68" s="46" t="s">
        <v>160</v>
      </c>
      <c r="N68" s="46" t="s">
        <v>160</v>
      </c>
      <c r="O68" s="46" t="s">
        <v>160</v>
      </c>
      <c r="P68" s="46" t="s">
        <v>160</v>
      </c>
      <c r="Q68" s="46" t="s">
        <v>160</v>
      </c>
      <c r="R68" s="46" t="s">
        <v>160</v>
      </c>
      <c r="S68" s="46" t="s">
        <v>160</v>
      </c>
      <c r="T68" s="46" t="s">
        <v>160</v>
      </c>
      <c r="U68" s="46" t="s">
        <v>160</v>
      </c>
      <c r="V68" s="46">
        <v>38.299999999999997</v>
      </c>
      <c r="W68" s="46">
        <v>15.6</v>
      </c>
      <c r="X68" s="46">
        <v>20.9</v>
      </c>
      <c r="Y68" s="46">
        <v>43.9</v>
      </c>
      <c r="Z68" s="46">
        <v>37</v>
      </c>
      <c r="AA68" s="46">
        <v>26</v>
      </c>
      <c r="AB68" s="46" t="s">
        <v>160</v>
      </c>
      <c r="AC68" s="46" t="s">
        <v>160</v>
      </c>
    </row>
    <row r="69" spans="1:29">
      <c r="A69" s="62">
        <f t="shared" ca="1" si="5"/>
        <v>59</v>
      </c>
      <c r="B69" s="62" t="str">
        <f t="shared" ca="1" si="6"/>
        <v>E</v>
      </c>
      <c r="C69" s="62" t="str">
        <f t="shared" ca="1" si="4"/>
        <v>A-</v>
      </c>
      <c r="D69" s="62">
        <f t="shared" ca="1" si="7"/>
        <v>15</v>
      </c>
      <c r="E69" s="63" t="str">
        <f t="shared" ca="1" si="8"/>
        <v>N/A</v>
      </c>
      <c r="F69" s="46" t="s">
        <v>415</v>
      </c>
      <c r="G69" s="46" t="s">
        <v>160</v>
      </c>
      <c r="H69" s="46" t="s">
        <v>416</v>
      </c>
      <c r="I69" s="46" t="s">
        <v>473</v>
      </c>
      <c r="J69" s="46" t="s">
        <v>160</v>
      </c>
      <c r="K69" s="46" t="s">
        <v>160</v>
      </c>
      <c r="L69" s="46" t="s">
        <v>160</v>
      </c>
      <c r="M69" s="46" t="s">
        <v>160</v>
      </c>
      <c r="N69" s="46" t="s">
        <v>160</v>
      </c>
      <c r="O69" s="46" t="s">
        <v>160</v>
      </c>
      <c r="P69" s="46" t="s">
        <v>160</v>
      </c>
      <c r="Q69" s="46" t="s">
        <v>160</v>
      </c>
      <c r="R69" s="46" t="s">
        <v>160</v>
      </c>
      <c r="S69" s="46" t="s">
        <v>160</v>
      </c>
      <c r="T69" s="46" t="s">
        <v>160</v>
      </c>
      <c r="U69" s="46" t="s">
        <v>160</v>
      </c>
      <c r="V69" s="46" t="s">
        <v>160</v>
      </c>
      <c r="W69" s="46" t="s">
        <v>160</v>
      </c>
      <c r="X69" s="46" t="s">
        <v>160</v>
      </c>
      <c r="Y69" s="46" t="s">
        <v>160</v>
      </c>
      <c r="Z69" s="46" t="s">
        <v>160</v>
      </c>
      <c r="AA69" s="46" t="s">
        <v>160</v>
      </c>
      <c r="AB69" s="46" t="s">
        <v>160</v>
      </c>
      <c r="AC69" s="46" t="s">
        <v>160</v>
      </c>
    </row>
    <row r="70" spans="1:29">
      <c r="A70" s="62">
        <f t="shared" ca="1" si="5"/>
        <v>60</v>
      </c>
      <c r="B70" s="62" t="str">
        <f t="shared" ca="1" si="6"/>
        <v>G</v>
      </c>
      <c r="C70" s="62" t="str">
        <f t="shared" ca="1" si="4"/>
        <v>BBB+</v>
      </c>
      <c r="D70" s="62">
        <f t="shared" ca="1" si="7"/>
        <v>14</v>
      </c>
      <c r="E70" s="63">
        <f t="shared" ca="1" si="8"/>
        <v>28.7</v>
      </c>
      <c r="F70" s="46" t="s">
        <v>417</v>
      </c>
      <c r="G70" s="46" t="s">
        <v>160</v>
      </c>
      <c r="H70" s="46" t="s">
        <v>418</v>
      </c>
      <c r="I70" s="46" t="s">
        <v>554</v>
      </c>
      <c r="J70" s="46" t="s">
        <v>160</v>
      </c>
      <c r="K70" s="46">
        <v>24.6</v>
      </c>
      <c r="L70" s="46">
        <v>25.8</v>
      </c>
      <c r="M70" s="46" t="s">
        <v>160</v>
      </c>
      <c r="N70" s="46" t="s">
        <v>160</v>
      </c>
      <c r="O70" s="46">
        <v>23.5</v>
      </c>
      <c r="P70" s="46" t="s">
        <v>160</v>
      </c>
      <c r="Q70" s="46">
        <v>33</v>
      </c>
      <c r="R70" s="46">
        <v>24.4</v>
      </c>
      <c r="S70" s="46" t="s">
        <v>160</v>
      </c>
      <c r="T70" s="46" t="s">
        <v>160</v>
      </c>
      <c r="U70" s="46" t="s">
        <v>160</v>
      </c>
      <c r="V70" s="46" t="s">
        <v>160</v>
      </c>
      <c r="W70" s="46" t="s">
        <v>160</v>
      </c>
      <c r="X70" s="46" t="s">
        <v>160</v>
      </c>
      <c r="Y70" s="46" t="s">
        <v>160</v>
      </c>
      <c r="Z70" s="46" t="s">
        <v>160</v>
      </c>
      <c r="AA70" s="46" t="s">
        <v>160</v>
      </c>
      <c r="AB70" s="46" t="s">
        <v>160</v>
      </c>
      <c r="AC70" s="46" t="s">
        <v>160</v>
      </c>
    </row>
    <row r="71" spans="1:29">
      <c r="A71" s="62">
        <f t="shared" ca="1" si="5"/>
        <v>61</v>
      </c>
      <c r="B71" s="62" t="str">
        <f t="shared" ca="1" si="6"/>
        <v>E</v>
      </c>
      <c r="C71" s="62" t="str">
        <f t="shared" ca="1" si="4"/>
        <v>A-</v>
      </c>
      <c r="D71" s="62">
        <f t="shared" ca="1" si="7"/>
        <v>15</v>
      </c>
      <c r="E71" s="63">
        <f t="shared" ca="1" si="8"/>
        <v>28.625</v>
      </c>
      <c r="F71" s="46" t="s">
        <v>420</v>
      </c>
      <c r="G71" s="46" t="s">
        <v>160</v>
      </c>
      <c r="H71" s="46" t="s">
        <v>421</v>
      </c>
      <c r="I71" s="46" t="s">
        <v>551</v>
      </c>
      <c r="J71" s="46">
        <v>29.7</v>
      </c>
      <c r="K71" s="46">
        <v>27.3</v>
      </c>
      <c r="L71" s="46">
        <v>31.2</v>
      </c>
      <c r="M71" s="46">
        <v>20.9</v>
      </c>
      <c r="N71" s="46">
        <v>35.299999999999997</v>
      </c>
      <c r="O71" s="46">
        <v>23.4</v>
      </c>
      <c r="P71" s="46">
        <v>32.700000000000003</v>
      </c>
      <c r="Q71" s="46">
        <v>28.1</v>
      </c>
      <c r="R71" s="46">
        <v>28.3</v>
      </c>
      <c r="S71" s="46">
        <v>25.8</v>
      </c>
      <c r="T71" s="46">
        <v>37.200000000000003</v>
      </c>
      <c r="U71" s="46">
        <v>23.8</v>
      </c>
      <c r="V71" s="46">
        <v>26</v>
      </c>
      <c r="W71" s="46">
        <v>25.2</v>
      </c>
      <c r="X71" s="46">
        <v>33.700000000000003</v>
      </c>
      <c r="Y71" s="46">
        <v>24.6</v>
      </c>
      <c r="Z71" s="46">
        <v>31.4</v>
      </c>
      <c r="AA71" s="46">
        <v>26.7</v>
      </c>
      <c r="AB71" s="46" t="s">
        <v>160</v>
      </c>
      <c r="AC71" s="46" t="s">
        <v>160</v>
      </c>
    </row>
    <row r="72" spans="1:29">
      <c r="A72" s="62">
        <f t="shared" ca="1" si="5"/>
        <v>61</v>
      </c>
      <c r="B72" s="62" t="str">
        <f t="shared" ca="1" si="6"/>
        <v>E</v>
      </c>
      <c r="C72" s="62" t="str">
        <f t="shared" ca="1" si="4"/>
        <v>A-</v>
      </c>
      <c r="D72" s="62">
        <f t="shared" ca="1" si="7"/>
        <v>15</v>
      </c>
      <c r="E72" s="63">
        <f t="shared" ca="1" si="8"/>
        <v>23.225000000000005</v>
      </c>
      <c r="F72" s="46" t="s">
        <v>420</v>
      </c>
      <c r="G72" s="46" t="s">
        <v>160</v>
      </c>
      <c r="H72" s="46" t="s">
        <v>422</v>
      </c>
      <c r="I72" s="46" t="s">
        <v>551</v>
      </c>
      <c r="J72" s="46">
        <v>26.7</v>
      </c>
      <c r="K72" s="46">
        <v>20</v>
      </c>
      <c r="L72" s="46">
        <v>25.2</v>
      </c>
      <c r="M72" s="46">
        <v>20.3</v>
      </c>
      <c r="N72" s="46">
        <v>22.1</v>
      </c>
      <c r="O72" s="46">
        <v>18.600000000000001</v>
      </c>
      <c r="P72" s="46">
        <v>27.2</v>
      </c>
      <c r="Q72" s="46">
        <v>19.399999999999999</v>
      </c>
      <c r="R72" s="46">
        <v>13.3</v>
      </c>
      <c r="S72" s="46">
        <v>21</v>
      </c>
      <c r="T72" s="46">
        <v>32.6</v>
      </c>
      <c r="U72" s="46">
        <v>21.4</v>
      </c>
      <c r="V72" s="46">
        <v>22.3</v>
      </c>
      <c r="W72" s="46">
        <v>18.3</v>
      </c>
      <c r="X72" s="46">
        <v>32.6</v>
      </c>
      <c r="Y72" s="46">
        <v>24.4</v>
      </c>
      <c r="Z72" s="46">
        <v>24.2</v>
      </c>
      <c r="AA72" s="46">
        <v>22</v>
      </c>
      <c r="AB72" s="46" t="s">
        <v>160</v>
      </c>
      <c r="AC72" s="46" t="s">
        <v>160</v>
      </c>
    </row>
    <row r="73" spans="1:29">
      <c r="A73" s="62">
        <f t="shared" ca="1" si="5"/>
        <v>63</v>
      </c>
      <c r="B73" s="62" t="str">
        <f t="shared" ca="1" si="6"/>
        <v>G</v>
      </c>
      <c r="C73" s="62" t="str">
        <f t="shared" ca="1" si="4"/>
        <v>A+</v>
      </c>
      <c r="D73" s="62">
        <f t="shared" ca="1" si="7"/>
        <v>17</v>
      </c>
      <c r="E73" s="63">
        <f t="shared" ca="1" si="8"/>
        <v>20.639999999999997</v>
      </c>
      <c r="F73" s="46" t="s">
        <v>127</v>
      </c>
      <c r="G73" s="46" t="s">
        <v>223</v>
      </c>
      <c r="H73" s="46" t="s">
        <v>224</v>
      </c>
      <c r="I73" s="46" t="s">
        <v>554</v>
      </c>
      <c r="J73" s="46">
        <v>34.299999999999997</v>
      </c>
      <c r="K73" s="46">
        <v>9.5299999999999994</v>
      </c>
      <c r="L73" s="46">
        <v>2.02</v>
      </c>
      <c r="M73" s="46">
        <v>29.9</v>
      </c>
      <c r="N73" s="46">
        <v>28.2</v>
      </c>
      <c r="O73" s="46">
        <v>11.6</v>
      </c>
      <c r="P73" s="46">
        <v>10.5</v>
      </c>
      <c r="Q73" s="46">
        <v>28.1</v>
      </c>
      <c r="R73" s="46">
        <v>21.6</v>
      </c>
      <c r="S73" s="46">
        <v>10.4</v>
      </c>
      <c r="T73" s="46">
        <v>6.36</v>
      </c>
      <c r="U73" s="46">
        <v>30.1</v>
      </c>
      <c r="V73" s="46">
        <v>40.700000000000003</v>
      </c>
      <c r="W73" s="46">
        <v>13.5</v>
      </c>
      <c r="X73" s="46">
        <v>-1.88</v>
      </c>
      <c r="Y73" s="46">
        <v>35</v>
      </c>
      <c r="Z73" s="46">
        <v>40.200000000000003</v>
      </c>
      <c r="AA73" s="46">
        <v>13.1</v>
      </c>
      <c r="AB73" s="46" t="s">
        <v>160</v>
      </c>
      <c r="AC73" s="46" t="s">
        <v>160</v>
      </c>
    </row>
    <row r="74" spans="1:29">
      <c r="A74" s="62">
        <f t="shared" ca="1" si="5"/>
        <v>64</v>
      </c>
      <c r="B74" s="62" t="str">
        <f t="shared" ca="1" si="6"/>
        <v>E</v>
      </c>
      <c r="C74" s="62" t="str">
        <f t="shared" ca="1" si="4"/>
        <v>BBB</v>
      </c>
      <c r="D74" s="62">
        <f t="shared" ca="1" si="7"/>
        <v>13</v>
      </c>
      <c r="E74" s="63">
        <f t="shared" ca="1" si="8"/>
        <v>14.2875</v>
      </c>
      <c r="F74" s="46" t="s">
        <v>104</v>
      </c>
      <c r="G74" s="46" t="s">
        <v>225</v>
      </c>
      <c r="H74" s="46" t="s">
        <v>226</v>
      </c>
      <c r="I74" s="46" t="s">
        <v>551</v>
      </c>
      <c r="J74" s="46">
        <v>28.6</v>
      </c>
      <c r="K74" s="46">
        <v>13.9</v>
      </c>
      <c r="L74" s="46">
        <v>14.5</v>
      </c>
      <c r="M74" s="46">
        <v>7.44</v>
      </c>
      <c r="N74" s="46">
        <v>30.5</v>
      </c>
      <c r="O74" s="46">
        <v>11.5</v>
      </c>
      <c r="P74" s="46">
        <v>16.2</v>
      </c>
      <c r="Q74" s="46">
        <v>4.75</v>
      </c>
      <c r="R74" s="46">
        <v>18.8</v>
      </c>
      <c r="S74" s="46">
        <v>14.6</v>
      </c>
      <c r="T74" s="46">
        <v>11.4</v>
      </c>
      <c r="U74" s="46">
        <v>15.9</v>
      </c>
      <c r="V74" s="46">
        <v>15.6</v>
      </c>
      <c r="W74" s="46">
        <v>13.8</v>
      </c>
      <c r="X74" s="46">
        <v>13.7</v>
      </c>
      <c r="Y74" s="46">
        <v>16.100000000000001</v>
      </c>
      <c r="Z74" s="46">
        <v>19.2</v>
      </c>
      <c r="AA74" s="46">
        <v>11.4</v>
      </c>
      <c r="AB74" s="46" t="s">
        <v>160</v>
      </c>
      <c r="AC74" s="46" t="s">
        <v>160</v>
      </c>
    </row>
    <row r="75" spans="1:29">
      <c r="A75" s="62">
        <f t="shared" ref="A75:A128" ca="1" si="9">MATCH(F75,RATINGSname,0)</f>
        <v>65</v>
      </c>
      <c r="B75" s="62" t="str">
        <f t="shared" ref="B75:B128" ca="1" si="10">INDEX(RATINGSindus,A75)</f>
        <v>E</v>
      </c>
      <c r="C75" s="62" t="str">
        <f t="shared" ref="C75:C128" ca="1" si="11">INDEX(RATINGSlocalcurrLT,A75)</f>
        <v>A</v>
      </c>
      <c r="D75" s="62">
        <f t="shared" ref="D75:D128" ca="1" si="12">IFERROR(VLOOKUP(C75,CR,2,FALSE),"")</f>
        <v>16</v>
      </c>
      <c r="E75" s="63">
        <f t="shared" ref="E75:E128" ca="1" si="13">IFERROR(AVERAGE(OFFSET(I75,0,$H$1,1,$H$2-$H$1+1)),"N/A")</f>
        <v>28.05</v>
      </c>
      <c r="F75" s="46" t="s">
        <v>425</v>
      </c>
      <c r="G75" s="46" t="s">
        <v>160</v>
      </c>
      <c r="H75" s="46" t="s">
        <v>426</v>
      </c>
      <c r="I75" s="46" t="s">
        <v>473</v>
      </c>
      <c r="J75" s="46">
        <v>27.2</v>
      </c>
      <c r="K75" s="46">
        <v>29</v>
      </c>
      <c r="L75" s="46">
        <v>41.2</v>
      </c>
      <c r="M75" s="46">
        <v>35.9</v>
      </c>
      <c r="N75" s="46">
        <v>22.4</v>
      </c>
      <c r="O75" s="46">
        <v>15.9</v>
      </c>
      <c r="P75" s="46">
        <v>24.4</v>
      </c>
      <c r="Q75" s="46">
        <v>44</v>
      </c>
      <c r="R75" s="46">
        <v>27.9</v>
      </c>
      <c r="S75" s="46">
        <v>21.6</v>
      </c>
      <c r="T75" s="46">
        <v>26.3</v>
      </c>
      <c r="U75" s="46">
        <v>40.4</v>
      </c>
      <c r="V75" s="46">
        <v>24.3</v>
      </c>
      <c r="W75" s="46">
        <v>21.2</v>
      </c>
      <c r="X75" s="46">
        <v>29.3</v>
      </c>
      <c r="Y75" s="46">
        <v>26.4</v>
      </c>
      <c r="Z75" s="46">
        <v>25.2</v>
      </c>
      <c r="AA75" s="46">
        <v>25.6</v>
      </c>
      <c r="AB75" s="46" t="s">
        <v>160</v>
      </c>
      <c r="AC75" s="46" t="s">
        <v>160</v>
      </c>
    </row>
    <row r="76" spans="1:29">
      <c r="A76" s="62">
        <f t="shared" ca="1" si="9"/>
        <v>66</v>
      </c>
      <c r="B76" s="62" t="str">
        <f t="shared" ca="1" si="10"/>
        <v>E</v>
      </c>
      <c r="C76" s="62" t="str">
        <f t="shared" ca="1" si="11"/>
        <v>BBB-</v>
      </c>
      <c r="D76" s="62">
        <f t="shared" ca="1" si="12"/>
        <v>12</v>
      </c>
      <c r="E76" s="63">
        <f t="shared" ca="1" si="13"/>
        <v>33.169999999999995</v>
      </c>
      <c r="F76" s="46" t="s">
        <v>427</v>
      </c>
      <c r="G76" s="46" t="s">
        <v>160</v>
      </c>
      <c r="H76" s="46" t="s">
        <v>428</v>
      </c>
      <c r="I76" s="46" t="s">
        <v>473</v>
      </c>
      <c r="J76" s="46" t="s">
        <v>160</v>
      </c>
      <c r="K76" s="46" t="s">
        <v>160</v>
      </c>
      <c r="L76" s="46" t="s">
        <v>160</v>
      </c>
      <c r="M76" s="46">
        <v>32.9</v>
      </c>
      <c r="N76" s="46">
        <v>19.8</v>
      </c>
      <c r="O76" s="46">
        <v>31.9</v>
      </c>
      <c r="P76" s="46">
        <v>38.700000000000003</v>
      </c>
      <c r="Q76" s="46">
        <v>-7.96</v>
      </c>
      <c r="R76" s="46">
        <v>38.799999999999997</v>
      </c>
      <c r="S76" s="46">
        <v>36.4</v>
      </c>
      <c r="T76" s="46">
        <v>41.2</v>
      </c>
      <c r="U76" s="46">
        <v>24.2</v>
      </c>
      <c r="V76" s="46">
        <v>25</v>
      </c>
      <c r="W76" s="46">
        <v>40.200000000000003</v>
      </c>
      <c r="X76" s="46">
        <v>52.1</v>
      </c>
      <c r="Y76" s="46">
        <v>42.7</v>
      </c>
      <c r="Z76" s="46">
        <v>32.5</v>
      </c>
      <c r="AA76" s="46">
        <v>34.200000000000003</v>
      </c>
      <c r="AB76" s="46" t="s">
        <v>160</v>
      </c>
      <c r="AC76" s="46" t="s">
        <v>160</v>
      </c>
    </row>
    <row r="77" spans="1:29">
      <c r="A77" s="62">
        <f t="shared" ca="1" si="9"/>
        <v>67</v>
      </c>
      <c r="B77" s="62" t="str">
        <f t="shared" ca="1" si="10"/>
        <v>E</v>
      </c>
      <c r="C77" s="62" t="str">
        <f t="shared" ca="1" si="11"/>
        <v>A-</v>
      </c>
      <c r="D77" s="62">
        <f t="shared" ca="1" si="12"/>
        <v>15</v>
      </c>
      <c r="E77" s="63">
        <f t="shared" ca="1" si="13"/>
        <v>27.166666666666668</v>
      </c>
      <c r="F77" s="46" t="s">
        <v>429</v>
      </c>
      <c r="G77" s="46" t="s">
        <v>160</v>
      </c>
      <c r="H77" s="46" t="s">
        <v>430</v>
      </c>
      <c r="I77" s="46" t="s">
        <v>326</v>
      </c>
      <c r="J77" s="46">
        <v>25.5</v>
      </c>
      <c r="K77" s="46">
        <v>25.3</v>
      </c>
      <c r="L77" s="46">
        <v>30.7</v>
      </c>
      <c r="M77" s="46">
        <v>27</v>
      </c>
      <c r="N77" s="46">
        <v>26.2</v>
      </c>
      <c r="O77" s="46">
        <v>23.7</v>
      </c>
      <c r="P77" s="46">
        <v>15.8</v>
      </c>
      <c r="Q77" s="46">
        <v>13.2</v>
      </c>
      <c r="R77" s="46">
        <v>25.1</v>
      </c>
      <c r="S77" s="46">
        <v>25.5</v>
      </c>
      <c r="T77" s="46">
        <v>35.799999999999997</v>
      </c>
      <c r="U77" s="46">
        <v>25</v>
      </c>
      <c r="V77" s="46">
        <v>35.200000000000003</v>
      </c>
      <c r="W77" s="46">
        <v>39.700000000000003</v>
      </c>
      <c r="X77" s="46">
        <v>55.8</v>
      </c>
      <c r="Y77" s="46">
        <v>-43.1</v>
      </c>
      <c r="Z77" s="46">
        <v>52.9</v>
      </c>
      <c r="AA77" s="46">
        <v>45.1</v>
      </c>
      <c r="AB77" s="46" t="s">
        <v>160</v>
      </c>
      <c r="AC77" s="46" t="s">
        <v>160</v>
      </c>
    </row>
    <row r="78" spans="1:29">
      <c r="A78" s="62">
        <f t="shared" ca="1" si="9"/>
        <v>68</v>
      </c>
      <c r="B78" s="62" t="str">
        <f t="shared" ca="1" si="10"/>
        <v>E</v>
      </c>
      <c r="C78" s="62" t="str">
        <f t="shared" ca="1" si="11"/>
        <v>A-</v>
      </c>
      <c r="D78" s="62">
        <f t="shared" ca="1" si="12"/>
        <v>15</v>
      </c>
      <c r="E78" s="63">
        <f t="shared" ca="1" si="13"/>
        <v>23.95</v>
      </c>
      <c r="F78" s="46" t="s">
        <v>431</v>
      </c>
      <c r="G78" s="46" t="s">
        <v>160</v>
      </c>
      <c r="H78" s="46" t="s">
        <v>432</v>
      </c>
      <c r="I78" s="46" t="s">
        <v>326</v>
      </c>
      <c r="J78" s="46">
        <v>13.9</v>
      </c>
      <c r="K78" s="46">
        <v>27.3</v>
      </c>
      <c r="L78" s="46">
        <v>42.9</v>
      </c>
      <c r="M78" s="46">
        <v>17.8</v>
      </c>
      <c r="N78" s="46">
        <v>15.2</v>
      </c>
      <c r="O78" s="46">
        <v>28.9</v>
      </c>
      <c r="P78" s="46">
        <v>47.9</v>
      </c>
      <c r="Q78" s="46">
        <v>15.5</v>
      </c>
      <c r="R78" s="46">
        <v>13.5</v>
      </c>
      <c r="S78" s="46">
        <v>25.2</v>
      </c>
      <c r="T78" s="46">
        <v>42</v>
      </c>
      <c r="U78" s="46">
        <v>13.2</v>
      </c>
      <c r="V78" s="46">
        <v>12.1</v>
      </c>
      <c r="W78" s="46">
        <v>25.2</v>
      </c>
      <c r="X78" s="46">
        <v>42.8</v>
      </c>
      <c r="Y78" s="46">
        <v>19.600000000000001</v>
      </c>
      <c r="Z78" s="46">
        <v>8.1999999999999993</v>
      </c>
      <c r="AA78" s="46">
        <v>22.2</v>
      </c>
      <c r="AB78" s="46" t="s">
        <v>160</v>
      </c>
      <c r="AC78" s="46" t="s">
        <v>160</v>
      </c>
    </row>
    <row r="79" spans="1:29">
      <c r="A79" s="62">
        <f t="shared" ca="1" si="9"/>
        <v>69</v>
      </c>
      <c r="B79" s="62" t="str">
        <f t="shared" ca="1" si="10"/>
        <v>G</v>
      </c>
      <c r="C79" s="62" t="str">
        <f t="shared" ca="1" si="11"/>
        <v>A</v>
      </c>
      <c r="D79" s="62">
        <f t="shared" ca="1" si="12"/>
        <v>16</v>
      </c>
      <c r="E79" s="63">
        <f t="shared" ca="1" si="13"/>
        <v>26.941666666666666</v>
      </c>
      <c r="F79" s="46" t="s">
        <v>129</v>
      </c>
      <c r="G79" s="46" t="s">
        <v>229</v>
      </c>
      <c r="H79" s="46" t="s">
        <v>230</v>
      </c>
      <c r="I79" s="46" t="s">
        <v>554</v>
      </c>
      <c r="J79" s="46" t="s">
        <v>160</v>
      </c>
      <c r="K79" s="46" t="s">
        <v>160</v>
      </c>
      <c r="L79" s="46" t="s">
        <v>160</v>
      </c>
      <c r="M79" s="46">
        <v>28.3</v>
      </c>
      <c r="N79" s="46">
        <v>34.5</v>
      </c>
      <c r="O79" s="46">
        <v>15.6</v>
      </c>
      <c r="P79" s="46">
        <v>12.9</v>
      </c>
      <c r="Q79" s="46">
        <v>34.4</v>
      </c>
      <c r="R79" s="46">
        <v>31.7</v>
      </c>
      <c r="S79" s="46">
        <v>14.2</v>
      </c>
      <c r="T79" s="46">
        <v>13.3</v>
      </c>
      <c r="U79" s="46">
        <v>36.5</v>
      </c>
      <c r="V79" s="46">
        <v>37.200000000000003</v>
      </c>
      <c r="W79" s="46">
        <v>24.8</v>
      </c>
      <c r="X79" s="46">
        <v>22.7</v>
      </c>
      <c r="Y79" s="46">
        <v>30.5</v>
      </c>
      <c r="Z79" s="46">
        <v>44</v>
      </c>
      <c r="AA79" s="46">
        <v>21.1</v>
      </c>
      <c r="AB79" s="46" t="s">
        <v>160</v>
      </c>
      <c r="AC79" s="46" t="s">
        <v>160</v>
      </c>
    </row>
    <row r="80" spans="1:29">
      <c r="A80" s="62">
        <f t="shared" ca="1" si="9"/>
        <v>70</v>
      </c>
      <c r="B80" s="62" t="str">
        <f t="shared" ca="1" si="10"/>
        <v>E</v>
      </c>
      <c r="C80" s="62" t="str">
        <f t="shared" ca="1" si="11"/>
        <v>A-</v>
      </c>
      <c r="D80" s="62">
        <f t="shared" ca="1" si="12"/>
        <v>15</v>
      </c>
      <c r="E80" s="63">
        <f t="shared" ca="1" si="13"/>
        <v>16.715</v>
      </c>
      <c r="F80" s="46" t="s">
        <v>434</v>
      </c>
      <c r="G80" s="46" t="s">
        <v>160</v>
      </c>
      <c r="H80" s="46" t="s">
        <v>435</v>
      </c>
      <c r="I80" s="46" t="s">
        <v>473</v>
      </c>
      <c r="J80" s="46">
        <v>17.899999999999999</v>
      </c>
      <c r="K80" s="46">
        <v>10.5</v>
      </c>
      <c r="L80" s="46">
        <v>16.5</v>
      </c>
      <c r="M80" s="46" t="s">
        <v>160</v>
      </c>
      <c r="N80" s="46">
        <v>20.6</v>
      </c>
      <c r="O80" s="46">
        <v>16.100000000000001</v>
      </c>
      <c r="P80" s="46">
        <v>23.7</v>
      </c>
      <c r="Q80" s="46">
        <v>20.8</v>
      </c>
      <c r="R80" s="46">
        <v>20.9</v>
      </c>
      <c r="S80" s="46">
        <v>2.3199999999999998</v>
      </c>
      <c r="T80" s="46">
        <v>13.8</v>
      </c>
      <c r="U80" s="46">
        <v>26.7</v>
      </c>
      <c r="V80" s="46">
        <v>21.1</v>
      </c>
      <c r="W80" s="46">
        <v>13.3</v>
      </c>
      <c r="X80" s="46">
        <v>16.8</v>
      </c>
      <c r="Y80" s="46">
        <v>9.9600000000000009</v>
      </c>
      <c r="Z80" s="46">
        <v>20</v>
      </c>
      <c r="AA80" s="46">
        <v>11.2</v>
      </c>
      <c r="AB80" s="46" t="s">
        <v>160</v>
      </c>
      <c r="AC80" s="46" t="s">
        <v>160</v>
      </c>
    </row>
    <row r="81" spans="1:29">
      <c r="A81" s="62">
        <f t="shared" ca="1" si="9"/>
        <v>71</v>
      </c>
      <c r="B81" s="62" t="str">
        <f t="shared" ca="1" si="10"/>
        <v>E</v>
      </c>
      <c r="C81" s="62" t="str">
        <f t="shared" ca="1" si="11"/>
        <v>BBB</v>
      </c>
      <c r="D81" s="62">
        <f t="shared" ca="1" si="12"/>
        <v>13</v>
      </c>
      <c r="E81" s="63" t="str">
        <f t="shared" ca="1" si="13"/>
        <v>N/A</v>
      </c>
      <c r="F81" s="46" t="s">
        <v>436</v>
      </c>
      <c r="G81" s="46" t="s">
        <v>160</v>
      </c>
      <c r="H81" s="46" t="s">
        <v>437</v>
      </c>
      <c r="I81" s="46" t="s">
        <v>326</v>
      </c>
      <c r="J81" s="46" t="s">
        <v>160</v>
      </c>
      <c r="K81" s="46" t="s">
        <v>160</v>
      </c>
      <c r="L81" s="46" t="s">
        <v>160</v>
      </c>
      <c r="M81" s="46" t="s">
        <v>160</v>
      </c>
      <c r="N81" s="46" t="s">
        <v>160</v>
      </c>
      <c r="O81" s="46" t="s">
        <v>160</v>
      </c>
      <c r="P81" s="46" t="s">
        <v>160</v>
      </c>
      <c r="Q81" s="46" t="s">
        <v>160</v>
      </c>
      <c r="R81" s="46" t="s">
        <v>160</v>
      </c>
      <c r="S81" s="46" t="s">
        <v>160</v>
      </c>
      <c r="T81" s="46" t="s">
        <v>160</v>
      </c>
      <c r="U81" s="46" t="s">
        <v>160</v>
      </c>
      <c r="V81" s="46" t="s">
        <v>160</v>
      </c>
      <c r="W81" s="46" t="s">
        <v>160</v>
      </c>
      <c r="X81" s="46" t="s">
        <v>160</v>
      </c>
      <c r="Y81" s="46" t="s">
        <v>160</v>
      </c>
      <c r="Z81" s="46" t="s">
        <v>160</v>
      </c>
      <c r="AA81" s="46" t="s">
        <v>160</v>
      </c>
      <c r="AB81" s="46" t="s">
        <v>160</v>
      </c>
      <c r="AC81" s="46" t="s">
        <v>160</v>
      </c>
    </row>
    <row r="82" spans="1:29">
      <c r="A82" s="62">
        <f t="shared" ca="1" si="9"/>
        <v>72</v>
      </c>
      <c r="B82" s="62" t="str">
        <f t="shared" ca="1" si="10"/>
        <v>E</v>
      </c>
      <c r="C82" s="62" t="str">
        <f t="shared" ca="1" si="11"/>
        <v>A-</v>
      </c>
      <c r="D82" s="62">
        <f t="shared" ca="1" si="12"/>
        <v>15</v>
      </c>
      <c r="E82" s="63">
        <f t="shared" ca="1" si="13"/>
        <v>20.900000000000002</v>
      </c>
      <c r="F82" s="46" t="s">
        <v>438</v>
      </c>
      <c r="G82" s="46" t="s">
        <v>160</v>
      </c>
      <c r="H82" s="46" t="s">
        <v>439</v>
      </c>
      <c r="I82" s="46" t="s">
        <v>551</v>
      </c>
      <c r="J82" s="46">
        <v>19.3</v>
      </c>
      <c r="K82" s="46">
        <v>21</v>
      </c>
      <c r="L82" s="46">
        <v>18.5</v>
      </c>
      <c r="M82" s="46">
        <v>16.3</v>
      </c>
      <c r="N82" s="46">
        <v>15.7</v>
      </c>
      <c r="O82" s="46">
        <v>17.3</v>
      </c>
      <c r="P82" s="46">
        <v>34.200000000000003</v>
      </c>
      <c r="Q82" s="46">
        <v>28.4</v>
      </c>
      <c r="R82" s="46">
        <v>13.9</v>
      </c>
      <c r="S82" s="46">
        <v>21.3</v>
      </c>
      <c r="T82" s="46">
        <v>17.899999999999999</v>
      </c>
      <c r="U82" s="46">
        <v>12.4</v>
      </c>
      <c r="V82" s="46">
        <v>15.4</v>
      </c>
      <c r="W82" s="46">
        <v>18.5</v>
      </c>
      <c r="X82" s="46">
        <v>22.9</v>
      </c>
      <c r="Y82" s="46">
        <v>17</v>
      </c>
      <c r="Z82" s="46">
        <v>25.8</v>
      </c>
      <c r="AA82" s="46">
        <v>23.1</v>
      </c>
      <c r="AB82" s="46" t="s">
        <v>160</v>
      </c>
      <c r="AC82" s="46" t="s">
        <v>160</v>
      </c>
    </row>
    <row r="83" spans="1:29">
      <c r="A83" s="62">
        <f t="shared" ca="1" si="9"/>
        <v>73</v>
      </c>
      <c r="B83" s="62" t="str">
        <f t="shared" ca="1" si="10"/>
        <v>E</v>
      </c>
      <c r="C83" s="62" t="str">
        <f t="shared" ca="1" si="11"/>
        <v>BBB</v>
      </c>
      <c r="D83" s="62">
        <f t="shared" ca="1" si="12"/>
        <v>13</v>
      </c>
      <c r="E83" s="63">
        <f t="shared" ca="1" si="13"/>
        <v>25.525000000000002</v>
      </c>
      <c r="F83" s="46" t="s">
        <v>441</v>
      </c>
      <c r="G83" s="46" t="s">
        <v>160</v>
      </c>
      <c r="H83" s="46" t="s">
        <v>442</v>
      </c>
      <c r="I83" s="46" t="s">
        <v>473</v>
      </c>
      <c r="J83" s="46">
        <v>31.7</v>
      </c>
      <c r="K83" s="46">
        <v>21.8</v>
      </c>
      <c r="L83" s="46">
        <v>24.8</v>
      </c>
      <c r="M83" s="46">
        <v>21.3</v>
      </c>
      <c r="N83" s="46">
        <v>23</v>
      </c>
      <c r="O83" s="46">
        <v>24</v>
      </c>
      <c r="P83" s="46">
        <v>21.9</v>
      </c>
      <c r="Q83" s="46">
        <v>31.6</v>
      </c>
      <c r="R83" s="46">
        <v>26.4</v>
      </c>
      <c r="S83" s="46">
        <v>17.5</v>
      </c>
      <c r="T83" s="46">
        <v>21</v>
      </c>
      <c r="U83" s="46">
        <v>31.3</v>
      </c>
      <c r="V83" s="46">
        <v>27.8</v>
      </c>
      <c r="W83" s="46">
        <v>27</v>
      </c>
      <c r="X83" s="46">
        <v>28.8</v>
      </c>
      <c r="Y83" s="46">
        <v>22.1</v>
      </c>
      <c r="Z83" s="46">
        <v>28.5</v>
      </c>
      <c r="AA83" s="46">
        <v>22.4</v>
      </c>
      <c r="AB83" s="46" t="s">
        <v>160</v>
      </c>
      <c r="AC83" s="46" t="s">
        <v>160</v>
      </c>
    </row>
    <row r="84" spans="1:29">
      <c r="A84" s="62">
        <f t="shared" ca="1" si="9"/>
        <v>74</v>
      </c>
      <c r="B84" s="62" t="str">
        <f t="shared" ca="1" si="10"/>
        <v>E</v>
      </c>
      <c r="C84" s="62" t="str">
        <f t="shared" ca="1" si="11"/>
        <v>BBB-</v>
      </c>
      <c r="D84" s="62">
        <f t="shared" ca="1" si="12"/>
        <v>12</v>
      </c>
      <c r="E84" s="63">
        <f t="shared" ca="1" si="13"/>
        <v>16.072500000000002</v>
      </c>
      <c r="F84" s="46" t="s">
        <v>444</v>
      </c>
      <c r="G84" s="46" t="s">
        <v>160</v>
      </c>
      <c r="H84" s="46" t="s">
        <v>445</v>
      </c>
      <c r="I84" s="46" t="s">
        <v>473</v>
      </c>
      <c r="J84" s="46">
        <v>19.600000000000001</v>
      </c>
      <c r="K84" s="46">
        <v>16.8</v>
      </c>
      <c r="L84" s="46">
        <v>12.8</v>
      </c>
      <c r="M84" s="46">
        <v>7.71</v>
      </c>
      <c r="N84" s="46">
        <v>-3.05</v>
      </c>
      <c r="O84" s="46">
        <v>7.96</v>
      </c>
      <c r="P84" s="46">
        <v>10.1</v>
      </c>
      <c r="Q84" s="46">
        <v>3.52</v>
      </c>
      <c r="R84" s="46">
        <v>15.4</v>
      </c>
      <c r="S84" s="46">
        <v>16.399999999999999</v>
      </c>
      <c r="T84" s="46">
        <v>20.9</v>
      </c>
      <c r="U84" s="46">
        <v>4.05</v>
      </c>
      <c r="V84" s="46">
        <v>23.2</v>
      </c>
      <c r="W84" s="46">
        <v>18.100000000000001</v>
      </c>
      <c r="X84" s="46">
        <v>21.9</v>
      </c>
      <c r="Y84" s="46">
        <v>23.1</v>
      </c>
      <c r="Z84" s="46">
        <v>18.399999999999999</v>
      </c>
      <c r="AA84" s="46">
        <v>17.8</v>
      </c>
      <c r="AB84" s="46" t="s">
        <v>160</v>
      </c>
      <c r="AC84" s="46" t="s">
        <v>160</v>
      </c>
    </row>
    <row r="85" spans="1:29">
      <c r="A85" s="62">
        <f t="shared" ca="1" si="9"/>
        <v>75</v>
      </c>
      <c r="B85" s="62" t="str">
        <f t="shared" ca="1" si="10"/>
        <v>E</v>
      </c>
      <c r="C85" s="62" t="str">
        <f t="shared" ca="1" si="11"/>
        <v>NR</v>
      </c>
      <c r="D85" s="62" t="str">
        <f t="shared" ca="1" si="12"/>
        <v/>
      </c>
      <c r="E85" s="63" t="str">
        <f t="shared" ca="1" si="13"/>
        <v>N/A</v>
      </c>
      <c r="F85" s="46" t="s">
        <v>446</v>
      </c>
      <c r="G85" s="46" t="s">
        <v>160</v>
      </c>
      <c r="H85" s="46" t="s">
        <v>447</v>
      </c>
      <c r="I85" s="46" t="s">
        <v>326</v>
      </c>
      <c r="J85" s="46" t="s">
        <v>160</v>
      </c>
      <c r="K85" s="46" t="s">
        <v>160</v>
      </c>
      <c r="L85" s="46" t="s">
        <v>160</v>
      </c>
      <c r="M85" s="46" t="s">
        <v>160</v>
      </c>
      <c r="N85" s="46" t="s">
        <v>160</v>
      </c>
      <c r="O85" s="46" t="s">
        <v>160</v>
      </c>
      <c r="P85" s="46" t="s">
        <v>160</v>
      </c>
      <c r="Q85" s="46" t="s">
        <v>160</v>
      </c>
      <c r="R85" s="46" t="s">
        <v>160</v>
      </c>
      <c r="S85" s="46" t="s">
        <v>160</v>
      </c>
      <c r="T85" s="46" t="s">
        <v>160</v>
      </c>
      <c r="U85" s="46" t="s">
        <v>160</v>
      </c>
      <c r="V85" s="46" t="s">
        <v>160</v>
      </c>
      <c r="W85" s="46" t="s">
        <v>160</v>
      </c>
      <c r="X85" s="46" t="s">
        <v>160</v>
      </c>
      <c r="Y85" s="46" t="s">
        <v>160</v>
      </c>
      <c r="Z85" s="46" t="s">
        <v>160</v>
      </c>
      <c r="AA85" s="46" t="s">
        <v>160</v>
      </c>
      <c r="AB85" s="46" t="s">
        <v>160</v>
      </c>
      <c r="AC85" s="46" t="s">
        <v>160</v>
      </c>
    </row>
    <row r="86" spans="1:29">
      <c r="A86" s="62">
        <f t="shared" ca="1" si="9"/>
        <v>76</v>
      </c>
      <c r="B86" s="62" t="str">
        <f t="shared" ca="1" si="10"/>
        <v>E</v>
      </c>
      <c r="C86" s="62" t="str">
        <f t="shared" ca="1" si="11"/>
        <v>A-</v>
      </c>
      <c r="D86" s="62">
        <f t="shared" ca="1" si="12"/>
        <v>15</v>
      </c>
      <c r="E86" s="63">
        <f t="shared" ca="1" si="13"/>
        <v>19.075833333333332</v>
      </c>
      <c r="F86" s="46" t="s">
        <v>449</v>
      </c>
      <c r="G86" s="46" t="s">
        <v>160</v>
      </c>
      <c r="H86" s="46" t="s">
        <v>450</v>
      </c>
      <c r="I86" s="46" t="s">
        <v>473</v>
      </c>
      <c r="J86" s="46">
        <v>42.9</v>
      </c>
      <c r="K86" s="46">
        <v>31.8</v>
      </c>
      <c r="L86" s="46">
        <v>-0.997</v>
      </c>
      <c r="M86" s="46">
        <v>9.16</v>
      </c>
      <c r="N86" s="46">
        <v>41.3</v>
      </c>
      <c r="O86" s="46">
        <v>30.4</v>
      </c>
      <c r="P86" s="46">
        <v>2.88</v>
      </c>
      <c r="Q86" s="46">
        <v>9.4600000000000009</v>
      </c>
      <c r="R86" s="46">
        <v>37.299999999999997</v>
      </c>
      <c r="S86" s="46">
        <v>32.4</v>
      </c>
      <c r="T86" s="46">
        <v>2.39</v>
      </c>
      <c r="U86" s="46">
        <v>5.8</v>
      </c>
      <c r="V86" s="46">
        <v>38.1</v>
      </c>
      <c r="W86" s="46">
        <v>27.6</v>
      </c>
      <c r="X86" s="46">
        <v>4.4800000000000004</v>
      </c>
      <c r="Y86" s="46">
        <v>19.5</v>
      </c>
      <c r="Z86" s="46">
        <v>33.6</v>
      </c>
      <c r="AA86" s="46">
        <v>15.4</v>
      </c>
      <c r="AB86" s="46" t="s">
        <v>160</v>
      </c>
      <c r="AC86" s="46" t="s">
        <v>160</v>
      </c>
    </row>
    <row r="87" spans="1:29">
      <c r="A87" s="62">
        <f t="shared" ca="1" si="9"/>
        <v>77</v>
      </c>
      <c r="B87" s="62" t="str">
        <f t="shared" ca="1" si="10"/>
        <v>E</v>
      </c>
      <c r="C87" s="62" t="str">
        <f t="shared" ca="1" si="11"/>
        <v>BBB</v>
      </c>
      <c r="D87" s="62">
        <f t="shared" ca="1" si="12"/>
        <v>13</v>
      </c>
      <c r="E87" s="63">
        <f t="shared" ca="1" si="13"/>
        <v>19.066666666666666</v>
      </c>
      <c r="F87" s="46" t="s">
        <v>112</v>
      </c>
      <c r="G87" s="46" t="s">
        <v>240</v>
      </c>
      <c r="H87" s="46" t="s">
        <v>241</v>
      </c>
      <c r="I87" s="46" t="s">
        <v>551</v>
      </c>
      <c r="J87" s="46">
        <v>23.9</v>
      </c>
      <c r="K87" s="46">
        <v>5.46</v>
      </c>
      <c r="L87" s="46">
        <v>16.600000000000001</v>
      </c>
      <c r="M87" s="46">
        <v>21.6</v>
      </c>
      <c r="N87" s="46">
        <v>26.4</v>
      </c>
      <c r="O87" s="46">
        <v>18</v>
      </c>
      <c r="P87" s="46">
        <v>18.2</v>
      </c>
      <c r="Q87" s="46">
        <v>16</v>
      </c>
      <c r="R87" s="46">
        <v>17.5</v>
      </c>
      <c r="S87" s="46">
        <v>18.899999999999999</v>
      </c>
      <c r="T87" s="46">
        <v>18.600000000000001</v>
      </c>
      <c r="U87" s="46">
        <v>22.5</v>
      </c>
      <c r="V87" s="46">
        <v>22.5</v>
      </c>
      <c r="W87" s="46">
        <v>17.5</v>
      </c>
      <c r="X87" s="46">
        <v>16.2</v>
      </c>
      <c r="Y87" s="46">
        <v>21.5</v>
      </c>
      <c r="Z87" s="46">
        <v>23</v>
      </c>
      <c r="AA87" s="46">
        <v>16.399999999999999</v>
      </c>
      <c r="AB87" s="46" t="s">
        <v>160</v>
      </c>
      <c r="AC87" s="46" t="s">
        <v>160</v>
      </c>
    </row>
    <row r="88" spans="1:29">
      <c r="A88" s="62">
        <f t="shared" ca="1" si="9"/>
        <v>78</v>
      </c>
      <c r="B88" s="62" t="str">
        <f t="shared" ca="1" si="10"/>
        <v>E</v>
      </c>
      <c r="C88" s="62" t="str">
        <f t="shared" ca="1" si="11"/>
        <v>BBB+</v>
      </c>
      <c r="D88" s="62">
        <f t="shared" ca="1" si="12"/>
        <v>14</v>
      </c>
      <c r="E88" s="63">
        <f t="shared" ca="1" si="13"/>
        <v>23.324999999999999</v>
      </c>
      <c r="F88" s="46" t="s">
        <v>452</v>
      </c>
      <c r="G88" s="46" t="s">
        <v>160</v>
      </c>
      <c r="H88" s="46" t="s">
        <v>453</v>
      </c>
      <c r="I88" s="46" t="s">
        <v>473</v>
      </c>
      <c r="J88" s="46">
        <v>18.100000000000001</v>
      </c>
      <c r="K88" s="46">
        <v>19.399999999999999</v>
      </c>
      <c r="L88" s="46">
        <v>33.1</v>
      </c>
      <c r="M88" s="46">
        <v>14.2</v>
      </c>
      <c r="N88" s="46">
        <v>19.899999999999999</v>
      </c>
      <c r="O88" s="46">
        <v>21.6</v>
      </c>
      <c r="P88" s="46">
        <v>37.9</v>
      </c>
      <c r="Q88" s="46">
        <v>16.2</v>
      </c>
      <c r="R88" s="46">
        <v>16.8</v>
      </c>
      <c r="S88" s="46">
        <v>19.8</v>
      </c>
      <c r="T88" s="46">
        <v>26.5</v>
      </c>
      <c r="U88" s="46">
        <v>41</v>
      </c>
      <c r="V88" s="46">
        <v>-12.5</v>
      </c>
      <c r="W88" s="46">
        <v>27.7</v>
      </c>
      <c r="X88" s="46">
        <v>38.5</v>
      </c>
      <c r="Y88" s="46">
        <v>25</v>
      </c>
      <c r="Z88" s="46">
        <v>20.8</v>
      </c>
      <c r="AA88" s="46">
        <v>22.2</v>
      </c>
      <c r="AB88" s="46" t="s">
        <v>160</v>
      </c>
      <c r="AC88" s="46" t="s">
        <v>160</v>
      </c>
    </row>
    <row r="89" spans="1:29">
      <c r="A89" s="62">
        <f t="shared" ca="1" si="9"/>
        <v>79</v>
      </c>
      <c r="B89" s="62" t="str">
        <f t="shared" ca="1" si="10"/>
        <v>E</v>
      </c>
      <c r="C89" s="62" t="str">
        <f t="shared" ca="1" si="11"/>
        <v>A-</v>
      </c>
      <c r="D89" s="62">
        <f t="shared" ca="1" si="12"/>
        <v>15</v>
      </c>
      <c r="E89" s="63">
        <f t="shared" ca="1" si="13"/>
        <v>16.683333333333334</v>
      </c>
      <c r="F89" s="46" t="s">
        <v>454</v>
      </c>
      <c r="G89" s="46" t="s">
        <v>160</v>
      </c>
      <c r="H89" s="46" t="s">
        <v>455</v>
      </c>
      <c r="I89" s="46" t="s">
        <v>473</v>
      </c>
      <c r="J89" s="46">
        <v>13</v>
      </c>
      <c r="K89" s="46">
        <v>14.3</v>
      </c>
      <c r="L89" s="46">
        <v>22.5</v>
      </c>
      <c r="M89" s="46">
        <v>15.4</v>
      </c>
      <c r="N89" s="46">
        <v>16.100000000000001</v>
      </c>
      <c r="O89" s="46">
        <v>13.6</v>
      </c>
      <c r="P89" s="46">
        <v>14.5</v>
      </c>
      <c r="Q89" s="46">
        <v>30.2</v>
      </c>
      <c r="R89" s="46">
        <v>19.899999999999999</v>
      </c>
      <c r="S89" s="46">
        <v>16.2</v>
      </c>
      <c r="T89" s="46">
        <v>18.899999999999999</v>
      </c>
      <c r="U89" s="46">
        <v>13.8</v>
      </c>
      <c r="V89" s="46">
        <v>15.3</v>
      </c>
      <c r="W89" s="46">
        <v>14.5</v>
      </c>
      <c r="X89" s="46">
        <v>17.7</v>
      </c>
      <c r="Y89" s="46">
        <v>10.5</v>
      </c>
      <c r="Z89" s="46">
        <v>13.9</v>
      </c>
      <c r="AA89" s="46">
        <v>14.8</v>
      </c>
      <c r="AB89" s="46" t="s">
        <v>160</v>
      </c>
      <c r="AC89" s="46" t="s">
        <v>160</v>
      </c>
    </row>
    <row r="90" spans="1:29">
      <c r="A90" s="62">
        <f t="shared" ca="1" si="9"/>
        <v>80</v>
      </c>
      <c r="B90" s="62" t="str">
        <f t="shared" ca="1" si="10"/>
        <v>E</v>
      </c>
      <c r="C90" s="62" t="str">
        <f t="shared" ca="1" si="11"/>
        <v>A-</v>
      </c>
      <c r="D90" s="62">
        <f t="shared" ca="1" si="12"/>
        <v>15</v>
      </c>
      <c r="E90" s="63">
        <f t="shared" ca="1" si="13"/>
        <v>23.641666666666666</v>
      </c>
      <c r="F90" s="46" t="s">
        <v>456</v>
      </c>
      <c r="G90" s="46" t="s">
        <v>160</v>
      </c>
      <c r="H90" s="46" t="s">
        <v>457</v>
      </c>
      <c r="I90" s="46" t="s">
        <v>551</v>
      </c>
      <c r="J90" s="46">
        <v>25.5</v>
      </c>
      <c r="K90" s="46">
        <v>22.5</v>
      </c>
      <c r="L90" s="46">
        <v>32.6</v>
      </c>
      <c r="M90" s="46">
        <v>21.3</v>
      </c>
      <c r="N90" s="46">
        <v>20.5</v>
      </c>
      <c r="O90" s="46">
        <v>16.2</v>
      </c>
      <c r="P90" s="46">
        <v>24.6</v>
      </c>
      <c r="Q90" s="46">
        <v>23.4</v>
      </c>
      <c r="R90" s="46">
        <v>22</v>
      </c>
      <c r="S90" s="46">
        <v>21.2</v>
      </c>
      <c r="T90" s="46">
        <v>32.200000000000003</v>
      </c>
      <c r="U90" s="46">
        <v>23.5</v>
      </c>
      <c r="V90" s="46">
        <v>25.1</v>
      </c>
      <c r="W90" s="46">
        <v>20.7</v>
      </c>
      <c r="X90" s="46">
        <v>30</v>
      </c>
      <c r="Y90" s="46">
        <v>16.8</v>
      </c>
      <c r="Z90" s="46">
        <v>22.8</v>
      </c>
      <c r="AA90" s="46">
        <v>21.4</v>
      </c>
      <c r="AB90" s="46" t="s">
        <v>160</v>
      </c>
      <c r="AC90" s="46" t="s">
        <v>160</v>
      </c>
    </row>
    <row r="91" spans="1:29">
      <c r="A91" s="62">
        <f t="shared" ca="1" si="9"/>
        <v>81</v>
      </c>
      <c r="B91" s="62" t="str">
        <f t="shared" ca="1" si="10"/>
        <v>E</v>
      </c>
      <c r="C91" s="62" t="str">
        <f t="shared" ca="1" si="11"/>
        <v>A</v>
      </c>
      <c r="D91" s="62">
        <f t="shared" ca="1" si="12"/>
        <v>16</v>
      </c>
      <c r="E91" s="63">
        <f t="shared" ca="1" si="13"/>
        <v>24.091666666666669</v>
      </c>
      <c r="F91" s="46" t="s">
        <v>458</v>
      </c>
      <c r="G91" s="46" t="s">
        <v>160</v>
      </c>
      <c r="H91" s="46" t="s">
        <v>459</v>
      </c>
      <c r="I91" s="46" t="s">
        <v>473</v>
      </c>
      <c r="J91" s="46">
        <v>17.7</v>
      </c>
      <c r="K91" s="46">
        <v>16.8</v>
      </c>
      <c r="L91" s="46">
        <v>24.6</v>
      </c>
      <c r="M91" s="46">
        <v>15.4</v>
      </c>
      <c r="N91" s="46">
        <v>35.1</v>
      </c>
      <c r="O91" s="46">
        <v>16.7</v>
      </c>
      <c r="P91" s="46">
        <v>14.9</v>
      </c>
      <c r="Q91" s="46">
        <v>22.7</v>
      </c>
      <c r="R91" s="46">
        <v>36.5</v>
      </c>
      <c r="S91" s="46">
        <v>23.1</v>
      </c>
      <c r="T91" s="46">
        <v>17.5</v>
      </c>
      <c r="U91" s="46">
        <v>22.3</v>
      </c>
      <c r="V91" s="46">
        <v>28.9</v>
      </c>
      <c r="W91" s="46">
        <v>24.1</v>
      </c>
      <c r="X91" s="46">
        <v>35.299999999999997</v>
      </c>
      <c r="Y91" s="46">
        <v>19.3</v>
      </c>
      <c r="Z91" s="46">
        <v>24.2</v>
      </c>
      <c r="AA91" s="46">
        <v>20.3</v>
      </c>
      <c r="AB91" s="46" t="s">
        <v>160</v>
      </c>
      <c r="AC91" s="46" t="s">
        <v>160</v>
      </c>
    </row>
    <row r="92" spans="1:29">
      <c r="A92" s="62">
        <f t="shared" ca="1" si="9"/>
        <v>82</v>
      </c>
      <c r="B92" s="62" t="str">
        <f t="shared" ca="1" si="10"/>
        <v>E</v>
      </c>
      <c r="C92" s="62" t="str">
        <f t="shared" ca="1" si="11"/>
        <v>BBB+</v>
      </c>
      <c r="D92" s="62">
        <f t="shared" ca="1" si="12"/>
        <v>14</v>
      </c>
      <c r="E92" s="63">
        <f t="shared" ca="1" si="13"/>
        <v>14.328333333333333</v>
      </c>
      <c r="F92" s="46" t="s">
        <v>460</v>
      </c>
      <c r="G92" s="46" t="s">
        <v>160</v>
      </c>
      <c r="H92" s="46" t="s">
        <v>461</v>
      </c>
      <c r="I92" s="46" t="s">
        <v>551</v>
      </c>
      <c r="J92" s="46">
        <v>12.8</v>
      </c>
      <c r="K92" s="46">
        <v>18.2</v>
      </c>
      <c r="L92" s="46">
        <v>26.9</v>
      </c>
      <c r="M92" s="46">
        <v>8.93</v>
      </c>
      <c r="N92" s="46">
        <v>7.93</v>
      </c>
      <c r="O92" s="46">
        <v>16.7</v>
      </c>
      <c r="P92" s="46">
        <v>25.6</v>
      </c>
      <c r="Q92" s="46">
        <v>18.600000000000001</v>
      </c>
      <c r="R92" s="46">
        <v>13.1</v>
      </c>
      <c r="S92" s="46">
        <v>15.8</v>
      </c>
      <c r="T92" s="46">
        <v>25.6</v>
      </c>
      <c r="U92" s="46">
        <v>-24.7</v>
      </c>
      <c r="V92" s="46">
        <v>9.24</v>
      </c>
      <c r="W92" s="46">
        <v>14</v>
      </c>
      <c r="X92" s="46">
        <v>22.1</v>
      </c>
      <c r="Y92" s="46">
        <v>18.7</v>
      </c>
      <c r="Z92" s="46">
        <v>15</v>
      </c>
      <c r="AA92" s="46">
        <v>18.899999999999999</v>
      </c>
      <c r="AB92" s="46" t="s">
        <v>160</v>
      </c>
      <c r="AC92" s="46" t="s">
        <v>160</v>
      </c>
    </row>
    <row r="93" spans="1:29">
      <c r="A93" s="62">
        <f t="shared" ca="1" si="9"/>
        <v>83</v>
      </c>
      <c r="B93" s="62" t="str">
        <f t="shared" ca="1" si="10"/>
        <v>E</v>
      </c>
      <c r="C93" s="62" t="str">
        <f t="shared" ca="1" si="11"/>
        <v>BBB+</v>
      </c>
      <c r="D93" s="62">
        <f t="shared" ca="1" si="12"/>
        <v>14</v>
      </c>
      <c r="E93" s="63">
        <f t="shared" ca="1" si="13"/>
        <v>26.052999999999997</v>
      </c>
      <c r="F93" s="46" t="s">
        <v>462</v>
      </c>
      <c r="G93" s="46" t="s">
        <v>160</v>
      </c>
      <c r="H93" s="46" t="s">
        <v>463</v>
      </c>
      <c r="I93" s="46" t="s">
        <v>473</v>
      </c>
      <c r="J93" s="46">
        <v>44.1</v>
      </c>
      <c r="K93" s="46">
        <v>15.8</v>
      </c>
      <c r="L93" s="46">
        <v>9.65</v>
      </c>
      <c r="M93" s="46">
        <v>34</v>
      </c>
      <c r="N93" s="46">
        <v>42.7</v>
      </c>
      <c r="O93" s="46">
        <v>12.2</v>
      </c>
      <c r="P93" s="46" t="s">
        <v>160</v>
      </c>
      <c r="Q93" s="46" t="s">
        <v>160</v>
      </c>
      <c r="R93" s="46">
        <v>41.4</v>
      </c>
      <c r="S93" s="46">
        <v>9.27</v>
      </c>
      <c r="T93" s="46">
        <v>4.2699999999999996</v>
      </c>
      <c r="U93" s="46">
        <v>42.8</v>
      </c>
      <c r="V93" s="46">
        <v>39.799999999999997</v>
      </c>
      <c r="W93" s="46">
        <v>9.99</v>
      </c>
      <c r="X93" s="46">
        <v>13.9</v>
      </c>
      <c r="Y93" s="46">
        <v>37.4</v>
      </c>
      <c r="Z93" s="46">
        <v>47.8</v>
      </c>
      <c r="AA93" s="46">
        <v>13.9</v>
      </c>
      <c r="AB93" s="46" t="s">
        <v>160</v>
      </c>
      <c r="AC93" s="46" t="s">
        <v>160</v>
      </c>
    </row>
    <row r="94" spans="1:29">
      <c r="A94" s="62">
        <f t="shared" ca="1" si="9"/>
        <v>84</v>
      </c>
      <c r="B94" s="62" t="str">
        <f t="shared" ca="1" si="10"/>
        <v>E</v>
      </c>
      <c r="C94" s="62" t="str">
        <f t="shared" ca="1" si="11"/>
        <v>A-</v>
      </c>
      <c r="D94" s="62">
        <f t="shared" ca="1" si="12"/>
        <v>15</v>
      </c>
      <c r="E94" s="63">
        <f t="shared" ca="1" si="13"/>
        <v>21.172499999999999</v>
      </c>
      <c r="F94" s="46" t="s">
        <v>464</v>
      </c>
      <c r="G94" s="46" t="s">
        <v>160</v>
      </c>
      <c r="H94" s="46" t="s">
        <v>465</v>
      </c>
      <c r="I94" s="46" t="s">
        <v>326</v>
      </c>
      <c r="J94" s="46">
        <v>22.3</v>
      </c>
      <c r="K94" s="46">
        <v>22.9</v>
      </c>
      <c r="L94" s="46">
        <v>34.1</v>
      </c>
      <c r="M94" s="46">
        <v>16.2</v>
      </c>
      <c r="N94" s="46">
        <v>18</v>
      </c>
      <c r="O94" s="46">
        <v>18.7</v>
      </c>
      <c r="P94" s="46">
        <v>33</v>
      </c>
      <c r="Q94" s="46">
        <v>17.7</v>
      </c>
      <c r="R94" s="46">
        <v>15.2</v>
      </c>
      <c r="S94" s="46">
        <v>20.8</v>
      </c>
      <c r="T94" s="46">
        <v>25.5</v>
      </c>
      <c r="U94" s="46">
        <v>13.9</v>
      </c>
      <c r="V94" s="46">
        <v>23.2</v>
      </c>
      <c r="W94" s="46">
        <v>28.6</v>
      </c>
      <c r="X94" s="46">
        <v>31.3</v>
      </c>
      <c r="Y94" s="46">
        <v>6.67</v>
      </c>
      <c r="Z94" s="46">
        <v>17</v>
      </c>
      <c r="AA94" s="46">
        <v>21.2</v>
      </c>
      <c r="AB94" s="46" t="s">
        <v>160</v>
      </c>
      <c r="AC94" s="46" t="s">
        <v>160</v>
      </c>
    </row>
    <row r="95" spans="1:29">
      <c r="A95" s="62">
        <f t="shared" ca="1" si="9"/>
        <v>85</v>
      </c>
      <c r="B95" s="62" t="str">
        <f t="shared" ca="1" si="10"/>
        <v>E</v>
      </c>
      <c r="C95" s="62" t="str">
        <f t="shared" ca="1" si="11"/>
        <v>BBB+</v>
      </c>
      <c r="D95" s="62">
        <f t="shared" ca="1" si="12"/>
        <v>14</v>
      </c>
      <c r="E95" s="63">
        <f t="shared" ca="1" si="13"/>
        <v>24.233333333333334</v>
      </c>
      <c r="F95" s="46" t="s">
        <v>467</v>
      </c>
      <c r="G95" s="46" t="s">
        <v>160</v>
      </c>
      <c r="H95" s="46" t="s">
        <v>468</v>
      </c>
      <c r="I95" s="46" t="s">
        <v>473</v>
      </c>
      <c r="J95" s="46">
        <v>23</v>
      </c>
      <c r="K95" s="46">
        <v>18</v>
      </c>
      <c r="L95" s="46">
        <v>25.3</v>
      </c>
      <c r="M95" s="46">
        <v>23.6</v>
      </c>
      <c r="N95" s="46">
        <v>26.9</v>
      </c>
      <c r="O95" s="46">
        <v>21.5</v>
      </c>
      <c r="P95" s="46">
        <v>24.9</v>
      </c>
      <c r="Q95" s="46">
        <v>29.7</v>
      </c>
      <c r="R95" s="46">
        <v>24.6</v>
      </c>
      <c r="S95" s="46">
        <v>19.7</v>
      </c>
      <c r="T95" s="46">
        <v>20.2</v>
      </c>
      <c r="U95" s="46">
        <v>25.6</v>
      </c>
      <c r="V95" s="46">
        <v>26.5</v>
      </c>
      <c r="W95" s="46">
        <v>21.3</v>
      </c>
      <c r="X95" s="46">
        <v>26.5</v>
      </c>
      <c r="Y95" s="46">
        <v>22</v>
      </c>
      <c r="Z95" s="46">
        <v>27.3</v>
      </c>
      <c r="AA95" s="46">
        <v>22.5</v>
      </c>
      <c r="AB95" s="46" t="s">
        <v>160</v>
      </c>
      <c r="AC95" s="46" t="s">
        <v>160</v>
      </c>
    </row>
    <row r="96" spans="1:29">
      <c r="A96" s="62">
        <f t="shared" ca="1" si="9"/>
        <v>86</v>
      </c>
      <c r="B96" s="62" t="str">
        <f t="shared" ca="1" si="10"/>
        <v>E</v>
      </c>
      <c r="C96" s="62" t="str">
        <f t="shared" ca="1" si="11"/>
        <v>BBB+</v>
      </c>
      <c r="D96" s="62">
        <f t="shared" ca="1" si="12"/>
        <v>14</v>
      </c>
      <c r="E96" s="63">
        <f t="shared" ca="1" si="13"/>
        <v>24.756666666666664</v>
      </c>
      <c r="F96" s="46" t="s">
        <v>469</v>
      </c>
      <c r="G96" s="46" t="s">
        <v>160</v>
      </c>
      <c r="H96" s="46" t="s">
        <v>470</v>
      </c>
      <c r="I96" s="46" t="s">
        <v>473</v>
      </c>
      <c r="J96" s="46">
        <v>46.2</v>
      </c>
      <c r="K96" s="46">
        <v>14.3</v>
      </c>
      <c r="L96" s="46">
        <v>10.1</v>
      </c>
      <c r="M96" s="46">
        <v>25.5</v>
      </c>
      <c r="N96" s="46">
        <v>39.299999999999997</v>
      </c>
      <c r="O96" s="46">
        <v>7.6</v>
      </c>
      <c r="P96" s="46">
        <v>8.02</v>
      </c>
      <c r="Q96" s="46">
        <v>49.6</v>
      </c>
      <c r="R96" s="46">
        <v>38.1</v>
      </c>
      <c r="S96" s="46">
        <v>7.71</v>
      </c>
      <c r="T96" s="46">
        <v>13.8</v>
      </c>
      <c r="U96" s="46">
        <v>43</v>
      </c>
      <c r="V96" s="46">
        <v>38.5</v>
      </c>
      <c r="W96" s="46">
        <v>15.3</v>
      </c>
      <c r="X96" s="46">
        <v>7.75</v>
      </c>
      <c r="Y96" s="46">
        <v>22.6</v>
      </c>
      <c r="Z96" s="46">
        <v>41.3</v>
      </c>
      <c r="AA96" s="46">
        <v>11.4</v>
      </c>
      <c r="AB96" s="46" t="s">
        <v>160</v>
      </c>
      <c r="AC96" s="46" t="s">
        <v>160</v>
      </c>
    </row>
    <row r="97" spans="1:29">
      <c r="A97" s="62">
        <f t="shared" ca="1" si="9"/>
        <v>87</v>
      </c>
      <c r="B97" s="62" t="str">
        <f t="shared" ca="1" si="10"/>
        <v>E</v>
      </c>
      <c r="C97" s="62" t="str">
        <f t="shared" ca="1" si="11"/>
        <v>A-</v>
      </c>
      <c r="D97" s="62">
        <f t="shared" ca="1" si="12"/>
        <v>15</v>
      </c>
      <c r="E97" s="63">
        <f t="shared" ca="1" si="13"/>
        <v>23.381</v>
      </c>
      <c r="F97" s="46" t="s">
        <v>471</v>
      </c>
      <c r="G97" s="46" t="s">
        <v>160</v>
      </c>
      <c r="H97" s="46" t="s">
        <v>472</v>
      </c>
      <c r="I97" s="46" t="s">
        <v>473</v>
      </c>
      <c r="J97" s="46" t="s">
        <v>160</v>
      </c>
      <c r="K97" s="46" t="s">
        <v>160</v>
      </c>
      <c r="L97" s="46" t="s">
        <v>160</v>
      </c>
      <c r="M97" s="46">
        <v>33.5</v>
      </c>
      <c r="N97" s="46" t="s">
        <v>160</v>
      </c>
      <c r="O97" s="46" t="s">
        <v>160</v>
      </c>
      <c r="P97" s="46" t="s">
        <v>160</v>
      </c>
      <c r="Q97" s="46" t="s">
        <v>160</v>
      </c>
      <c r="R97" s="46">
        <v>13.3</v>
      </c>
      <c r="S97" s="46">
        <v>8.41</v>
      </c>
      <c r="T97" s="46">
        <v>14.5</v>
      </c>
      <c r="U97" s="46">
        <v>17.2</v>
      </c>
      <c r="V97" s="46">
        <v>25.9</v>
      </c>
      <c r="W97" s="46">
        <v>73.7</v>
      </c>
      <c r="X97" s="46">
        <v>19</v>
      </c>
      <c r="Y97" s="46">
        <v>25.3</v>
      </c>
      <c r="Z97" s="46">
        <v>25.6</v>
      </c>
      <c r="AA97" s="46">
        <v>10.9</v>
      </c>
      <c r="AB97" s="46" t="s">
        <v>160</v>
      </c>
      <c r="AC97" s="46" t="s">
        <v>160</v>
      </c>
    </row>
    <row r="98" spans="1:29">
      <c r="A98" s="62">
        <f t="shared" ca="1" si="9"/>
        <v>88</v>
      </c>
      <c r="B98" s="62" t="str">
        <f t="shared" ca="1" si="10"/>
        <v>E</v>
      </c>
      <c r="C98" s="62" t="str">
        <f t="shared" ca="1" si="11"/>
        <v>A</v>
      </c>
      <c r="D98" s="62">
        <f t="shared" ca="1" si="12"/>
        <v>16</v>
      </c>
      <c r="E98" s="63">
        <f t="shared" ca="1" si="13"/>
        <v>25.549999999999997</v>
      </c>
      <c r="F98" s="46" t="s">
        <v>474</v>
      </c>
      <c r="G98" s="46" t="s">
        <v>160</v>
      </c>
      <c r="H98" s="46" t="s">
        <v>475</v>
      </c>
      <c r="I98" s="46" t="s">
        <v>551</v>
      </c>
      <c r="J98" s="46">
        <v>20.3</v>
      </c>
      <c r="K98" s="46">
        <v>30.4</v>
      </c>
      <c r="L98" s="46">
        <v>25.8</v>
      </c>
      <c r="M98" s="46">
        <v>26.7</v>
      </c>
      <c r="N98" s="46">
        <v>16.600000000000001</v>
      </c>
      <c r="O98" s="46">
        <v>20.5</v>
      </c>
      <c r="P98" s="46">
        <v>22.7</v>
      </c>
      <c r="Q98" s="46">
        <v>18.5</v>
      </c>
      <c r="R98" s="46">
        <v>25.7</v>
      </c>
      <c r="S98" s="46">
        <v>25.3</v>
      </c>
      <c r="T98" s="46">
        <v>32.5</v>
      </c>
      <c r="U98" s="46">
        <v>25.9</v>
      </c>
      <c r="V98" s="46">
        <v>24.8</v>
      </c>
      <c r="W98" s="46">
        <v>17.8</v>
      </c>
      <c r="X98" s="46">
        <v>31.2</v>
      </c>
      <c r="Y98" s="46">
        <v>32.5</v>
      </c>
      <c r="Z98" s="46">
        <v>25</v>
      </c>
      <c r="AA98" s="46">
        <v>24.7</v>
      </c>
      <c r="AB98" s="46" t="s">
        <v>160</v>
      </c>
      <c r="AC98" s="46" t="s">
        <v>160</v>
      </c>
    </row>
    <row r="99" spans="1:29">
      <c r="A99" s="62">
        <f t="shared" ca="1" si="9"/>
        <v>89</v>
      </c>
      <c r="B99" s="62" t="str">
        <f t="shared" ca="1" si="10"/>
        <v>E</v>
      </c>
      <c r="C99" s="62" t="str">
        <f t="shared" ca="1" si="11"/>
        <v>BBB+</v>
      </c>
      <c r="D99" s="62">
        <f t="shared" ca="1" si="12"/>
        <v>14</v>
      </c>
      <c r="E99" s="63">
        <f t="shared" ca="1" si="13"/>
        <v>16.466666666666665</v>
      </c>
      <c r="F99" s="46" t="s">
        <v>476</v>
      </c>
      <c r="G99" s="46" t="s">
        <v>160</v>
      </c>
      <c r="H99" s="46" t="s">
        <v>477</v>
      </c>
      <c r="I99" s="46" t="s">
        <v>473</v>
      </c>
      <c r="J99" s="46">
        <v>17.600000000000001</v>
      </c>
      <c r="K99" s="46">
        <v>17</v>
      </c>
      <c r="L99" s="46">
        <v>21.9</v>
      </c>
      <c r="M99" s="46">
        <v>7.69</v>
      </c>
      <c r="N99" s="46">
        <v>18.7</v>
      </c>
      <c r="O99" s="46">
        <v>12</v>
      </c>
      <c r="P99" s="46">
        <v>22.6</v>
      </c>
      <c r="Q99" s="46">
        <v>21.7</v>
      </c>
      <c r="R99" s="46">
        <v>16</v>
      </c>
      <c r="S99" s="46">
        <v>12.4</v>
      </c>
      <c r="T99" s="46">
        <v>17</v>
      </c>
      <c r="U99" s="46">
        <v>12.4</v>
      </c>
      <c r="V99" s="46">
        <v>12.8</v>
      </c>
      <c r="W99" s="46">
        <v>11.5</v>
      </c>
      <c r="X99" s="46">
        <v>26.8</v>
      </c>
      <c r="Y99" s="46">
        <v>16.2</v>
      </c>
      <c r="Z99" s="46">
        <v>13</v>
      </c>
      <c r="AA99" s="46">
        <v>15.2</v>
      </c>
      <c r="AB99" s="46" t="s">
        <v>160</v>
      </c>
      <c r="AC99" s="46" t="s">
        <v>160</v>
      </c>
    </row>
    <row r="100" spans="1:29">
      <c r="A100" s="62">
        <f t="shared" ca="1" si="9"/>
        <v>90</v>
      </c>
      <c r="B100" s="62" t="str">
        <f t="shared" ca="1" si="10"/>
        <v>G</v>
      </c>
      <c r="C100" s="62" t="str">
        <f t="shared" ca="1" si="11"/>
        <v>BBB+</v>
      </c>
      <c r="D100" s="62">
        <f t="shared" ca="1" si="12"/>
        <v>14</v>
      </c>
      <c r="E100" s="63">
        <f t="shared" ca="1" si="13"/>
        <v>20.315833333333334</v>
      </c>
      <c r="F100" s="46" t="s">
        <v>478</v>
      </c>
      <c r="G100" s="46" t="s">
        <v>160</v>
      </c>
      <c r="H100" s="46" t="s">
        <v>479</v>
      </c>
      <c r="I100" s="46" t="s">
        <v>554</v>
      </c>
      <c r="J100" s="46">
        <v>39.6</v>
      </c>
      <c r="K100" s="46">
        <v>8.73</v>
      </c>
      <c r="L100" s="46">
        <v>6.19</v>
      </c>
      <c r="M100" s="46">
        <v>25.2</v>
      </c>
      <c r="N100" s="46">
        <v>42.7</v>
      </c>
      <c r="O100" s="46">
        <v>6.8</v>
      </c>
      <c r="P100" s="46">
        <v>3.43</v>
      </c>
      <c r="Q100" s="46">
        <v>37.1</v>
      </c>
      <c r="R100" s="46">
        <v>39.9</v>
      </c>
      <c r="S100" s="46">
        <v>7.82</v>
      </c>
      <c r="T100" s="46">
        <v>0.63</v>
      </c>
      <c r="U100" s="46">
        <v>33.4</v>
      </c>
      <c r="V100" s="46">
        <v>39.299999999999997</v>
      </c>
      <c r="W100" s="46">
        <v>7.56</v>
      </c>
      <c r="X100" s="46">
        <v>2.78</v>
      </c>
      <c r="Y100" s="46">
        <v>24.9</v>
      </c>
      <c r="Z100" s="46">
        <v>41.5</v>
      </c>
      <c r="AA100" s="46">
        <v>5.47</v>
      </c>
      <c r="AB100" s="46" t="s">
        <v>160</v>
      </c>
      <c r="AC100" s="46" t="s">
        <v>160</v>
      </c>
    </row>
    <row r="101" spans="1:29">
      <c r="A101" s="62">
        <f t="shared" ca="1" si="9"/>
        <v>91</v>
      </c>
      <c r="B101" s="62" t="str">
        <f t="shared" ca="1" si="10"/>
        <v>E</v>
      </c>
      <c r="C101" s="62" t="str">
        <f t="shared" ca="1" si="11"/>
        <v>BBB+</v>
      </c>
      <c r="D101" s="62">
        <f t="shared" ca="1" si="12"/>
        <v>14</v>
      </c>
      <c r="E101" s="63">
        <f t="shared" ca="1" si="13"/>
        <v>23.291666666666668</v>
      </c>
      <c r="F101" s="46" t="s">
        <v>480</v>
      </c>
      <c r="G101" s="46" t="s">
        <v>160</v>
      </c>
      <c r="H101" s="46" t="s">
        <v>481</v>
      </c>
      <c r="I101" s="46" t="s">
        <v>551</v>
      </c>
      <c r="J101" s="46">
        <v>24.2</v>
      </c>
      <c r="K101" s="46">
        <v>24.2</v>
      </c>
      <c r="L101" s="46">
        <v>27.1</v>
      </c>
      <c r="M101" s="46">
        <v>25.6</v>
      </c>
      <c r="N101" s="46">
        <v>24.2</v>
      </c>
      <c r="O101" s="46">
        <v>25.5</v>
      </c>
      <c r="P101" s="46">
        <v>31.1</v>
      </c>
      <c r="Q101" s="46">
        <v>23.5</v>
      </c>
      <c r="R101" s="46">
        <v>18.5</v>
      </c>
      <c r="S101" s="46">
        <v>18.600000000000001</v>
      </c>
      <c r="T101" s="46">
        <v>15.9</v>
      </c>
      <c r="U101" s="46">
        <v>24.3</v>
      </c>
      <c r="V101" s="46">
        <v>23.6</v>
      </c>
      <c r="W101" s="46">
        <v>21.8</v>
      </c>
      <c r="X101" s="46">
        <v>29.3</v>
      </c>
      <c r="Y101" s="46">
        <v>23.4</v>
      </c>
      <c r="Z101" s="46">
        <v>28.6</v>
      </c>
      <c r="AA101" s="46">
        <v>20.9</v>
      </c>
      <c r="AB101" s="46" t="s">
        <v>160</v>
      </c>
      <c r="AC101" s="46" t="s">
        <v>160</v>
      </c>
    </row>
    <row r="102" spans="1:29">
      <c r="A102" s="62">
        <f t="shared" ca="1" si="9"/>
        <v>92</v>
      </c>
      <c r="B102" s="62" t="str">
        <f t="shared" ca="1" si="10"/>
        <v>E</v>
      </c>
      <c r="C102" s="62" t="str">
        <f t="shared" ca="1" si="11"/>
        <v>A</v>
      </c>
      <c r="D102" s="62">
        <f t="shared" ca="1" si="12"/>
        <v>16</v>
      </c>
      <c r="E102" s="63">
        <f t="shared" ca="1" si="13"/>
        <v>24.398333333333337</v>
      </c>
      <c r="F102" s="46" t="s">
        <v>482</v>
      </c>
      <c r="G102" s="46" t="s">
        <v>160</v>
      </c>
      <c r="H102" s="46" t="s">
        <v>483</v>
      </c>
      <c r="I102" s="46" t="s">
        <v>551</v>
      </c>
      <c r="J102" s="46">
        <v>21.6</v>
      </c>
      <c r="K102" s="46">
        <v>29.6</v>
      </c>
      <c r="L102" s="46">
        <v>30.5</v>
      </c>
      <c r="M102" s="46">
        <v>37.799999999999997</v>
      </c>
      <c r="N102" s="46">
        <v>32.1</v>
      </c>
      <c r="O102" s="46">
        <v>33.200000000000003</v>
      </c>
      <c r="P102" s="46">
        <v>30.6</v>
      </c>
      <c r="Q102" s="46">
        <v>25.5</v>
      </c>
      <c r="R102" s="46">
        <v>36.5</v>
      </c>
      <c r="S102" s="46">
        <v>27.1</v>
      </c>
      <c r="T102" s="46">
        <v>12.2</v>
      </c>
      <c r="U102" s="46">
        <v>28.4</v>
      </c>
      <c r="V102" s="46">
        <v>35.6</v>
      </c>
      <c r="W102" s="46">
        <v>6.18</v>
      </c>
      <c r="X102" s="46">
        <v>10.5</v>
      </c>
      <c r="Y102" s="46">
        <v>28.9</v>
      </c>
      <c r="Z102" s="46">
        <v>34.5</v>
      </c>
      <c r="AA102" s="46">
        <v>16.8</v>
      </c>
      <c r="AB102" s="46" t="s">
        <v>160</v>
      </c>
      <c r="AC102" s="46" t="s">
        <v>160</v>
      </c>
    </row>
    <row r="103" spans="1:29">
      <c r="A103" s="62">
        <f t="shared" ca="1" si="9"/>
        <v>93</v>
      </c>
      <c r="B103" s="62" t="str">
        <f t="shared" ca="1" si="10"/>
        <v>E</v>
      </c>
      <c r="C103" s="62" t="str">
        <f t="shared" ca="1" si="11"/>
        <v>A-</v>
      </c>
      <c r="D103" s="62">
        <f t="shared" ca="1" si="12"/>
        <v>15</v>
      </c>
      <c r="E103" s="63">
        <f t="shared" ca="1" si="13"/>
        <v>21.398333333333337</v>
      </c>
      <c r="F103" s="46" t="s">
        <v>485</v>
      </c>
      <c r="G103" s="46" t="s">
        <v>160</v>
      </c>
      <c r="H103" s="46" t="s">
        <v>486</v>
      </c>
      <c r="I103" s="46" t="s">
        <v>473</v>
      </c>
      <c r="J103" s="46">
        <v>21</v>
      </c>
      <c r="K103" s="46">
        <v>13.4</v>
      </c>
      <c r="L103" s="46">
        <v>10.3</v>
      </c>
      <c r="M103" s="46">
        <v>19.399999999999999</v>
      </c>
      <c r="N103" s="46">
        <v>40.200000000000003</v>
      </c>
      <c r="O103" s="46">
        <v>13.3</v>
      </c>
      <c r="P103" s="46">
        <v>12.4</v>
      </c>
      <c r="Q103" s="46">
        <v>34.9</v>
      </c>
      <c r="R103" s="46">
        <v>28.2</v>
      </c>
      <c r="S103" s="46">
        <v>17.2</v>
      </c>
      <c r="T103" s="46">
        <v>17.3</v>
      </c>
      <c r="U103" s="46">
        <v>37</v>
      </c>
      <c r="V103" s="46">
        <v>28</v>
      </c>
      <c r="W103" s="46">
        <v>10.199999999999999</v>
      </c>
      <c r="X103" s="46">
        <v>5.08</v>
      </c>
      <c r="Y103" s="46">
        <v>26.3</v>
      </c>
      <c r="Z103" s="46">
        <v>23.9</v>
      </c>
      <c r="AA103" s="46">
        <v>16.3</v>
      </c>
      <c r="AB103" s="46" t="s">
        <v>160</v>
      </c>
      <c r="AC103" s="46" t="s">
        <v>160</v>
      </c>
    </row>
    <row r="104" spans="1:29">
      <c r="A104" s="62">
        <f t="shared" ca="1" si="9"/>
        <v>94</v>
      </c>
      <c r="B104" s="62" t="str">
        <f t="shared" ca="1" si="10"/>
        <v>E</v>
      </c>
      <c r="C104" s="62" t="str">
        <f t="shared" ca="1" si="11"/>
        <v>A-</v>
      </c>
      <c r="D104" s="62">
        <f t="shared" ca="1" si="12"/>
        <v>15</v>
      </c>
      <c r="E104" s="63">
        <f t="shared" ca="1" si="13"/>
        <v>29.277777777777779</v>
      </c>
      <c r="F104" s="46" t="s">
        <v>488</v>
      </c>
      <c r="G104" s="46" t="s">
        <v>160</v>
      </c>
      <c r="H104" s="46" t="s">
        <v>489</v>
      </c>
      <c r="I104" s="46" t="s">
        <v>326</v>
      </c>
      <c r="J104" s="46">
        <v>27.6</v>
      </c>
      <c r="K104" s="46">
        <v>28.4</v>
      </c>
      <c r="L104" s="46">
        <v>36.5</v>
      </c>
      <c r="M104" s="46">
        <v>24</v>
      </c>
      <c r="N104" s="46">
        <v>24</v>
      </c>
      <c r="O104" s="46">
        <v>21.9</v>
      </c>
      <c r="P104" s="46" t="s">
        <v>160</v>
      </c>
      <c r="Q104" s="46" t="s">
        <v>160</v>
      </c>
      <c r="R104" s="46">
        <v>27.8</v>
      </c>
      <c r="S104" s="46">
        <v>25.4</v>
      </c>
      <c r="T104" s="46">
        <v>37.299999999999997</v>
      </c>
      <c r="U104" s="46">
        <v>35.700000000000003</v>
      </c>
      <c r="V104" s="46">
        <v>27.9</v>
      </c>
      <c r="W104" s="46">
        <v>28</v>
      </c>
      <c r="X104" s="46" t="s">
        <v>160</v>
      </c>
      <c r="Y104" s="46">
        <v>30.2</v>
      </c>
      <c r="Z104" s="46">
        <v>26.1</v>
      </c>
      <c r="AA104" s="46">
        <v>25.1</v>
      </c>
      <c r="AB104" s="46" t="s">
        <v>160</v>
      </c>
      <c r="AC104" s="46" t="s">
        <v>160</v>
      </c>
    </row>
    <row r="105" spans="1:29">
      <c r="A105" s="62">
        <f t="shared" ca="1" si="9"/>
        <v>95</v>
      </c>
      <c r="B105" s="62" t="str">
        <f t="shared" ca="1" si="10"/>
        <v>E</v>
      </c>
      <c r="C105" s="62" t="str">
        <f t="shared" ca="1" si="11"/>
        <v>BBB+</v>
      </c>
      <c r="D105" s="62">
        <f t="shared" ca="1" si="12"/>
        <v>14</v>
      </c>
      <c r="E105" s="63">
        <f t="shared" ca="1" si="13"/>
        <v>11.203333333333333</v>
      </c>
      <c r="F105" s="46" t="s">
        <v>490</v>
      </c>
      <c r="G105" s="46" t="s">
        <v>160</v>
      </c>
      <c r="H105" s="46" t="s">
        <v>491</v>
      </c>
      <c r="I105" s="46" t="s">
        <v>473</v>
      </c>
      <c r="J105" s="46">
        <v>23.9</v>
      </c>
      <c r="K105" s="46">
        <v>23.4</v>
      </c>
      <c r="L105" s="46">
        <v>32.5</v>
      </c>
      <c r="M105" s="46">
        <v>82.2</v>
      </c>
      <c r="N105" s="46">
        <v>24.1</v>
      </c>
      <c r="O105" s="46">
        <v>21.7</v>
      </c>
      <c r="P105" s="46">
        <v>31.2</v>
      </c>
      <c r="Q105" s="46">
        <v>-5.92</v>
      </c>
      <c r="R105" s="46">
        <v>7.38</v>
      </c>
      <c r="S105" s="46">
        <v>69.599999999999994</v>
      </c>
      <c r="T105" s="46">
        <v>101.7</v>
      </c>
      <c r="U105" s="46">
        <v>-72.5</v>
      </c>
      <c r="V105" s="46">
        <v>-2.72</v>
      </c>
      <c r="W105" s="46">
        <v>20.9</v>
      </c>
      <c r="X105" s="46">
        <v>-27.1</v>
      </c>
      <c r="Y105" s="46">
        <v>-20.3</v>
      </c>
      <c r="Z105" s="46">
        <v>14.5</v>
      </c>
      <c r="AA105" s="46">
        <v>17.7</v>
      </c>
      <c r="AB105" s="46" t="s">
        <v>160</v>
      </c>
      <c r="AC105" s="46" t="s">
        <v>160</v>
      </c>
    </row>
    <row r="106" spans="1:29">
      <c r="A106" s="62">
        <f t="shared" ca="1" si="9"/>
        <v>96</v>
      </c>
      <c r="B106" s="62" t="str">
        <f t="shared" ca="1" si="10"/>
        <v>G</v>
      </c>
      <c r="C106" s="62" t="str">
        <f t="shared" ca="1" si="11"/>
        <v>BBB+</v>
      </c>
      <c r="D106" s="62">
        <f t="shared" ca="1" si="12"/>
        <v>14</v>
      </c>
      <c r="E106" s="63">
        <f t="shared" ca="1" si="13"/>
        <v>27.983333333333334</v>
      </c>
      <c r="F106" s="46" t="s">
        <v>492</v>
      </c>
      <c r="G106" s="46" t="s">
        <v>160</v>
      </c>
      <c r="H106" s="46" t="s">
        <v>493</v>
      </c>
      <c r="I106" s="46" t="s">
        <v>554</v>
      </c>
      <c r="J106" s="46">
        <v>48</v>
      </c>
      <c r="K106" s="46">
        <v>19.8</v>
      </c>
      <c r="L106" s="46">
        <v>13.6</v>
      </c>
      <c r="M106" s="46">
        <v>34.200000000000003</v>
      </c>
      <c r="N106" s="46">
        <v>40.4</v>
      </c>
      <c r="O106" s="46">
        <v>22.2</v>
      </c>
      <c r="P106" s="46">
        <v>20.7</v>
      </c>
      <c r="Q106" s="46">
        <v>31.9</v>
      </c>
      <c r="R106" s="46">
        <v>33.700000000000003</v>
      </c>
      <c r="S106" s="46">
        <v>16.2</v>
      </c>
      <c r="T106" s="46">
        <v>15.9</v>
      </c>
      <c r="U106" s="46">
        <v>39.200000000000003</v>
      </c>
      <c r="V106" s="46">
        <v>41.6</v>
      </c>
      <c r="W106" s="46">
        <v>25.7</v>
      </c>
      <c r="X106" s="46">
        <v>15.8</v>
      </c>
      <c r="Y106" s="46">
        <v>35.5</v>
      </c>
      <c r="Z106" s="46">
        <v>44.4</v>
      </c>
      <c r="AA106" s="46">
        <v>15.2</v>
      </c>
      <c r="AB106" s="46" t="s">
        <v>160</v>
      </c>
      <c r="AC106" s="46" t="s">
        <v>160</v>
      </c>
    </row>
    <row r="107" spans="1:29">
      <c r="A107" s="62">
        <f t="shared" ca="1" si="9"/>
        <v>97</v>
      </c>
      <c r="B107" s="62" t="str">
        <f t="shared" ca="1" si="10"/>
        <v>E</v>
      </c>
      <c r="C107" s="62" t="str">
        <f t="shared" ca="1" si="11"/>
        <v>A-</v>
      </c>
      <c r="D107" s="62">
        <f t="shared" ca="1" si="12"/>
        <v>15</v>
      </c>
      <c r="E107" s="63">
        <f t="shared" ca="1" si="13"/>
        <v>16.893333333333334</v>
      </c>
      <c r="F107" s="46" t="s">
        <v>495</v>
      </c>
      <c r="G107" s="46" t="s">
        <v>160</v>
      </c>
      <c r="H107" s="46" t="s">
        <v>496</v>
      </c>
      <c r="I107" s="46" t="s">
        <v>326</v>
      </c>
      <c r="J107" s="46">
        <v>12.4</v>
      </c>
      <c r="K107" s="46">
        <v>13.4</v>
      </c>
      <c r="L107" s="46">
        <v>23.8</v>
      </c>
      <c r="M107" s="46">
        <v>21.5</v>
      </c>
      <c r="N107" s="46">
        <v>13.3</v>
      </c>
      <c r="O107" s="46">
        <v>41.7</v>
      </c>
      <c r="P107" s="46">
        <v>20.5</v>
      </c>
      <c r="Q107" s="46">
        <v>18.7</v>
      </c>
      <c r="R107" s="46">
        <v>15.2</v>
      </c>
      <c r="S107" s="46">
        <v>17</v>
      </c>
      <c r="T107" s="46">
        <v>21.2</v>
      </c>
      <c r="U107" s="46">
        <v>6.42</v>
      </c>
      <c r="V107" s="46">
        <v>15.5</v>
      </c>
      <c r="W107" s="46">
        <v>21.4</v>
      </c>
      <c r="X107" s="46">
        <v>24.9</v>
      </c>
      <c r="Y107" s="46">
        <v>10.9</v>
      </c>
      <c r="Z107" s="46">
        <v>15.3</v>
      </c>
      <c r="AA107" s="46">
        <v>15.7</v>
      </c>
      <c r="AB107" s="46" t="s">
        <v>160</v>
      </c>
      <c r="AC107" s="46" t="s">
        <v>160</v>
      </c>
    </row>
    <row r="108" spans="1:29">
      <c r="A108" s="62">
        <f t="shared" ca="1" si="9"/>
        <v>98</v>
      </c>
      <c r="B108" s="62" t="str">
        <f t="shared" ca="1" si="10"/>
        <v>E</v>
      </c>
      <c r="C108" s="62" t="str">
        <f t="shared" ca="1" si="11"/>
        <v>A-</v>
      </c>
      <c r="D108" s="62">
        <f t="shared" ca="1" si="12"/>
        <v>15</v>
      </c>
      <c r="E108" s="63">
        <f t="shared" ca="1" si="13"/>
        <v>21.358333333333334</v>
      </c>
      <c r="F108" s="46" t="s">
        <v>497</v>
      </c>
      <c r="G108" s="46" t="s">
        <v>160</v>
      </c>
      <c r="H108" s="46" t="s">
        <v>498</v>
      </c>
      <c r="I108" s="46" t="s">
        <v>551</v>
      </c>
      <c r="J108" s="46">
        <v>14.5</v>
      </c>
      <c r="K108" s="46">
        <v>19.8</v>
      </c>
      <c r="L108" s="46">
        <v>19</v>
      </c>
      <c r="M108" s="46">
        <v>11</v>
      </c>
      <c r="N108" s="46">
        <v>15.7</v>
      </c>
      <c r="O108" s="46">
        <v>20.100000000000001</v>
      </c>
      <c r="P108" s="46">
        <v>31.8</v>
      </c>
      <c r="Q108" s="46">
        <v>21.5</v>
      </c>
      <c r="R108" s="46">
        <v>14.1</v>
      </c>
      <c r="S108" s="46">
        <v>15.2</v>
      </c>
      <c r="T108" s="46">
        <v>26.2</v>
      </c>
      <c r="U108" s="46">
        <v>20.5</v>
      </c>
      <c r="V108" s="46">
        <v>18.3</v>
      </c>
      <c r="W108" s="46">
        <v>20.2</v>
      </c>
      <c r="X108" s="46">
        <v>31.7</v>
      </c>
      <c r="Y108" s="46">
        <v>18.100000000000001</v>
      </c>
      <c r="Z108" s="46">
        <v>20.6</v>
      </c>
      <c r="AA108" s="46">
        <v>18.100000000000001</v>
      </c>
      <c r="AB108" s="46" t="s">
        <v>160</v>
      </c>
      <c r="AC108" s="46" t="s">
        <v>160</v>
      </c>
    </row>
    <row r="109" spans="1:29">
      <c r="A109" s="62">
        <f t="shared" ca="1" si="9"/>
        <v>99</v>
      </c>
      <c r="B109" s="62" t="str">
        <f t="shared" ca="1" si="10"/>
        <v>G</v>
      </c>
      <c r="C109" s="62" t="str">
        <f t="shared" ca="1" si="11"/>
        <v>A-</v>
      </c>
      <c r="D109" s="62">
        <f t="shared" ca="1" si="12"/>
        <v>15</v>
      </c>
      <c r="E109" s="63">
        <f t="shared" ca="1" si="13"/>
        <v>41.826666666666668</v>
      </c>
      <c r="F109" s="46" t="s">
        <v>499</v>
      </c>
      <c r="G109" s="46" t="s">
        <v>160</v>
      </c>
      <c r="H109" s="46" t="s">
        <v>500</v>
      </c>
      <c r="I109" s="46" t="s">
        <v>554</v>
      </c>
      <c r="J109" s="46">
        <v>78.7</v>
      </c>
      <c r="K109" s="46">
        <v>15.6</v>
      </c>
      <c r="L109" s="46">
        <v>-8.84</v>
      </c>
      <c r="M109" s="46">
        <v>47.6</v>
      </c>
      <c r="N109" s="46">
        <v>83.4</v>
      </c>
      <c r="O109" s="46">
        <v>15.5</v>
      </c>
      <c r="P109" s="46">
        <v>32.9</v>
      </c>
      <c r="Q109" s="46">
        <v>32</v>
      </c>
      <c r="R109" s="46">
        <v>115.8</v>
      </c>
      <c r="S109" s="46">
        <v>74.599999999999994</v>
      </c>
      <c r="T109" s="46">
        <v>-16.8</v>
      </c>
      <c r="U109" s="46">
        <v>33.700000000000003</v>
      </c>
      <c r="V109" s="46">
        <v>84.2</v>
      </c>
      <c r="W109" s="46">
        <v>17.7</v>
      </c>
      <c r="X109" s="46">
        <v>-3.68</v>
      </c>
      <c r="Y109" s="46">
        <v>28.1</v>
      </c>
      <c r="Z109" s="46">
        <v>79.599999999999994</v>
      </c>
      <c r="AA109" s="46">
        <v>23.8</v>
      </c>
      <c r="AB109" s="46" t="s">
        <v>160</v>
      </c>
      <c r="AC109" s="46" t="s">
        <v>160</v>
      </c>
    </row>
    <row r="110" spans="1:29">
      <c r="A110" s="62">
        <f t="shared" ca="1" si="9"/>
        <v>100</v>
      </c>
      <c r="B110" s="62" t="str">
        <f t="shared" ca="1" si="10"/>
        <v>G</v>
      </c>
      <c r="C110" s="62" t="str">
        <f t="shared" ca="1" si="11"/>
        <v>A-</v>
      </c>
      <c r="D110" s="62">
        <f t="shared" ca="1" si="12"/>
        <v>15</v>
      </c>
      <c r="E110" s="63">
        <f t="shared" ca="1" si="13"/>
        <v>23.109999999999996</v>
      </c>
      <c r="F110" s="46" t="s">
        <v>502</v>
      </c>
      <c r="G110" s="46" t="s">
        <v>160</v>
      </c>
      <c r="H110" s="46" t="s">
        <v>503</v>
      </c>
      <c r="I110" s="46" t="s">
        <v>554</v>
      </c>
      <c r="J110" s="46">
        <v>19.5</v>
      </c>
      <c r="K110" s="46">
        <v>26.1</v>
      </c>
      <c r="L110" s="46">
        <v>1.1000000000000001</v>
      </c>
      <c r="M110" s="46">
        <v>18.600000000000001</v>
      </c>
      <c r="N110" s="46">
        <v>26.1</v>
      </c>
      <c r="O110" s="46">
        <v>12.8</v>
      </c>
      <c r="P110" s="46">
        <v>21.7</v>
      </c>
      <c r="Q110" s="46">
        <v>23.6</v>
      </c>
      <c r="R110" s="46">
        <v>29.1</v>
      </c>
      <c r="S110" s="46">
        <v>20.3</v>
      </c>
      <c r="T110" s="46">
        <v>14</v>
      </c>
      <c r="U110" s="46">
        <v>27.9</v>
      </c>
      <c r="V110" s="46">
        <v>37</v>
      </c>
      <c r="W110" s="46">
        <v>17</v>
      </c>
      <c r="X110" s="46">
        <v>7.72</v>
      </c>
      <c r="Y110" s="46">
        <v>27.1</v>
      </c>
      <c r="Z110" s="46">
        <v>35.5</v>
      </c>
      <c r="AA110" s="46">
        <v>16.399999999999999</v>
      </c>
      <c r="AB110" s="46" t="s">
        <v>160</v>
      </c>
      <c r="AC110" s="46" t="s">
        <v>160</v>
      </c>
    </row>
    <row r="111" spans="1:29">
      <c r="A111" s="62">
        <f t="shared" ca="1" si="9"/>
        <v>101</v>
      </c>
      <c r="B111" s="62" t="str">
        <f t="shared" ca="1" si="10"/>
        <v>E</v>
      </c>
      <c r="C111" s="62" t="str">
        <f t="shared" ca="1" si="11"/>
        <v>BBB+</v>
      </c>
      <c r="D111" s="62">
        <f t="shared" ca="1" si="12"/>
        <v>14</v>
      </c>
      <c r="E111" s="63">
        <f t="shared" ca="1" si="13"/>
        <v>27.325000000000003</v>
      </c>
      <c r="F111" s="46" t="s">
        <v>504</v>
      </c>
      <c r="G111" s="46" t="s">
        <v>160</v>
      </c>
      <c r="H111" s="46" t="s">
        <v>505</v>
      </c>
      <c r="I111" s="46" t="s">
        <v>551</v>
      </c>
      <c r="J111" s="46">
        <v>20.8</v>
      </c>
      <c r="K111" s="46">
        <v>22.4</v>
      </c>
      <c r="L111" s="46">
        <v>24.4</v>
      </c>
      <c r="M111" s="46">
        <v>40.4</v>
      </c>
      <c r="N111" s="46">
        <v>25.4</v>
      </c>
      <c r="O111" s="46">
        <v>25</v>
      </c>
      <c r="P111" s="46">
        <v>25.5</v>
      </c>
      <c r="Q111" s="46">
        <v>37.5</v>
      </c>
      <c r="R111" s="46">
        <v>24.7</v>
      </c>
      <c r="S111" s="46">
        <v>27.1</v>
      </c>
      <c r="T111" s="46">
        <v>24.8</v>
      </c>
      <c r="U111" s="46">
        <v>36.1</v>
      </c>
      <c r="V111" s="46">
        <v>19.5</v>
      </c>
      <c r="W111" s="46">
        <v>21.3</v>
      </c>
      <c r="X111" s="46">
        <v>27.3</v>
      </c>
      <c r="Y111" s="46">
        <v>36.4</v>
      </c>
      <c r="Z111" s="46">
        <v>22.7</v>
      </c>
      <c r="AA111" s="46">
        <v>25</v>
      </c>
      <c r="AB111" s="46" t="s">
        <v>160</v>
      </c>
      <c r="AC111" s="46" t="s">
        <v>160</v>
      </c>
    </row>
    <row r="112" spans="1:29">
      <c r="A112" s="62">
        <f t="shared" ca="1" si="9"/>
        <v>102</v>
      </c>
      <c r="B112" s="62" t="str">
        <f t="shared" ca="1" si="10"/>
        <v>E</v>
      </c>
      <c r="C112" s="62" t="str">
        <f t="shared" ca="1" si="11"/>
        <v>BBB-</v>
      </c>
      <c r="D112" s="62">
        <f t="shared" ca="1" si="12"/>
        <v>12</v>
      </c>
      <c r="E112" s="63">
        <f t="shared" ca="1" si="13"/>
        <v>8.0627272727272725</v>
      </c>
      <c r="F112" s="46" t="s">
        <v>507</v>
      </c>
      <c r="G112" s="46" t="s">
        <v>160</v>
      </c>
      <c r="H112" s="46" t="s">
        <v>508</v>
      </c>
      <c r="I112" s="46" t="s">
        <v>473</v>
      </c>
      <c r="J112" s="46">
        <v>8.74</v>
      </c>
      <c r="K112" s="46">
        <v>10.6</v>
      </c>
      <c r="L112" s="46">
        <v>13.4</v>
      </c>
      <c r="M112" s="46">
        <v>12.5</v>
      </c>
      <c r="N112" s="46">
        <v>6.21</v>
      </c>
      <c r="O112" s="46">
        <v>9.8699999999999992</v>
      </c>
      <c r="P112" s="46">
        <v>9.6</v>
      </c>
      <c r="Q112" s="46">
        <v>-14.7</v>
      </c>
      <c r="R112" s="46">
        <v>9.8000000000000007</v>
      </c>
      <c r="S112" s="46">
        <v>5.31</v>
      </c>
      <c r="T112" s="46">
        <v>13.1</v>
      </c>
      <c r="U112" s="46">
        <v>8.0299999999999994</v>
      </c>
      <c r="V112" s="46" t="s">
        <v>160</v>
      </c>
      <c r="W112" s="46">
        <v>7.55</v>
      </c>
      <c r="X112" s="46">
        <v>16.600000000000001</v>
      </c>
      <c r="Y112" s="46">
        <v>10.1</v>
      </c>
      <c r="Z112" s="46">
        <v>8.1</v>
      </c>
      <c r="AA112" s="46">
        <v>15.2</v>
      </c>
      <c r="AB112" s="46" t="s">
        <v>160</v>
      </c>
      <c r="AC112" s="46" t="s">
        <v>160</v>
      </c>
    </row>
    <row r="113" spans="1:29">
      <c r="A113" s="62">
        <f t="shared" ca="1" si="9"/>
        <v>103</v>
      </c>
      <c r="B113" s="62" t="str">
        <f t="shared" ca="1" si="10"/>
        <v>E</v>
      </c>
      <c r="C113" s="62" t="str">
        <f t="shared" ca="1" si="11"/>
        <v>A</v>
      </c>
      <c r="D113" s="62">
        <f t="shared" ca="1" si="12"/>
        <v>16</v>
      </c>
      <c r="E113" s="63">
        <f t="shared" ca="1" si="13"/>
        <v>22.793000000000003</v>
      </c>
      <c r="F113" s="46" t="s">
        <v>509</v>
      </c>
      <c r="G113" s="46" t="s">
        <v>160</v>
      </c>
      <c r="H113" s="46" t="s">
        <v>510</v>
      </c>
      <c r="I113" s="46" t="s">
        <v>473</v>
      </c>
      <c r="J113" s="46">
        <v>24.7</v>
      </c>
      <c r="K113" s="46">
        <v>18.3</v>
      </c>
      <c r="L113" s="46">
        <v>12.7</v>
      </c>
      <c r="M113" s="46">
        <v>17.7</v>
      </c>
      <c r="N113" s="46" t="s">
        <v>160</v>
      </c>
      <c r="O113" s="46" t="s">
        <v>160</v>
      </c>
      <c r="P113" s="46" t="s">
        <v>160</v>
      </c>
      <c r="Q113" s="46" t="s">
        <v>160</v>
      </c>
      <c r="R113" s="46">
        <v>23.5</v>
      </c>
      <c r="S113" s="46">
        <v>16.3</v>
      </c>
      <c r="T113" s="46">
        <v>9.1300000000000008</v>
      </c>
      <c r="U113" s="46">
        <v>32.5</v>
      </c>
      <c r="V113" s="46">
        <v>27.4</v>
      </c>
      <c r="W113" s="46">
        <v>22.4</v>
      </c>
      <c r="X113" s="46">
        <v>22.8</v>
      </c>
      <c r="Y113" s="46">
        <v>25.5</v>
      </c>
      <c r="Z113" s="46">
        <v>26</v>
      </c>
      <c r="AA113" s="46">
        <v>22.4</v>
      </c>
      <c r="AB113" s="46" t="s">
        <v>160</v>
      </c>
      <c r="AC113" s="46" t="s">
        <v>160</v>
      </c>
    </row>
    <row r="114" spans="1:29">
      <c r="A114" s="62">
        <f t="shared" ca="1" si="9"/>
        <v>104</v>
      </c>
      <c r="B114" s="62" t="str">
        <f t="shared" ca="1" si="10"/>
        <v>E</v>
      </c>
      <c r="C114" s="62" t="str">
        <f t="shared" ca="1" si="11"/>
        <v>A-</v>
      </c>
      <c r="D114" s="62">
        <f t="shared" ca="1" si="12"/>
        <v>15</v>
      </c>
      <c r="E114" s="63">
        <f t="shared" ca="1" si="13"/>
        <v>20.552857142857142</v>
      </c>
      <c r="F114" s="46" t="s">
        <v>511</v>
      </c>
      <c r="G114" s="46" t="s">
        <v>160</v>
      </c>
      <c r="H114" s="46" t="s">
        <v>512</v>
      </c>
      <c r="I114" s="46" t="s">
        <v>326</v>
      </c>
      <c r="J114" s="46" t="s">
        <v>160</v>
      </c>
      <c r="K114" s="46" t="s">
        <v>160</v>
      </c>
      <c r="L114" s="46" t="s">
        <v>160</v>
      </c>
      <c r="M114" s="46" t="s">
        <v>160</v>
      </c>
      <c r="N114" s="46" t="s">
        <v>160</v>
      </c>
      <c r="O114" s="46" t="s">
        <v>160</v>
      </c>
      <c r="P114" s="46" t="s">
        <v>160</v>
      </c>
      <c r="Q114" s="46" t="s">
        <v>160</v>
      </c>
      <c r="R114" s="46" t="s">
        <v>160</v>
      </c>
      <c r="S114" s="46" t="s">
        <v>160</v>
      </c>
      <c r="T114" s="46">
        <v>8.57</v>
      </c>
      <c r="U114" s="46" t="s">
        <v>160</v>
      </c>
      <c r="V114" s="46">
        <v>30.3</v>
      </c>
      <c r="W114" s="46">
        <v>13.1</v>
      </c>
      <c r="X114" s="46">
        <v>15.3</v>
      </c>
      <c r="Y114" s="46">
        <v>14</v>
      </c>
      <c r="Z114" s="46">
        <v>36.700000000000003</v>
      </c>
      <c r="AA114" s="46">
        <v>25.9</v>
      </c>
      <c r="AB114" s="46" t="s">
        <v>160</v>
      </c>
      <c r="AC114" s="46" t="s">
        <v>160</v>
      </c>
    </row>
    <row r="115" spans="1:29">
      <c r="A115" s="62">
        <f t="shared" ca="1" si="9"/>
        <v>105</v>
      </c>
      <c r="B115" s="62" t="str">
        <f t="shared" ca="1" si="10"/>
        <v>E</v>
      </c>
      <c r="C115" s="62" t="str">
        <f t="shared" ca="1" si="11"/>
        <v>BBB-</v>
      </c>
      <c r="D115" s="62">
        <f t="shared" ca="1" si="12"/>
        <v>12</v>
      </c>
      <c r="E115" s="63">
        <f t="shared" ca="1" si="13"/>
        <v>24.447500000000002</v>
      </c>
      <c r="F115" s="46" t="s">
        <v>513</v>
      </c>
      <c r="G115" s="46" t="s">
        <v>160</v>
      </c>
      <c r="H115" s="46" t="s">
        <v>514</v>
      </c>
      <c r="I115" s="46" t="s">
        <v>473</v>
      </c>
      <c r="J115" s="46">
        <v>31.6</v>
      </c>
      <c r="K115" s="46">
        <v>23.7</v>
      </c>
      <c r="L115" s="46">
        <v>22.3</v>
      </c>
      <c r="M115" s="46">
        <v>51.6</v>
      </c>
      <c r="N115" s="46">
        <v>17.7</v>
      </c>
      <c r="O115" s="46">
        <v>15.9</v>
      </c>
      <c r="P115" s="46">
        <v>8.94</v>
      </c>
      <c r="Q115" s="46">
        <v>7.03</v>
      </c>
      <c r="R115" s="46">
        <v>37.799999999999997</v>
      </c>
      <c r="S115" s="46">
        <v>11.3</v>
      </c>
      <c r="T115" s="46">
        <v>21.7</v>
      </c>
      <c r="U115" s="46">
        <v>40.299999999999997</v>
      </c>
      <c r="V115" s="46">
        <v>34.9</v>
      </c>
      <c r="W115" s="46">
        <v>18.2</v>
      </c>
      <c r="X115" s="46">
        <v>32.5</v>
      </c>
      <c r="Y115" s="46">
        <v>30.8</v>
      </c>
      <c r="Z115" s="46">
        <v>35.700000000000003</v>
      </c>
      <c r="AA115" s="46">
        <v>14.2</v>
      </c>
      <c r="AB115" s="46" t="s">
        <v>160</v>
      </c>
      <c r="AC115" s="46" t="s">
        <v>160</v>
      </c>
    </row>
    <row r="116" spans="1:29">
      <c r="A116" s="62">
        <f t="shared" ca="1" si="9"/>
        <v>106</v>
      </c>
      <c r="B116" s="62" t="str">
        <f t="shared" ca="1" si="10"/>
        <v>E</v>
      </c>
      <c r="C116" s="62" t="str">
        <f t="shared" ca="1" si="11"/>
        <v>A-</v>
      </c>
      <c r="D116" s="62">
        <f t="shared" ca="1" si="12"/>
        <v>15</v>
      </c>
      <c r="E116" s="63">
        <f t="shared" ca="1" si="13"/>
        <v>22.681666666666668</v>
      </c>
      <c r="F116" s="46" t="s">
        <v>515</v>
      </c>
      <c r="G116" s="46" t="s">
        <v>160</v>
      </c>
      <c r="H116" s="46" t="s">
        <v>516</v>
      </c>
      <c r="I116" s="46" t="s">
        <v>473</v>
      </c>
      <c r="J116" s="46">
        <v>37.4</v>
      </c>
      <c r="K116" s="46">
        <v>10.4</v>
      </c>
      <c r="L116" s="46">
        <v>6.95</v>
      </c>
      <c r="M116" s="46">
        <v>38.9</v>
      </c>
      <c r="N116" s="46">
        <v>35.700000000000003</v>
      </c>
      <c r="O116" s="46">
        <v>0.21099999999999999</v>
      </c>
      <c r="P116" s="46">
        <v>10.1</v>
      </c>
      <c r="Q116" s="46">
        <v>49.2</v>
      </c>
      <c r="R116" s="46">
        <v>41.6</v>
      </c>
      <c r="S116" s="46">
        <v>18.2</v>
      </c>
      <c r="T116" s="46">
        <v>23</v>
      </c>
      <c r="U116" s="46">
        <v>-20.8</v>
      </c>
      <c r="V116" s="46">
        <v>40.1</v>
      </c>
      <c r="W116" s="46">
        <v>18.100000000000001</v>
      </c>
      <c r="X116" s="46">
        <v>8.2799999999999994</v>
      </c>
      <c r="Y116" s="46">
        <v>30.2</v>
      </c>
      <c r="Z116" s="46">
        <v>39.700000000000003</v>
      </c>
      <c r="AA116" s="46">
        <v>14.5</v>
      </c>
      <c r="AB116" s="46" t="s">
        <v>160</v>
      </c>
      <c r="AC116" s="46" t="s">
        <v>160</v>
      </c>
    </row>
    <row r="117" spans="1:29">
      <c r="A117" s="62">
        <f t="shared" ca="1" si="9"/>
        <v>107</v>
      </c>
      <c r="B117" s="62" t="str">
        <f t="shared" ca="1" si="10"/>
        <v>E</v>
      </c>
      <c r="C117" s="62" t="str">
        <f t="shared" ca="1" si="11"/>
        <v>BBB-</v>
      </c>
      <c r="D117" s="62">
        <f t="shared" ca="1" si="12"/>
        <v>12</v>
      </c>
      <c r="E117" s="63">
        <f t="shared" ca="1" si="13"/>
        <v>20.264749999999996</v>
      </c>
      <c r="F117" s="46" t="s">
        <v>517</v>
      </c>
      <c r="G117" s="46" t="s">
        <v>160</v>
      </c>
      <c r="H117" s="46" t="s">
        <v>518</v>
      </c>
      <c r="I117" s="46" t="s">
        <v>473</v>
      </c>
      <c r="J117" s="46">
        <v>13.8</v>
      </c>
      <c r="K117" s="46">
        <v>14.7</v>
      </c>
      <c r="L117" s="46">
        <v>23</v>
      </c>
      <c r="M117" s="46">
        <v>23.4</v>
      </c>
      <c r="N117" s="46">
        <v>12.6</v>
      </c>
      <c r="O117" s="46">
        <v>17.2</v>
      </c>
      <c r="P117" s="46">
        <v>27.5</v>
      </c>
      <c r="Q117" s="46">
        <v>-0.91300000000000003</v>
      </c>
      <c r="R117" s="46">
        <v>16.2</v>
      </c>
      <c r="S117" s="46">
        <v>9.2899999999999991</v>
      </c>
      <c r="T117" s="46">
        <v>29.8</v>
      </c>
      <c r="U117" s="46">
        <v>26.5</v>
      </c>
      <c r="V117" s="46">
        <v>12.1</v>
      </c>
      <c r="W117" s="46">
        <v>13.6</v>
      </c>
      <c r="X117" s="46">
        <v>37.700000000000003</v>
      </c>
      <c r="Y117" s="46">
        <v>26.1</v>
      </c>
      <c r="Z117" s="46">
        <v>21.2</v>
      </c>
      <c r="AA117" s="46">
        <v>24.1</v>
      </c>
      <c r="AB117" s="46" t="s">
        <v>160</v>
      </c>
      <c r="AC117" s="46" t="s">
        <v>160</v>
      </c>
    </row>
    <row r="118" spans="1:29">
      <c r="A118" s="62">
        <f t="shared" ca="1" si="9"/>
        <v>108</v>
      </c>
      <c r="B118" s="62" t="str">
        <f t="shared" ca="1" si="10"/>
        <v>G</v>
      </c>
      <c r="C118" s="62" t="str">
        <f t="shared" ca="1" si="11"/>
        <v>-</v>
      </c>
      <c r="D118" s="62" t="str">
        <f t="shared" ca="1" si="12"/>
        <v/>
      </c>
      <c r="E118" s="63" t="str">
        <f t="shared" ca="1" si="13"/>
        <v>N/A</v>
      </c>
      <c r="F118" s="46" t="s">
        <v>137</v>
      </c>
      <c r="G118" s="46" t="s">
        <v>261</v>
      </c>
      <c r="H118" s="46" t="s">
        <v>262</v>
      </c>
      <c r="I118" s="46" t="s">
        <v>554</v>
      </c>
      <c r="J118" s="46" t="s">
        <v>160</v>
      </c>
      <c r="K118" s="46" t="s">
        <v>160</v>
      </c>
      <c r="L118" s="46" t="s">
        <v>160</v>
      </c>
      <c r="M118" s="46" t="s">
        <v>160</v>
      </c>
      <c r="N118" s="46" t="s">
        <v>160</v>
      </c>
      <c r="O118" s="46" t="s">
        <v>160</v>
      </c>
      <c r="P118" s="46" t="s">
        <v>160</v>
      </c>
      <c r="Q118" s="46" t="s">
        <v>160</v>
      </c>
      <c r="R118" s="46" t="s">
        <v>160</v>
      </c>
      <c r="S118" s="46" t="s">
        <v>160</v>
      </c>
      <c r="T118" s="46" t="s">
        <v>160</v>
      </c>
      <c r="U118" s="46" t="s">
        <v>160</v>
      </c>
      <c r="V118" s="46" t="s">
        <v>160</v>
      </c>
      <c r="W118" s="46" t="s">
        <v>160</v>
      </c>
      <c r="X118" s="46" t="s">
        <v>160</v>
      </c>
      <c r="Y118" s="46" t="s">
        <v>160</v>
      </c>
      <c r="Z118" s="46" t="s">
        <v>160</v>
      </c>
      <c r="AA118" s="46" t="s">
        <v>160</v>
      </c>
      <c r="AB118" s="46" t="s">
        <v>160</v>
      </c>
      <c r="AC118" s="46" t="s">
        <v>160</v>
      </c>
    </row>
    <row r="119" spans="1:29">
      <c r="A119" s="62">
        <f t="shared" ca="1" si="9"/>
        <v>109</v>
      </c>
      <c r="B119" s="62" t="str">
        <f t="shared" ca="1" si="10"/>
        <v>E</v>
      </c>
      <c r="C119" s="62" t="str">
        <f t="shared" ca="1" si="11"/>
        <v>BBB+</v>
      </c>
      <c r="D119" s="62">
        <f t="shared" ca="1" si="12"/>
        <v>14</v>
      </c>
      <c r="E119" s="63">
        <f t="shared" ca="1" si="13"/>
        <v>26.075000000000003</v>
      </c>
      <c r="F119" s="46" t="s">
        <v>520</v>
      </c>
      <c r="G119" s="46" t="s">
        <v>160</v>
      </c>
      <c r="H119" s="46" t="s">
        <v>521</v>
      </c>
      <c r="I119" s="46" t="s">
        <v>326</v>
      </c>
      <c r="J119" s="46">
        <v>15.5</v>
      </c>
      <c r="K119" s="46">
        <v>20.8</v>
      </c>
      <c r="L119" s="46">
        <v>40.299999999999997</v>
      </c>
      <c r="M119" s="46">
        <v>17.399999999999999</v>
      </c>
      <c r="N119" s="46">
        <v>20.100000000000001</v>
      </c>
      <c r="O119" s="46">
        <v>25.7</v>
      </c>
      <c r="P119" s="46">
        <v>33</v>
      </c>
      <c r="Q119" s="46">
        <v>31</v>
      </c>
      <c r="R119" s="46">
        <v>18.399999999999999</v>
      </c>
      <c r="S119" s="46">
        <v>25.4</v>
      </c>
      <c r="T119" s="46">
        <v>38.9</v>
      </c>
      <c r="U119" s="46">
        <v>15.3</v>
      </c>
      <c r="V119" s="46">
        <v>16.600000000000001</v>
      </c>
      <c r="W119" s="46">
        <v>27.6</v>
      </c>
      <c r="X119" s="46">
        <v>46</v>
      </c>
      <c r="Y119" s="46">
        <v>18.399999999999999</v>
      </c>
      <c r="Z119" s="46">
        <v>15.1</v>
      </c>
      <c r="AA119" s="46">
        <v>27.2</v>
      </c>
      <c r="AB119" s="46" t="s">
        <v>160</v>
      </c>
      <c r="AC119" s="46" t="s">
        <v>160</v>
      </c>
    </row>
    <row r="120" spans="1:29">
      <c r="A120" s="62">
        <f t="shared" ca="1" si="9"/>
        <v>110</v>
      </c>
      <c r="B120" s="62" t="str">
        <f t="shared" ca="1" si="10"/>
        <v>E</v>
      </c>
      <c r="C120" s="62" t="str">
        <f t="shared" ca="1" si="11"/>
        <v>A-</v>
      </c>
      <c r="D120" s="62">
        <f t="shared" ca="1" si="12"/>
        <v>15</v>
      </c>
      <c r="E120" s="63">
        <f t="shared" ca="1" si="13"/>
        <v>16.333999999999996</v>
      </c>
      <c r="F120" s="46" t="s">
        <v>522</v>
      </c>
      <c r="G120" s="46" t="s">
        <v>160</v>
      </c>
      <c r="H120" s="46" t="s">
        <v>523</v>
      </c>
      <c r="I120" s="46" t="s">
        <v>473</v>
      </c>
      <c r="J120" s="46" t="s">
        <v>160</v>
      </c>
      <c r="K120" s="46" t="s">
        <v>160</v>
      </c>
      <c r="L120" s="46" t="s">
        <v>160</v>
      </c>
      <c r="M120" s="46" t="s">
        <v>160</v>
      </c>
      <c r="N120" s="46" t="s">
        <v>160</v>
      </c>
      <c r="O120" s="46" t="s">
        <v>160</v>
      </c>
      <c r="P120" s="46" t="s">
        <v>160</v>
      </c>
      <c r="Q120" s="46" t="s">
        <v>160</v>
      </c>
      <c r="R120" s="46">
        <v>11.7</v>
      </c>
      <c r="S120" s="46">
        <v>14.7</v>
      </c>
      <c r="T120" s="46">
        <v>13.8</v>
      </c>
      <c r="U120" s="46">
        <v>7.74</v>
      </c>
      <c r="V120" s="46">
        <v>19.5</v>
      </c>
      <c r="W120" s="46">
        <v>15.8</v>
      </c>
      <c r="X120" s="46">
        <v>18.7</v>
      </c>
      <c r="Y120" s="46">
        <v>23.7</v>
      </c>
      <c r="Z120" s="46">
        <v>20</v>
      </c>
      <c r="AA120" s="46">
        <v>17.7</v>
      </c>
      <c r="AB120" s="46" t="s">
        <v>160</v>
      </c>
      <c r="AC120" s="46" t="s">
        <v>160</v>
      </c>
    </row>
    <row r="121" spans="1:29">
      <c r="A121" s="62">
        <f t="shared" ca="1" si="9"/>
        <v>111</v>
      </c>
      <c r="B121" s="62" t="str">
        <f t="shared" ca="1" si="10"/>
        <v>E</v>
      </c>
      <c r="C121" s="62" t="str">
        <f t="shared" ca="1" si="11"/>
        <v>BBB+</v>
      </c>
      <c r="D121" s="62">
        <f t="shared" ca="1" si="12"/>
        <v>14</v>
      </c>
      <c r="E121" s="63">
        <f t="shared" ca="1" si="13"/>
        <v>23.425000000000001</v>
      </c>
      <c r="F121" s="46" t="s">
        <v>524</v>
      </c>
      <c r="G121" s="46" t="s">
        <v>160</v>
      </c>
      <c r="H121" s="46" t="s">
        <v>525</v>
      </c>
      <c r="I121" s="46" t="s">
        <v>473</v>
      </c>
      <c r="J121" s="46">
        <v>28</v>
      </c>
      <c r="K121" s="46">
        <v>24.6</v>
      </c>
      <c r="L121" s="46">
        <v>29.1</v>
      </c>
      <c r="M121" s="46">
        <v>18</v>
      </c>
      <c r="N121" s="46">
        <v>30.4</v>
      </c>
      <c r="O121" s="46">
        <v>12.9</v>
      </c>
      <c r="P121" s="46">
        <v>21.3</v>
      </c>
      <c r="Q121" s="46">
        <v>19.899999999999999</v>
      </c>
      <c r="R121" s="46">
        <v>22.5</v>
      </c>
      <c r="S121" s="46">
        <v>16.100000000000001</v>
      </c>
      <c r="T121" s="46">
        <v>23.1</v>
      </c>
      <c r="U121" s="46">
        <v>23.6</v>
      </c>
      <c r="V121" s="46">
        <v>24.1</v>
      </c>
      <c r="W121" s="46">
        <v>25.3</v>
      </c>
      <c r="X121" s="46">
        <v>35.700000000000003</v>
      </c>
      <c r="Y121" s="46">
        <v>19.8</v>
      </c>
      <c r="Z121" s="46">
        <v>24.7</v>
      </c>
      <c r="AA121" s="46">
        <v>25</v>
      </c>
      <c r="AB121" s="46" t="s">
        <v>160</v>
      </c>
      <c r="AC121" s="46" t="s">
        <v>160</v>
      </c>
    </row>
    <row r="122" spans="1:29">
      <c r="A122" s="62">
        <f t="shared" ca="1" si="9"/>
        <v>112</v>
      </c>
      <c r="B122" s="62" t="str">
        <f t="shared" ca="1" si="10"/>
        <v>G</v>
      </c>
      <c r="C122" s="62" t="str">
        <f t="shared" ca="1" si="11"/>
        <v>A</v>
      </c>
      <c r="D122" s="62">
        <f t="shared" ca="1" si="12"/>
        <v>16</v>
      </c>
      <c r="E122" s="63">
        <f t="shared" ca="1" si="13"/>
        <v>34.448666666666668</v>
      </c>
      <c r="F122" s="46" t="s">
        <v>526</v>
      </c>
      <c r="G122" s="46" t="s">
        <v>160</v>
      </c>
      <c r="H122" s="46" t="s">
        <v>527</v>
      </c>
      <c r="I122" s="46" t="s">
        <v>554</v>
      </c>
      <c r="J122" s="46">
        <v>36.9</v>
      </c>
      <c r="K122" s="46">
        <v>5.44</v>
      </c>
      <c r="L122" s="46">
        <v>-7.74</v>
      </c>
      <c r="M122" s="46">
        <v>34.299999999999997</v>
      </c>
      <c r="N122" s="46">
        <v>26.6</v>
      </c>
      <c r="O122" s="46">
        <v>7.59</v>
      </c>
      <c r="P122" s="46">
        <v>39.299999999999997</v>
      </c>
      <c r="Q122" s="46">
        <v>65.900000000000006</v>
      </c>
      <c r="R122" s="46">
        <v>46.8</v>
      </c>
      <c r="S122" s="46">
        <v>-0.216</v>
      </c>
      <c r="T122" s="46">
        <v>27.7</v>
      </c>
      <c r="U122" s="46">
        <v>55.3</v>
      </c>
      <c r="V122" s="46">
        <v>56</v>
      </c>
      <c r="W122" s="46">
        <v>11</v>
      </c>
      <c r="X122" s="46">
        <v>16.5</v>
      </c>
      <c r="Y122" s="46">
        <v>37.200000000000003</v>
      </c>
      <c r="Z122" s="46">
        <v>46.6</v>
      </c>
      <c r="AA122" s="46">
        <v>11.3</v>
      </c>
      <c r="AB122" s="46" t="s">
        <v>160</v>
      </c>
      <c r="AC122" s="46" t="s">
        <v>160</v>
      </c>
    </row>
    <row r="123" spans="1:29">
      <c r="A123" s="62">
        <f t="shared" ca="1" si="9"/>
        <v>113</v>
      </c>
      <c r="B123" s="62" t="str">
        <f t="shared" ca="1" si="10"/>
        <v>E</v>
      </c>
      <c r="C123" s="62" t="str">
        <f t="shared" ca="1" si="11"/>
        <v>BBB-</v>
      </c>
      <c r="D123" s="62">
        <f t="shared" ca="1" si="12"/>
        <v>12</v>
      </c>
      <c r="E123" s="63">
        <f t="shared" ca="1" si="13"/>
        <v>27.033333333333342</v>
      </c>
      <c r="F123" s="46" t="s">
        <v>528</v>
      </c>
      <c r="G123" s="46" t="s">
        <v>160</v>
      </c>
      <c r="H123" s="46" t="s">
        <v>529</v>
      </c>
      <c r="I123" s="46" t="s">
        <v>473</v>
      </c>
      <c r="J123" s="46">
        <v>35.700000000000003</v>
      </c>
      <c r="K123" s="46">
        <v>27.9</v>
      </c>
      <c r="L123" s="46">
        <v>33.9</v>
      </c>
      <c r="M123" s="46">
        <v>35.9</v>
      </c>
      <c r="N123" s="46">
        <v>10.1</v>
      </c>
      <c r="O123" s="46">
        <v>17.5</v>
      </c>
      <c r="P123" s="46">
        <v>28.9</v>
      </c>
      <c r="Q123" s="46">
        <v>28.1</v>
      </c>
      <c r="R123" s="46">
        <v>26.2</v>
      </c>
      <c r="S123" s="46">
        <v>26.6</v>
      </c>
      <c r="T123" s="46">
        <v>33.799999999999997</v>
      </c>
      <c r="U123" s="46">
        <v>30.5</v>
      </c>
      <c r="V123" s="46">
        <v>24.8</v>
      </c>
      <c r="W123" s="46">
        <v>23.6</v>
      </c>
      <c r="X123" s="46">
        <v>27.4</v>
      </c>
      <c r="Y123" s="46">
        <v>19.100000000000001</v>
      </c>
      <c r="Z123" s="46">
        <v>30.3</v>
      </c>
      <c r="AA123" s="46">
        <v>25.1</v>
      </c>
      <c r="AB123" s="46" t="s">
        <v>160</v>
      </c>
      <c r="AC123" s="46" t="s">
        <v>160</v>
      </c>
    </row>
    <row r="124" spans="1:29">
      <c r="A124" s="62">
        <f t="shared" ca="1" si="9"/>
        <v>114</v>
      </c>
      <c r="B124" s="62" t="str">
        <f t="shared" ca="1" si="10"/>
        <v>E</v>
      </c>
      <c r="C124" s="62" t="str">
        <f t="shared" ca="1" si="11"/>
        <v>A</v>
      </c>
      <c r="D124" s="62">
        <f t="shared" ca="1" si="12"/>
        <v>16</v>
      </c>
      <c r="E124" s="63">
        <f t="shared" ca="1" si="13"/>
        <v>22.091666666666669</v>
      </c>
      <c r="F124" s="46" t="s">
        <v>530</v>
      </c>
      <c r="G124" s="46" t="s">
        <v>160</v>
      </c>
      <c r="H124" s="46" t="s">
        <v>531</v>
      </c>
      <c r="I124" s="46" t="s">
        <v>473</v>
      </c>
      <c r="J124" s="46">
        <v>28</v>
      </c>
      <c r="K124" s="46">
        <v>26.3</v>
      </c>
      <c r="L124" s="46">
        <v>43.6</v>
      </c>
      <c r="M124" s="46">
        <v>12.7</v>
      </c>
      <c r="N124" s="46">
        <v>27</v>
      </c>
      <c r="O124" s="46">
        <v>12.2</v>
      </c>
      <c r="P124" s="46">
        <v>10.6</v>
      </c>
      <c r="Q124" s="46">
        <v>31.5</v>
      </c>
      <c r="R124" s="46">
        <v>23.4</v>
      </c>
      <c r="S124" s="46">
        <v>16.3</v>
      </c>
      <c r="T124" s="46">
        <v>13.4</v>
      </c>
      <c r="U124" s="46">
        <v>36.6</v>
      </c>
      <c r="V124" s="46">
        <v>23.3</v>
      </c>
      <c r="W124" s="46">
        <v>20.6</v>
      </c>
      <c r="X124" s="46">
        <v>17</v>
      </c>
      <c r="Y124" s="46">
        <v>18.600000000000001</v>
      </c>
      <c r="Z124" s="46">
        <v>26.9</v>
      </c>
      <c r="AA124" s="46">
        <v>26.9</v>
      </c>
      <c r="AB124" s="46" t="s">
        <v>160</v>
      </c>
      <c r="AC124" s="46" t="s">
        <v>160</v>
      </c>
    </row>
    <row r="125" spans="1:29">
      <c r="A125" s="62">
        <f t="shared" ca="1" si="9"/>
        <v>115</v>
      </c>
      <c r="B125" s="62" t="str">
        <f t="shared" ca="1" si="10"/>
        <v>E</v>
      </c>
      <c r="C125" s="62" t="str">
        <f t="shared" ca="1" si="11"/>
        <v>A-</v>
      </c>
      <c r="D125" s="62">
        <f t="shared" ca="1" si="12"/>
        <v>15</v>
      </c>
      <c r="E125" s="63">
        <f t="shared" ca="1" si="13"/>
        <v>13.304166666666665</v>
      </c>
      <c r="F125" s="46" t="s">
        <v>532</v>
      </c>
      <c r="G125" s="46" t="s">
        <v>160</v>
      </c>
      <c r="H125" s="46" t="s">
        <v>533</v>
      </c>
      <c r="I125" s="46" t="s">
        <v>326</v>
      </c>
      <c r="J125" s="46">
        <v>14.7</v>
      </c>
      <c r="K125" s="46">
        <v>9.9600000000000009</v>
      </c>
      <c r="L125" s="46">
        <v>14</v>
      </c>
      <c r="M125" s="46">
        <v>9.3000000000000007</v>
      </c>
      <c r="N125" s="46">
        <v>17.100000000000001</v>
      </c>
      <c r="O125" s="46">
        <v>13.3</v>
      </c>
      <c r="P125" s="46">
        <v>11.1</v>
      </c>
      <c r="Q125" s="46">
        <v>12.9</v>
      </c>
      <c r="R125" s="46">
        <v>12.9</v>
      </c>
      <c r="S125" s="46">
        <v>10.9</v>
      </c>
      <c r="T125" s="46">
        <v>11.3</v>
      </c>
      <c r="U125" s="46">
        <v>20.3</v>
      </c>
      <c r="V125" s="46">
        <v>14.8</v>
      </c>
      <c r="W125" s="46">
        <v>12.4</v>
      </c>
      <c r="X125" s="46">
        <v>20.100000000000001</v>
      </c>
      <c r="Y125" s="46">
        <v>8.75</v>
      </c>
      <c r="Z125" s="46">
        <v>12.2</v>
      </c>
      <c r="AA125" s="46">
        <v>12</v>
      </c>
      <c r="AB125" s="46" t="s">
        <v>160</v>
      </c>
      <c r="AC125" s="46" t="s">
        <v>160</v>
      </c>
    </row>
    <row r="126" spans="1:29">
      <c r="A126" s="62">
        <f t="shared" ca="1" si="9"/>
        <v>116</v>
      </c>
      <c r="B126" s="62" t="str">
        <f t="shared" ca="1" si="10"/>
        <v>E</v>
      </c>
      <c r="C126" s="62" t="str">
        <f t="shared" ca="1" si="11"/>
        <v>A</v>
      </c>
      <c r="D126" s="62">
        <f t="shared" ca="1" si="12"/>
        <v>16</v>
      </c>
      <c r="E126" s="63">
        <f t="shared" ca="1" si="13"/>
        <v>26.48</v>
      </c>
      <c r="F126" s="46" t="s">
        <v>534</v>
      </c>
      <c r="G126" s="46" t="s">
        <v>160</v>
      </c>
      <c r="H126" s="46" t="s">
        <v>535</v>
      </c>
      <c r="I126" s="46" t="s">
        <v>326</v>
      </c>
      <c r="J126" s="46" t="s">
        <v>160</v>
      </c>
      <c r="K126" s="46" t="s">
        <v>160</v>
      </c>
      <c r="L126" s="46" t="s">
        <v>160</v>
      </c>
      <c r="M126" s="46" t="s">
        <v>160</v>
      </c>
      <c r="N126" s="46" t="s">
        <v>160</v>
      </c>
      <c r="O126" s="46" t="s">
        <v>160</v>
      </c>
      <c r="P126" s="46" t="s">
        <v>160</v>
      </c>
      <c r="Q126" s="46" t="s">
        <v>160</v>
      </c>
      <c r="R126" s="46" t="s">
        <v>160</v>
      </c>
      <c r="S126" s="46" t="s">
        <v>160</v>
      </c>
      <c r="T126" s="46" t="s">
        <v>160</v>
      </c>
      <c r="U126" s="46" t="s">
        <v>160</v>
      </c>
      <c r="V126" s="46" t="s">
        <v>160</v>
      </c>
      <c r="W126" s="46">
        <v>23.6</v>
      </c>
      <c r="X126" s="46">
        <v>12.4</v>
      </c>
      <c r="Y126" s="46">
        <v>31.2</v>
      </c>
      <c r="Z126" s="46">
        <v>41.8</v>
      </c>
      <c r="AA126" s="46">
        <v>23.4</v>
      </c>
      <c r="AB126" s="46" t="s">
        <v>160</v>
      </c>
      <c r="AC126" s="46" t="s">
        <v>160</v>
      </c>
    </row>
    <row r="127" spans="1:29">
      <c r="A127" s="62">
        <f t="shared" ca="1" si="9"/>
        <v>117</v>
      </c>
      <c r="B127" s="62" t="str">
        <f t="shared" ca="1" si="10"/>
        <v>E</v>
      </c>
      <c r="C127" s="62" t="str">
        <f t="shared" ca="1" si="11"/>
        <v>A</v>
      </c>
      <c r="D127" s="62">
        <f t="shared" ca="1" si="12"/>
        <v>16</v>
      </c>
      <c r="E127" s="63">
        <f t="shared" ca="1" si="13"/>
        <v>25.041666666666661</v>
      </c>
      <c r="F127" s="46" t="s">
        <v>537</v>
      </c>
      <c r="G127" s="46" t="s">
        <v>160</v>
      </c>
      <c r="H127" s="46" t="s">
        <v>538</v>
      </c>
      <c r="I127" s="46" t="s">
        <v>326</v>
      </c>
      <c r="J127" s="46">
        <v>28.5</v>
      </c>
      <c r="K127" s="46">
        <v>22.9</v>
      </c>
      <c r="L127" s="46">
        <v>33.9</v>
      </c>
      <c r="M127" s="46">
        <v>21.4</v>
      </c>
      <c r="N127" s="46">
        <v>30.4</v>
      </c>
      <c r="O127" s="46">
        <v>24.2</v>
      </c>
      <c r="P127" s="46">
        <v>32.1</v>
      </c>
      <c r="Q127" s="46">
        <v>23.3</v>
      </c>
      <c r="R127" s="46">
        <v>20.7</v>
      </c>
      <c r="S127" s="46">
        <v>18.7</v>
      </c>
      <c r="T127" s="46">
        <v>32.1</v>
      </c>
      <c r="U127" s="46">
        <v>26.5</v>
      </c>
      <c r="V127" s="46">
        <v>22</v>
      </c>
      <c r="W127" s="46">
        <v>22.6</v>
      </c>
      <c r="X127" s="46">
        <v>35.6</v>
      </c>
      <c r="Y127" s="46">
        <v>25.6</v>
      </c>
      <c r="Z127" s="46">
        <v>21.9</v>
      </c>
      <c r="AA127" s="46">
        <v>19.399999999999999</v>
      </c>
      <c r="AB127" s="46" t="s">
        <v>160</v>
      </c>
      <c r="AC127" s="46" t="s">
        <v>160</v>
      </c>
    </row>
    <row r="128" spans="1:29">
      <c r="A128" s="62">
        <f t="shared" ca="1" si="9"/>
        <v>118</v>
      </c>
      <c r="B128" s="62" t="str">
        <f t="shared" ca="1" si="10"/>
        <v>E</v>
      </c>
      <c r="C128" s="62" t="str">
        <f t="shared" ca="1" si="11"/>
        <v>A-</v>
      </c>
      <c r="D128" s="62">
        <f t="shared" ca="1" si="12"/>
        <v>15</v>
      </c>
      <c r="E128" s="63">
        <f t="shared" ca="1" si="13"/>
        <v>20.883333333333333</v>
      </c>
      <c r="F128" s="46" t="s">
        <v>539</v>
      </c>
      <c r="G128" s="46" t="s">
        <v>160</v>
      </c>
      <c r="H128" s="46" t="s">
        <v>540</v>
      </c>
      <c r="I128" s="46" t="s">
        <v>326</v>
      </c>
      <c r="J128" s="46">
        <v>27.2</v>
      </c>
      <c r="K128" s="46">
        <v>16.100000000000001</v>
      </c>
      <c r="L128" s="46">
        <v>17.899999999999999</v>
      </c>
      <c r="M128" s="46">
        <v>19.8</v>
      </c>
      <c r="N128" s="46">
        <v>26.4</v>
      </c>
      <c r="O128" s="46">
        <v>18</v>
      </c>
      <c r="P128" s="46">
        <v>23.7</v>
      </c>
      <c r="Q128" s="46">
        <v>24.5</v>
      </c>
      <c r="R128" s="46">
        <v>19</v>
      </c>
      <c r="S128" s="46">
        <v>15.8</v>
      </c>
      <c r="T128" s="46">
        <v>22.4</v>
      </c>
      <c r="U128" s="46">
        <v>10.8</v>
      </c>
      <c r="V128" s="46">
        <v>23.9</v>
      </c>
      <c r="W128" s="46">
        <v>18.3</v>
      </c>
      <c r="X128" s="46">
        <v>28</v>
      </c>
      <c r="Y128" s="46">
        <v>26.5</v>
      </c>
      <c r="Z128" s="46">
        <v>18.2</v>
      </c>
      <c r="AA128" s="46">
        <v>19.5</v>
      </c>
      <c r="AB128" s="46" t="s">
        <v>160</v>
      </c>
      <c r="AC128" s="46" t="s">
        <v>160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128"/>
  <sheetViews>
    <sheetView workbookViewId="0"/>
  </sheetViews>
  <sheetFormatPr defaultColWidth="8.75" defaultRowHeight="14.25"/>
  <cols>
    <col min="1" max="1" width="4.25" style="46" bestFit="1" customWidth="1"/>
    <col min="2" max="2" width="2.75" style="46" bestFit="1" customWidth="1"/>
    <col min="3" max="4" width="4.375" style="46" bestFit="1" customWidth="1"/>
    <col min="5" max="5" width="6.75" style="46" bestFit="1" customWidth="1"/>
    <col min="6" max="6" width="46.375" style="46" bestFit="1" customWidth="1"/>
    <col min="7" max="9" width="8.75" style="46"/>
    <col min="10" max="29" width="10.375" style="46" customWidth="1"/>
    <col min="30" max="16384" width="8.75" style="46"/>
  </cols>
  <sheetData>
    <row r="1" spans="1:30">
      <c r="B1" s="53"/>
      <c r="C1" s="53"/>
      <c r="D1" s="53"/>
      <c r="E1" s="53"/>
      <c r="F1" s="54" t="s">
        <v>610</v>
      </c>
      <c r="G1" s="55" t="str">
        <f>DebtRatios!$G$1</f>
        <v>2014Q3</v>
      </c>
      <c r="H1" s="56">
        <f>MATCH(G1,$J$1:$XFD$1,0)</f>
        <v>7</v>
      </c>
      <c r="I1" s="56" t="s">
        <v>608</v>
      </c>
      <c r="J1" s="57" t="str">
        <f>LEFT(RIGHT(J10,5),4)&amp;LEFT(RIGHT(J10,8),2)</f>
        <v>2013Q1</v>
      </c>
      <c r="K1" s="57" t="str">
        <f t="shared" ref="K1:AC1" si="0">LEFT(RIGHT(K10,5),4)&amp;LEFT(RIGHT(K10,8),2)</f>
        <v>2013Q2</v>
      </c>
      <c r="L1" s="57" t="str">
        <f t="shared" si="0"/>
        <v>2013Q3</v>
      </c>
      <c r="M1" s="57" t="str">
        <f t="shared" si="0"/>
        <v>2013Q4</v>
      </c>
      <c r="N1" s="57" t="str">
        <f t="shared" si="0"/>
        <v>2014Q1</v>
      </c>
      <c r="O1" s="57" t="str">
        <f t="shared" si="0"/>
        <v>2014Q2</v>
      </c>
      <c r="P1" s="57" t="str">
        <f t="shared" si="0"/>
        <v>2014Q3</v>
      </c>
      <c r="Q1" s="57" t="str">
        <f t="shared" si="0"/>
        <v>2014Q4</v>
      </c>
      <c r="R1" s="57" t="str">
        <f t="shared" si="0"/>
        <v>2015Q1</v>
      </c>
      <c r="S1" s="57" t="str">
        <f t="shared" si="0"/>
        <v>2015Q2</v>
      </c>
      <c r="T1" s="57" t="str">
        <f t="shared" si="0"/>
        <v>2015Q3</v>
      </c>
      <c r="U1" s="57" t="str">
        <f t="shared" si="0"/>
        <v>2015Q4</v>
      </c>
      <c r="V1" s="57" t="str">
        <f t="shared" si="0"/>
        <v>2016Q1</v>
      </c>
      <c r="W1" s="57" t="str">
        <f t="shared" si="0"/>
        <v>2016Q2</v>
      </c>
      <c r="X1" s="57" t="str">
        <f t="shared" si="0"/>
        <v>2016Q3</v>
      </c>
      <c r="Y1" s="57" t="str">
        <f t="shared" si="0"/>
        <v>2016Q4</v>
      </c>
      <c r="Z1" s="57" t="str">
        <f t="shared" si="0"/>
        <v>2017Q1</v>
      </c>
      <c r="AA1" s="57" t="str">
        <f t="shared" si="0"/>
        <v>2017Q2</v>
      </c>
      <c r="AB1" s="57" t="str">
        <f t="shared" si="0"/>
        <v>2017Q3</v>
      </c>
      <c r="AC1" s="57" t="str">
        <f t="shared" si="0"/>
        <v>2017Q4</v>
      </c>
    </row>
    <row r="2" spans="1:30">
      <c r="C2" s="53"/>
      <c r="D2" s="53"/>
      <c r="E2" s="53"/>
      <c r="F2" s="54" t="s">
        <v>611</v>
      </c>
      <c r="G2" s="55" t="str">
        <f>DebtRatios!$G$2</f>
        <v>2017Q2</v>
      </c>
      <c r="H2" s="56">
        <f>MATCH(G2,$J$1:$XFD$1,0)</f>
        <v>18</v>
      </c>
      <c r="I2" s="58" t="s">
        <v>32</v>
      </c>
      <c r="J2" s="53">
        <f t="shared" ref="J2:AC2" ca="1" si="1">COUNTIFS(J$11:J$130,"&gt;0",$B$11:$B$130,$I$2)</f>
        <v>90</v>
      </c>
      <c r="K2" s="53">
        <f t="shared" ca="1" si="1"/>
        <v>89</v>
      </c>
      <c r="L2" s="53">
        <f t="shared" ca="1" si="1"/>
        <v>90</v>
      </c>
      <c r="M2" s="53">
        <f t="shared" ca="1" si="1"/>
        <v>90</v>
      </c>
      <c r="N2" s="53">
        <f t="shared" ca="1" si="1"/>
        <v>92</v>
      </c>
      <c r="O2" s="53">
        <f t="shared" ca="1" si="1"/>
        <v>91</v>
      </c>
      <c r="P2" s="53">
        <f t="shared" ca="1" si="1"/>
        <v>87</v>
      </c>
      <c r="Q2" s="53">
        <f t="shared" ca="1" si="1"/>
        <v>87</v>
      </c>
      <c r="R2" s="53">
        <f t="shared" ca="1" si="1"/>
        <v>95</v>
      </c>
      <c r="S2" s="53">
        <f t="shared" ca="1" si="1"/>
        <v>96</v>
      </c>
      <c r="T2" s="53">
        <f t="shared" ca="1" si="1"/>
        <v>97</v>
      </c>
      <c r="U2" s="53">
        <f t="shared" ca="1" si="1"/>
        <v>92</v>
      </c>
      <c r="V2" s="53">
        <f t="shared" ca="1" si="1"/>
        <v>93</v>
      </c>
      <c r="W2" s="53">
        <f t="shared" ca="1" si="1"/>
        <v>99</v>
      </c>
      <c r="X2" s="53">
        <f t="shared" ca="1" si="1"/>
        <v>97</v>
      </c>
      <c r="Y2" s="53">
        <f t="shared" ca="1" si="1"/>
        <v>96</v>
      </c>
      <c r="Z2" s="53">
        <f t="shared" ca="1" si="1"/>
        <v>97</v>
      </c>
      <c r="AA2" s="53">
        <f t="shared" ca="1" si="1"/>
        <v>97</v>
      </c>
      <c r="AB2" s="53">
        <f t="shared" si="1"/>
        <v>0</v>
      </c>
      <c r="AC2" s="53">
        <f t="shared" si="1"/>
        <v>0</v>
      </c>
    </row>
    <row r="3" spans="1:30">
      <c r="C3" s="53"/>
      <c r="D3" s="53"/>
      <c r="E3" s="53"/>
      <c r="F3" s="53"/>
      <c r="G3" s="53"/>
      <c r="H3" s="53"/>
      <c r="I3" s="58" t="s">
        <v>118</v>
      </c>
      <c r="J3" s="53">
        <f t="shared" ref="J3:AC3" ca="1" si="2">COUNTIFS(J$11:J$130,"&gt;0",$B$11:$B$130,$I$3)</f>
        <v>9</v>
      </c>
      <c r="K3" s="53">
        <f t="shared" ca="1" si="2"/>
        <v>10</v>
      </c>
      <c r="L3" s="53">
        <f t="shared" ca="1" si="2"/>
        <v>8</v>
      </c>
      <c r="M3" s="53">
        <f t="shared" ca="1" si="2"/>
        <v>10</v>
      </c>
      <c r="N3" s="53">
        <f t="shared" ca="1" si="2"/>
        <v>10</v>
      </c>
      <c r="O3" s="53">
        <f t="shared" ca="1" si="2"/>
        <v>11</v>
      </c>
      <c r="P3" s="53">
        <f t="shared" ca="1" si="2"/>
        <v>10</v>
      </c>
      <c r="Q3" s="53">
        <f t="shared" ca="1" si="2"/>
        <v>11</v>
      </c>
      <c r="R3" s="53">
        <f t="shared" ca="1" si="2"/>
        <v>11</v>
      </c>
      <c r="S3" s="53">
        <f t="shared" ca="1" si="2"/>
        <v>10</v>
      </c>
      <c r="T3" s="53">
        <f t="shared" ca="1" si="2"/>
        <v>9</v>
      </c>
      <c r="U3" s="53">
        <f t="shared" ca="1" si="2"/>
        <v>10</v>
      </c>
      <c r="V3" s="53">
        <f t="shared" ca="1" si="2"/>
        <v>10</v>
      </c>
      <c r="W3" s="53">
        <f t="shared" ca="1" si="2"/>
        <v>10</v>
      </c>
      <c r="X3" s="53">
        <f t="shared" ca="1" si="2"/>
        <v>10</v>
      </c>
      <c r="Y3" s="53">
        <f t="shared" ca="1" si="2"/>
        <v>10</v>
      </c>
      <c r="Z3" s="53">
        <f t="shared" ca="1" si="2"/>
        <v>10</v>
      </c>
      <c r="AA3" s="53">
        <f t="shared" ca="1" si="2"/>
        <v>9</v>
      </c>
      <c r="AB3" s="53">
        <f t="shared" si="2"/>
        <v>0</v>
      </c>
      <c r="AC3" s="53">
        <f t="shared" si="2"/>
        <v>0</v>
      </c>
    </row>
    <row r="4" spans="1:30">
      <c r="C4" s="53"/>
      <c r="D4" s="53"/>
      <c r="F4" s="53"/>
      <c r="G4" s="53"/>
      <c r="H4" s="53"/>
      <c r="I4" s="58" t="s">
        <v>547</v>
      </c>
      <c r="J4" s="53">
        <f>COUNTIFS(J$11:J$130,"&gt;0")</f>
        <v>99</v>
      </c>
      <c r="K4" s="53">
        <f t="shared" ref="K4:AC4" si="3">COUNTIFS(K$11:K$130,"&gt;0")</f>
        <v>99</v>
      </c>
      <c r="L4" s="53">
        <f t="shared" si="3"/>
        <v>98</v>
      </c>
      <c r="M4" s="53">
        <f t="shared" si="3"/>
        <v>100</v>
      </c>
      <c r="N4" s="53">
        <f t="shared" si="3"/>
        <v>102</v>
      </c>
      <c r="O4" s="53">
        <f t="shared" si="3"/>
        <v>102</v>
      </c>
      <c r="P4" s="53">
        <f t="shared" si="3"/>
        <v>97</v>
      </c>
      <c r="Q4" s="53">
        <f t="shared" si="3"/>
        <v>98</v>
      </c>
      <c r="R4" s="53">
        <f t="shared" si="3"/>
        <v>106</v>
      </c>
      <c r="S4" s="53">
        <f t="shared" si="3"/>
        <v>106</v>
      </c>
      <c r="T4" s="53">
        <f t="shared" si="3"/>
        <v>106</v>
      </c>
      <c r="U4" s="53">
        <f t="shared" si="3"/>
        <v>102</v>
      </c>
      <c r="V4" s="53">
        <f t="shared" si="3"/>
        <v>103</v>
      </c>
      <c r="W4" s="53">
        <f t="shared" si="3"/>
        <v>109</v>
      </c>
      <c r="X4" s="53">
        <f t="shared" si="3"/>
        <v>107</v>
      </c>
      <c r="Y4" s="53">
        <f t="shared" si="3"/>
        <v>106</v>
      </c>
      <c r="Z4" s="53">
        <f t="shared" si="3"/>
        <v>107</v>
      </c>
      <c r="AA4" s="53">
        <f t="shared" si="3"/>
        <v>106</v>
      </c>
      <c r="AB4" s="53">
        <f t="shared" si="3"/>
        <v>0</v>
      </c>
      <c r="AC4" s="53">
        <f t="shared" si="3"/>
        <v>0</v>
      </c>
    </row>
    <row r="5" spans="1:30">
      <c r="A5" s="59"/>
      <c r="D5" s="59"/>
      <c r="E5" s="59"/>
      <c r="F5" s="59"/>
      <c r="G5" s="60" t="s">
        <v>612</v>
      </c>
      <c r="H5" s="56">
        <f>H2-H1+1</f>
        <v>12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30">
      <c r="A6" s="59"/>
      <c r="D6" s="59"/>
      <c r="E6" s="59"/>
      <c r="F6" s="59"/>
      <c r="G6" s="60" t="s">
        <v>613</v>
      </c>
      <c r="H6" s="56">
        <f>MATCH(9.99999999999999E+307,J:J)-ROW(J10)</f>
        <v>118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0">
      <c r="F7" s="47" t="s">
        <v>607</v>
      </c>
    </row>
    <row r="8" spans="1:30" ht="15">
      <c r="F8" s="48" t="s">
        <v>140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</row>
    <row r="9" spans="1:30" ht="15"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spans="1:30" ht="86.25">
      <c r="A10" s="64" t="s">
        <v>542</v>
      </c>
      <c r="B10" s="64" t="s">
        <v>28</v>
      </c>
      <c r="C10" s="65" t="s">
        <v>543</v>
      </c>
      <c r="D10" s="65" t="s">
        <v>544</v>
      </c>
      <c r="E10" s="65" t="s">
        <v>545</v>
      </c>
      <c r="F10" s="50" t="s">
        <v>142</v>
      </c>
      <c r="G10" s="50" t="s">
        <v>143</v>
      </c>
      <c r="H10" s="50" t="s">
        <v>144</v>
      </c>
      <c r="I10" s="50" t="s">
        <v>145</v>
      </c>
      <c r="J10" s="51" t="s">
        <v>636</v>
      </c>
      <c r="K10" s="51" t="s">
        <v>637</v>
      </c>
      <c r="L10" s="51" t="s">
        <v>638</v>
      </c>
      <c r="M10" s="51" t="s">
        <v>639</v>
      </c>
      <c r="N10" s="51" t="s">
        <v>640</v>
      </c>
      <c r="O10" s="51" t="s">
        <v>641</v>
      </c>
      <c r="P10" s="51" t="s">
        <v>642</v>
      </c>
      <c r="Q10" s="51" t="s">
        <v>643</v>
      </c>
      <c r="R10" s="51" t="s">
        <v>644</v>
      </c>
      <c r="S10" s="51" t="s">
        <v>645</v>
      </c>
      <c r="T10" s="51" t="s">
        <v>646</v>
      </c>
      <c r="U10" s="51" t="s">
        <v>647</v>
      </c>
      <c r="V10" s="51" t="s">
        <v>648</v>
      </c>
      <c r="W10" s="51" t="s">
        <v>649</v>
      </c>
      <c r="X10" s="51" t="s">
        <v>650</v>
      </c>
      <c r="Y10" s="51" t="s">
        <v>651</v>
      </c>
      <c r="Z10" s="51" t="s">
        <v>652</v>
      </c>
      <c r="AA10" s="51" t="s">
        <v>653</v>
      </c>
      <c r="AB10" s="51" t="s">
        <v>654</v>
      </c>
      <c r="AC10" s="51" t="s">
        <v>655</v>
      </c>
      <c r="AD10" s="61"/>
    </row>
    <row r="11" spans="1:30">
      <c r="A11" s="62">
        <f ca="1">MATCH(F11,RATINGSname,0)</f>
        <v>1</v>
      </c>
      <c r="B11" s="62" t="str">
        <f ca="1">INDEX(RATINGSindus,A11)</f>
        <v>E</v>
      </c>
      <c r="C11" s="62" t="str">
        <f t="shared" ref="C11:C74" ca="1" si="4">INDEX(RATINGSlocalcurrLT,A11)</f>
        <v>NR</v>
      </c>
      <c r="D11" s="62" t="str">
        <f ca="1">IFERROR(VLOOKUP(C11,CR,2,FALSE),"")</f>
        <v/>
      </c>
      <c r="E11" s="63">
        <f ca="1">IFERROR(AVERAGE(OFFSET(I11,0,$H$1,1,$H$2-$H$1+1)),"N/A")</f>
        <v>10.791111111111112</v>
      </c>
      <c r="F11" s="46" t="s">
        <v>294</v>
      </c>
      <c r="G11" s="46" t="s">
        <v>160</v>
      </c>
      <c r="H11" s="46" t="s">
        <v>295</v>
      </c>
      <c r="I11" s="46" t="s">
        <v>326</v>
      </c>
      <c r="J11" s="46">
        <v>18</v>
      </c>
      <c r="K11" s="46">
        <v>29.8</v>
      </c>
      <c r="L11" s="46">
        <v>-4.54</v>
      </c>
      <c r="M11" s="46" t="s">
        <v>160</v>
      </c>
      <c r="N11" s="46">
        <v>1.66</v>
      </c>
      <c r="O11" s="46">
        <v>8.26</v>
      </c>
      <c r="P11" s="46">
        <v>4.93</v>
      </c>
      <c r="Q11" s="46">
        <v>4.12</v>
      </c>
      <c r="R11" s="46">
        <v>3.84</v>
      </c>
      <c r="S11" s="46">
        <v>3.42</v>
      </c>
      <c r="T11" s="46">
        <v>2.91</v>
      </c>
      <c r="U11" s="46">
        <v>6.68</v>
      </c>
      <c r="V11" s="46">
        <v>65.8</v>
      </c>
      <c r="W11" s="46">
        <v>2.78</v>
      </c>
      <c r="X11" s="46">
        <v>2.64</v>
      </c>
      <c r="Y11" s="46" t="s">
        <v>160</v>
      </c>
      <c r="Z11" s="46" t="s">
        <v>160</v>
      </c>
      <c r="AA11" s="46" t="s">
        <v>160</v>
      </c>
      <c r="AB11" s="46" t="s">
        <v>160</v>
      </c>
      <c r="AC11" s="46" t="s">
        <v>160</v>
      </c>
    </row>
    <row r="12" spans="1:30">
      <c r="A12" s="62">
        <f t="shared" ref="A12:A75" ca="1" si="5">MATCH(F12,RATINGSname,0)</f>
        <v>2</v>
      </c>
      <c r="B12" s="62" t="str">
        <f t="shared" ref="B12:B75" ca="1" si="6">INDEX(RATINGSindus,A12)</f>
        <v>E</v>
      </c>
      <c r="C12" s="62" t="str">
        <f t="shared" ca="1" si="4"/>
        <v>NR</v>
      </c>
      <c r="D12" s="62" t="str">
        <f t="shared" ref="D12:D75" ca="1" si="7">IFERROR(VLOOKUP(C12,CR,2,FALSE),"")</f>
        <v/>
      </c>
      <c r="E12" s="63">
        <f t="shared" ref="E12:E75" ca="1" si="8">IFERROR(AVERAGE(OFFSET(I12,0,$H$1,1,$H$2-$H$1+1)),"N/A")</f>
        <v>4.3</v>
      </c>
      <c r="F12" s="46" t="s">
        <v>297</v>
      </c>
      <c r="G12" s="46" t="s">
        <v>160</v>
      </c>
      <c r="H12" s="46" t="s">
        <v>298</v>
      </c>
      <c r="I12" s="46" t="s">
        <v>326</v>
      </c>
      <c r="J12" s="46">
        <v>3.36</v>
      </c>
      <c r="K12" s="46">
        <v>3.58</v>
      </c>
      <c r="L12" s="46">
        <v>3.2</v>
      </c>
      <c r="M12" s="46">
        <v>3.46</v>
      </c>
      <c r="N12" s="46">
        <v>3.25</v>
      </c>
      <c r="O12" s="46">
        <v>3.66</v>
      </c>
      <c r="P12" s="46">
        <v>3.52</v>
      </c>
      <c r="Q12" s="46">
        <v>4.1500000000000004</v>
      </c>
      <c r="R12" s="46">
        <v>4.05</v>
      </c>
      <c r="S12" s="46">
        <v>4.21</v>
      </c>
      <c r="T12" s="46">
        <v>3.96</v>
      </c>
      <c r="U12" s="46">
        <v>6.09</v>
      </c>
      <c r="V12" s="46">
        <v>4.43</v>
      </c>
      <c r="W12" s="46">
        <v>4.28</v>
      </c>
      <c r="X12" s="46">
        <v>4.01</v>
      </c>
      <c r="Y12" s="46" t="s">
        <v>160</v>
      </c>
      <c r="Z12" s="46" t="s">
        <v>160</v>
      </c>
      <c r="AA12" s="46" t="s">
        <v>160</v>
      </c>
      <c r="AB12" s="46" t="s">
        <v>160</v>
      </c>
      <c r="AC12" s="46" t="s">
        <v>160</v>
      </c>
    </row>
    <row r="13" spans="1:30">
      <c r="A13" s="62">
        <f t="shared" ca="1" si="5"/>
        <v>3</v>
      </c>
      <c r="B13" s="62" t="str">
        <f t="shared" ca="1" si="6"/>
        <v>E</v>
      </c>
      <c r="C13" s="62" t="str">
        <f t="shared" ca="1" si="4"/>
        <v>A-</v>
      </c>
      <c r="D13" s="62">
        <f t="shared" ca="1" si="7"/>
        <v>15</v>
      </c>
      <c r="E13" s="63">
        <f t="shared" ca="1" si="8"/>
        <v>3.2058333333333331</v>
      </c>
      <c r="F13" s="46" t="s">
        <v>299</v>
      </c>
      <c r="G13" s="46" t="s">
        <v>160</v>
      </c>
      <c r="H13" s="46" t="s">
        <v>300</v>
      </c>
      <c r="I13" s="46" t="s">
        <v>473</v>
      </c>
      <c r="J13" s="46">
        <v>3.25</v>
      </c>
      <c r="K13" s="46">
        <v>3.03</v>
      </c>
      <c r="L13" s="46">
        <v>2.2400000000000002</v>
      </c>
      <c r="M13" s="46">
        <v>3.05</v>
      </c>
      <c r="N13" s="46">
        <v>2.67</v>
      </c>
      <c r="O13" s="46">
        <v>2.86</v>
      </c>
      <c r="P13" s="46">
        <v>2.2000000000000002</v>
      </c>
      <c r="Q13" s="46">
        <v>4.7300000000000004</v>
      </c>
      <c r="R13" s="46">
        <v>3.27</v>
      </c>
      <c r="S13" s="46">
        <v>3.37</v>
      </c>
      <c r="T13" s="46">
        <v>2.5099999999999998</v>
      </c>
      <c r="U13" s="46">
        <v>3.99</v>
      </c>
      <c r="V13" s="46">
        <v>3.38</v>
      </c>
      <c r="W13" s="46">
        <v>2.91</v>
      </c>
      <c r="X13" s="46">
        <v>2.12</v>
      </c>
      <c r="Y13" s="46">
        <v>4.0199999999999996</v>
      </c>
      <c r="Z13" s="46">
        <v>3.16</v>
      </c>
      <c r="AA13" s="46">
        <v>2.81</v>
      </c>
      <c r="AB13" s="46" t="s">
        <v>160</v>
      </c>
      <c r="AC13" s="46" t="s">
        <v>160</v>
      </c>
    </row>
    <row r="14" spans="1:30">
      <c r="A14" s="62">
        <f t="shared" ca="1" si="5"/>
        <v>4</v>
      </c>
      <c r="B14" s="62" t="str">
        <f t="shared" ca="1" si="6"/>
        <v>E</v>
      </c>
      <c r="C14" s="62" t="str">
        <f t="shared" ca="1" si="4"/>
        <v>BBB+</v>
      </c>
      <c r="D14" s="62">
        <f t="shared" ca="1" si="7"/>
        <v>14</v>
      </c>
      <c r="E14" s="63">
        <f t="shared" ca="1" si="8"/>
        <v>3.9041666666666663</v>
      </c>
      <c r="F14" s="46" t="s">
        <v>34</v>
      </c>
      <c r="G14" s="46" t="s">
        <v>155</v>
      </c>
      <c r="H14" s="46" t="s">
        <v>156</v>
      </c>
      <c r="I14" s="46" t="s">
        <v>326</v>
      </c>
      <c r="J14" s="46">
        <v>3.74</v>
      </c>
      <c r="K14" s="46">
        <v>4.95</v>
      </c>
      <c r="L14" s="46">
        <v>4.03</v>
      </c>
      <c r="M14" s="46">
        <v>3.62</v>
      </c>
      <c r="N14" s="46">
        <v>3.87</v>
      </c>
      <c r="O14" s="46">
        <v>5.14</v>
      </c>
      <c r="P14" s="46">
        <v>3.59</v>
      </c>
      <c r="Q14" s="46">
        <v>3.91</v>
      </c>
      <c r="R14" s="46">
        <v>3.84</v>
      </c>
      <c r="S14" s="46">
        <v>4.54</v>
      </c>
      <c r="T14" s="46">
        <v>3.26</v>
      </c>
      <c r="U14" s="46">
        <v>3.74</v>
      </c>
      <c r="V14" s="46">
        <v>3.65</v>
      </c>
      <c r="W14" s="46">
        <v>4.41</v>
      </c>
      <c r="X14" s="46">
        <v>3.75</v>
      </c>
      <c r="Y14" s="46">
        <v>4.58</v>
      </c>
      <c r="Z14" s="46">
        <v>3.42</v>
      </c>
      <c r="AA14" s="46">
        <v>4.16</v>
      </c>
      <c r="AB14" s="46" t="s">
        <v>160</v>
      </c>
      <c r="AC14" s="46" t="s">
        <v>160</v>
      </c>
    </row>
    <row r="15" spans="1:30">
      <c r="A15" s="62">
        <f t="shared" ca="1" si="5"/>
        <v>5</v>
      </c>
      <c r="B15" s="62" t="str">
        <f t="shared" ca="1" si="6"/>
        <v>E</v>
      </c>
      <c r="C15" s="62" t="str">
        <f t="shared" ca="1" si="4"/>
        <v>BBB+</v>
      </c>
      <c r="D15" s="62">
        <f t="shared" ca="1" si="7"/>
        <v>14</v>
      </c>
      <c r="E15" s="63">
        <f t="shared" ca="1" si="8"/>
        <v>3.1158333333333332</v>
      </c>
      <c r="F15" s="46" t="s">
        <v>303</v>
      </c>
      <c r="G15" s="46" t="s">
        <v>160</v>
      </c>
      <c r="H15" s="46" t="s">
        <v>304</v>
      </c>
      <c r="I15" s="46" t="s">
        <v>326</v>
      </c>
      <c r="J15" s="46">
        <v>2.92</v>
      </c>
      <c r="K15" s="46">
        <v>2.78</v>
      </c>
      <c r="L15" s="46">
        <v>2.02</v>
      </c>
      <c r="M15" s="46">
        <v>3.28</v>
      </c>
      <c r="N15" s="46">
        <v>2.65</v>
      </c>
      <c r="O15" s="46">
        <v>3.68</v>
      </c>
      <c r="P15" s="46">
        <v>2.4</v>
      </c>
      <c r="Q15" s="46">
        <v>3.43</v>
      </c>
      <c r="R15" s="46">
        <v>2.91</v>
      </c>
      <c r="S15" s="46">
        <v>3.66</v>
      </c>
      <c r="T15" s="46">
        <v>2.25</v>
      </c>
      <c r="U15" s="46">
        <v>4.03</v>
      </c>
      <c r="V15" s="46">
        <v>3</v>
      </c>
      <c r="W15" s="46">
        <v>3.41</v>
      </c>
      <c r="X15" s="46">
        <v>2.1</v>
      </c>
      <c r="Y15" s="46">
        <v>4.29</v>
      </c>
      <c r="Z15" s="46">
        <v>2.67</v>
      </c>
      <c r="AA15" s="46">
        <v>3.24</v>
      </c>
      <c r="AB15" s="46" t="s">
        <v>160</v>
      </c>
      <c r="AC15" s="46" t="s">
        <v>160</v>
      </c>
    </row>
    <row r="16" spans="1:30">
      <c r="A16" s="62">
        <f t="shared" ca="1" si="5"/>
        <v>6</v>
      </c>
      <c r="B16" s="62" t="str">
        <f t="shared" ca="1" si="6"/>
        <v>E</v>
      </c>
      <c r="C16" s="62" t="str">
        <f t="shared" ca="1" si="4"/>
        <v>A-</v>
      </c>
      <c r="D16" s="62">
        <f t="shared" ca="1" si="7"/>
        <v>15</v>
      </c>
      <c r="E16" s="63">
        <f t="shared" ca="1" si="8"/>
        <v>3.9466666666666659</v>
      </c>
      <c r="F16" s="46" t="s">
        <v>306</v>
      </c>
      <c r="G16" s="46" t="s">
        <v>160</v>
      </c>
      <c r="H16" s="46" t="s">
        <v>307</v>
      </c>
      <c r="I16" s="46" t="s">
        <v>326</v>
      </c>
      <c r="J16" s="46">
        <v>3.89</v>
      </c>
      <c r="K16" s="46">
        <v>5.51</v>
      </c>
      <c r="L16" s="46">
        <v>3.92</v>
      </c>
      <c r="M16" s="46">
        <v>4.72</v>
      </c>
      <c r="N16" s="46">
        <v>3.35</v>
      </c>
      <c r="O16" s="46">
        <v>4.96</v>
      </c>
      <c r="P16" s="46">
        <v>4.46</v>
      </c>
      <c r="Q16" s="46">
        <v>4.99</v>
      </c>
      <c r="R16" s="46">
        <v>2.8</v>
      </c>
      <c r="S16" s="46">
        <v>4.33</v>
      </c>
      <c r="T16" s="46">
        <v>4.1100000000000003</v>
      </c>
      <c r="U16" s="46">
        <v>4.25</v>
      </c>
      <c r="V16" s="46">
        <v>2.86</v>
      </c>
      <c r="W16" s="46">
        <v>4.08</v>
      </c>
      <c r="X16" s="46">
        <v>3.39</v>
      </c>
      <c r="Y16" s="46">
        <v>4.41</v>
      </c>
      <c r="Z16" s="46">
        <v>3.18</v>
      </c>
      <c r="AA16" s="46">
        <v>4.5</v>
      </c>
      <c r="AB16" s="46" t="s">
        <v>160</v>
      </c>
      <c r="AC16" s="46" t="s">
        <v>160</v>
      </c>
    </row>
    <row r="17" spans="1:29">
      <c r="A17" s="62">
        <f t="shared" ca="1" si="5"/>
        <v>7</v>
      </c>
      <c r="B17" s="62" t="str">
        <f t="shared" ca="1" si="6"/>
        <v>E</v>
      </c>
      <c r="C17" s="62" t="str">
        <f t="shared" ca="1" si="4"/>
        <v>A-</v>
      </c>
      <c r="D17" s="62">
        <f t="shared" ca="1" si="7"/>
        <v>15</v>
      </c>
      <c r="E17" s="63">
        <f t="shared" ca="1" si="8"/>
        <v>3.4041666666666668</v>
      </c>
      <c r="F17" s="46" t="s">
        <v>308</v>
      </c>
      <c r="G17" s="46" t="s">
        <v>160</v>
      </c>
      <c r="H17" s="46" t="s">
        <v>309</v>
      </c>
      <c r="I17" s="46" t="s">
        <v>551</v>
      </c>
      <c r="J17" s="46">
        <v>4.37</v>
      </c>
      <c r="K17" s="46">
        <v>2.58</v>
      </c>
      <c r="L17" s="46">
        <v>1.8</v>
      </c>
      <c r="M17" s="46">
        <v>4.46</v>
      </c>
      <c r="N17" s="46">
        <v>4.51</v>
      </c>
      <c r="O17" s="46">
        <v>2.54</v>
      </c>
      <c r="P17" s="46">
        <v>1.71</v>
      </c>
      <c r="Q17" s="46">
        <v>4.2300000000000004</v>
      </c>
      <c r="R17" s="46">
        <v>4.38</v>
      </c>
      <c r="S17" s="46">
        <v>2.69</v>
      </c>
      <c r="T17" s="46">
        <v>1.63</v>
      </c>
      <c r="U17" s="46">
        <v>3.89</v>
      </c>
      <c r="V17" s="46">
        <v>5.43</v>
      </c>
      <c r="W17" s="46">
        <v>2.94</v>
      </c>
      <c r="X17" s="46">
        <v>1.87</v>
      </c>
      <c r="Y17" s="46">
        <v>4.0999999999999996</v>
      </c>
      <c r="Z17" s="46">
        <v>5.19</v>
      </c>
      <c r="AA17" s="46">
        <v>2.79</v>
      </c>
      <c r="AB17" s="46" t="s">
        <v>160</v>
      </c>
      <c r="AC17" s="46" t="s">
        <v>160</v>
      </c>
    </row>
    <row r="18" spans="1:29">
      <c r="A18" s="62">
        <f t="shared" ca="1" si="5"/>
        <v>8</v>
      </c>
      <c r="B18" s="62" t="str">
        <f t="shared" ca="1" si="6"/>
        <v>E</v>
      </c>
      <c r="C18" s="62" t="str">
        <f t="shared" ca="1" si="4"/>
        <v>BBB+</v>
      </c>
      <c r="D18" s="62">
        <f t="shared" ca="1" si="7"/>
        <v>14</v>
      </c>
      <c r="E18" s="63">
        <f t="shared" ca="1" si="8"/>
        <v>3.7533333333333334</v>
      </c>
      <c r="F18" s="46" t="s">
        <v>311</v>
      </c>
      <c r="G18" s="46" t="s">
        <v>160</v>
      </c>
      <c r="H18" s="46" t="s">
        <v>312</v>
      </c>
      <c r="I18" s="46" t="s">
        <v>473</v>
      </c>
      <c r="J18" s="46">
        <v>6.54</v>
      </c>
      <c r="K18" s="46">
        <v>5.36</v>
      </c>
      <c r="L18" s="46">
        <v>3.09</v>
      </c>
      <c r="M18" s="46">
        <v>5.0199999999999996</v>
      </c>
      <c r="N18" s="46">
        <v>4.59</v>
      </c>
      <c r="O18" s="46">
        <v>5.51</v>
      </c>
      <c r="P18" s="46">
        <v>3.14</v>
      </c>
      <c r="Q18" s="46">
        <v>4.92</v>
      </c>
      <c r="R18" s="46">
        <v>5.33</v>
      </c>
      <c r="S18" s="46">
        <v>4.5599999999999996</v>
      </c>
      <c r="T18" s="46">
        <v>3.79</v>
      </c>
      <c r="U18" s="46">
        <v>3.95</v>
      </c>
      <c r="V18" s="46">
        <v>-2.54</v>
      </c>
      <c r="W18" s="46">
        <v>4.79</v>
      </c>
      <c r="X18" s="46">
        <v>1.85</v>
      </c>
      <c r="Y18" s="46">
        <v>4.83</v>
      </c>
      <c r="Z18" s="46">
        <v>5.1100000000000003</v>
      </c>
      <c r="AA18" s="46">
        <v>5.31</v>
      </c>
      <c r="AB18" s="46" t="s">
        <v>160</v>
      </c>
      <c r="AC18" s="46" t="s">
        <v>160</v>
      </c>
    </row>
    <row r="19" spans="1:29">
      <c r="A19" s="62">
        <f t="shared" ca="1" si="5"/>
        <v>9</v>
      </c>
      <c r="B19" s="62" t="str">
        <f t="shared" ca="1" si="6"/>
        <v>G</v>
      </c>
      <c r="C19" s="62" t="str">
        <f t="shared" ca="1" si="4"/>
        <v>A</v>
      </c>
      <c r="D19" s="62">
        <f t="shared" ca="1" si="7"/>
        <v>16</v>
      </c>
      <c r="E19" s="63">
        <f t="shared" ca="1" si="8"/>
        <v>3.3291666666666671</v>
      </c>
      <c r="F19" s="46" t="s">
        <v>119</v>
      </c>
      <c r="G19" s="46" t="s">
        <v>167</v>
      </c>
      <c r="H19" s="46" t="s">
        <v>168</v>
      </c>
      <c r="I19" s="46" t="s">
        <v>554</v>
      </c>
      <c r="J19" s="46">
        <v>2.52</v>
      </c>
      <c r="K19" s="46">
        <v>4.43</v>
      </c>
      <c r="L19" s="46">
        <v>5.72</v>
      </c>
      <c r="M19" s="46">
        <v>3.12</v>
      </c>
      <c r="N19" s="46">
        <v>1.99</v>
      </c>
      <c r="O19" s="46">
        <v>3.71</v>
      </c>
      <c r="P19" s="46">
        <v>3.96</v>
      </c>
      <c r="Q19" s="46">
        <v>2.72</v>
      </c>
      <c r="R19" s="46">
        <v>2.09</v>
      </c>
      <c r="S19" s="46">
        <v>3.68</v>
      </c>
      <c r="T19" s="46">
        <v>4.5999999999999996</v>
      </c>
      <c r="U19" s="46">
        <v>2.85</v>
      </c>
      <c r="V19" s="46">
        <v>2.35</v>
      </c>
      <c r="W19" s="46">
        <v>3.47</v>
      </c>
      <c r="X19" s="46">
        <v>5.14</v>
      </c>
      <c r="Y19" s="46">
        <v>3.06</v>
      </c>
      <c r="Z19" s="46">
        <v>2.29</v>
      </c>
      <c r="AA19" s="46">
        <v>3.74</v>
      </c>
      <c r="AB19" s="46" t="s">
        <v>160</v>
      </c>
      <c r="AC19" s="46" t="s">
        <v>160</v>
      </c>
    </row>
    <row r="20" spans="1:29">
      <c r="A20" s="62">
        <f t="shared" ca="1" si="5"/>
        <v>10</v>
      </c>
      <c r="B20" s="62" t="str">
        <f t="shared" ca="1" si="6"/>
        <v>E</v>
      </c>
      <c r="C20" s="62" t="str">
        <f t="shared" ca="1" si="4"/>
        <v>BBB</v>
      </c>
      <c r="D20" s="62">
        <f t="shared" ca="1" si="7"/>
        <v>13</v>
      </c>
      <c r="E20" s="63">
        <f t="shared" ca="1" si="8"/>
        <v>4.3374999999999995</v>
      </c>
      <c r="F20" s="46" t="s">
        <v>92</v>
      </c>
      <c r="G20" s="46" t="s">
        <v>174</v>
      </c>
      <c r="H20" s="46" t="s">
        <v>175</v>
      </c>
      <c r="I20" s="46" t="s">
        <v>551</v>
      </c>
      <c r="J20" s="46">
        <v>3.01</v>
      </c>
      <c r="K20" s="46">
        <v>3.87</v>
      </c>
      <c r="L20" s="46">
        <v>4.75</v>
      </c>
      <c r="M20" s="46">
        <v>3.59</v>
      </c>
      <c r="N20" s="46">
        <v>2.76</v>
      </c>
      <c r="O20" s="46">
        <v>3.34</v>
      </c>
      <c r="P20" s="46">
        <v>5.15</v>
      </c>
      <c r="Q20" s="46">
        <v>4.46</v>
      </c>
      <c r="R20" s="46">
        <v>3.32</v>
      </c>
      <c r="S20" s="46">
        <v>4.4000000000000004</v>
      </c>
      <c r="T20" s="46">
        <v>5.59</v>
      </c>
      <c r="U20" s="46">
        <v>4.1399999999999997</v>
      </c>
      <c r="V20" s="46">
        <v>3.06</v>
      </c>
      <c r="W20" s="46">
        <v>4.47</v>
      </c>
      <c r="X20" s="46">
        <v>5.61</v>
      </c>
      <c r="Y20" s="46">
        <v>3.92</v>
      </c>
      <c r="Z20" s="46">
        <v>3.13</v>
      </c>
      <c r="AA20" s="46">
        <v>4.8</v>
      </c>
      <c r="AB20" s="46" t="s">
        <v>160</v>
      </c>
      <c r="AC20" s="46" t="s">
        <v>160</v>
      </c>
    </row>
    <row r="21" spans="1:29">
      <c r="A21" s="62">
        <f t="shared" ca="1" si="5"/>
        <v>11</v>
      </c>
      <c r="B21" s="62" t="str">
        <f t="shared" ca="1" si="6"/>
        <v>E</v>
      </c>
      <c r="C21" s="62" t="str">
        <f t="shared" ca="1" si="4"/>
        <v>A-</v>
      </c>
      <c r="D21" s="62">
        <f t="shared" ca="1" si="7"/>
        <v>15</v>
      </c>
      <c r="E21" s="63">
        <f t="shared" ca="1" si="8"/>
        <v>2.9975000000000005</v>
      </c>
      <c r="F21" s="46" t="s">
        <v>315</v>
      </c>
      <c r="G21" s="46" t="s">
        <v>160</v>
      </c>
      <c r="H21" s="46" t="s">
        <v>316</v>
      </c>
      <c r="I21" s="46" t="s">
        <v>473</v>
      </c>
      <c r="J21" s="46">
        <v>2.35</v>
      </c>
      <c r="K21" s="46">
        <v>4.2</v>
      </c>
      <c r="L21" s="46">
        <v>3.2</v>
      </c>
      <c r="M21" s="46">
        <v>3.31</v>
      </c>
      <c r="N21" s="46">
        <v>2.1800000000000002</v>
      </c>
      <c r="O21" s="46">
        <v>4.42</v>
      </c>
      <c r="P21" s="46">
        <v>3.35</v>
      </c>
      <c r="Q21" s="46">
        <v>3.09</v>
      </c>
      <c r="R21" s="46">
        <v>2</v>
      </c>
      <c r="S21" s="46">
        <v>3.43</v>
      </c>
      <c r="T21" s="46">
        <v>3.43</v>
      </c>
      <c r="U21" s="46">
        <v>2.88</v>
      </c>
      <c r="V21" s="46">
        <v>2.2799999999999998</v>
      </c>
      <c r="W21" s="46">
        <v>3.36</v>
      </c>
      <c r="X21" s="46">
        <v>3.49</v>
      </c>
      <c r="Y21" s="46">
        <v>2.57</v>
      </c>
      <c r="Z21" s="46">
        <v>2.2400000000000002</v>
      </c>
      <c r="AA21" s="46">
        <v>3.85</v>
      </c>
      <c r="AB21" s="46" t="s">
        <v>160</v>
      </c>
      <c r="AC21" s="46" t="s">
        <v>160</v>
      </c>
    </row>
    <row r="22" spans="1:29">
      <c r="A22" s="62">
        <f t="shared" ca="1" si="5"/>
        <v>12</v>
      </c>
      <c r="B22" s="62" t="str">
        <f t="shared" ca="1" si="6"/>
        <v>E</v>
      </c>
      <c r="C22" s="62" t="str">
        <f t="shared" ca="1" si="4"/>
        <v>BBB</v>
      </c>
      <c r="D22" s="62">
        <f t="shared" ca="1" si="7"/>
        <v>13</v>
      </c>
      <c r="E22" s="63">
        <f t="shared" ca="1" si="8"/>
        <v>2.9166666666666665</v>
      </c>
      <c r="F22" s="46" t="s">
        <v>317</v>
      </c>
      <c r="G22" s="46" t="s">
        <v>160</v>
      </c>
      <c r="H22" s="46" t="s">
        <v>318</v>
      </c>
      <c r="I22" s="46" t="s">
        <v>551</v>
      </c>
      <c r="J22" s="46">
        <v>3.75</v>
      </c>
      <c r="K22" s="46">
        <v>3.36</v>
      </c>
      <c r="L22" s="46">
        <v>2.83</v>
      </c>
      <c r="M22" s="46">
        <v>2.98</v>
      </c>
      <c r="N22" s="46">
        <v>2.9</v>
      </c>
      <c r="O22" s="46">
        <v>3.36</v>
      </c>
      <c r="P22" s="46">
        <v>2.79</v>
      </c>
      <c r="Q22" s="46">
        <v>3.32</v>
      </c>
      <c r="R22" s="46">
        <v>2.67</v>
      </c>
      <c r="S22" s="46">
        <v>2.5299999999999998</v>
      </c>
      <c r="T22" s="46">
        <v>2.69</v>
      </c>
      <c r="U22" s="46">
        <v>3.01</v>
      </c>
      <c r="V22" s="46">
        <v>2.85</v>
      </c>
      <c r="W22" s="46">
        <v>3.19</v>
      </c>
      <c r="X22" s="46">
        <v>2.89</v>
      </c>
      <c r="Y22" s="46">
        <v>2.84</v>
      </c>
      <c r="Z22" s="46">
        <v>2.84</v>
      </c>
      <c r="AA22" s="46">
        <v>3.38</v>
      </c>
      <c r="AB22" s="46" t="s">
        <v>160</v>
      </c>
      <c r="AC22" s="46" t="s">
        <v>160</v>
      </c>
    </row>
    <row r="23" spans="1:29">
      <c r="A23" s="62">
        <f t="shared" ca="1" si="5"/>
        <v>13</v>
      </c>
      <c r="B23" s="62" t="str">
        <f t="shared" ca="1" si="6"/>
        <v>E</v>
      </c>
      <c r="C23" s="62" t="str">
        <f t="shared" ca="1" si="4"/>
        <v>A-</v>
      </c>
      <c r="D23" s="62">
        <f t="shared" ca="1" si="7"/>
        <v>15</v>
      </c>
      <c r="E23" s="63">
        <f t="shared" ca="1" si="8"/>
        <v>3.9172727272727275</v>
      </c>
      <c r="F23" s="46" t="s">
        <v>319</v>
      </c>
      <c r="G23" s="46" t="s">
        <v>160</v>
      </c>
      <c r="H23" s="46" t="s">
        <v>320</v>
      </c>
      <c r="I23" s="46" t="s">
        <v>326</v>
      </c>
      <c r="J23" s="46">
        <v>3.44</v>
      </c>
      <c r="K23" s="46">
        <v>1.73</v>
      </c>
      <c r="L23" s="46">
        <v>1.06</v>
      </c>
      <c r="M23" s="46">
        <v>3.01</v>
      </c>
      <c r="N23" s="46">
        <v>2.67</v>
      </c>
      <c r="O23" s="46">
        <v>2.41</v>
      </c>
      <c r="P23" s="46">
        <v>1.35</v>
      </c>
      <c r="Q23" s="46" t="s">
        <v>160</v>
      </c>
      <c r="R23" s="46">
        <v>4.18</v>
      </c>
      <c r="S23" s="46">
        <v>2.52</v>
      </c>
      <c r="T23" s="46">
        <v>1.48</v>
      </c>
      <c r="U23" s="46">
        <v>3.68</v>
      </c>
      <c r="V23" s="46">
        <v>6.47</v>
      </c>
      <c r="W23" s="46">
        <v>2.27</v>
      </c>
      <c r="X23" s="46">
        <v>1.76</v>
      </c>
      <c r="Y23" s="46">
        <v>3.54</v>
      </c>
      <c r="Z23" s="46">
        <v>13.2</v>
      </c>
      <c r="AA23" s="46">
        <v>2.64</v>
      </c>
      <c r="AB23" s="46" t="s">
        <v>160</v>
      </c>
      <c r="AC23" s="46" t="s">
        <v>160</v>
      </c>
    </row>
    <row r="24" spans="1:29">
      <c r="A24" s="62">
        <f t="shared" ca="1" si="5"/>
        <v>14</v>
      </c>
      <c r="B24" s="62" t="str">
        <f t="shared" ca="1" si="6"/>
        <v>E</v>
      </c>
      <c r="C24" s="62" t="str">
        <f t="shared" ca="1" si="4"/>
        <v>A-</v>
      </c>
      <c r="D24" s="62">
        <f t="shared" ca="1" si="7"/>
        <v>15</v>
      </c>
      <c r="E24" s="63">
        <f t="shared" ca="1" si="8"/>
        <v>4.2608333333333333</v>
      </c>
      <c r="F24" s="46" t="s">
        <v>321</v>
      </c>
      <c r="G24" s="46" t="s">
        <v>160</v>
      </c>
      <c r="H24" s="46" t="s">
        <v>322</v>
      </c>
      <c r="I24" s="46" t="s">
        <v>326</v>
      </c>
      <c r="J24" s="46">
        <v>2.15</v>
      </c>
      <c r="K24" s="46">
        <v>4.7300000000000004</v>
      </c>
      <c r="L24" s="46">
        <v>6.08</v>
      </c>
      <c r="M24" s="46">
        <v>2.83</v>
      </c>
      <c r="N24" s="46">
        <v>2.39</v>
      </c>
      <c r="O24" s="46">
        <v>6.16</v>
      </c>
      <c r="P24" s="46">
        <v>10.8</v>
      </c>
      <c r="Q24" s="46">
        <v>4.12</v>
      </c>
      <c r="R24" s="46">
        <v>2.97</v>
      </c>
      <c r="S24" s="46">
        <v>6.97</v>
      </c>
      <c r="T24" s="46">
        <v>7.89</v>
      </c>
      <c r="U24" s="46">
        <v>1.38</v>
      </c>
      <c r="V24" s="46">
        <v>1.91</v>
      </c>
      <c r="W24" s="46">
        <v>3.39</v>
      </c>
      <c r="X24" s="46">
        <v>3.69</v>
      </c>
      <c r="Y24" s="46">
        <v>2.61</v>
      </c>
      <c r="Z24" s="46">
        <v>1.95</v>
      </c>
      <c r="AA24" s="46">
        <v>3.45</v>
      </c>
      <c r="AB24" s="46" t="s">
        <v>160</v>
      </c>
      <c r="AC24" s="46" t="s">
        <v>160</v>
      </c>
    </row>
    <row r="25" spans="1:29">
      <c r="A25" s="62">
        <f t="shared" ca="1" si="5"/>
        <v>15</v>
      </c>
      <c r="B25" s="62" t="str">
        <f t="shared" ca="1" si="6"/>
        <v>E</v>
      </c>
      <c r="C25" s="62" t="str">
        <f t="shared" ca="1" si="4"/>
        <v>A-</v>
      </c>
      <c r="D25" s="62">
        <f t="shared" ca="1" si="7"/>
        <v>15</v>
      </c>
      <c r="E25" s="63">
        <f t="shared" ca="1" si="8"/>
        <v>4.0541666666666671</v>
      </c>
      <c r="F25" s="46" t="s">
        <v>324</v>
      </c>
      <c r="G25" s="46" t="s">
        <v>160</v>
      </c>
      <c r="H25" s="46" t="s">
        <v>325</v>
      </c>
      <c r="I25" s="46" t="s">
        <v>326</v>
      </c>
      <c r="J25" s="46">
        <v>3.52</v>
      </c>
      <c r="K25" s="46">
        <v>-54.6</v>
      </c>
      <c r="L25" s="46">
        <v>3.63</v>
      </c>
      <c r="M25" s="46" t="s">
        <v>160</v>
      </c>
      <c r="N25" s="46">
        <v>3.13</v>
      </c>
      <c r="O25" s="46">
        <v>4.08</v>
      </c>
      <c r="P25" s="46">
        <v>4.13</v>
      </c>
      <c r="Q25" s="46">
        <v>5.46</v>
      </c>
      <c r="R25" s="46">
        <v>3.09</v>
      </c>
      <c r="S25" s="46">
        <v>4.37</v>
      </c>
      <c r="T25" s="46">
        <v>5.05</v>
      </c>
      <c r="U25" s="46">
        <v>4.1100000000000003</v>
      </c>
      <c r="V25" s="46">
        <v>3.07</v>
      </c>
      <c r="W25" s="46">
        <v>4.2</v>
      </c>
      <c r="X25" s="46">
        <v>4.21</v>
      </c>
      <c r="Y25" s="46">
        <v>3.4</v>
      </c>
      <c r="Z25" s="46">
        <v>3.06</v>
      </c>
      <c r="AA25" s="46">
        <v>4.5</v>
      </c>
      <c r="AB25" s="46" t="s">
        <v>160</v>
      </c>
      <c r="AC25" s="46" t="s">
        <v>160</v>
      </c>
    </row>
    <row r="26" spans="1:29">
      <c r="A26" s="62">
        <f t="shared" ca="1" si="5"/>
        <v>16</v>
      </c>
      <c r="B26" s="62" t="str">
        <f t="shared" ca="1" si="6"/>
        <v>E</v>
      </c>
      <c r="C26" s="62" t="str">
        <f t="shared" ca="1" si="4"/>
        <v>A-</v>
      </c>
      <c r="D26" s="62">
        <f t="shared" ca="1" si="7"/>
        <v>15</v>
      </c>
      <c r="E26" s="63">
        <f t="shared" ca="1" si="8"/>
        <v>3.3949999999999996</v>
      </c>
      <c r="F26" s="46" t="s">
        <v>327</v>
      </c>
      <c r="G26" s="46" t="s">
        <v>160</v>
      </c>
      <c r="H26" s="46" t="s">
        <v>328</v>
      </c>
      <c r="I26" s="46" t="s">
        <v>473</v>
      </c>
      <c r="J26" s="46">
        <v>4.0599999999999996</v>
      </c>
      <c r="K26" s="46">
        <v>4.1399999999999997</v>
      </c>
      <c r="L26" s="46">
        <v>3.2</v>
      </c>
      <c r="M26" s="46">
        <v>4.6399999999999997</v>
      </c>
      <c r="N26" s="46">
        <v>2.95</v>
      </c>
      <c r="O26" s="46">
        <v>4.1399999999999997</v>
      </c>
      <c r="P26" s="46" t="s">
        <v>160</v>
      </c>
      <c r="Q26" s="46" t="s">
        <v>160</v>
      </c>
      <c r="R26" s="46">
        <v>3.41</v>
      </c>
      <c r="S26" s="46">
        <v>4.8600000000000003</v>
      </c>
      <c r="T26" s="46">
        <v>2.87</v>
      </c>
      <c r="U26" s="46">
        <v>3.81</v>
      </c>
      <c r="V26" s="46">
        <v>3.41</v>
      </c>
      <c r="W26" s="46">
        <v>4.01</v>
      </c>
      <c r="X26" s="46">
        <v>2.69</v>
      </c>
      <c r="Y26" s="46">
        <v>2.75</v>
      </c>
      <c r="Z26" s="46">
        <v>3.02</v>
      </c>
      <c r="AA26" s="46">
        <v>3.12</v>
      </c>
      <c r="AB26" s="46" t="s">
        <v>160</v>
      </c>
      <c r="AC26" s="46" t="s">
        <v>160</v>
      </c>
    </row>
    <row r="27" spans="1:29">
      <c r="A27" s="62">
        <f t="shared" ca="1" si="5"/>
        <v>17</v>
      </c>
      <c r="B27" s="62" t="str">
        <f t="shared" ca="1" si="6"/>
        <v>G</v>
      </c>
      <c r="C27" s="62" t="str">
        <f t="shared" ca="1" si="4"/>
        <v>-</v>
      </c>
      <c r="D27" s="62" t="str">
        <f t="shared" ca="1" si="7"/>
        <v/>
      </c>
      <c r="E27" s="63" t="str">
        <f t="shared" ca="1" si="8"/>
        <v>N/A</v>
      </c>
      <c r="F27" s="46" t="s">
        <v>121</v>
      </c>
      <c r="G27" s="46" t="s">
        <v>183</v>
      </c>
      <c r="H27" s="46" t="s">
        <v>160</v>
      </c>
      <c r="I27" s="46" t="s">
        <v>554</v>
      </c>
      <c r="J27" s="46" t="s">
        <v>160</v>
      </c>
      <c r="K27" s="46" t="s">
        <v>160</v>
      </c>
      <c r="L27" s="46" t="s">
        <v>160</v>
      </c>
      <c r="M27" s="46" t="s">
        <v>160</v>
      </c>
      <c r="N27" s="46" t="s">
        <v>160</v>
      </c>
      <c r="O27" s="46" t="s">
        <v>160</v>
      </c>
      <c r="P27" s="46" t="s">
        <v>160</v>
      </c>
      <c r="Q27" s="46" t="s">
        <v>160</v>
      </c>
      <c r="R27" s="46" t="s">
        <v>160</v>
      </c>
      <c r="S27" s="46" t="s">
        <v>160</v>
      </c>
      <c r="T27" s="46" t="s">
        <v>160</v>
      </c>
      <c r="U27" s="46" t="s">
        <v>160</v>
      </c>
      <c r="V27" s="46" t="s">
        <v>160</v>
      </c>
      <c r="W27" s="46" t="s">
        <v>160</v>
      </c>
      <c r="X27" s="46" t="s">
        <v>160</v>
      </c>
      <c r="Y27" s="46" t="s">
        <v>160</v>
      </c>
      <c r="Z27" s="46" t="s">
        <v>160</v>
      </c>
      <c r="AA27" s="46" t="s">
        <v>160</v>
      </c>
      <c r="AB27" s="46" t="s">
        <v>160</v>
      </c>
      <c r="AC27" s="46" t="s">
        <v>160</v>
      </c>
    </row>
    <row r="28" spans="1:29">
      <c r="A28" s="62">
        <f t="shared" ca="1" si="5"/>
        <v>18</v>
      </c>
      <c r="B28" s="62" t="str">
        <f t="shared" ca="1" si="6"/>
        <v>E</v>
      </c>
      <c r="C28" s="62" t="str">
        <f t="shared" ca="1" si="4"/>
        <v>BBB</v>
      </c>
      <c r="D28" s="62">
        <f t="shared" ca="1" si="7"/>
        <v>13</v>
      </c>
      <c r="E28" s="63">
        <f t="shared" ca="1" si="8"/>
        <v>4.416666666666667</v>
      </c>
      <c r="F28" s="46" t="s">
        <v>330</v>
      </c>
      <c r="G28" s="46" t="s">
        <v>160</v>
      </c>
      <c r="H28" s="46" t="s">
        <v>331</v>
      </c>
      <c r="I28" s="46" t="s">
        <v>473</v>
      </c>
      <c r="J28" s="46">
        <v>4.4800000000000004</v>
      </c>
      <c r="K28" s="46">
        <v>4.2</v>
      </c>
      <c r="L28" s="46">
        <v>3.89</v>
      </c>
      <c r="M28" s="46">
        <v>4.38</v>
      </c>
      <c r="N28" s="46">
        <v>4.26</v>
      </c>
      <c r="O28" s="46">
        <v>4.05</v>
      </c>
      <c r="P28" s="46">
        <v>3.82</v>
      </c>
      <c r="Q28" s="46">
        <v>5.05</v>
      </c>
      <c r="R28" s="46">
        <v>4.8099999999999996</v>
      </c>
      <c r="S28" s="46">
        <v>4.6500000000000004</v>
      </c>
      <c r="T28" s="46">
        <v>3.96</v>
      </c>
      <c r="U28" s="46">
        <v>4.9400000000000004</v>
      </c>
      <c r="V28" s="46">
        <v>4.5599999999999996</v>
      </c>
      <c r="W28" s="46">
        <v>4.0199999999999996</v>
      </c>
      <c r="X28" s="46">
        <v>3.56</v>
      </c>
      <c r="Y28" s="46">
        <v>5.0599999999999996</v>
      </c>
      <c r="Z28" s="46">
        <v>4.3</v>
      </c>
      <c r="AA28" s="46">
        <v>4.2699999999999996</v>
      </c>
      <c r="AB28" s="46" t="s">
        <v>160</v>
      </c>
      <c r="AC28" s="46" t="s">
        <v>160</v>
      </c>
    </row>
    <row r="29" spans="1:29">
      <c r="A29" s="62">
        <f t="shared" ca="1" si="5"/>
        <v>19</v>
      </c>
      <c r="B29" s="62" t="str">
        <f t="shared" ca="1" si="6"/>
        <v>E</v>
      </c>
      <c r="C29" s="62" t="str">
        <f t="shared" ca="1" si="4"/>
        <v>A-</v>
      </c>
      <c r="D29" s="62">
        <f t="shared" ca="1" si="7"/>
        <v>15</v>
      </c>
      <c r="E29" s="63">
        <f t="shared" ca="1" si="8"/>
        <v>2.936666666666667</v>
      </c>
      <c r="F29" s="46" t="s">
        <v>332</v>
      </c>
      <c r="G29" s="46" t="s">
        <v>160</v>
      </c>
      <c r="H29" s="46" t="s">
        <v>333</v>
      </c>
      <c r="I29" s="46" t="s">
        <v>473</v>
      </c>
      <c r="J29" s="46" t="s">
        <v>160</v>
      </c>
      <c r="K29" s="46" t="s">
        <v>160</v>
      </c>
      <c r="L29" s="46">
        <v>6.96</v>
      </c>
      <c r="M29" s="46">
        <v>2.3199999999999998</v>
      </c>
      <c r="N29" s="46">
        <v>0.95199999999999996</v>
      </c>
      <c r="O29" s="46">
        <v>5.41</v>
      </c>
      <c r="P29" s="46">
        <v>12.5</v>
      </c>
      <c r="Q29" s="46">
        <v>2.44</v>
      </c>
      <c r="R29" s="46">
        <v>1.26</v>
      </c>
      <c r="S29" s="46">
        <v>3.75</v>
      </c>
      <c r="T29" s="46">
        <v>14.8</v>
      </c>
      <c r="U29" s="46">
        <v>-29.5</v>
      </c>
      <c r="V29" s="46">
        <v>1.2</v>
      </c>
      <c r="W29" s="46">
        <v>4.7699999999999996</v>
      </c>
      <c r="X29" s="46">
        <v>13.6</v>
      </c>
      <c r="Y29" s="46">
        <v>2.46</v>
      </c>
      <c r="Z29" s="46">
        <v>1.37</v>
      </c>
      <c r="AA29" s="46">
        <v>6.59</v>
      </c>
      <c r="AB29" s="46" t="s">
        <v>160</v>
      </c>
      <c r="AC29" s="46" t="s">
        <v>160</v>
      </c>
    </row>
    <row r="30" spans="1:29">
      <c r="A30" s="62">
        <f t="shared" ca="1" si="5"/>
        <v>20</v>
      </c>
      <c r="B30" s="62" t="str">
        <f t="shared" ca="1" si="6"/>
        <v>E</v>
      </c>
      <c r="C30" s="62" t="str">
        <f t="shared" ca="1" si="4"/>
        <v>A-</v>
      </c>
      <c r="D30" s="62">
        <f t="shared" ca="1" si="7"/>
        <v>15</v>
      </c>
      <c r="E30" s="63">
        <f t="shared" ca="1" si="8"/>
        <v>4.121666666666667</v>
      </c>
      <c r="F30" s="46" t="s">
        <v>335</v>
      </c>
      <c r="G30" s="46" t="s">
        <v>160</v>
      </c>
      <c r="H30" s="46" t="s">
        <v>336</v>
      </c>
      <c r="I30" s="46" t="s">
        <v>473</v>
      </c>
      <c r="J30" s="46">
        <v>3.83</v>
      </c>
      <c r="K30" s="46">
        <v>5.12</v>
      </c>
      <c r="L30" s="46">
        <v>3.26</v>
      </c>
      <c r="M30" s="46">
        <v>4.1500000000000004</v>
      </c>
      <c r="N30" s="46">
        <v>3.28</v>
      </c>
      <c r="O30" s="46">
        <v>4.46</v>
      </c>
      <c r="P30" s="46">
        <v>2.96</v>
      </c>
      <c r="Q30" s="46">
        <v>5.0599999999999996</v>
      </c>
      <c r="R30" s="46">
        <v>3.5</v>
      </c>
      <c r="S30" s="46">
        <v>4.53</v>
      </c>
      <c r="T30" s="46">
        <v>3.37</v>
      </c>
      <c r="U30" s="46">
        <v>5.18</v>
      </c>
      <c r="V30" s="46">
        <v>3.74</v>
      </c>
      <c r="W30" s="46">
        <v>4.9800000000000004</v>
      </c>
      <c r="X30" s="46">
        <v>3.3</v>
      </c>
      <c r="Y30" s="46">
        <v>4.34</v>
      </c>
      <c r="Z30" s="46">
        <v>3.49</v>
      </c>
      <c r="AA30" s="46">
        <v>5.01</v>
      </c>
      <c r="AB30" s="46" t="s">
        <v>160</v>
      </c>
      <c r="AC30" s="46" t="s">
        <v>160</v>
      </c>
    </row>
    <row r="31" spans="1:29">
      <c r="A31" s="62">
        <f t="shared" ca="1" si="5"/>
        <v>21</v>
      </c>
      <c r="B31" s="62" t="str">
        <f t="shared" ca="1" si="6"/>
        <v>E</v>
      </c>
      <c r="C31" s="62" t="str">
        <f t="shared" ca="1" si="4"/>
        <v>BBB+</v>
      </c>
      <c r="D31" s="62">
        <f t="shared" ca="1" si="7"/>
        <v>14</v>
      </c>
      <c r="E31" s="63">
        <f t="shared" ca="1" si="8"/>
        <v>3.4166666666666674</v>
      </c>
      <c r="F31" s="46" t="s">
        <v>337</v>
      </c>
      <c r="G31" s="46" t="s">
        <v>160</v>
      </c>
      <c r="H31" s="46" t="s">
        <v>338</v>
      </c>
      <c r="I31" s="46" t="s">
        <v>326</v>
      </c>
      <c r="J31" s="46">
        <v>2.91</v>
      </c>
      <c r="K31" s="46">
        <v>3.86</v>
      </c>
      <c r="L31" s="46">
        <v>3.34</v>
      </c>
      <c r="M31" s="46">
        <v>3.34</v>
      </c>
      <c r="N31" s="46">
        <v>2.33</v>
      </c>
      <c r="O31" s="46">
        <v>3.55</v>
      </c>
      <c r="P31" s="46">
        <v>3.72</v>
      </c>
      <c r="Q31" s="46">
        <v>3.66</v>
      </c>
      <c r="R31" s="46">
        <v>2.56</v>
      </c>
      <c r="S31" s="46">
        <v>4.1399999999999997</v>
      </c>
      <c r="T31" s="46">
        <v>3.39</v>
      </c>
      <c r="U31" s="46">
        <v>3.81</v>
      </c>
      <c r="V31" s="46">
        <v>2.92</v>
      </c>
      <c r="W31" s="46">
        <v>3.6</v>
      </c>
      <c r="X31" s="46">
        <v>3.1</v>
      </c>
      <c r="Y31" s="46">
        <v>3.4</v>
      </c>
      <c r="Z31" s="46">
        <v>2.77</v>
      </c>
      <c r="AA31" s="46">
        <v>3.93</v>
      </c>
      <c r="AB31" s="46" t="s">
        <v>160</v>
      </c>
      <c r="AC31" s="46" t="s">
        <v>160</v>
      </c>
    </row>
    <row r="32" spans="1:29">
      <c r="A32" s="62">
        <f t="shared" ca="1" si="5"/>
        <v>22</v>
      </c>
      <c r="B32" s="62" t="str">
        <f t="shared" ca="1" si="6"/>
        <v>E</v>
      </c>
      <c r="C32" s="62" t="str">
        <f t="shared" ca="1" si="4"/>
        <v>BBB+</v>
      </c>
      <c r="D32" s="62">
        <f t="shared" ca="1" si="7"/>
        <v>14</v>
      </c>
      <c r="E32" s="63">
        <f t="shared" ca="1" si="8"/>
        <v>2.9233333333333333</v>
      </c>
      <c r="F32" s="46" t="s">
        <v>339</v>
      </c>
      <c r="G32" s="46" t="s">
        <v>160</v>
      </c>
      <c r="H32" s="46" t="s">
        <v>340</v>
      </c>
      <c r="I32" s="46" t="s">
        <v>473</v>
      </c>
      <c r="J32" s="46">
        <v>3.72</v>
      </c>
      <c r="K32" s="46">
        <v>5.0999999999999996</v>
      </c>
      <c r="L32" s="46">
        <v>4.1900000000000004</v>
      </c>
      <c r="M32" s="46">
        <v>3.91</v>
      </c>
      <c r="N32" s="46">
        <v>3.28</v>
      </c>
      <c r="O32" s="46">
        <v>4.37</v>
      </c>
      <c r="P32" s="46">
        <v>3.9</v>
      </c>
      <c r="Q32" s="46">
        <v>3.97</v>
      </c>
      <c r="R32" s="46">
        <v>3.46</v>
      </c>
      <c r="S32" s="46">
        <v>5.51</v>
      </c>
      <c r="T32" s="46">
        <v>4.66</v>
      </c>
      <c r="U32" s="46">
        <v>4.2699999999999996</v>
      </c>
      <c r="V32" s="46">
        <v>-12.1</v>
      </c>
      <c r="W32" s="46">
        <v>4.74</v>
      </c>
      <c r="X32" s="46">
        <v>2.99</v>
      </c>
      <c r="Y32" s="46">
        <v>6.46</v>
      </c>
      <c r="Z32" s="46">
        <v>2.91</v>
      </c>
      <c r="AA32" s="46">
        <v>4.3099999999999996</v>
      </c>
      <c r="AB32" s="46" t="s">
        <v>160</v>
      </c>
      <c r="AC32" s="46" t="s">
        <v>160</v>
      </c>
    </row>
    <row r="33" spans="1:29">
      <c r="A33" s="62">
        <f t="shared" ca="1" si="5"/>
        <v>23</v>
      </c>
      <c r="B33" s="62" t="str">
        <f t="shared" ca="1" si="6"/>
        <v>E</v>
      </c>
      <c r="C33" s="62" t="str">
        <f t="shared" ca="1" si="4"/>
        <v>BBB+</v>
      </c>
      <c r="D33" s="62">
        <f t="shared" ca="1" si="7"/>
        <v>14</v>
      </c>
      <c r="E33" s="63">
        <f t="shared" ca="1" si="8"/>
        <v>4.3458333333333332</v>
      </c>
      <c r="F33" s="46" t="s">
        <v>341</v>
      </c>
      <c r="G33" s="46" t="s">
        <v>160</v>
      </c>
      <c r="H33" s="46" t="s">
        <v>342</v>
      </c>
      <c r="I33" s="46" t="s">
        <v>326</v>
      </c>
      <c r="J33" s="46">
        <v>3.61</v>
      </c>
      <c r="K33" s="46">
        <v>4.03</v>
      </c>
      <c r="L33" s="46">
        <v>3.12</v>
      </c>
      <c r="M33" s="46">
        <v>3.96</v>
      </c>
      <c r="N33" s="46">
        <v>3.3</v>
      </c>
      <c r="O33" s="46">
        <v>3.63</v>
      </c>
      <c r="P33" s="46">
        <v>3.46</v>
      </c>
      <c r="Q33" s="46">
        <v>4.29</v>
      </c>
      <c r="R33" s="46">
        <v>4.7</v>
      </c>
      <c r="S33" s="46">
        <v>5.2</v>
      </c>
      <c r="T33" s="46">
        <v>3.77</v>
      </c>
      <c r="U33" s="46">
        <v>5.69</v>
      </c>
      <c r="V33" s="46">
        <v>4.3899999999999997</v>
      </c>
      <c r="W33" s="46">
        <v>4.22</v>
      </c>
      <c r="X33" s="46">
        <v>2.9</v>
      </c>
      <c r="Y33" s="46">
        <v>4.7</v>
      </c>
      <c r="Z33" s="46">
        <v>4.71</v>
      </c>
      <c r="AA33" s="46">
        <v>4.12</v>
      </c>
      <c r="AB33" s="46" t="s">
        <v>160</v>
      </c>
      <c r="AC33" s="46" t="s">
        <v>160</v>
      </c>
    </row>
    <row r="34" spans="1:29">
      <c r="A34" s="62">
        <f t="shared" ca="1" si="5"/>
        <v>24</v>
      </c>
      <c r="B34" s="62" t="str">
        <f t="shared" ca="1" si="6"/>
        <v>E</v>
      </c>
      <c r="C34" s="62" t="str">
        <f t="shared" ca="1" si="4"/>
        <v>BBB+</v>
      </c>
      <c r="D34" s="62">
        <f t="shared" ca="1" si="7"/>
        <v>14</v>
      </c>
      <c r="E34" s="63">
        <f t="shared" ca="1" si="8"/>
        <v>7.5966666666666667</v>
      </c>
      <c r="F34" s="46" t="s">
        <v>343</v>
      </c>
      <c r="G34" s="46" t="s">
        <v>160</v>
      </c>
      <c r="H34" s="46" t="s">
        <v>344</v>
      </c>
      <c r="I34" s="46" t="s">
        <v>326</v>
      </c>
      <c r="J34" s="46" t="s">
        <v>160</v>
      </c>
      <c r="K34" s="46" t="s">
        <v>160</v>
      </c>
      <c r="L34" s="46" t="s">
        <v>160</v>
      </c>
      <c r="M34" s="46" t="s">
        <v>160</v>
      </c>
      <c r="N34" s="46">
        <v>1.05</v>
      </c>
      <c r="O34" s="46">
        <v>8.15</v>
      </c>
      <c r="P34" s="46">
        <v>26.4</v>
      </c>
      <c r="Q34" s="46">
        <v>2.61</v>
      </c>
      <c r="R34" s="46">
        <v>1.25</v>
      </c>
      <c r="S34" s="46">
        <v>10.199999999999999</v>
      </c>
      <c r="T34" s="46">
        <v>14.1</v>
      </c>
      <c r="U34" s="46">
        <v>3.62</v>
      </c>
      <c r="V34" s="46">
        <v>1.91</v>
      </c>
      <c r="W34" s="46">
        <v>5.45</v>
      </c>
      <c r="X34" s="46">
        <v>11</v>
      </c>
      <c r="Y34" s="46">
        <v>3.03</v>
      </c>
      <c r="Z34" s="46">
        <v>1.75</v>
      </c>
      <c r="AA34" s="46">
        <v>9.84</v>
      </c>
      <c r="AB34" s="46" t="s">
        <v>160</v>
      </c>
      <c r="AC34" s="46" t="s">
        <v>160</v>
      </c>
    </row>
    <row r="35" spans="1:29">
      <c r="A35" s="62">
        <f t="shared" ca="1" si="5"/>
        <v>25</v>
      </c>
      <c r="B35" s="62" t="str">
        <f t="shared" ca="1" si="6"/>
        <v>E</v>
      </c>
      <c r="C35" s="62" t="str">
        <f t="shared" ca="1" si="4"/>
        <v>A-</v>
      </c>
      <c r="D35" s="62">
        <f t="shared" ca="1" si="7"/>
        <v>15</v>
      </c>
      <c r="E35" s="63">
        <f t="shared" ca="1" si="8"/>
        <v>2.8191666666666664</v>
      </c>
      <c r="F35" s="46" t="s">
        <v>345</v>
      </c>
      <c r="G35" s="46" t="s">
        <v>160</v>
      </c>
      <c r="H35" s="46" t="s">
        <v>346</v>
      </c>
      <c r="I35" s="46" t="s">
        <v>473</v>
      </c>
      <c r="J35" s="46">
        <v>2.99</v>
      </c>
      <c r="K35" s="46">
        <v>3.3</v>
      </c>
      <c r="L35" s="46">
        <v>2.39</v>
      </c>
      <c r="M35" s="46">
        <v>2.83</v>
      </c>
      <c r="N35" s="46">
        <v>2.5299999999999998</v>
      </c>
      <c r="O35" s="46">
        <v>2.73</v>
      </c>
      <c r="P35" s="46">
        <v>2.15</v>
      </c>
      <c r="Q35" s="46">
        <v>3.29</v>
      </c>
      <c r="R35" s="46">
        <v>2.69</v>
      </c>
      <c r="S35" s="46">
        <v>2.65</v>
      </c>
      <c r="T35" s="46">
        <v>2.21</v>
      </c>
      <c r="U35" s="46">
        <v>3.31</v>
      </c>
      <c r="V35" s="46">
        <v>2.96</v>
      </c>
      <c r="W35" s="46">
        <v>2.96</v>
      </c>
      <c r="X35" s="46">
        <v>2.04</v>
      </c>
      <c r="Y35" s="46">
        <v>3.59</v>
      </c>
      <c r="Z35" s="46">
        <v>2.99</v>
      </c>
      <c r="AA35" s="46">
        <v>2.99</v>
      </c>
      <c r="AB35" s="46" t="s">
        <v>160</v>
      </c>
      <c r="AC35" s="46" t="s">
        <v>160</v>
      </c>
    </row>
    <row r="36" spans="1:29">
      <c r="A36" s="62">
        <f t="shared" ca="1" si="5"/>
        <v>26</v>
      </c>
      <c r="B36" s="62" t="str">
        <f t="shared" ca="1" si="6"/>
        <v>E</v>
      </c>
      <c r="C36" s="62" t="str">
        <f t="shared" ca="1" si="4"/>
        <v>A-</v>
      </c>
      <c r="D36" s="62">
        <f t="shared" ca="1" si="7"/>
        <v>15</v>
      </c>
      <c r="E36" s="63">
        <f t="shared" ca="1" si="8"/>
        <v>3.8358333333333334</v>
      </c>
      <c r="F36" s="46" t="s">
        <v>347</v>
      </c>
      <c r="G36" s="46" t="s">
        <v>160</v>
      </c>
      <c r="H36" s="46" t="s">
        <v>348</v>
      </c>
      <c r="I36" s="46" t="s">
        <v>473</v>
      </c>
      <c r="J36" s="46">
        <v>4.97</v>
      </c>
      <c r="K36" s="46">
        <v>3.6</v>
      </c>
      <c r="L36" s="46">
        <v>3.04</v>
      </c>
      <c r="M36" s="46">
        <v>5.1100000000000003</v>
      </c>
      <c r="N36" s="46">
        <v>3.98</v>
      </c>
      <c r="O36" s="46">
        <v>3.42</v>
      </c>
      <c r="P36" s="46">
        <v>2.82</v>
      </c>
      <c r="Q36" s="46">
        <v>4.03</v>
      </c>
      <c r="R36" s="46">
        <v>3.85</v>
      </c>
      <c r="S36" s="46">
        <v>3.29</v>
      </c>
      <c r="T36" s="46">
        <v>3.06</v>
      </c>
      <c r="U36" s="46">
        <v>4.2699999999999996</v>
      </c>
      <c r="V36" s="46">
        <v>4.2699999999999996</v>
      </c>
      <c r="W36" s="46">
        <v>3.8</v>
      </c>
      <c r="X36" s="46">
        <v>3.27</v>
      </c>
      <c r="Y36" s="46">
        <v>4.71</v>
      </c>
      <c r="Z36" s="46">
        <v>4.95</v>
      </c>
      <c r="AA36" s="46">
        <v>3.71</v>
      </c>
      <c r="AB36" s="46" t="s">
        <v>160</v>
      </c>
      <c r="AC36" s="46" t="s">
        <v>160</v>
      </c>
    </row>
    <row r="37" spans="1:29">
      <c r="A37" s="62">
        <f t="shared" ca="1" si="5"/>
        <v>27</v>
      </c>
      <c r="B37" s="62" t="str">
        <f t="shared" ca="1" si="6"/>
        <v>E</v>
      </c>
      <c r="C37" s="62" t="str">
        <f t="shared" ca="1" si="4"/>
        <v>A-</v>
      </c>
      <c r="D37" s="62">
        <f t="shared" ca="1" si="7"/>
        <v>15</v>
      </c>
      <c r="E37" s="63">
        <f t="shared" ca="1" si="8"/>
        <v>3.6666666666666674</v>
      </c>
      <c r="F37" s="46" t="s">
        <v>349</v>
      </c>
      <c r="G37" s="46" t="s">
        <v>160</v>
      </c>
      <c r="H37" s="46" t="s">
        <v>350</v>
      </c>
      <c r="I37" s="46" t="s">
        <v>473</v>
      </c>
      <c r="J37" s="46">
        <v>3.86</v>
      </c>
      <c r="K37" s="46">
        <v>4.07</v>
      </c>
      <c r="L37" s="46">
        <v>3.71</v>
      </c>
      <c r="M37" s="46">
        <v>3.4</v>
      </c>
      <c r="N37" s="46">
        <v>3.17</v>
      </c>
      <c r="O37" s="46">
        <v>3.59</v>
      </c>
      <c r="P37" s="46">
        <v>3.58</v>
      </c>
      <c r="Q37" s="46">
        <v>4.37</v>
      </c>
      <c r="R37" s="46">
        <v>3.21</v>
      </c>
      <c r="S37" s="46">
        <v>4.16</v>
      </c>
      <c r="T37" s="46">
        <v>3.39</v>
      </c>
      <c r="U37" s="46">
        <v>3.69</v>
      </c>
      <c r="V37" s="46">
        <v>3.55</v>
      </c>
      <c r="W37" s="46">
        <v>4.1399999999999997</v>
      </c>
      <c r="X37" s="46">
        <v>2.99</v>
      </c>
      <c r="Y37" s="46">
        <v>3.5</v>
      </c>
      <c r="Z37" s="46">
        <v>3.64</v>
      </c>
      <c r="AA37" s="46">
        <v>3.78</v>
      </c>
      <c r="AB37" s="46" t="s">
        <v>160</v>
      </c>
      <c r="AC37" s="46" t="s">
        <v>160</v>
      </c>
    </row>
    <row r="38" spans="1:29">
      <c r="A38" s="62">
        <f t="shared" ca="1" si="5"/>
        <v>28</v>
      </c>
      <c r="B38" s="62" t="str">
        <f t="shared" ca="1" si="6"/>
        <v>E</v>
      </c>
      <c r="C38" s="62" t="str">
        <f t="shared" ca="1" si="4"/>
        <v>A-</v>
      </c>
      <c r="D38" s="62">
        <f t="shared" ca="1" si="7"/>
        <v>15</v>
      </c>
      <c r="E38" s="63">
        <f t="shared" ca="1" si="8"/>
        <v>3.6910000000000003</v>
      </c>
      <c r="F38" s="46" t="s">
        <v>351</v>
      </c>
      <c r="G38" s="46" t="s">
        <v>160</v>
      </c>
      <c r="H38" s="46" t="s">
        <v>352</v>
      </c>
      <c r="I38" s="46" t="s">
        <v>473</v>
      </c>
      <c r="J38" s="46">
        <v>2.19</v>
      </c>
      <c r="K38" s="46">
        <v>4.4000000000000004</v>
      </c>
      <c r="L38" s="46">
        <v>3.19</v>
      </c>
      <c r="M38" s="46">
        <v>2.95</v>
      </c>
      <c r="N38" s="46">
        <v>2.5499999999999998</v>
      </c>
      <c r="O38" s="46">
        <v>5.09</v>
      </c>
      <c r="P38" s="46" t="s">
        <v>160</v>
      </c>
      <c r="Q38" s="46" t="s">
        <v>160</v>
      </c>
      <c r="R38" s="46">
        <v>1.84</v>
      </c>
      <c r="S38" s="46">
        <v>3.32</v>
      </c>
      <c r="T38" s="46">
        <v>3.19</v>
      </c>
      <c r="U38" s="46">
        <v>4.28</v>
      </c>
      <c r="V38" s="46">
        <v>2.89</v>
      </c>
      <c r="W38" s="46">
        <v>5.58</v>
      </c>
      <c r="X38" s="46">
        <v>3.24</v>
      </c>
      <c r="Y38" s="46">
        <v>4.7699999999999996</v>
      </c>
      <c r="Z38" s="46">
        <v>3.22</v>
      </c>
      <c r="AA38" s="46">
        <v>4.58</v>
      </c>
      <c r="AB38" s="46" t="s">
        <v>160</v>
      </c>
      <c r="AC38" s="46" t="s">
        <v>160</v>
      </c>
    </row>
    <row r="39" spans="1:29">
      <c r="A39" s="62">
        <f t="shared" ca="1" si="5"/>
        <v>29</v>
      </c>
      <c r="B39" s="62" t="str">
        <f t="shared" ca="1" si="6"/>
        <v>E</v>
      </c>
      <c r="C39" s="62" t="str">
        <f t="shared" ca="1" si="4"/>
        <v>A-</v>
      </c>
      <c r="D39" s="62">
        <f t="shared" ca="1" si="7"/>
        <v>15</v>
      </c>
      <c r="E39" s="63">
        <f t="shared" ca="1" si="8"/>
        <v>3.7875000000000001</v>
      </c>
      <c r="F39" s="46" t="s">
        <v>353</v>
      </c>
      <c r="G39" s="46" t="s">
        <v>160</v>
      </c>
      <c r="H39" s="46" t="s">
        <v>354</v>
      </c>
      <c r="I39" s="46" t="s">
        <v>473</v>
      </c>
      <c r="J39" s="46">
        <v>8.84</v>
      </c>
      <c r="K39" s="46">
        <v>3.38</v>
      </c>
      <c r="L39" s="46">
        <v>3.13</v>
      </c>
      <c r="M39" s="46">
        <v>4.3099999999999996</v>
      </c>
      <c r="N39" s="46">
        <v>4.4000000000000004</v>
      </c>
      <c r="O39" s="46">
        <v>-13.5</v>
      </c>
      <c r="P39" s="46">
        <v>4.4000000000000004</v>
      </c>
      <c r="Q39" s="46">
        <v>2.0499999999999998</v>
      </c>
      <c r="R39" s="46">
        <v>3.02</v>
      </c>
      <c r="S39" s="46">
        <v>4.66</v>
      </c>
      <c r="T39" s="46">
        <v>3.76</v>
      </c>
      <c r="U39" s="46">
        <v>4.3899999999999997</v>
      </c>
      <c r="V39" s="46">
        <v>3.09</v>
      </c>
      <c r="W39" s="46">
        <v>4.45</v>
      </c>
      <c r="X39" s="46">
        <v>3.29</v>
      </c>
      <c r="Y39" s="46">
        <v>3.85</v>
      </c>
      <c r="Z39" s="46">
        <v>3.95</v>
      </c>
      <c r="AA39" s="46">
        <v>4.54</v>
      </c>
      <c r="AB39" s="46" t="s">
        <v>160</v>
      </c>
      <c r="AC39" s="46" t="s">
        <v>160</v>
      </c>
    </row>
    <row r="40" spans="1:29">
      <c r="A40" s="62">
        <f t="shared" ca="1" si="5"/>
        <v>30</v>
      </c>
      <c r="B40" s="62" t="str">
        <f t="shared" ca="1" si="6"/>
        <v>E</v>
      </c>
      <c r="C40" s="62" t="str">
        <f t="shared" ca="1" si="4"/>
        <v>A-</v>
      </c>
      <c r="D40" s="62">
        <f t="shared" ca="1" si="7"/>
        <v>15</v>
      </c>
      <c r="E40" s="63">
        <f t="shared" ca="1" si="8"/>
        <v>4.2558333333333342</v>
      </c>
      <c r="F40" s="46" t="s">
        <v>355</v>
      </c>
      <c r="G40" s="46" t="s">
        <v>160</v>
      </c>
      <c r="H40" s="46" t="s">
        <v>356</v>
      </c>
      <c r="I40" s="46" t="s">
        <v>473</v>
      </c>
      <c r="J40" s="46">
        <v>3.71</v>
      </c>
      <c r="K40" s="46">
        <v>4.32</v>
      </c>
      <c r="L40" s="46">
        <v>3.08</v>
      </c>
      <c r="M40" s="46">
        <v>3.48</v>
      </c>
      <c r="N40" s="46">
        <v>3.42</v>
      </c>
      <c r="O40" s="46">
        <v>4.0199999999999996</v>
      </c>
      <c r="P40" s="46">
        <v>3.17</v>
      </c>
      <c r="Q40" s="46">
        <v>5.03</v>
      </c>
      <c r="R40" s="46">
        <v>3.76</v>
      </c>
      <c r="S40" s="46">
        <v>4.6100000000000003</v>
      </c>
      <c r="T40" s="46">
        <v>3.55</v>
      </c>
      <c r="U40" s="46">
        <v>5.35</v>
      </c>
      <c r="V40" s="46">
        <v>4.1900000000000004</v>
      </c>
      <c r="W40" s="46">
        <v>4.1500000000000004</v>
      </c>
      <c r="X40" s="46">
        <v>3.15</v>
      </c>
      <c r="Y40" s="46">
        <v>5.66</v>
      </c>
      <c r="Z40" s="46">
        <v>4.18</v>
      </c>
      <c r="AA40" s="46">
        <v>4.2699999999999996</v>
      </c>
      <c r="AB40" s="46" t="s">
        <v>160</v>
      </c>
      <c r="AC40" s="46" t="s">
        <v>160</v>
      </c>
    </row>
    <row r="41" spans="1:29">
      <c r="A41" s="62">
        <f t="shared" ca="1" si="5"/>
        <v>31</v>
      </c>
      <c r="B41" s="62" t="str">
        <f t="shared" ca="1" si="6"/>
        <v>E</v>
      </c>
      <c r="C41" s="62" t="str">
        <f t="shared" ca="1" si="4"/>
        <v>BBB</v>
      </c>
      <c r="D41" s="62">
        <f t="shared" ca="1" si="7"/>
        <v>13</v>
      </c>
      <c r="E41" s="63">
        <f t="shared" ca="1" si="8"/>
        <v>-14.623333333333333</v>
      </c>
      <c r="F41" s="46" t="s">
        <v>98</v>
      </c>
      <c r="G41" s="46" t="s">
        <v>196</v>
      </c>
      <c r="H41" s="46" t="s">
        <v>197</v>
      </c>
      <c r="I41" s="46" t="s">
        <v>551</v>
      </c>
      <c r="J41" s="46">
        <v>5.3</v>
      </c>
      <c r="K41" s="46">
        <v>3.33</v>
      </c>
      <c r="L41" s="46">
        <v>2.3199999999999998</v>
      </c>
      <c r="M41" s="46">
        <v>7.18</v>
      </c>
      <c r="N41" s="46">
        <v>6.34</v>
      </c>
      <c r="O41" s="46">
        <v>3.48</v>
      </c>
      <c r="P41" s="46">
        <v>2.5299999999999998</v>
      </c>
      <c r="Q41" s="46">
        <v>7.32</v>
      </c>
      <c r="R41" s="46">
        <v>7.9</v>
      </c>
      <c r="S41" s="46">
        <v>4.57</v>
      </c>
      <c r="T41" s="46">
        <v>2.79</v>
      </c>
      <c r="U41" s="46">
        <v>-237.3</v>
      </c>
      <c r="V41" s="46">
        <v>9.76</v>
      </c>
      <c r="W41" s="46">
        <v>4.59</v>
      </c>
      <c r="X41" s="46">
        <v>2.27</v>
      </c>
      <c r="Y41" s="46">
        <v>6.77</v>
      </c>
      <c r="Z41" s="46">
        <v>9.4</v>
      </c>
      <c r="AA41" s="46">
        <v>3.92</v>
      </c>
      <c r="AB41" s="46" t="s">
        <v>160</v>
      </c>
      <c r="AC41" s="46" t="s">
        <v>160</v>
      </c>
    </row>
    <row r="42" spans="1:29">
      <c r="A42" s="62">
        <f t="shared" ca="1" si="5"/>
        <v>32</v>
      </c>
      <c r="B42" s="62" t="str">
        <f t="shared" ca="1" si="6"/>
        <v>E</v>
      </c>
      <c r="C42" s="62" t="str">
        <f t="shared" ca="1" si="4"/>
        <v>BBB+</v>
      </c>
      <c r="D42" s="62">
        <f t="shared" ca="1" si="7"/>
        <v>14</v>
      </c>
      <c r="E42" s="63">
        <f t="shared" ca="1" si="8"/>
        <v>4.6016666666666666</v>
      </c>
      <c r="F42" s="46" t="s">
        <v>358</v>
      </c>
      <c r="G42" s="46" t="s">
        <v>160</v>
      </c>
      <c r="H42" s="46" t="s">
        <v>359</v>
      </c>
      <c r="I42" s="46" t="s">
        <v>326</v>
      </c>
      <c r="J42" s="46">
        <v>4.1399999999999997</v>
      </c>
      <c r="K42" s="46">
        <v>4.0999999999999996</v>
      </c>
      <c r="L42" s="46">
        <v>2.68</v>
      </c>
      <c r="M42" s="46">
        <v>4.4800000000000004</v>
      </c>
      <c r="N42" s="46">
        <v>3.59</v>
      </c>
      <c r="O42" s="46">
        <v>3.68</v>
      </c>
      <c r="P42" s="46">
        <v>2.79</v>
      </c>
      <c r="Q42" s="46">
        <v>5.28</v>
      </c>
      <c r="R42" s="46">
        <v>4.97</v>
      </c>
      <c r="S42" s="46">
        <v>4.28</v>
      </c>
      <c r="T42" s="46">
        <v>3.38</v>
      </c>
      <c r="U42" s="46">
        <v>7.85</v>
      </c>
      <c r="V42" s="46">
        <v>4.3600000000000003</v>
      </c>
      <c r="W42" s="46">
        <v>4.07</v>
      </c>
      <c r="X42" s="46">
        <v>2.54</v>
      </c>
      <c r="Y42" s="46">
        <v>5.72</v>
      </c>
      <c r="Z42" s="46">
        <v>5</v>
      </c>
      <c r="AA42" s="46">
        <v>4.9800000000000004</v>
      </c>
      <c r="AB42" s="46" t="s">
        <v>160</v>
      </c>
      <c r="AC42" s="46" t="s">
        <v>160</v>
      </c>
    </row>
    <row r="43" spans="1:29">
      <c r="A43" s="62">
        <f t="shared" ca="1" si="5"/>
        <v>33</v>
      </c>
      <c r="B43" s="62" t="str">
        <f t="shared" ca="1" si="6"/>
        <v>E</v>
      </c>
      <c r="C43" s="62" t="str">
        <f t="shared" ca="1" si="4"/>
        <v>BBB+</v>
      </c>
      <c r="D43" s="62">
        <f t="shared" ca="1" si="7"/>
        <v>14</v>
      </c>
      <c r="E43" s="63">
        <f t="shared" ca="1" si="8"/>
        <v>3.2550000000000008</v>
      </c>
      <c r="F43" s="46" t="s">
        <v>361</v>
      </c>
      <c r="G43" s="46" t="s">
        <v>160</v>
      </c>
      <c r="H43" s="46" t="s">
        <v>362</v>
      </c>
      <c r="I43" s="46" t="s">
        <v>326</v>
      </c>
      <c r="J43" s="46">
        <v>4.87</v>
      </c>
      <c r="K43" s="46">
        <v>4.25</v>
      </c>
      <c r="L43" s="46">
        <v>3.07</v>
      </c>
      <c r="M43" s="46">
        <v>4.38</v>
      </c>
      <c r="N43" s="46">
        <v>3.46</v>
      </c>
      <c r="O43" s="46">
        <v>3.24</v>
      </c>
      <c r="P43" s="46">
        <v>2.85</v>
      </c>
      <c r="Q43" s="46">
        <v>2.0699999999999998</v>
      </c>
      <c r="R43" s="46">
        <v>3.29</v>
      </c>
      <c r="S43" s="46">
        <v>3.04</v>
      </c>
      <c r="T43" s="46">
        <v>2.41</v>
      </c>
      <c r="U43" s="46">
        <v>4.4000000000000004</v>
      </c>
      <c r="V43" s="46">
        <v>3.55</v>
      </c>
      <c r="W43" s="46">
        <v>2.94</v>
      </c>
      <c r="X43" s="46">
        <v>2.42</v>
      </c>
      <c r="Y43" s="46">
        <v>4.41</v>
      </c>
      <c r="Z43" s="46">
        <v>4.1900000000000004</v>
      </c>
      <c r="AA43" s="46">
        <v>3.49</v>
      </c>
      <c r="AB43" s="46" t="s">
        <v>160</v>
      </c>
      <c r="AC43" s="46" t="s">
        <v>160</v>
      </c>
    </row>
    <row r="44" spans="1:29">
      <c r="A44" s="62">
        <f t="shared" ca="1" si="5"/>
        <v>34</v>
      </c>
      <c r="B44" s="62" t="str">
        <f t="shared" ca="1" si="6"/>
        <v>E</v>
      </c>
      <c r="C44" s="62" t="str">
        <f t="shared" ca="1" si="4"/>
        <v>BBB+</v>
      </c>
      <c r="D44" s="62">
        <f t="shared" ca="1" si="7"/>
        <v>14</v>
      </c>
      <c r="E44" s="63">
        <f t="shared" ca="1" si="8"/>
        <v>5.5058333333333342</v>
      </c>
      <c r="F44" s="46" t="s">
        <v>363</v>
      </c>
      <c r="G44" s="46" t="s">
        <v>160</v>
      </c>
      <c r="H44" s="46" t="s">
        <v>364</v>
      </c>
      <c r="I44" s="46" t="s">
        <v>326</v>
      </c>
      <c r="J44" s="46">
        <v>10.4</v>
      </c>
      <c r="K44" s="46">
        <v>5.89</v>
      </c>
      <c r="L44" s="46">
        <v>3.69</v>
      </c>
      <c r="M44" s="46">
        <v>7.14</v>
      </c>
      <c r="N44" s="46">
        <v>6.34</v>
      </c>
      <c r="O44" s="46">
        <v>4.37</v>
      </c>
      <c r="P44" s="46">
        <v>3.15</v>
      </c>
      <c r="Q44" s="46">
        <v>7.32</v>
      </c>
      <c r="R44" s="46">
        <v>5.39</v>
      </c>
      <c r="S44" s="46">
        <v>5.7</v>
      </c>
      <c r="T44" s="46">
        <v>3.32</v>
      </c>
      <c r="U44" s="46">
        <v>6.69</v>
      </c>
      <c r="V44" s="46">
        <v>6.89</v>
      </c>
      <c r="W44" s="46">
        <v>4.3899999999999997</v>
      </c>
      <c r="X44" s="46">
        <v>2.85</v>
      </c>
      <c r="Y44" s="46">
        <v>6.9</v>
      </c>
      <c r="Z44" s="46">
        <v>8.18</v>
      </c>
      <c r="AA44" s="46">
        <v>5.29</v>
      </c>
      <c r="AB44" s="46" t="s">
        <v>160</v>
      </c>
      <c r="AC44" s="46" t="s">
        <v>160</v>
      </c>
    </row>
    <row r="45" spans="1:29">
      <c r="A45" s="62">
        <f t="shared" ca="1" si="5"/>
        <v>35</v>
      </c>
      <c r="B45" s="62" t="str">
        <f t="shared" ca="1" si="6"/>
        <v>E</v>
      </c>
      <c r="C45" s="62" t="str">
        <f t="shared" ca="1" si="4"/>
        <v>A-</v>
      </c>
      <c r="D45" s="62">
        <f t="shared" ca="1" si="7"/>
        <v>15</v>
      </c>
      <c r="E45" s="63">
        <f t="shared" ca="1" si="8"/>
        <v>2.1841666666666666</v>
      </c>
      <c r="F45" s="46" t="s">
        <v>365</v>
      </c>
      <c r="G45" s="46" t="s">
        <v>160</v>
      </c>
      <c r="H45" s="46" t="s">
        <v>366</v>
      </c>
      <c r="I45" s="46" t="s">
        <v>473</v>
      </c>
      <c r="J45" s="46">
        <v>3.06</v>
      </c>
      <c r="K45" s="46">
        <v>2.2799999999999998</v>
      </c>
      <c r="L45" s="46">
        <v>2.02</v>
      </c>
      <c r="M45" s="46">
        <v>2.48</v>
      </c>
      <c r="N45" s="46">
        <v>2.59</v>
      </c>
      <c r="O45" s="46">
        <v>2.0299999999999998</v>
      </c>
      <c r="P45" s="46">
        <v>1.8</v>
      </c>
      <c r="Q45" s="46">
        <v>2.62</v>
      </c>
      <c r="R45" s="46">
        <v>2.57</v>
      </c>
      <c r="S45" s="46">
        <v>1.95</v>
      </c>
      <c r="T45" s="46">
        <v>1.7</v>
      </c>
      <c r="U45" s="46">
        <v>2.2599999999999998</v>
      </c>
      <c r="V45" s="46">
        <v>2.77</v>
      </c>
      <c r="W45" s="46">
        <v>2.11</v>
      </c>
      <c r="X45" s="46">
        <v>1.71</v>
      </c>
      <c r="Y45" s="46">
        <v>2.19</v>
      </c>
      <c r="Z45" s="46">
        <v>2.62</v>
      </c>
      <c r="AA45" s="46">
        <v>1.91</v>
      </c>
      <c r="AB45" s="46" t="s">
        <v>160</v>
      </c>
      <c r="AC45" s="46" t="s">
        <v>160</v>
      </c>
    </row>
    <row r="46" spans="1:29">
      <c r="A46" s="62">
        <f t="shared" ca="1" si="5"/>
        <v>36</v>
      </c>
      <c r="B46" s="62" t="str">
        <f t="shared" ca="1" si="6"/>
        <v>E</v>
      </c>
      <c r="C46" s="62" t="str">
        <f t="shared" ca="1" si="4"/>
        <v>A-</v>
      </c>
      <c r="D46" s="62">
        <f t="shared" ca="1" si="7"/>
        <v>15</v>
      </c>
      <c r="E46" s="63">
        <f t="shared" ca="1" si="8"/>
        <v>3.9425000000000003</v>
      </c>
      <c r="F46" s="46" t="s">
        <v>368</v>
      </c>
      <c r="G46" s="46" t="s">
        <v>160</v>
      </c>
      <c r="H46" s="46" t="s">
        <v>369</v>
      </c>
      <c r="I46" s="46" t="s">
        <v>473</v>
      </c>
      <c r="J46" s="46">
        <v>4.3099999999999996</v>
      </c>
      <c r="K46" s="46">
        <v>3.58</v>
      </c>
      <c r="L46" s="46">
        <v>2.4900000000000002</v>
      </c>
      <c r="M46" s="46">
        <v>4.07</v>
      </c>
      <c r="N46" s="46">
        <v>3.57</v>
      </c>
      <c r="O46" s="46">
        <v>3.43</v>
      </c>
      <c r="P46" s="46">
        <v>2.37</v>
      </c>
      <c r="Q46" s="46">
        <v>5.09</v>
      </c>
      <c r="R46" s="46">
        <v>4</v>
      </c>
      <c r="S46" s="46">
        <v>3.94</v>
      </c>
      <c r="T46" s="46">
        <v>2.4700000000000002</v>
      </c>
      <c r="U46" s="46">
        <v>4.7300000000000004</v>
      </c>
      <c r="V46" s="46">
        <v>4.04</v>
      </c>
      <c r="W46" s="46">
        <v>3.63</v>
      </c>
      <c r="X46" s="46">
        <v>2.4500000000000002</v>
      </c>
      <c r="Y46" s="46">
        <v>6.2</v>
      </c>
      <c r="Z46" s="46">
        <v>4.43</v>
      </c>
      <c r="AA46" s="46">
        <v>3.96</v>
      </c>
      <c r="AB46" s="46" t="s">
        <v>160</v>
      </c>
      <c r="AC46" s="46" t="s">
        <v>160</v>
      </c>
    </row>
    <row r="47" spans="1:29">
      <c r="A47" s="62">
        <f t="shared" ca="1" si="5"/>
        <v>37</v>
      </c>
      <c r="B47" s="62" t="str">
        <f t="shared" ca="1" si="6"/>
        <v>E</v>
      </c>
      <c r="C47" s="62" t="str">
        <f t="shared" ca="1" si="4"/>
        <v>A-</v>
      </c>
      <c r="D47" s="62">
        <f t="shared" ca="1" si="7"/>
        <v>15</v>
      </c>
      <c r="E47" s="63">
        <f t="shared" ca="1" si="8"/>
        <v>3.5508333333333333</v>
      </c>
      <c r="F47" s="46" t="s">
        <v>370</v>
      </c>
      <c r="G47" s="46" t="s">
        <v>160</v>
      </c>
      <c r="H47" s="46" t="s">
        <v>371</v>
      </c>
      <c r="I47" s="46" t="s">
        <v>473</v>
      </c>
      <c r="J47" s="46">
        <v>4.08</v>
      </c>
      <c r="K47" s="46">
        <v>3.45</v>
      </c>
      <c r="L47" s="46">
        <v>2.8</v>
      </c>
      <c r="M47" s="46">
        <v>3.77</v>
      </c>
      <c r="N47" s="46">
        <v>3.2</v>
      </c>
      <c r="O47" s="46">
        <v>3.37</v>
      </c>
      <c r="P47" s="46">
        <v>2.9</v>
      </c>
      <c r="Q47" s="46">
        <v>4.3899999999999997</v>
      </c>
      <c r="R47" s="46">
        <v>4.2699999999999996</v>
      </c>
      <c r="S47" s="46">
        <v>3.65</v>
      </c>
      <c r="T47" s="46">
        <v>2.97</v>
      </c>
      <c r="U47" s="46">
        <v>3.82</v>
      </c>
      <c r="V47" s="46">
        <v>3.72</v>
      </c>
      <c r="W47" s="46">
        <v>3.37</v>
      </c>
      <c r="X47" s="46">
        <v>2.66</v>
      </c>
      <c r="Y47" s="46">
        <v>3.86</v>
      </c>
      <c r="Z47" s="46">
        <v>3.58</v>
      </c>
      <c r="AA47" s="46">
        <v>3.42</v>
      </c>
      <c r="AB47" s="46" t="s">
        <v>160</v>
      </c>
      <c r="AC47" s="46" t="s">
        <v>160</v>
      </c>
    </row>
    <row r="48" spans="1:29">
      <c r="A48" s="62">
        <f t="shared" ca="1" si="5"/>
        <v>38</v>
      </c>
      <c r="B48" s="62" t="str">
        <f t="shared" ca="1" si="6"/>
        <v>E</v>
      </c>
      <c r="C48" s="62" t="str">
        <f t="shared" ca="1" si="4"/>
        <v>BBB-</v>
      </c>
      <c r="D48" s="62">
        <f t="shared" ca="1" si="7"/>
        <v>12</v>
      </c>
      <c r="E48" s="63">
        <f t="shared" ca="1" si="8"/>
        <v>4.1275000000000004</v>
      </c>
      <c r="F48" s="46" t="s">
        <v>372</v>
      </c>
      <c r="G48" s="46" t="s">
        <v>160</v>
      </c>
      <c r="H48" s="46" t="s">
        <v>373</v>
      </c>
      <c r="I48" s="46" t="s">
        <v>551</v>
      </c>
      <c r="J48" s="46">
        <v>4.7699999999999996</v>
      </c>
      <c r="K48" s="46">
        <v>4.42</v>
      </c>
      <c r="L48" s="46">
        <v>4.04</v>
      </c>
      <c r="M48" s="46">
        <v>3.83</v>
      </c>
      <c r="N48" s="46">
        <v>3.65</v>
      </c>
      <c r="O48" s="46">
        <v>3.78</v>
      </c>
      <c r="P48" s="46">
        <v>3.57</v>
      </c>
      <c r="Q48" s="46">
        <v>4.3600000000000003</v>
      </c>
      <c r="R48" s="46">
        <v>4.32</v>
      </c>
      <c r="S48" s="46">
        <v>4.05</v>
      </c>
      <c r="T48" s="46">
        <v>3.66</v>
      </c>
      <c r="U48" s="46">
        <v>4.33</v>
      </c>
      <c r="V48" s="46">
        <v>4.45</v>
      </c>
      <c r="W48" s="46">
        <v>3.98</v>
      </c>
      <c r="X48" s="46">
        <v>3.46</v>
      </c>
      <c r="Y48" s="46">
        <v>4</v>
      </c>
      <c r="Z48" s="46">
        <v>4.8099999999999996</v>
      </c>
      <c r="AA48" s="46">
        <v>4.54</v>
      </c>
      <c r="AB48" s="46" t="s">
        <v>160</v>
      </c>
      <c r="AC48" s="46" t="s">
        <v>160</v>
      </c>
    </row>
    <row r="49" spans="1:29">
      <c r="A49" s="62">
        <f t="shared" ca="1" si="5"/>
        <v>39</v>
      </c>
      <c r="B49" s="62" t="str">
        <f t="shared" ca="1" si="6"/>
        <v>E</v>
      </c>
      <c r="C49" s="62" t="str">
        <f t="shared" ca="1" si="4"/>
        <v>BBB</v>
      </c>
      <c r="D49" s="62">
        <f t="shared" ca="1" si="7"/>
        <v>13</v>
      </c>
      <c r="E49" s="63">
        <f t="shared" ca="1" si="8"/>
        <v>4.7249999999999996</v>
      </c>
      <c r="F49" s="46" t="s">
        <v>375</v>
      </c>
      <c r="G49" s="46" t="s">
        <v>160</v>
      </c>
      <c r="H49" s="46" t="s">
        <v>376</v>
      </c>
      <c r="I49" s="46" t="s">
        <v>551</v>
      </c>
      <c r="J49" s="46">
        <v>4.42</v>
      </c>
      <c r="K49" s="46">
        <v>4.08</v>
      </c>
      <c r="L49" s="46">
        <v>3.11</v>
      </c>
      <c r="M49" s="46">
        <v>5.77</v>
      </c>
      <c r="N49" s="46">
        <v>4.95</v>
      </c>
      <c r="O49" s="46">
        <v>4.09</v>
      </c>
      <c r="P49" s="46">
        <v>3.01</v>
      </c>
      <c r="Q49" s="46">
        <v>7.08</v>
      </c>
      <c r="R49" s="46">
        <v>5.74</v>
      </c>
      <c r="S49" s="46">
        <v>3.97</v>
      </c>
      <c r="T49" s="46">
        <v>3.49</v>
      </c>
      <c r="U49" s="46">
        <v>4.8099999999999996</v>
      </c>
      <c r="V49" s="46">
        <v>5.94</v>
      </c>
      <c r="W49" s="46">
        <v>4.4400000000000004</v>
      </c>
      <c r="X49" s="46">
        <v>3.78</v>
      </c>
      <c r="Y49" s="46">
        <v>4.62</v>
      </c>
      <c r="Z49" s="46">
        <v>5.62</v>
      </c>
      <c r="AA49" s="46">
        <v>4.2</v>
      </c>
      <c r="AB49" s="46" t="s">
        <v>160</v>
      </c>
      <c r="AC49" s="46" t="s">
        <v>160</v>
      </c>
    </row>
    <row r="50" spans="1:29">
      <c r="A50" s="62">
        <f t="shared" ca="1" si="5"/>
        <v>40</v>
      </c>
      <c r="B50" s="62" t="str">
        <f t="shared" ca="1" si="6"/>
        <v>E</v>
      </c>
      <c r="C50" s="62" t="str">
        <f t="shared" ca="1" si="4"/>
        <v>A-</v>
      </c>
      <c r="D50" s="62">
        <f t="shared" ca="1" si="7"/>
        <v>15</v>
      </c>
      <c r="E50" s="63">
        <f t="shared" ca="1" si="8"/>
        <v>3.3577777777777778</v>
      </c>
      <c r="F50" s="46" t="s">
        <v>377</v>
      </c>
      <c r="G50" s="46" t="s">
        <v>160</v>
      </c>
      <c r="H50" s="46" t="s">
        <v>378</v>
      </c>
      <c r="I50" s="46" t="s">
        <v>326</v>
      </c>
      <c r="J50" s="46">
        <v>0.88300000000000001</v>
      </c>
      <c r="K50" s="46">
        <v>2.98</v>
      </c>
      <c r="L50" s="46">
        <v>5.57</v>
      </c>
      <c r="M50" s="46">
        <v>1.69</v>
      </c>
      <c r="N50" s="46">
        <v>1.19</v>
      </c>
      <c r="O50" s="46">
        <v>4.38</v>
      </c>
      <c r="P50" s="46" t="s">
        <v>160</v>
      </c>
      <c r="Q50" s="46" t="s">
        <v>160</v>
      </c>
      <c r="R50" s="46" t="s">
        <v>160</v>
      </c>
      <c r="S50" s="46">
        <v>3.92</v>
      </c>
      <c r="T50" s="46">
        <v>6.74</v>
      </c>
      <c r="U50" s="46">
        <v>1.91</v>
      </c>
      <c r="V50" s="46">
        <v>1.32</v>
      </c>
      <c r="W50" s="46">
        <v>3.86</v>
      </c>
      <c r="X50" s="46">
        <v>5.87</v>
      </c>
      <c r="Y50" s="46">
        <v>1.93</v>
      </c>
      <c r="Z50" s="46">
        <v>1.25</v>
      </c>
      <c r="AA50" s="46">
        <v>3.42</v>
      </c>
      <c r="AB50" s="46" t="s">
        <v>160</v>
      </c>
      <c r="AC50" s="46" t="s">
        <v>160</v>
      </c>
    </row>
    <row r="51" spans="1:29">
      <c r="A51" s="62">
        <f t="shared" ca="1" si="5"/>
        <v>41</v>
      </c>
      <c r="B51" s="62" t="str">
        <f t="shared" ca="1" si="6"/>
        <v>E</v>
      </c>
      <c r="C51" s="62" t="str">
        <f t="shared" ca="1" si="4"/>
        <v>A-</v>
      </c>
      <c r="D51" s="62">
        <f t="shared" ca="1" si="7"/>
        <v>15</v>
      </c>
      <c r="E51" s="63">
        <f t="shared" ca="1" si="8"/>
        <v>3.7449999999999997</v>
      </c>
      <c r="F51" s="46" t="s">
        <v>380</v>
      </c>
      <c r="G51" s="46" t="s">
        <v>160</v>
      </c>
      <c r="H51" s="46" t="s">
        <v>381</v>
      </c>
      <c r="I51" s="46" t="s">
        <v>326</v>
      </c>
      <c r="J51" s="46">
        <v>3.8</v>
      </c>
      <c r="K51" s="46">
        <v>3.95</v>
      </c>
      <c r="L51" s="46">
        <v>3.37</v>
      </c>
      <c r="M51" s="46">
        <v>3.74</v>
      </c>
      <c r="N51" s="46">
        <v>2.2999999999999998</v>
      </c>
      <c r="O51" s="46">
        <v>3.85</v>
      </c>
      <c r="P51" s="46">
        <v>3.52</v>
      </c>
      <c r="Q51" s="46">
        <v>4.53</v>
      </c>
      <c r="R51" s="46">
        <v>2.75</v>
      </c>
      <c r="S51" s="46">
        <v>3.47</v>
      </c>
      <c r="T51" s="46">
        <v>3.1</v>
      </c>
      <c r="U51" s="46">
        <v>4.01</v>
      </c>
      <c r="V51" s="46">
        <v>3.02</v>
      </c>
      <c r="W51" s="46">
        <v>3.56</v>
      </c>
      <c r="X51" s="46">
        <v>2.82</v>
      </c>
      <c r="Y51" s="46">
        <v>5.68</v>
      </c>
      <c r="Z51" s="46">
        <v>3.34</v>
      </c>
      <c r="AA51" s="46">
        <v>5.14</v>
      </c>
      <c r="AB51" s="46" t="s">
        <v>160</v>
      </c>
      <c r="AC51" s="46" t="s">
        <v>160</v>
      </c>
    </row>
    <row r="52" spans="1:29">
      <c r="A52" s="62">
        <f t="shared" ca="1" si="5"/>
        <v>42</v>
      </c>
      <c r="B52" s="62" t="str">
        <f t="shared" ca="1" si="6"/>
        <v>E</v>
      </c>
      <c r="C52" s="62" t="str">
        <f t="shared" ca="1" si="4"/>
        <v>A-</v>
      </c>
      <c r="D52" s="62">
        <f t="shared" ca="1" si="7"/>
        <v>15</v>
      </c>
      <c r="E52" s="63">
        <f t="shared" ca="1" si="8"/>
        <v>5.0066666666666668</v>
      </c>
      <c r="F52" s="46" t="s">
        <v>382</v>
      </c>
      <c r="G52" s="46" t="s">
        <v>160</v>
      </c>
      <c r="H52" s="46" t="s">
        <v>383</v>
      </c>
      <c r="I52" s="46" t="s">
        <v>326</v>
      </c>
      <c r="J52" s="46">
        <v>3.95</v>
      </c>
      <c r="K52" s="46">
        <v>4.29</v>
      </c>
      <c r="L52" s="46">
        <v>2.56</v>
      </c>
      <c r="M52" s="46">
        <v>4.9000000000000004</v>
      </c>
      <c r="N52" s="46">
        <v>3.97</v>
      </c>
      <c r="O52" s="46">
        <v>5.03</v>
      </c>
      <c r="P52" s="46">
        <v>2.98</v>
      </c>
      <c r="Q52" s="46">
        <v>6.44</v>
      </c>
      <c r="R52" s="46">
        <v>4.2300000000000004</v>
      </c>
      <c r="S52" s="46">
        <v>5.62</v>
      </c>
      <c r="T52" s="46">
        <v>3.04</v>
      </c>
      <c r="U52" s="46">
        <v>6.84</v>
      </c>
      <c r="V52" s="46">
        <v>4.54</v>
      </c>
      <c r="W52" s="46">
        <v>5.27</v>
      </c>
      <c r="X52" s="46">
        <v>3.52</v>
      </c>
      <c r="Y52" s="46">
        <v>6.77</v>
      </c>
      <c r="Z52" s="46">
        <v>5.86</v>
      </c>
      <c r="AA52" s="46">
        <v>4.97</v>
      </c>
      <c r="AB52" s="46" t="s">
        <v>160</v>
      </c>
      <c r="AC52" s="46" t="s">
        <v>160</v>
      </c>
    </row>
    <row r="53" spans="1:29">
      <c r="A53" s="62">
        <f t="shared" ca="1" si="5"/>
        <v>43</v>
      </c>
      <c r="B53" s="62" t="str">
        <f t="shared" ca="1" si="6"/>
        <v>E</v>
      </c>
      <c r="C53" s="62" t="str">
        <f t="shared" ca="1" si="4"/>
        <v>BBB-</v>
      </c>
      <c r="D53" s="62">
        <f t="shared" ca="1" si="7"/>
        <v>12</v>
      </c>
      <c r="E53" s="63">
        <f t="shared" ca="1" si="8"/>
        <v>10.200833333333334</v>
      </c>
      <c r="F53" s="46" t="s">
        <v>384</v>
      </c>
      <c r="G53" s="46" t="s">
        <v>160</v>
      </c>
      <c r="H53" s="46" t="s">
        <v>385</v>
      </c>
      <c r="I53" s="46" t="s">
        <v>473</v>
      </c>
      <c r="J53" s="46">
        <v>5.1100000000000003</v>
      </c>
      <c r="K53" s="46">
        <v>4.83</v>
      </c>
      <c r="L53" s="46">
        <v>3.16</v>
      </c>
      <c r="M53" s="46">
        <v>5.1100000000000003</v>
      </c>
      <c r="N53" s="46">
        <v>6.02</v>
      </c>
      <c r="O53" s="46">
        <v>6</v>
      </c>
      <c r="P53" s="46">
        <v>4.04</v>
      </c>
      <c r="Q53" s="46">
        <v>44.4</v>
      </c>
      <c r="R53" s="46">
        <v>4.68</v>
      </c>
      <c r="S53" s="46">
        <v>4.4000000000000004</v>
      </c>
      <c r="T53" s="46">
        <v>3.07</v>
      </c>
      <c r="U53" s="46">
        <v>31.8</v>
      </c>
      <c r="V53" s="46">
        <v>6.09</v>
      </c>
      <c r="W53" s="46">
        <v>4.76</v>
      </c>
      <c r="X53" s="46">
        <v>3.05</v>
      </c>
      <c r="Y53" s="46">
        <v>6.88</v>
      </c>
      <c r="Z53" s="46">
        <v>5.31</v>
      </c>
      <c r="AA53" s="46">
        <v>3.93</v>
      </c>
      <c r="AB53" s="46" t="s">
        <v>160</v>
      </c>
      <c r="AC53" s="46" t="s">
        <v>160</v>
      </c>
    </row>
    <row r="54" spans="1:29">
      <c r="A54" s="62">
        <f t="shared" ca="1" si="5"/>
        <v>44</v>
      </c>
      <c r="B54" s="62" t="str">
        <f t="shared" ca="1" si="6"/>
        <v>E</v>
      </c>
      <c r="C54" s="62" t="str">
        <f t="shared" ca="1" si="4"/>
        <v>BBB+</v>
      </c>
      <c r="D54" s="62">
        <f t="shared" ca="1" si="7"/>
        <v>14</v>
      </c>
      <c r="E54" s="63">
        <f t="shared" ca="1" si="8"/>
        <v>4.5908333333333324</v>
      </c>
      <c r="F54" s="46" t="s">
        <v>386</v>
      </c>
      <c r="G54" s="46" t="s">
        <v>160</v>
      </c>
      <c r="H54" s="46" t="s">
        <v>387</v>
      </c>
      <c r="I54" s="46" t="s">
        <v>326</v>
      </c>
      <c r="J54" s="46">
        <v>5.52</v>
      </c>
      <c r="K54" s="46">
        <v>4.21</v>
      </c>
      <c r="L54" s="46">
        <v>2.6</v>
      </c>
      <c r="M54" s="46">
        <v>8.2799999999999994</v>
      </c>
      <c r="N54" s="46">
        <v>6</v>
      </c>
      <c r="O54" s="46">
        <v>5.0199999999999996</v>
      </c>
      <c r="P54" s="46">
        <v>2.83</v>
      </c>
      <c r="Q54" s="46">
        <v>6.04</v>
      </c>
      <c r="R54" s="46">
        <v>6.59</v>
      </c>
      <c r="S54" s="46">
        <v>4.96</v>
      </c>
      <c r="T54" s="46">
        <v>2.98</v>
      </c>
      <c r="U54" s="46">
        <v>5</v>
      </c>
      <c r="V54" s="46">
        <v>5.05</v>
      </c>
      <c r="W54" s="46">
        <v>3.51</v>
      </c>
      <c r="X54" s="46">
        <v>2.48</v>
      </c>
      <c r="Y54" s="46">
        <v>6.05</v>
      </c>
      <c r="Z54" s="46">
        <v>5.62</v>
      </c>
      <c r="AA54" s="46">
        <v>3.98</v>
      </c>
      <c r="AB54" s="46" t="s">
        <v>160</v>
      </c>
      <c r="AC54" s="46" t="s">
        <v>160</v>
      </c>
    </row>
    <row r="55" spans="1:29">
      <c r="A55" s="62">
        <f t="shared" ca="1" si="5"/>
        <v>45</v>
      </c>
      <c r="B55" s="62" t="str">
        <f t="shared" ca="1" si="6"/>
        <v>E</v>
      </c>
      <c r="C55" s="62" t="str">
        <f t="shared" ca="1" si="4"/>
        <v>BBB+</v>
      </c>
      <c r="D55" s="62">
        <f t="shared" ca="1" si="7"/>
        <v>14</v>
      </c>
      <c r="E55" s="63" t="str">
        <f t="shared" ca="1" si="8"/>
        <v>N/A</v>
      </c>
      <c r="F55" s="46" t="s">
        <v>388</v>
      </c>
      <c r="G55" s="46" t="s">
        <v>160</v>
      </c>
      <c r="H55" s="46" t="s">
        <v>389</v>
      </c>
      <c r="I55" s="46" t="s">
        <v>326</v>
      </c>
      <c r="J55" s="46" t="s">
        <v>160</v>
      </c>
      <c r="K55" s="46" t="s">
        <v>160</v>
      </c>
      <c r="L55" s="46" t="s">
        <v>160</v>
      </c>
      <c r="M55" s="46" t="s">
        <v>160</v>
      </c>
      <c r="N55" s="46" t="s">
        <v>160</v>
      </c>
      <c r="O55" s="46" t="s">
        <v>160</v>
      </c>
      <c r="P55" s="46" t="s">
        <v>160</v>
      </c>
      <c r="Q55" s="46" t="s">
        <v>160</v>
      </c>
      <c r="R55" s="46" t="s">
        <v>160</v>
      </c>
      <c r="S55" s="46" t="s">
        <v>160</v>
      </c>
      <c r="T55" s="46" t="s">
        <v>160</v>
      </c>
      <c r="U55" s="46" t="s">
        <v>160</v>
      </c>
      <c r="V55" s="46" t="s">
        <v>160</v>
      </c>
      <c r="W55" s="46" t="s">
        <v>160</v>
      </c>
      <c r="X55" s="46" t="s">
        <v>160</v>
      </c>
      <c r="Y55" s="46" t="s">
        <v>160</v>
      </c>
      <c r="Z55" s="46" t="s">
        <v>160</v>
      </c>
      <c r="AA55" s="46" t="s">
        <v>160</v>
      </c>
      <c r="AB55" s="46" t="s">
        <v>160</v>
      </c>
      <c r="AC55" s="46" t="s">
        <v>160</v>
      </c>
    </row>
    <row r="56" spans="1:29">
      <c r="A56" s="62">
        <f t="shared" ca="1" si="5"/>
        <v>46</v>
      </c>
      <c r="B56" s="62" t="str">
        <f t="shared" ca="1" si="6"/>
        <v>E</v>
      </c>
      <c r="C56" s="62" t="str">
        <f t="shared" ca="1" si="4"/>
        <v>BBB+</v>
      </c>
      <c r="D56" s="62">
        <f t="shared" ca="1" si="7"/>
        <v>14</v>
      </c>
      <c r="E56" s="63" t="str">
        <f t="shared" ca="1" si="8"/>
        <v>N/A</v>
      </c>
      <c r="F56" s="46" t="s">
        <v>390</v>
      </c>
      <c r="G56" s="46" t="s">
        <v>160</v>
      </c>
      <c r="H56" s="46" t="s">
        <v>391</v>
      </c>
      <c r="I56" s="46" t="s">
        <v>326</v>
      </c>
      <c r="J56" s="46" t="s">
        <v>160</v>
      </c>
      <c r="K56" s="46" t="s">
        <v>160</v>
      </c>
      <c r="L56" s="46" t="s">
        <v>160</v>
      </c>
      <c r="M56" s="46" t="s">
        <v>160</v>
      </c>
      <c r="N56" s="46" t="s">
        <v>160</v>
      </c>
      <c r="O56" s="46" t="s">
        <v>160</v>
      </c>
      <c r="P56" s="46" t="s">
        <v>160</v>
      </c>
      <c r="Q56" s="46" t="s">
        <v>160</v>
      </c>
      <c r="R56" s="46" t="s">
        <v>160</v>
      </c>
      <c r="S56" s="46" t="s">
        <v>160</v>
      </c>
      <c r="T56" s="46" t="s">
        <v>160</v>
      </c>
      <c r="U56" s="46" t="s">
        <v>160</v>
      </c>
      <c r="V56" s="46" t="s">
        <v>160</v>
      </c>
      <c r="W56" s="46" t="s">
        <v>160</v>
      </c>
      <c r="X56" s="46" t="s">
        <v>160</v>
      </c>
      <c r="Y56" s="46" t="s">
        <v>160</v>
      </c>
      <c r="Z56" s="46" t="s">
        <v>160</v>
      </c>
      <c r="AA56" s="46" t="s">
        <v>160</v>
      </c>
      <c r="AB56" s="46" t="s">
        <v>160</v>
      </c>
      <c r="AC56" s="46" t="s">
        <v>160</v>
      </c>
    </row>
    <row r="57" spans="1:29">
      <c r="A57" s="62">
        <f t="shared" ca="1" si="5"/>
        <v>47</v>
      </c>
      <c r="B57" s="62" t="str">
        <f t="shared" ca="1" si="6"/>
        <v>E</v>
      </c>
      <c r="C57" s="62" t="str">
        <f t="shared" ca="1" si="4"/>
        <v>A-</v>
      </c>
      <c r="D57" s="62">
        <f t="shared" ca="1" si="7"/>
        <v>15</v>
      </c>
      <c r="E57" s="63">
        <f t="shared" ca="1" si="8"/>
        <v>15.69</v>
      </c>
      <c r="F57" s="46" t="s">
        <v>392</v>
      </c>
      <c r="G57" s="46" t="s">
        <v>160</v>
      </c>
      <c r="H57" s="46" t="s">
        <v>393</v>
      </c>
      <c r="I57" s="46" t="s">
        <v>326</v>
      </c>
      <c r="J57" s="46">
        <v>3.02</v>
      </c>
      <c r="K57" s="46">
        <v>4.42</v>
      </c>
      <c r="L57" s="46">
        <v>4.67</v>
      </c>
      <c r="M57" s="46">
        <v>2.65</v>
      </c>
      <c r="N57" s="46">
        <v>2.33</v>
      </c>
      <c r="O57" s="46">
        <v>3.78</v>
      </c>
      <c r="P57" s="46">
        <v>4.03</v>
      </c>
      <c r="Q57" s="46">
        <v>132.80000000000001</v>
      </c>
      <c r="R57" s="46">
        <v>4.2300000000000004</v>
      </c>
      <c r="S57" s="46">
        <v>6.08</v>
      </c>
      <c r="T57" s="46">
        <v>5.55</v>
      </c>
      <c r="U57" s="46">
        <v>6.14</v>
      </c>
      <c r="V57" s="46">
        <v>3.69</v>
      </c>
      <c r="W57" s="46">
        <v>5.49</v>
      </c>
      <c r="X57" s="46">
        <v>4.3099999999999996</v>
      </c>
      <c r="Y57" s="46">
        <v>4.9800000000000004</v>
      </c>
      <c r="Z57" s="46">
        <v>4.5</v>
      </c>
      <c r="AA57" s="46">
        <v>6.48</v>
      </c>
      <c r="AB57" s="46" t="s">
        <v>160</v>
      </c>
      <c r="AC57" s="46" t="s">
        <v>160</v>
      </c>
    </row>
    <row r="58" spans="1:29">
      <c r="A58" s="62">
        <f t="shared" ca="1" si="5"/>
        <v>48</v>
      </c>
      <c r="B58" s="62" t="str">
        <f t="shared" ca="1" si="6"/>
        <v>E</v>
      </c>
      <c r="C58" s="62" t="str">
        <f t="shared" ca="1" si="4"/>
        <v>A-</v>
      </c>
      <c r="D58" s="62">
        <f t="shared" ca="1" si="7"/>
        <v>15</v>
      </c>
      <c r="E58" s="63">
        <f t="shared" ca="1" si="8"/>
        <v>3.6658333333333331</v>
      </c>
      <c r="F58" s="46" t="s">
        <v>394</v>
      </c>
      <c r="G58" s="46" t="s">
        <v>160</v>
      </c>
      <c r="H58" s="46" t="s">
        <v>395</v>
      </c>
      <c r="I58" s="46" t="s">
        <v>473</v>
      </c>
      <c r="J58" s="46">
        <v>3.19</v>
      </c>
      <c r="K58" s="46">
        <v>4.1100000000000003</v>
      </c>
      <c r="L58" s="46">
        <v>3.37</v>
      </c>
      <c r="M58" s="46">
        <v>3.8</v>
      </c>
      <c r="N58" s="46">
        <v>3.11</v>
      </c>
      <c r="O58" s="46">
        <v>4.4800000000000004</v>
      </c>
      <c r="P58" s="46">
        <v>3.7</v>
      </c>
      <c r="Q58" s="46">
        <v>3.99</v>
      </c>
      <c r="R58" s="46">
        <v>3.11</v>
      </c>
      <c r="S58" s="46">
        <v>4.76</v>
      </c>
      <c r="T58" s="46">
        <v>3.34</v>
      </c>
      <c r="U58" s="46">
        <v>4.26</v>
      </c>
      <c r="V58" s="46">
        <v>3.2</v>
      </c>
      <c r="W58" s="46">
        <v>3.85</v>
      </c>
      <c r="X58" s="46">
        <v>3.03</v>
      </c>
      <c r="Y58" s="46">
        <v>3.59</v>
      </c>
      <c r="Z58" s="46">
        <v>3.5</v>
      </c>
      <c r="AA58" s="46">
        <v>3.66</v>
      </c>
      <c r="AB58" s="46" t="s">
        <v>160</v>
      </c>
      <c r="AC58" s="46" t="s">
        <v>160</v>
      </c>
    </row>
    <row r="59" spans="1:29">
      <c r="A59" s="62">
        <f t="shared" ca="1" si="5"/>
        <v>49</v>
      </c>
      <c r="B59" s="62" t="str">
        <f t="shared" ca="1" si="6"/>
        <v>E</v>
      </c>
      <c r="C59" s="62" t="str">
        <f t="shared" ca="1" si="4"/>
        <v>A-</v>
      </c>
      <c r="D59" s="62">
        <f t="shared" ca="1" si="7"/>
        <v>15</v>
      </c>
      <c r="E59" s="63">
        <f t="shared" ca="1" si="8"/>
        <v>3.4724999999999988</v>
      </c>
      <c r="F59" s="46" t="s">
        <v>396</v>
      </c>
      <c r="G59" s="46" t="s">
        <v>160</v>
      </c>
      <c r="H59" s="46" t="s">
        <v>397</v>
      </c>
      <c r="I59" s="46" t="s">
        <v>473</v>
      </c>
      <c r="J59" s="46">
        <v>2.9</v>
      </c>
      <c r="K59" s="46">
        <v>3.6</v>
      </c>
      <c r="L59" s="46">
        <v>2.76</v>
      </c>
      <c r="M59" s="46">
        <v>3.5</v>
      </c>
      <c r="N59" s="46">
        <v>2.83</v>
      </c>
      <c r="O59" s="46">
        <v>3.59</v>
      </c>
      <c r="P59" s="46">
        <v>3.25</v>
      </c>
      <c r="Q59" s="46">
        <v>3.8</v>
      </c>
      <c r="R59" s="46">
        <v>2.93</v>
      </c>
      <c r="S59" s="46">
        <v>3.86</v>
      </c>
      <c r="T59" s="46">
        <v>3.16</v>
      </c>
      <c r="U59" s="46">
        <v>4.01</v>
      </c>
      <c r="V59" s="46">
        <v>3.25</v>
      </c>
      <c r="W59" s="46">
        <v>3.75</v>
      </c>
      <c r="X59" s="46">
        <v>3.01</v>
      </c>
      <c r="Y59" s="46">
        <v>3.62</v>
      </c>
      <c r="Z59" s="46">
        <v>3.34</v>
      </c>
      <c r="AA59" s="46">
        <v>3.69</v>
      </c>
      <c r="AB59" s="46" t="s">
        <v>160</v>
      </c>
      <c r="AC59" s="46" t="s">
        <v>160</v>
      </c>
    </row>
    <row r="60" spans="1:29">
      <c r="A60" s="62">
        <f t="shared" ca="1" si="5"/>
        <v>50</v>
      </c>
      <c r="B60" s="62" t="str">
        <f t="shared" ca="1" si="6"/>
        <v>E</v>
      </c>
      <c r="C60" s="62" t="str">
        <f t="shared" ca="1" si="4"/>
        <v>AA-</v>
      </c>
      <c r="D60" s="62">
        <f t="shared" ca="1" si="7"/>
        <v>18</v>
      </c>
      <c r="E60" s="63">
        <f t="shared" ca="1" si="8"/>
        <v>2.6583333333333337</v>
      </c>
      <c r="F60" s="46" t="s">
        <v>398</v>
      </c>
      <c r="G60" s="46" t="s">
        <v>160</v>
      </c>
      <c r="H60" s="46" t="s">
        <v>399</v>
      </c>
      <c r="I60" s="46" t="s">
        <v>326</v>
      </c>
      <c r="J60" s="46">
        <v>2.36</v>
      </c>
      <c r="K60" s="46">
        <v>3.21</v>
      </c>
      <c r="L60" s="46">
        <v>1.87</v>
      </c>
      <c r="M60" s="46">
        <v>4.55</v>
      </c>
      <c r="N60" s="46">
        <v>1.86</v>
      </c>
      <c r="O60" s="46">
        <v>2.84</v>
      </c>
      <c r="P60" s="46">
        <v>2.0299999999999998</v>
      </c>
      <c r="Q60" s="46">
        <v>3.14</v>
      </c>
      <c r="R60" s="46">
        <v>2.76</v>
      </c>
      <c r="S60" s="46">
        <v>3.37</v>
      </c>
      <c r="T60" s="46">
        <v>2</v>
      </c>
      <c r="U60" s="46">
        <v>3.06</v>
      </c>
      <c r="V60" s="46">
        <v>2.6</v>
      </c>
      <c r="W60" s="46">
        <v>2.64</v>
      </c>
      <c r="X60" s="46">
        <v>1.94</v>
      </c>
      <c r="Y60" s="46">
        <v>2.86</v>
      </c>
      <c r="Z60" s="46">
        <v>2.5</v>
      </c>
      <c r="AA60" s="46">
        <v>3</v>
      </c>
      <c r="AB60" s="46" t="s">
        <v>160</v>
      </c>
      <c r="AC60" s="46" t="s">
        <v>160</v>
      </c>
    </row>
    <row r="61" spans="1:29">
      <c r="A61" s="62">
        <f t="shared" ca="1" si="5"/>
        <v>51</v>
      </c>
      <c r="B61" s="62" t="str">
        <f t="shared" ca="1" si="6"/>
        <v>E</v>
      </c>
      <c r="C61" s="62" t="str">
        <f t="shared" ca="1" si="4"/>
        <v>-</v>
      </c>
      <c r="D61" s="62" t="str">
        <f t="shared" ca="1" si="7"/>
        <v/>
      </c>
      <c r="E61" s="63" t="str">
        <f t="shared" ca="1" si="8"/>
        <v>N/A</v>
      </c>
      <c r="F61" s="46" t="s">
        <v>400</v>
      </c>
      <c r="G61" s="46" t="s">
        <v>160</v>
      </c>
      <c r="H61" s="46" t="s">
        <v>160</v>
      </c>
      <c r="I61" s="46" t="s">
        <v>326</v>
      </c>
      <c r="J61" s="46" t="s">
        <v>160</v>
      </c>
      <c r="K61" s="46" t="s">
        <v>160</v>
      </c>
      <c r="L61" s="46" t="s">
        <v>160</v>
      </c>
      <c r="M61" s="46" t="s">
        <v>160</v>
      </c>
      <c r="N61" s="46" t="s">
        <v>160</v>
      </c>
      <c r="O61" s="46" t="s">
        <v>160</v>
      </c>
      <c r="P61" s="46" t="s">
        <v>160</v>
      </c>
      <c r="Q61" s="46" t="s">
        <v>160</v>
      </c>
      <c r="R61" s="46" t="s">
        <v>160</v>
      </c>
      <c r="S61" s="46" t="s">
        <v>160</v>
      </c>
      <c r="T61" s="46" t="s">
        <v>160</v>
      </c>
      <c r="U61" s="46" t="s">
        <v>160</v>
      </c>
      <c r="V61" s="46" t="s">
        <v>160</v>
      </c>
      <c r="W61" s="46" t="s">
        <v>160</v>
      </c>
      <c r="X61" s="46" t="s">
        <v>160</v>
      </c>
      <c r="Y61" s="46" t="s">
        <v>160</v>
      </c>
      <c r="Z61" s="46" t="s">
        <v>160</v>
      </c>
      <c r="AA61" s="46" t="s">
        <v>160</v>
      </c>
      <c r="AB61" s="46" t="s">
        <v>160</v>
      </c>
      <c r="AC61" s="46" t="s">
        <v>160</v>
      </c>
    </row>
    <row r="62" spans="1:29">
      <c r="A62" s="62">
        <f t="shared" ca="1" si="5"/>
        <v>52</v>
      </c>
      <c r="B62" s="62" t="str">
        <f t="shared" ca="1" si="6"/>
        <v>E</v>
      </c>
      <c r="C62" s="62" t="str">
        <f t="shared" ca="1" si="4"/>
        <v>BBB-</v>
      </c>
      <c r="D62" s="62">
        <f t="shared" ca="1" si="7"/>
        <v>12</v>
      </c>
      <c r="E62" s="63">
        <f t="shared" ca="1" si="8"/>
        <v>6.7590909090909088</v>
      </c>
      <c r="F62" s="46" t="s">
        <v>401</v>
      </c>
      <c r="G62" s="46" t="s">
        <v>160</v>
      </c>
      <c r="H62" s="46" t="s">
        <v>402</v>
      </c>
      <c r="I62" s="46" t="s">
        <v>473</v>
      </c>
      <c r="J62" s="46">
        <v>2.96</v>
      </c>
      <c r="K62" s="46">
        <v>3.23</v>
      </c>
      <c r="L62" s="46">
        <v>3.34</v>
      </c>
      <c r="M62" s="46">
        <v>3.27</v>
      </c>
      <c r="N62" s="46">
        <v>6.63</v>
      </c>
      <c r="O62" s="46">
        <v>4.99</v>
      </c>
      <c r="P62" s="46">
        <v>3.89</v>
      </c>
      <c r="Q62" s="46">
        <v>11.1</v>
      </c>
      <c r="R62" s="46">
        <v>3.48</v>
      </c>
      <c r="S62" s="46">
        <v>3.14</v>
      </c>
      <c r="T62" s="46">
        <v>2.4500000000000002</v>
      </c>
      <c r="U62" s="46">
        <v>25.8</v>
      </c>
      <c r="V62" s="46" t="s">
        <v>160</v>
      </c>
      <c r="W62" s="46">
        <v>3.4</v>
      </c>
      <c r="X62" s="46">
        <v>2.63</v>
      </c>
      <c r="Y62" s="46">
        <v>12.6</v>
      </c>
      <c r="Z62" s="46">
        <v>2.61</v>
      </c>
      <c r="AA62" s="46">
        <v>3.25</v>
      </c>
      <c r="AB62" s="46" t="s">
        <v>160</v>
      </c>
      <c r="AC62" s="46" t="s">
        <v>160</v>
      </c>
    </row>
    <row r="63" spans="1:29">
      <c r="A63" s="62">
        <f t="shared" ca="1" si="5"/>
        <v>53</v>
      </c>
      <c r="B63" s="62" t="str">
        <f t="shared" ca="1" si="6"/>
        <v>E</v>
      </c>
      <c r="C63" s="62" t="str">
        <f t="shared" ca="1" si="4"/>
        <v>BBB+</v>
      </c>
      <c r="D63" s="62">
        <f t="shared" ca="1" si="7"/>
        <v>14</v>
      </c>
      <c r="E63" s="63">
        <f t="shared" ca="1" si="8"/>
        <v>10.065</v>
      </c>
      <c r="F63" s="46" t="s">
        <v>403</v>
      </c>
      <c r="G63" s="46" t="s">
        <v>160</v>
      </c>
      <c r="H63" s="46" t="s">
        <v>404</v>
      </c>
      <c r="I63" s="46" t="s">
        <v>473</v>
      </c>
      <c r="J63" s="46">
        <v>10.6</v>
      </c>
      <c r="K63" s="46">
        <v>6.78</v>
      </c>
      <c r="L63" s="46">
        <v>6.13</v>
      </c>
      <c r="M63" s="46">
        <v>14.2</v>
      </c>
      <c r="N63" s="46">
        <v>8.41</v>
      </c>
      <c r="O63" s="46">
        <v>7.83</v>
      </c>
      <c r="P63" s="46">
        <v>6.46</v>
      </c>
      <c r="Q63" s="46">
        <v>22.1</v>
      </c>
      <c r="R63" s="46">
        <v>10</v>
      </c>
      <c r="S63" s="46">
        <v>10.3</v>
      </c>
      <c r="T63" s="46">
        <v>6.11</v>
      </c>
      <c r="U63" s="46">
        <v>10.7</v>
      </c>
      <c r="V63" s="46">
        <v>10.3</v>
      </c>
      <c r="W63" s="46">
        <v>8.18</v>
      </c>
      <c r="X63" s="46">
        <v>17.8</v>
      </c>
      <c r="Y63" s="46">
        <v>4.5199999999999996</v>
      </c>
      <c r="Z63" s="46">
        <v>8.6999999999999993</v>
      </c>
      <c r="AA63" s="46">
        <v>5.61</v>
      </c>
      <c r="AB63" s="46" t="s">
        <v>160</v>
      </c>
      <c r="AC63" s="46" t="s">
        <v>160</v>
      </c>
    </row>
    <row r="64" spans="1:29">
      <c r="A64" s="62">
        <f t="shared" ca="1" si="5"/>
        <v>54</v>
      </c>
      <c r="B64" s="62" t="str">
        <f t="shared" ca="1" si="6"/>
        <v>E</v>
      </c>
      <c r="C64" s="62" t="str">
        <f t="shared" ca="1" si="4"/>
        <v>BBB-</v>
      </c>
      <c r="D64" s="62">
        <f t="shared" ca="1" si="7"/>
        <v>12</v>
      </c>
      <c r="E64" s="63">
        <f t="shared" ca="1" si="8"/>
        <v>5.0841666666666665</v>
      </c>
      <c r="F64" s="46" t="s">
        <v>405</v>
      </c>
      <c r="G64" s="46" t="s">
        <v>160</v>
      </c>
      <c r="H64" s="46" t="s">
        <v>406</v>
      </c>
      <c r="I64" s="46" t="s">
        <v>473</v>
      </c>
      <c r="J64" s="46">
        <v>2.95</v>
      </c>
      <c r="K64" s="46">
        <v>4.25</v>
      </c>
      <c r="L64" s="46">
        <v>3.84</v>
      </c>
      <c r="M64" s="46">
        <v>5.63</v>
      </c>
      <c r="N64" s="46">
        <v>4.4400000000000004</v>
      </c>
      <c r="O64" s="46">
        <v>6.77</v>
      </c>
      <c r="P64" s="46">
        <v>6.88</v>
      </c>
      <c r="Q64" s="46">
        <v>9.9700000000000006</v>
      </c>
      <c r="R64" s="46">
        <v>3.66</v>
      </c>
      <c r="S64" s="46">
        <v>4.72</v>
      </c>
      <c r="T64" s="46">
        <v>3.96</v>
      </c>
      <c r="U64" s="46">
        <v>6.06</v>
      </c>
      <c r="V64" s="46">
        <v>3.53</v>
      </c>
      <c r="W64" s="46">
        <v>5.26</v>
      </c>
      <c r="X64" s="46">
        <v>3.81</v>
      </c>
      <c r="Y64" s="46">
        <v>4.4400000000000004</v>
      </c>
      <c r="Z64" s="46">
        <v>3.87</v>
      </c>
      <c r="AA64" s="46">
        <v>4.8499999999999996</v>
      </c>
      <c r="AB64" s="46" t="s">
        <v>160</v>
      </c>
      <c r="AC64" s="46" t="s">
        <v>160</v>
      </c>
    </row>
    <row r="65" spans="1:29">
      <c r="A65" s="62">
        <f t="shared" ca="1" si="5"/>
        <v>55</v>
      </c>
      <c r="B65" s="62" t="str">
        <f t="shared" ca="1" si="6"/>
        <v>G</v>
      </c>
      <c r="C65" s="62" t="str">
        <f t="shared" ca="1" si="4"/>
        <v>A</v>
      </c>
      <c r="D65" s="62">
        <f t="shared" ca="1" si="7"/>
        <v>16</v>
      </c>
      <c r="E65" s="63">
        <f t="shared" ca="1" si="8"/>
        <v>9.3899999999999988</v>
      </c>
      <c r="F65" s="46" t="s">
        <v>407</v>
      </c>
      <c r="G65" s="46" t="s">
        <v>160</v>
      </c>
      <c r="H65" s="46" t="s">
        <v>408</v>
      </c>
      <c r="I65" s="46" t="s">
        <v>554</v>
      </c>
      <c r="J65" s="46">
        <v>1.69</v>
      </c>
      <c r="K65" s="46">
        <v>6.28</v>
      </c>
      <c r="L65" s="46">
        <v>16.5</v>
      </c>
      <c r="M65" s="46">
        <v>2.58</v>
      </c>
      <c r="N65" s="46">
        <v>1.67</v>
      </c>
      <c r="O65" s="46">
        <v>5.52</v>
      </c>
      <c r="P65" s="46">
        <v>21.6</v>
      </c>
      <c r="Q65" s="46">
        <v>2.82</v>
      </c>
      <c r="R65" s="46">
        <v>1.93</v>
      </c>
      <c r="S65" s="46">
        <v>6.08</v>
      </c>
      <c r="T65" s="46">
        <v>27.8</v>
      </c>
      <c r="U65" s="46">
        <v>2.96</v>
      </c>
      <c r="V65" s="46">
        <v>2.0299999999999998</v>
      </c>
      <c r="W65" s="46">
        <v>7.99</v>
      </c>
      <c r="X65" s="46">
        <v>25.5</v>
      </c>
      <c r="Y65" s="46">
        <v>3.03</v>
      </c>
      <c r="Z65" s="46">
        <v>1.55</v>
      </c>
      <c r="AA65" s="46" t="s">
        <v>160</v>
      </c>
      <c r="AB65" s="46" t="s">
        <v>160</v>
      </c>
      <c r="AC65" s="46" t="s">
        <v>160</v>
      </c>
    </row>
    <row r="66" spans="1:29">
      <c r="A66" s="62">
        <f t="shared" ca="1" si="5"/>
        <v>56</v>
      </c>
      <c r="B66" s="62" t="str">
        <f t="shared" ca="1" si="6"/>
        <v>E</v>
      </c>
      <c r="C66" s="62" t="str">
        <f t="shared" ca="1" si="4"/>
        <v>A-</v>
      </c>
      <c r="D66" s="62">
        <f t="shared" ca="1" si="7"/>
        <v>15</v>
      </c>
      <c r="E66" s="63">
        <f t="shared" ca="1" si="8"/>
        <v>3.5863636363636364</v>
      </c>
      <c r="F66" s="46" t="s">
        <v>410</v>
      </c>
      <c r="G66" s="46" t="s">
        <v>160</v>
      </c>
      <c r="H66" s="46" t="s">
        <v>411</v>
      </c>
      <c r="I66" s="46" t="s">
        <v>473</v>
      </c>
      <c r="J66" s="46" t="s">
        <v>160</v>
      </c>
      <c r="K66" s="46" t="s">
        <v>160</v>
      </c>
      <c r="L66" s="46" t="s">
        <v>160</v>
      </c>
      <c r="M66" s="46" t="s">
        <v>160</v>
      </c>
      <c r="N66" s="46" t="s">
        <v>160</v>
      </c>
      <c r="O66" s="46" t="s">
        <v>160</v>
      </c>
      <c r="P66" s="46" t="s">
        <v>160</v>
      </c>
      <c r="Q66" s="46">
        <v>3.18</v>
      </c>
      <c r="R66" s="46">
        <v>3.24</v>
      </c>
      <c r="S66" s="46">
        <v>3.92</v>
      </c>
      <c r="T66" s="46">
        <v>4.6100000000000003</v>
      </c>
      <c r="U66" s="46">
        <v>3.58</v>
      </c>
      <c r="V66" s="46">
        <v>3.23</v>
      </c>
      <c r="W66" s="46">
        <v>3.78</v>
      </c>
      <c r="X66" s="46">
        <v>4.62</v>
      </c>
      <c r="Y66" s="46">
        <v>2.79</v>
      </c>
      <c r="Z66" s="46">
        <v>2.85</v>
      </c>
      <c r="AA66" s="46">
        <v>3.65</v>
      </c>
      <c r="AB66" s="46" t="s">
        <v>160</v>
      </c>
      <c r="AC66" s="46" t="s">
        <v>160</v>
      </c>
    </row>
    <row r="67" spans="1:29">
      <c r="A67" s="62">
        <f t="shared" ca="1" si="5"/>
        <v>57</v>
      </c>
      <c r="B67" s="62" t="str">
        <f t="shared" ca="1" si="6"/>
        <v>G</v>
      </c>
      <c r="C67" s="62" t="str">
        <f t="shared" ca="1" si="4"/>
        <v>BBB+</v>
      </c>
      <c r="D67" s="62">
        <f t="shared" ca="1" si="7"/>
        <v>14</v>
      </c>
      <c r="E67" s="63">
        <f t="shared" ca="1" si="8"/>
        <v>6.9933333333333332</v>
      </c>
      <c r="F67" s="46" t="s">
        <v>125</v>
      </c>
      <c r="G67" s="46" t="s">
        <v>221</v>
      </c>
      <c r="H67" s="46" t="s">
        <v>222</v>
      </c>
      <c r="I67" s="46" t="s">
        <v>554</v>
      </c>
      <c r="J67" s="46">
        <v>3.71</v>
      </c>
      <c r="K67" s="46">
        <v>6.16</v>
      </c>
      <c r="L67" s="46">
        <v>6.82</v>
      </c>
      <c r="M67" s="46">
        <v>4.38</v>
      </c>
      <c r="N67" s="46">
        <v>3.4</v>
      </c>
      <c r="O67" s="46">
        <v>6.21</v>
      </c>
      <c r="P67" s="46">
        <v>7.06</v>
      </c>
      <c r="Q67" s="46">
        <v>5.19</v>
      </c>
      <c r="R67" s="46">
        <v>3.33</v>
      </c>
      <c r="S67" s="46">
        <v>7.21</v>
      </c>
      <c r="T67" s="46">
        <v>7.25</v>
      </c>
      <c r="U67" s="46">
        <v>19.100000000000001</v>
      </c>
      <c r="V67" s="46">
        <v>3.62</v>
      </c>
      <c r="W67" s="46">
        <v>6.7</v>
      </c>
      <c r="X67" s="46">
        <v>7.58</v>
      </c>
      <c r="Y67" s="46">
        <v>5.38</v>
      </c>
      <c r="Z67" s="46">
        <v>3.73</v>
      </c>
      <c r="AA67" s="46">
        <v>7.77</v>
      </c>
      <c r="AB67" s="46" t="s">
        <v>160</v>
      </c>
      <c r="AC67" s="46" t="s">
        <v>160</v>
      </c>
    </row>
    <row r="68" spans="1:29">
      <c r="A68" s="62">
        <f t="shared" ca="1" si="5"/>
        <v>58</v>
      </c>
      <c r="B68" s="62" t="str">
        <f t="shared" ca="1" si="6"/>
        <v>E</v>
      </c>
      <c r="C68" s="62" t="str">
        <f t="shared" ca="1" si="4"/>
        <v>A-</v>
      </c>
      <c r="D68" s="62">
        <f t="shared" ca="1" si="7"/>
        <v>15</v>
      </c>
      <c r="E68" s="63">
        <f t="shared" ca="1" si="8"/>
        <v>3.22</v>
      </c>
      <c r="F68" s="46" t="s">
        <v>413</v>
      </c>
      <c r="G68" s="46" t="s">
        <v>160</v>
      </c>
      <c r="H68" s="46" t="s">
        <v>414</v>
      </c>
      <c r="I68" s="46" t="s">
        <v>326</v>
      </c>
      <c r="J68" s="46" t="s">
        <v>160</v>
      </c>
      <c r="K68" s="46" t="s">
        <v>160</v>
      </c>
      <c r="L68" s="46" t="s">
        <v>160</v>
      </c>
      <c r="M68" s="46" t="s">
        <v>160</v>
      </c>
      <c r="N68" s="46" t="s">
        <v>160</v>
      </c>
      <c r="O68" s="46" t="s">
        <v>160</v>
      </c>
      <c r="P68" s="46" t="s">
        <v>160</v>
      </c>
      <c r="Q68" s="46" t="s">
        <v>160</v>
      </c>
      <c r="R68" s="46" t="s">
        <v>160</v>
      </c>
      <c r="S68" s="46" t="s">
        <v>160</v>
      </c>
      <c r="T68" s="46" t="s">
        <v>160</v>
      </c>
      <c r="U68" s="46" t="s">
        <v>160</v>
      </c>
      <c r="V68" s="46">
        <v>1.72</v>
      </c>
      <c r="W68" s="46">
        <v>5.47</v>
      </c>
      <c r="X68" s="46">
        <v>5.15</v>
      </c>
      <c r="Y68" s="46">
        <v>2.27</v>
      </c>
      <c r="Z68" s="46">
        <v>1.61</v>
      </c>
      <c r="AA68" s="46">
        <v>3.1</v>
      </c>
      <c r="AB68" s="46" t="s">
        <v>160</v>
      </c>
      <c r="AC68" s="46" t="s">
        <v>160</v>
      </c>
    </row>
    <row r="69" spans="1:29">
      <c r="A69" s="62">
        <f t="shared" ca="1" si="5"/>
        <v>59</v>
      </c>
      <c r="B69" s="62" t="str">
        <f t="shared" ca="1" si="6"/>
        <v>E</v>
      </c>
      <c r="C69" s="62" t="str">
        <f t="shared" ca="1" si="4"/>
        <v>A-</v>
      </c>
      <c r="D69" s="62">
        <f t="shared" ca="1" si="7"/>
        <v>15</v>
      </c>
      <c r="E69" s="63" t="str">
        <f t="shared" ca="1" si="8"/>
        <v>N/A</v>
      </c>
      <c r="F69" s="46" t="s">
        <v>415</v>
      </c>
      <c r="G69" s="46" t="s">
        <v>160</v>
      </c>
      <c r="H69" s="46" t="s">
        <v>416</v>
      </c>
      <c r="I69" s="46" t="s">
        <v>473</v>
      </c>
      <c r="J69" s="46" t="s">
        <v>160</v>
      </c>
      <c r="K69" s="46" t="s">
        <v>160</v>
      </c>
      <c r="L69" s="46" t="s">
        <v>160</v>
      </c>
      <c r="M69" s="46" t="s">
        <v>160</v>
      </c>
      <c r="N69" s="46" t="s">
        <v>160</v>
      </c>
      <c r="O69" s="46" t="s">
        <v>160</v>
      </c>
      <c r="P69" s="46" t="s">
        <v>160</v>
      </c>
      <c r="Q69" s="46" t="s">
        <v>160</v>
      </c>
      <c r="R69" s="46" t="s">
        <v>160</v>
      </c>
      <c r="S69" s="46" t="s">
        <v>160</v>
      </c>
      <c r="T69" s="46" t="s">
        <v>160</v>
      </c>
      <c r="U69" s="46" t="s">
        <v>160</v>
      </c>
      <c r="V69" s="46" t="s">
        <v>160</v>
      </c>
      <c r="W69" s="46" t="s">
        <v>160</v>
      </c>
      <c r="X69" s="46" t="s">
        <v>160</v>
      </c>
      <c r="Y69" s="46" t="s">
        <v>160</v>
      </c>
      <c r="Z69" s="46" t="s">
        <v>160</v>
      </c>
      <c r="AA69" s="46" t="s">
        <v>160</v>
      </c>
      <c r="AB69" s="46" t="s">
        <v>160</v>
      </c>
      <c r="AC69" s="46" t="s">
        <v>160</v>
      </c>
    </row>
    <row r="70" spans="1:29">
      <c r="A70" s="62">
        <f t="shared" ca="1" si="5"/>
        <v>60</v>
      </c>
      <c r="B70" s="62" t="str">
        <f t="shared" ca="1" si="6"/>
        <v>G</v>
      </c>
      <c r="C70" s="62" t="str">
        <f t="shared" ca="1" si="4"/>
        <v>BBB+</v>
      </c>
      <c r="D70" s="62">
        <f t="shared" ca="1" si="7"/>
        <v>14</v>
      </c>
      <c r="E70" s="63">
        <f t="shared" ca="1" si="8"/>
        <v>2.9750000000000001</v>
      </c>
      <c r="F70" s="46" t="s">
        <v>417</v>
      </c>
      <c r="G70" s="46" t="s">
        <v>160</v>
      </c>
      <c r="H70" s="46" t="s">
        <v>418</v>
      </c>
      <c r="I70" s="46" t="s">
        <v>554</v>
      </c>
      <c r="J70" s="46" t="s">
        <v>160</v>
      </c>
      <c r="K70" s="46">
        <v>3.4</v>
      </c>
      <c r="L70" s="46">
        <v>3.1</v>
      </c>
      <c r="M70" s="46" t="s">
        <v>160</v>
      </c>
      <c r="N70" s="46" t="s">
        <v>160</v>
      </c>
      <c r="O70" s="46">
        <v>3.29</v>
      </c>
      <c r="P70" s="46" t="s">
        <v>160</v>
      </c>
      <c r="Q70" s="46">
        <v>3.22</v>
      </c>
      <c r="R70" s="46">
        <v>2.73</v>
      </c>
      <c r="S70" s="46" t="s">
        <v>160</v>
      </c>
      <c r="T70" s="46" t="s">
        <v>160</v>
      </c>
      <c r="U70" s="46" t="s">
        <v>160</v>
      </c>
      <c r="V70" s="46" t="s">
        <v>160</v>
      </c>
      <c r="W70" s="46" t="s">
        <v>160</v>
      </c>
      <c r="X70" s="46" t="s">
        <v>160</v>
      </c>
      <c r="Y70" s="46" t="s">
        <v>160</v>
      </c>
      <c r="Z70" s="46" t="s">
        <v>160</v>
      </c>
      <c r="AA70" s="46" t="s">
        <v>160</v>
      </c>
      <c r="AB70" s="46" t="s">
        <v>160</v>
      </c>
      <c r="AC70" s="46" t="s">
        <v>160</v>
      </c>
    </row>
    <row r="71" spans="1:29">
      <c r="A71" s="62">
        <f t="shared" ca="1" si="5"/>
        <v>61</v>
      </c>
      <c r="B71" s="62" t="str">
        <f t="shared" ca="1" si="6"/>
        <v>E</v>
      </c>
      <c r="C71" s="62" t="str">
        <f t="shared" ca="1" si="4"/>
        <v>A-</v>
      </c>
      <c r="D71" s="62">
        <f t="shared" ca="1" si="7"/>
        <v>15</v>
      </c>
      <c r="E71" s="63">
        <f t="shared" ca="1" si="8"/>
        <v>3.0366666666666671</v>
      </c>
      <c r="F71" s="46" t="s">
        <v>420</v>
      </c>
      <c r="G71" s="46" t="s">
        <v>160</v>
      </c>
      <c r="H71" s="46" t="s">
        <v>421</v>
      </c>
      <c r="I71" s="46" t="s">
        <v>551</v>
      </c>
      <c r="J71" s="46">
        <v>2.41</v>
      </c>
      <c r="K71" s="46">
        <v>3.04</v>
      </c>
      <c r="L71" s="46">
        <v>2.23</v>
      </c>
      <c r="M71" s="46">
        <v>4</v>
      </c>
      <c r="N71" s="46">
        <v>2.3199999999999998</v>
      </c>
      <c r="O71" s="46">
        <v>3.44</v>
      </c>
      <c r="P71" s="46">
        <v>2.62</v>
      </c>
      <c r="Q71" s="46">
        <v>3.47</v>
      </c>
      <c r="R71" s="46">
        <v>2.78</v>
      </c>
      <c r="S71" s="46">
        <v>3.56</v>
      </c>
      <c r="T71" s="46">
        <v>2.44</v>
      </c>
      <c r="U71" s="46">
        <v>3.38</v>
      </c>
      <c r="V71" s="46">
        <v>2.94</v>
      </c>
      <c r="W71" s="46">
        <v>3.41</v>
      </c>
      <c r="X71" s="46">
        <v>2.48</v>
      </c>
      <c r="Y71" s="46">
        <v>3.43</v>
      </c>
      <c r="Z71" s="46">
        <v>2.65</v>
      </c>
      <c r="AA71" s="46">
        <v>3.28</v>
      </c>
      <c r="AB71" s="46" t="s">
        <v>160</v>
      </c>
      <c r="AC71" s="46" t="s">
        <v>160</v>
      </c>
    </row>
    <row r="72" spans="1:29">
      <c r="A72" s="62">
        <f t="shared" ca="1" si="5"/>
        <v>61</v>
      </c>
      <c r="B72" s="62" t="str">
        <f t="shared" ca="1" si="6"/>
        <v>E</v>
      </c>
      <c r="C72" s="62" t="str">
        <f t="shared" ca="1" si="4"/>
        <v>A-</v>
      </c>
      <c r="D72" s="62">
        <f t="shared" ca="1" si="7"/>
        <v>15</v>
      </c>
      <c r="E72" s="63">
        <f t="shared" ca="1" si="8"/>
        <v>3.5916666666666663</v>
      </c>
      <c r="F72" s="46" t="s">
        <v>420</v>
      </c>
      <c r="G72" s="46" t="s">
        <v>160</v>
      </c>
      <c r="H72" s="46" t="s">
        <v>422</v>
      </c>
      <c r="I72" s="46" t="s">
        <v>551</v>
      </c>
      <c r="J72" s="46">
        <v>3.25</v>
      </c>
      <c r="K72" s="46">
        <v>3.98</v>
      </c>
      <c r="L72" s="46">
        <v>2.86</v>
      </c>
      <c r="M72" s="46">
        <v>4.07</v>
      </c>
      <c r="N72" s="46">
        <v>3.31</v>
      </c>
      <c r="O72" s="46">
        <v>3.8</v>
      </c>
      <c r="P72" s="46">
        <v>2.87</v>
      </c>
      <c r="Q72" s="46">
        <v>3.98</v>
      </c>
      <c r="R72" s="46">
        <v>5.43</v>
      </c>
      <c r="S72" s="46">
        <v>3.91</v>
      </c>
      <c r="T72" s="46">
        <v>2.57</v>
      </c>
      <c r="U72" s="46">
        <v>3.82</v>
      </c>
      <c r="V72" s="46">
        <v>3.6</v>
      </c>
      <c r="W72" s="46">
        <v>3.81</v>
      </c>
      <c r="X72" s="46">
        <v>2.56</v>
      </c>
      <c r="Y72" s="46">
        <v>3.46</v>
      </c>
      <c r="Z72" s="46">
        <v>3.44</v>
      </c>
      <c r="AA72" s="46">
        <v>3.65</v>
      </c>
      <c r="AB72" s="46" t="s">
        <v>160</v>
      </c>
      <c r="AC72" s="46" t="s">
        <v>160</v>
      </c>
    </row>
    <row r="73" spans="1:29">
      <c r="A73" s="62">
        <f t="shared" ca="1" si="5"/>
        <v>63</v>
      </c>
      <c r="B73" s="62" t="str">
        <f t="shared" ca="1" si="6"/>
        <v>G</v>
      </c>
      <c r="C73" s="62" t="str">
        <f t="shared" ca="1" si="4"/>
        <v>A+</v>
      </c>
      <c r="D73" s="62">
        <f t="shared" ca="1" si="7"/>
        <v>17</v>
      </c>
      <c r="E73" s="63">
        <f t="shared" ca="1" si="8"/>
        <v>5.336666666666666</v>
      </c>
      <c r="F73" s="46" t="s">
        <v>127</v>
      </c>
      <c r="G73" s="46" t="s">
        <v>223</v>
      </c>
      <c r="H73" s="46" t="s">
        <v>224</v>
      </c>
      <c r="I73" s="46" t="s">
        <v>554</v>
      </c>
      <c r="J73" s="46">
        <v>2.4900000000000002</v>
      </c>
      <c r="K73" s="46">
        <v>6.46</v>
      </c>
      <c r="L73" s="46">
        <v>12.4</v>
      </c>
      <c r="M73" s="46">
        <v>2.86</v>
      </c>
      <c r="N73" s="46">
        <v>2.12</v>
      </c>
      <c r="O73" s="46">
        <v>5.57</v>
      </c>
      <c r="P73" s="46">
        <v>11.2</v>
      </c>
      <c r="Q73" s="46">
        <v>2.84</v>
      </c>
      <c r="R73" s="46">
        <v>3.1</v>
      </c>
      <c r="S73" s="46">
        <v>6.3</v>
      </c>
      <c r="T73" s="46">
        <v>10.7</v>
      </c>
      <c r="U73" s="46">
        <v>2.72</v>
      </c>
      <c r="V73" s="46">
        <v>2.11</v>
      </c>
      <c r="W73" s="46">
        <v>5.55</v>
      </c>
      <c r="X73" s="46">
        <v>9.58</v>
      </c>
      <c r="Y73" s="46">
        <v>2.61</v>
      </c>
      <c r="Z73" s="46">
        <v>2.0299999999999998</v>
      </c>
      <c r="AA73" s="46">
        <v>5.3</v>
      </c>
      <c r="AB73" s="46" t="s">
        <v>160</v>
      </c>
      <c r="AC73" s="46" t="s">
        <v>160</v>
      </c>
    </row>
    <row r="74" spans="1:29">
      <c r="A74" s="62">
        <f t="shared" ca="1" si="5"/>
        <v>64</v>
      </c>
      <c r="B74" s="62" t="str">
        <f t="shared" ca="1" si="6"/>
        <v>E</v>
      </c>
      <c r="C74" s="62" t="str">
        <f t="shared" ca="1" si="4"/>
        <v>BBB</v>
      </c>
      <c r="D74" s="62">
        <f t="shared" ca="1" si="7"/>
        <v>13</v>
      </c>
      <c r="E74" s="63">
        <f t="shared" ca="1" si="8"/>
        <v>5.1741666666666672</v>
      </c>
      <c r="F74" s="46" t="s">
        <v>104</v>
      </c>
      <c r="G74" s="46" t="s">
        <v>225</v>
      </c>
      <c r="H74" s="46" t="s">
        <v>226</v>
      </c>
      <c r="I74" s="46" t="s">
        <v>551</v>
      </c>
      <c r="J74" s="46">
        <v>3.57</v>
      </c>
      <c r="K74" s="46">
        <v>5.15</v>
      </c>
      <c r="L74" s="46">
        <v>5.4</v>
      </c>
      <c r="M74" s="46">
        <v>4.32</v>
      </c>
      <c r="N74" s="46">
        <v>3.16</v>
      </c>
      <c r="O74" s="46">
        <v>6.08</v>
      </c>
      <c r="P74" s="46">
        <v>5.6</v>
      </c>
      <c r="Q74" s="46">
        <v>5.78</v>
      </c>
      <c r="R74" s="46">
        <v>4.0999999999999996</v>
      </c>
      <c r="S74" s="46">
        <v>5.15</v>
      </c>
      <c r="T74" s="46">
        <v>6.18</v>
      </c>
      <c r="U74" s="46">
        <v>4.71</v>
      </c>
      <c r="V74" s="46">
        <v>4.8499999999999996</v>
      </c>
      <c r="W74" s="46">
        <v>5.0599999999999996</v>
      </c>
      <c r="X74" s="46">
        <v>5.43</v>
      </c>
      <c r="Y74" s="46">
        <v>4.9800000000000004</v>
      </c>
      <c r="Z74" s="46">
        <v>4.08</v>
      </c>
      <c r="AA74" s="46">
        <v>6.17</v>
      </c>
      <c r="AB74" s="46" t="s">
        <v>160</v>
      </c>
      <c r="AC74" s="46" t="s">
        <v>160</v>
      </c>
    </row>
    <row r="75" spans="1:29">
      <c r="A75" s="62">
        <f t="shared" ca="1" si="5"/>
        <v>65</v>
      </c>
      <c r="B75" s="62" t="str">
        <f t="shared" ca="1" si="6"/>
        <v>E</v>
      </c>
      <c r="C75" s="62" t="str">
        <f t="shared" ref="C75:C128" ca="1" si="9">INDEX(RATINGSlocalcurrLT,A75)</f>
        <v>A</v>
      </c>
      <c r="D75" s="62">
        <f t="shared" ca="1" si="7"/>
        <v>16</v>
      </c>
      <c r="E75" s="63">
        <f t="shared" ca="1" si="8"/>
        <v>2.9183333333333334</v>
      </c>
      <c r="F75" s="46" t="s">
        <v>425</v>
      </c>
      <c r="G75" s="46" t="s">
        <v>160</v>
      </c>
      <c r="H75" s="46" t="s">
        <v>426</v>
      </c>
      <c r="I75" s="46" t="s">
        <v>473</v>
      </c>
      <c r="J75" s="46">
        <v>3.18</v>
      </c>
      <c r="K75" s="46">
        <v>2.6</v>
      </c>
      <c r="L75" s="46">
        <v>1.74</v>
      </c>
      <c r="M75" s="46">
        <v>2.2799999999999998</v>
      </c>
      <c r="N75" s="46">
        <v>2.92</v>
      </c>
      <c r="O75" s="46">
        <v>3.04</v>
      </c>
      <c r="P75" s="46">
        <v>2.13</v>
      </c>
      <c r="Q75" s="46">
        <v>3.09</v>
      </c>
      <c r="R75" s="46">
        <v>2.73</v>
      </c>
      <c r="S75" s="46">
        <v>3.09</v>
      </c>
      <c r="T75" s="46">
        <v>2.14</v>
      </c>
      <c r="U75" s="46">
        <v>3.31</v>
      </c>
      <c r="V75" s="46">
        <v>3.53</v>
      </c>
      <c r="W75" s="46">
        <v>3.45</v>
      </c>
      <c r="X75" s="46">
        <v>2.1</v>
      </c>
      <c r="Y75" s="46">
        <v>3.28</v>
      </c>
      <c r="Z75" s="46">
        <v>3.13</v>
      </c>
      <c r="AA75" s="46">
        <v>3.04</v>
      </c>
      <c r="AB75" s="46" t="s">
        <v>160</v>
      </c>
      <c r="AC75" s="46" t="s">
        <v>160</v>
      </c>
    </row>
    <row r="76" spans="1:29">
      <c r="A76" s="62">
        <f t="shared" ref="A76:A128" ca="1" si="10">MATCH(F76,RATINGSname,0)</f>
        <v>66</v>
      </c>
      <c r="B76" s="62" t="str">
        <f t="shared" ref="B76:B128" ca="1" si="11">INDEX(RATINGSindus,A76)</f>
        <v>E</v>
      </c>
      <c r="C76" s="62" t="str">
        <f t="shared" ca="1" si="9"/>
        <v>BBB-</v>
      </c>
      <c r="D76" s="62">
        <f t="shared" ref="D76:D128" ca="1" si="12">IFERROR(VLOOKUP(C76,CR,2,FALSE),"")</f>
        <v>12</v>
      </c>
      <c r="E76" s="63">
        <f t="shared" ref="E76:E128" ca="1" si="13">IFERROR(AVERAGE(OFFSET(I76,0,$H$1,1,$H$2-$H$1+1)),"N/A")</f>
        <v>2.3983333333333339</v>
      </c>
      <c r="F76" s="46" t="s">
        <v>427</v>
      </c>
      <c r="G76" s="46" t="s">
        <v>160</v>
      </c>
      <c r="H76" s="46" t="s">
        <v>428</v>
      </c>
      <c r="I76" s="46" t="s">
        <v>473</v>
      </c>
      <c r="J76" s="46" t="s">
        <v>160</v>
      </c>
      <c r="K76" s="46" t="s">
        <v>160</v>
      </c>
      <c r="L76" s="46" t="s">
        <v>160</v>
      </c>
      <c r="M76" s="46">
        <v>2.19</v>
      </c>
      <c r="N76" s="46">
        <v>2.73</v>
      </c>
      <c r="O76" s="46">
        <v>2.86</v>
      </c>
      <c r="P76" s="46">
        <v>2.34</v>
      </c>
      <c r="Q76" s="46">
        <v>5.66</v>
      </c>
      <c r="R76" s="46">
        <v>1.77</v>
      </c>
      <c r="S76" s="46">
        <v>1.78</v>
      </c>
      <c r="T76" s="46">
        <v>1.63</v>
      </c>
      <c r="U76" s="46">
        <v>3.17</v>
      </c>
      <c r="V76" s="46">
        <v>2.85</v>
      </c>
      <c r="W76" s="46">
        <v>2.06</v>
      </c>
      <c r="X76" s="46">
        <v>1.58</v>
      </c>
      <c r="Y76" s="46">
        <v>2.35</v>
      </c>
      <c r="Z76" s="46">
        <v>1.78</v>
      </c>
      <c r="AA76" s="46">
        <v>1.81</v>
      </c>
      <c r="AB76" s="46" t="s">
        <v>160</v>
      </c>
      <c r="AC76" s="46" t="s">
        <v>160</v>
      </c>
    </row>
    <row r="77" spans="1:29">
      <c r="A77" s="62">
        <f t="shared" ca="1" si="10"/>
        <v>67</v>
      </c>
      <c r="B77" s="62" t="str">
        <f t="shared" ca="1" si="11"/>
        <v>E</v>
      </c>
      <c r="C77" s="62" t="str">
        <f t="shared" ca="1" si="9"/>
        <v>A-</v>
      </c>
      <c r="D77" s="62">
        <f t="shared" ca="1" si="12"/>
        <v>15</v>
      </c>
      <c r="E77" s="63">
        <f t="shared" ca="1" si="13"/>
        <v>1.9966666666666668</v>
      </c>
      <c r="F77" s="46" t="s">
        <v>429</v>
      </c>
      <c r="G77" s="46" t="s">
        <v>160</v>
      </c>
      <c r="H77" s="46" t="s">
        <v>430</v>
      </c>
      <c r="I77" s="46" t="s">
        <v>326</v>
      </c>
      <c r="J77" s="46">
        <v>3.04</v>
      </c>
      <c r="K77" s="46">
        <v>3.14</v>
      </c>
      <c r="L77" s="46">
        <v>2.5099999999999998</v>
      </c>
      <c r="M77" s="46">
        <v>2.64</v>
      </c>
      <c r="N77" s="46">
        <v>3.02</v>
      </c>
      <c r="O77" s="46">
        <v>3.07</v>
      </c>
      <c r="P77" s="46">
        <v>3.47</v>
      </c>
      <c r="Q77" s="46">
        <v>6.4</v>
      </c>
      <c r="R77" s="46">
        <v>2.75</v>
      </c>
      <c r="S77" s="46">
        <v>3</v>
      </c>
      <c r="T77" s="46">
        <v>2.16</v>
      </c>
      <c r="U77" s="46">
        <v>2.92</v>
      </c>
      <c r="V77" s="46">
        <v>2.12</v>
      </c>
      <c r="W77" s="46">
        <v>1.94</v>
      </c>
      <c r="X77" s="46">
        <v>1.4</v>
      </c>
      <c r="Y77" s="46">
        <v>-6.05</v>
      </c>
      <c r="Z77" s="46">
        <v>1.65</v>
      </c>
      <c r="AA77" s="46">
        <v>2.2000000000000002</v>
      </c>
      <c r="AB77" s="46" t="s">
        <v>160</v>
      </c>
      <c r="AC77" s="46" t="s">
        <v>160</v>
      </c>
    </row>
    <row r="78" spans="1:29">
      <c r="A78" s="62">
        <f t="shared" ca="1" si="10"/>
        <v>68</v>
      </c>
      <c r="B78" s="62" t="str">
        <f t="shared" ca="1" si="11"/>
        <v>E</v>
      </c>
      <c r="C78" s="62" t="str">
        <f t="shared" ca="1" si="9"/>
        <v>A-</v>
      </c>
      <c r="D78" s="62">
        <f t="shared" ca="1" si="12"/>
        <v>15</v>
      </c>
      <c r="E78" s="63">
        <f t="shared" ca="1" si="13"/>
        <v>4.0983333333333336</v>
      </c>
      <c r="F78" s="46" t="s">
        <v>431</v>
      </c>
      <c r="G78" s="46" t="s">
        <v>160</v>
      </c>
      <c r="H78" s="46" t="s">
        <v>432</v>
      </c>
      <c r="I78" s="46" t="s">
        <v>326</v>
      </c>
      <c r="J78" s="46">
        <v>4.9800000000000004</v>
      </c>
      <c r="K78" s="46">
        <v>3.17</v>
      </c>
      <c r="L78" s="46">
        <v>1.98</v>
      </c>
      <c r="M78" s="46">
        <v>4.3099999999999996</v>
      </c>
      <c r="N78" s="46">
        <v>5.05</v>
      </c>
      <c r="O78" s="46">
        <v>3.22</v>
      </c>
      <c r="P78" s="46">
        <v>2.0499999999999998</v>
      </c>
      <c r="Q78" s="46">
        <v>4.5</v>
      </c>
      <c r="R78" s="46">
        <v>5.38</v>
      </c>
      <c r="S78" s="46">
        <v>3.53</v>
      </c>
      <c r="T78" s="46">
        <v>2.17</v>
      </c>
      <c r="U78" s="46">
        <v>5.0999999999999996</v>
      </c>
      <c r="V78" s="46">
        <v>5.67</v>
      </c>
      <c r="W78" s="46">
        <v>3.24</v>
      </c>
      <c r="X78" s="46">
        <v>2.02</v>
      </c>
      <c r="Y78" s="46">
        <v>4.3</v>
      </c>
      <c r="Z78" s="46">
        <v>7.54</v>
      </c>
      <c r="AA78" s="46">
        <v>3.68</v>
      </c>
      <c r="AB78" s="46" t="s">
        <v>160</v>
      </c>
      <c r="AC78" s="46" t="s">
        <v>160</v>
      </c>
    </row>
    <row r="79" spans="1:29">
      <c r="A79" s="62">
        <f t="shared" ca="1" si="10"/>
        <v>69</v>
      </c>
      <c r="B79" s="62" t="str">
        <f t="shared" ca="1" si="11"/>
        <v>G</v>
      </c>
      <c r="C79" s="62" t="str">
        <f t="shared" ca="1" si="9"/>
        <v>A</v>
      </c>
      <c r="D79" s="62">
        <f t="shared" ca="1" si="12"/>
        <v>16</v>
      </c>
      <c r="E79" s="63">
        <f t="shared" ca="1" si="13"/>
        <v>3.5725000000000002</v>
      </c>
      <c r="F79" s="46" t="s">
        <v>129</v>
      </c>
      <c r="G79" s="46" t="s">
        <v>229</v>
      </c>
      <c r="H79" s="46" t="s">
        <v>230</v>
      </c>
      <c r="I79" s="46" t="s">
        <v>554</v>
      </c>
      <c r="J79" s="46" t="s">
        <v>160</v>
      </c>
      <c r="K79" s="46" t="s">
        <v>160</v>
      </c>
      <c r="L79" s="46" t="s">
        <v>160</v>
      </c>
      <c r="M79" s="46">
        <v>3.04</v>
      </c>
      <c r="N79" s="46">
        <v>1.88</v>
      </c>
      <c r="O79" s="46">
        <v>4.6399999999999997</v>
      </c>
      <c r="P79" s="46">
        <v>5.73</v>
      </c>
      <c r="Q79" s="46">
        <v>2.99</v>
      </c>
      <c r="R79" s="46">
        <v>2.14</v>
      </c>
      <c r="S79" s="46">
        <v>4.5</v>
      </c>
      <c r="T79" s="46">
        <v>5.3</v>
      </c>
      <c r="U79" s="46">
        <v>2.92</v>
      </c>
      <c r="V79" s="46">
        <v>2.0699999999999998</v>
      </c>
      <c r="W79" s="46">
        <v>3.76</v>
      </c>
      <c r="X79" s="46">
        <v>4.54</v>
      </c>
      <c r="Y79" s="46">
        <v>2.91</v>
      </c>
      <c r="Z79" s="46">
        <v>2.06</v>
      </c>
      <c r="AA79" s="46">
        <v>3.95</v>
      </c>
      <c r="AB79" s="46" t="s">
        <v>160</v>
      </c>
      <c r="AC79" s="46" t="s">
        <v>160</v>
      </c>
    </row>
    <row r="80" spans="1:29">
      <c r="A80" s="62">
        <f t="shared" ca="1" si="10"/>
        <v>70</v>
      </c>
      <c r="B80" s="62" t="str">
        <f t="shared" ca="1" si="11"/>
        <v>E</v>
      </c>
      <c r="C80" s="62" t="str">
        <f t="shared" ca="1" si="9"/>
        <v>A-</v>
      </c>
      <c r="D80" s="62">
        <f t="shared" ca="1" si="12"/>
        <v>15</v>
      </c>
      <c r="E80" s="63">
        <f t="shared" ca="1" si="13"/>
        <v>4.5991666666666662</v>
      </c>
      <c r="F80" s="46" t="s">
        <v>434</v>
      </c>
      <c r="G80" s="46" t="s">
        <v>160</v>
      </c>
      <c r="H80" s="46" t="s">
        <v>435</v>
      </c>
      <c r="I80" s="46" t="s">
        <v>473</v>
      </c>
      <c r="J80" s="46">
        <v>3.27</v>
      </c>
      <c r="K80" s="46">
        <v>7.26</v>
      </c>
      <c r="L80" s="46">
        <v>3.82</v>
      </c>
      <c r="M80" s="46" t="s">
        <v>160</v>
      </c>
      <c r="N80" s="46">
        <v>3.41</v>
      </c>
      <c r="O80" s="46">
        <v>4.7699999999999996</v>
      </c>
      <c r="P80" s="46">
        <v>3.15</v>
      </c>
      <c r="Q80" s="46">
        <v>4.34</v>
      </c>
      <c r="R80" s="46">
        <v>3.36</v>
      </c>
      <c r="S80" s="46">
        <v>9.9</v>
      </c>
      <c r="T80" s="46">
        <v>3.38</v>
      </c>
      <c r="U80" s="46">
        <v>3.73</v>
      </c>
      <c r="V80" s="46">
        <v>2.92</v>
      </c>
      <c r="W80" s="46">
        <v>6.04</v>
      </c>
      <c r="X80" s="46">
        <v>3.08</v>
      </c>
      <c r="Y80" s="46">
        <v>6.33</v>
      </c>
      <c r="Z80" s="46">
        <v>3.11</v>
      </c>
      <c r="AA80" s="46">
        <v>5.85</v>
      </c>
      <c r="AB80" s="46" t="s">
        <v>160</v>
      </c>
      <c r="AC80" s="46" t="s">
        <v>160</v>
      </c>
    </row>
    <row r="81" spans="1:29">
      <c r="A81" s="62">
        <f t="shared" ca="1" si="10"/>
        <v>71</v>
      </c>
      <c r="B81" s="62" t="str">
        <f t="shared" ca="1" si="11"/>
        <v>E</v>
      </c>
      <c r="C81" s="62" t="str">
        <f t="shared" ca="1" si="9"/>
        <v>BBB</v>
      </c>
      <c r="D81" s="62">
        <f t="shared" ca="1" si="12"/>
        <v>13</v>
      </c>
      <c r="E81" s="63" t="str">
        <f t="shared" ca="1" si="13"/>
        <v>N/A</v>
      </c>
      <c r="F81" s="46" t="s">
        <v>436</v>
      </c>
      <c r="G81" s="46" t="s">
        <v>160</v>
      </c>
      <c r="H81" s="46" t="s">
        <v>437</v>
      </c>
      <c r="I81" s="46" t="s">
        <v>326</v>
      </c>
      <c r="J81" s="46" t="s">
        <v>160</v>
      </c>
      <c r="K81" s="46" t="s">
        <v>160</v>
      </c>
      <c r="L81" s="46" t="s">
        <v>160</v>
      </c>
      <c r="M81" s="46" t="s">
        <v>160</v>
      </c>
      <c r="N81" s="46" t="s">
        <v>160</v>
      </c>
      <c r="O81" s="46" t="s">
        <v>160</v>
      </c>
      <c r="P81" s="46" t="s">
        <v>160</v>
      </c>
      <c r="Q81" s="46" t="s">
        <v>160</v>
      </c>
      <c r="R81" s="46" t="s">
        <v>160</v>
      </c>
      <c r="S81" s="46" t="s">
        <v>160</v>
      </c>
      <c r="T81" s="46" t="s">
        <v>160</v>
      </c>
      <c r="U81" s="46" t="s">
        <v>160</v>
      </c>
      <c r="V81" s="46" t="s">
        <v>160</v>
      </c>
      <c r="W81" s="46" t="s">
        <v>160</v>
      </c>
      <c r="X81" s="46" t="s">
        <v>160</v>
      </c>
      <c r="Y81" s="46" t="s">
        <v>160</v>
      </c>
      <c r="Z81" s="46" t="s">
        <v>160</v>
      </c>
      <c r="AA81" s="46" t="s">
        <v>160</v>
      </c>
      <c r="AB81" s="46" t="s">
        <v>160</v>
      </c>
      <c r="AC81" s="46" t="s">
        <v>160</v>
      </c>
    </row>
    <row r="82" spans="1:29">
      <c r="A82" s="62">
        <f t="shared" ca="1" si="10"/>
        <v>72</v>
      </c>
      <c r="B82" s="62" t="str">
        <f t="shared" ca="1" si="11"/>
        <v>E</v>
      </c>
      <c r="C82" s="62" t="str">
        <f t="shared" ca="1" si="9"/>
        <v>A-</v>
      </c>
      <c r="D82" s="62">
        <f t="shared" ca="1" si="12"/>
        <v>15</v>
      </c>
      <c r="E82" s="63">
        <f t="shared" ca="1" si="13"/>
        <v>4.3374999999999995</v>
      </c>
      <c r="F82" s="46" t="s">
        <v>438</v>
      </c>
      <c r="G82" s="46" t="s">
        <v>160</v>
      </c>
      <c r="H82" s="46" t="s">
        <v>439</v>
      </c>
      <c r="I82" s="46" t="s">
        <v>551</v>
      </c>
      <c r="J82" s="46">
        <v>4.13</v>
      </c>
      <c r="K82" s="46">
        <v>3.79</v>
      </c>
      <c r="L82" s="46">
        <v>5.15</v>
      </c>
      <c r="M82" s="46">
        <v>4.38</v>
      </c>
      <c r="N82" s="46">
        <v>4.18</v>
      </c>
      <c r="O82" s="46">
        <v>4.09</v>
      </c>
      <c r="P82" s="46">
        <v>2.5</v>
      </c>
      <c r="Q82" s="46">
        <v>4.1900000000000004</v>
      </c>
      <c r="R82" s="46">
        <v>6.32</v>
      </c>
      <c r="S82" s="46">
        <v>3.69</v>
      </c>
      <c r="T82" s="46">
        <v>4.07</v>
      </c>
      <c r="U82" s="46">
        <v>5.27</v>
      </c>
      <c r="V82" s="46">
        <v>6.48</v>
      </c>
      <c r="W82" s="46">
        <v>5</v>
      </c>
      <c r="X82" s="46">
        <v>4.0999999999999996</v>
      </c>
      <c r="Y82" s="46">
        <v>3.16</v>
      </c>
      <c r="Z82" s="46">
        <v>3.47</v>
      </c>
      <c r="AA82" s="46">
        <v>3.8</v>
      </c>
      <c r="AB82" s="46" t="s">
        <v>160</v>
      </c>
      <c r="AC82" s="46" t="s">
        <v>160</v>
      </c>
    </row>
    <row r="83" spans="1:29">
      <c r="A83" s="62">
        <f t="shared" ca="1" si="10"/>
        <v>73</v>
      </c>
      <c r="B83" s="62" t="str">
        <f t="shared" ca="1" si="11"/>
        <v>E</v>
      </c>
      <c r="C83" s="62" t="str">
        <f t="shared" ca="1" si="9"/>
        <v>BBB</v>
      </c>
      <c r="D83" s="62">
        <f t="shared" ca="1" si="12"/>
        <v>13</v>
      </c>
      <c r="E83" s="63">
        <f t="shared" ca="1" si="13"/>
        <v>3.2075</v>
      </c>
      <c r="F83" s="46" t="s">
        <v>441</v>
      </c>
      <c r="G83" s="46" t="s">
        <v>160</v>
      </c>
      <c r="H83" s="46" t="s">
        <v>442</v>
      </c>
      <c r="I83" s="46" t="s">
        <v>473</v>
      </c>
      <c r="J83" s="46">
        <v>2.33</v>
      </c>
      <c r="K83" s="46">
        <v>3.26</v>
      </c>
      <c r="L83" s="46">
        <v>2.95</v>
      </c>
      <c r="M83" s="46">
        <v>2.86</v>
      </c>
      <c r="N83" s="46">
        <v>3</v>
      </c>
      <c r="O83" s="46">
        <v>3.22</v>
      </c>
      <c r="P83" s="46">
        <v>3.29</v>
      </c>
      <c r="Q83" s="46">
        <v>3.27</v>
      </c>
      <c r="R83" s="46">
        <v>2.57</v>
      </c>
      <c r="S83" s="46">
        <v>3.75</v>
      </c>
      <c r="T83" s="46">
        <v>3.28</v>
      </c>
      <c r="U83" s="46">
        <v>3.62</v>
      </c>
      <c r="V83" s="46">
        <v>2.9</v>
      </c>
      <c r="W83" s="46">
        <v>3.25</v>
      </c>
      <c r="X83" s="46">
        <v>2.63</v>
      </c>
      <c r="Y83" s="46">
        <v>3.39</v>
      </c>
      <c r="Z83" s="46">
        <v>2.9</v>
      </c>
      <c r="AA83" s="46">
        <v>3.64</v>
      </c>
      <c r="AB83" s="46" t="s">
        <v>160</v>
      </c>
      <c r="AC83" s="46" t="s">
        <v>160</v>
      </c>
    </row>
    <row r="84" spans="1:29">
      <c r="A84" s="62">
        <f t="shared" ca="1" si="10"/>
        <v>74</v>
      </c>
      <c r="B84" s="62" t="str">
        <f t="shared" ca="1" si="11"/>
        <v>E</v>
      </c>
      <c r="C84" s="62" t="str">
        <f t="shared" ca="1" si="9"/>
        <v>BBB-</v>
      </c>
      <c r="D84" s="62">
        <f t="shared" ca="1" si="12"/>
        <v>12</v>
      </c>
      <c r="E84" s="63">
        <f t="shared" ca="1" si="13"/>
        <v>5.1899999999999995</v>
      </c>
      <c r="F84" s="46" t="s">
        <v>444</v>
      </c>
      <c r="G84" s="46" t="s">
        <v>160</v>
      </c>
      <c r="H84" s="46" t="s">
        <v>445</v>
      </c>
      <c r="I84" s="46" t="s">
        <v>473</v>
      </c>
      <c r="J84" s="46">
        <v>3.46</v>
      </c>
      <c r="K84" s="46">
        <v>3.47</v>
      </c>
      <c r="L84" s="46">
        <v>4.3600000000000003</v>
      </c>
      <c r="M84" s="46">
        <v>5.12</v>
      </c>
      <c r="N84" s="46">
        <v>8.33</v>
      </c>
      <c r="O84" s="46">
        <v>7.79</v>
      </c>
      <c r="P84" s="46">
        <v>6</v>
      </c>
      <c r="Q84" s="46">
        <v>14.8</v>
      </c>
      <c r="R84" s="46">
        <v>4.13</v>
      </c>
      <c r="S84" s="46">
        <v>4.01</v>
      </c>
      <c r="T84" s="46">
        <v>3.51</v>
      </c>
      <c r="U84" s="46">
        <v>6.28</v>
      </c>
      <c r="V84" s="46">
        <v>3.62</v>
      </c>
      <c r="W84" s="46">
        <v>4.3499999999999996</v>
      </c>
      <c r="X84" s="46">
        <v>3.62</v>
      </c>
      <c r="Y84" s="46">
        <v>4.55</v>
      </c>
      <c r="Z84" s="46">
        <v>3.49</v>
      </c>
      <c r="AA84" s="46">
        <v>3.92</v>
      </c>
      <c r="AB84" s="46" t="s">
        <v>160</v>
      </c>
      <c r="AC84" s="46" t="s">
        <v>160</v>
      </c>
    </row>
    <row r="85" spans="1:29">
      <c r="A85" s="62">
        <f t="shared" ca="1" si="10"/>
        <v>75</v>
      </c>
      <c r="B85" s="62" t="str">
        <f t="shared" ca="1" si="11"/>
        <v>E</v>
      </c>
      <c r="C85" s="62" t="str">
        <f t="shared" ca="1" si="9"/>
        <v>NR</v>
      </c>
      <c r="D85" s="62" t="str">
        <f t="shared" ca="1" si="12"/>
        <v/>
      </c>
      <c r="E85" s="63" t="str">
        <f t="shared" ca="1" si="13"/>
        <v>N/A</v>
      </c>
      <c r="F85" s="46" t="s">
        <v>446</v>
      </c>
      <c r="G85" s="46" t="s">
        <v>160</v>
      </c>
      <c r="H85" s="46" t="s">
        <v>447</v>
      </c>
      <c r="I85" s="46" t="s">
        <v>326</v>
      </c>
      <c r="J85" s="46" t="s">
        <v>160</v>
      </c>
      <c r="K85" s="46" t="s">
        <v>160</v>
      </c>
      <c r="L85" s="46" t="s">
        <v>160</v>
      </c>
      <c r="M85" s="46" t="s">
        <v>160</v>
      </c>
      <c r="N85" s="46" t="s">
        <v>160</v>
      </c>
      <c r="O85" s="46" t="s">
        <v>160</v>
      </c>
      <c r="P85" s="46" t="s">
        <v>160</v>
      </c>
      <c r="Q85" s="46" t="s">
        <v>160</v>
      </c>
      <c r="R85" s="46" t="s">
        <v>160</v>
      </c>
      <c r="S85" s="46" t="s">
        <v>160</v>
      </c>
      <c r="T85" s="46" t="s">
        <v>160</v>
      </c>
      <c r="U85" s="46" t="s">
        <v>160</v>
      </c>
      <c r="V85" s="46" t="s">
        <v>160</v>
      </c>
      <c r="W85" s="46" t="s">
        <v>160</v>
      </c>
      <c r="X85" s="46" t="s">
        <v>160</v>
      </c>
      <c r="Y85" s="46" t="s">
        <v>160</v>
      </c>
      <c r="Z85" s="46" t="s">
        <v>160</v>
      </c>
      <c r="AA85" s="46" t="s">
        <v>160</v>
      </c>
      <c r="AB85" s="46" t="s">
        <v>160</v>
      </c>
      <c r="AC85" s="46" t="s">
        <v>160</v>
      </c>
    </row>
    <row r="86" spans="1:29">
      <c r="A86" s="62">
        <f t="shared" ca="1" si="10"/>
        <v>76</v>
      </c>
      <c r="B86" s="62" t="str">
        <f t="shared" ca="1" si="11"/>
        <v>E</v>
      </c>
      <c r="C86" s="62" t="str">
        <f t="shared" ca="1" si="9"/>
        <v>A-</v>
      </c>
      <c r="D86" s="62">
        <f t="shared" ca="1" si="12"/>
        <v>15</v>
      </c>
      <c r="E86" s="63">
        <f t="shared" ca="1" si="13"/>
        <v>6.916666666666667</v>
      </c>
      <c r="F86" s="46" t="s">
        <v>449</v>
      </c>
      <c r="G86" s="46" t="s">
        <v>160</v>
      </c>
      <c r="H86" s="46" t="s">
        <v>450</v>
      </c>
      <c r="I86" s="46" t="s">
        <v>473</v>
      </c>
      <c r="J86" s="46">
        <v>2.2000000000000002</v>
      </c>
      <c r="K86" s="46">
        <v>2.67</v>
      </c>
      <c r="L86" s="46">
        <v>11.9</v>
      </c>
      <c r="M86" s="46">
        <v>11.7</v>
      </c>
      <c r="N86" s="46">
        <v>2.1800000000000002</v>
      </c>
      <c r="O86" s="46">
        <v>2.58</v>
      </c>
      <c r="P86" s="46">
        <v>12.4</v>
      </c>
      <c r="Q86" s="46">
        <v>9.69</v>
      </c>
      <c r="R86" s="46">
        <v>2.3199999999999998</v>
      </c>
      <c r="S86" s="46">
        <v>2.65</v>
      </c>
      <c r="T86" s="46">
        <v>10.199999999999999</v>
      </c>
      <c r="U86" s="46">
        <v>10.1</v>
      </c>
      <c r="V86" s="46">
        <v>2.37</v>
      </c>
      <c r="W86" s="46">
        <v>3.18</v>
      </c>
      <c r="X86" s="46">
        <v>12.7</v>
      </c>
      <c r="Y86" s="46">
        <v>4.26</v>
      </c>
      <c r="Z86" s="46">
        <v>2.5299999999999998</v>
      </c>
      <c r="AA86" s="46">
        <v>10.6</v>
      </c>
      <c r="AB86" s="46" t="s">
        <v>160</v>
      </c>
      <c r="AC86" s="46" t="s">
        <v>160</v>
      </c>
    </row>
    <row r="87" spans="1:29">
      <c r="A87" s="62">
        <f t="shared" ca="1" si="10"/>
        <v>77</v>
      </c>
      <c r="B87" s="62" t="str">
        <f t="shared" ca="1" si="11"/>
        <v>E</v>
      </c>
      <c r="C87" s="62" t="str">
        <f t="shared" ca="1" si="9"/>
        <v>BBB</v>
      </c>
      <c r="D87" s="62">
        <f t="shared" ca="1" si="12"/>
        <v>13</v>
      </c>
      <c r="E87" s="63">
        <f t="shared" ca="1" si="13"/>
        <v>4.0483333333333329</v>
      </c>
      <c r="F87" s="46" t="s">
        <v>112</v>
      </c>
      <c r="G87" s="46" t="s">
        <v>240</v>
      </c>
      <c r="H87" s="46" t="s">
        <v>241</v>
      </c>
      <c r="I87" s="46" t="s">
        <v>551</v>
      </c>
      <c r="J87" s="46">
        <v>3.25</v>
      </c>
      <c r="K87" s="46">
        <v>8.27</v>
      </c>
      <c r="L87" s="46">
        <v>4.2699999999999996</v>
      </c>
      <c r="M87" s="46">
        <v>3.62</v>
      </c>
      <c r="N87" s="46">
        <v>3.03</v>
      </c>
      <c r="O87" s="46">
        <v>4.22</v>
      </c>
      <c r="P87" s="46">
        <v>4.26</v>
      </c>
      <c r="Q87" s="46">
        <v>4.25</v>
      </c>
      <c r="R87" s="46">
        <v>4.13</v>
      </c>
      <c r="S87" s="46">
        <v>3.98</v>
      </c>
      <c r="T87" s="46">
        <v>4.1399999999999997</v>
      </c>
      <c r="U87" s="46">
        <v>3.84</v>
      </c>
      <c r="V87" s="46">
        <v>3.55</v>
      </c>
      <c r="W87" s="46">
        <v>4.32</v>
      </c>
      <c r="X87" s="46">
        <v>4.47</v>
      </c>
      <c r="Y87" s="46">
        <v>3.75</v>
      </c>
      <c r="Z87" s="46">
        <v>3.45</v>
      </c>
      <c r="AA87" s="46">
        <v>4.4400000000000004</v>
      </c>
      <c r="AB87" s="46" t="s">
        <v>160</v>
      </c>
      <c r="AC87" s="46" t="s">
        <v>160</v>
      </c>
    </row>
    <row r="88" spans="1:29">
      <c r="A88" s="62">
        <f t="shared" ca="1" si="10"/>
        <v>78</v>
      </c>
      <c r="B88" s="62" t="str">
        <f t="shared" ca="1" si="11"/>
        <v>E</v>
      </c>
      <c r="C88" s="62" t="str">
        <f t="shared" ca="1" si="9"/>
        <v>BBB+</v>
      </c>
      <c r="D88" s="62">
        <f t="shared" ca="1" si="12"/>
        <v>14</v>
      </c>
      <c r="E88" s="63">
        <f t="shared" ca="1" si="13"/>
        <v>1.615</v>
      </c>
      <c r="F88" s="46" t="s">
        <v>452</v>
      </c>
      <c r="G88" s="46" t="s">
        <v>160</v>
      </c>
      <c r="H88" s="46" t="s">
        <v>453</v>
      </c>
      <c r="I88" s="46" t="s">
        <v>473</v>
      </c>
      <c r="J88" s="46">
        <v>5.33</v>
      </c>
      <c r="K88" s="46">
        <v>3.98</v>
      </c>
      <c r="L88" s="46">
        <v>2.93</v>
      </c>
      <c r="M88" s="46">
        <v>4.6900000000000004</v>
      </c>
      <c r="N88" s="46">
        <v>4.78</v>
      </c>
      <c r="O88" s="46">
        <v>3.68</v>
      </c>
      <c r="P88" s="46">
        <v>2.98</v>
      </c>
      <c r="Q88" s="46">
        <v>4.78</v>
      </c>
      <c r="R88" s="46">
        <v>4.49</v>
      </c>
      <c r="S88" s="46">
        <v>3.96</v>
      </c>
      <c r="T88" s="46">
        <v>3.27</v>
      </c>
      <c r="U88" s="46">
        <v>2.54</v>
      </c>
      <c r="V88" s="46">
        <v>-20.8</v>
      </c>
      <c r="W88" s="46">
        <v>3.49</v>
      </c>
      <c r="X88" s="46">
        <v>2.71</v>
      </c>
      <c r="Y88" s="46">
        <v>4.25</v>
      </c>
      <c r="Z88" s="46">
        <v>3.89</v>
      </c>
      <c r="AA88" s="46">
        <v>3.82</v>
      </c>
      <c r="AB88" s="46" t="s">
        <v>160</v>
      </c>
      <c r="AC88" s="46" t="s">
        <v>160</v>
      </c>
    </row>
    <row r="89" spans="1:29">
      <c r="A89" s="62">
        <f t="shared" ca="1" si="10"/>
        <v>79</v>
      </c>
      <c r="B89" s="62" t="str">
        <f t="shared" ca="1" si="11"/>
        <v>E</v>
      </c>
      <c r="C89" s="62" t="str">
        <f t="shared" ca="1" si="9"/>
        <v>A-</v>
      </c>
      <c r="D89" s="62">
        <f t="shared" ca="1" si="12"/>
        <v>15</v>
      </c>
      <c r="E89" s="63">
        <f t="shared" ca="1" si="13"/>
        <v>5.1991666666666667</v>
      </c>
      <c r="F89" s="46" t="s">
        <v>454</v>
      </c>
      <c r="G89" s="46" t="s">
        <v>160</v>
      </c>
      <c r="H89" s="46" t="s">
        <v>455</v>
      </c>
      <c r="I89" s="46" t="s">
        <v>473</v>
      </c>
      <c r="J89" s="46">
        <v>5.78</v>
      </c>
      <c r="K89" s="46">
        <v>5.33</v>
      </c>
      <c r="L89" s="46">
        <v>4.1500000000000004</v>
      </c>
      <c r="M89" s="46">
        <v>5.51</v>
      </c>
      <c r="N89" s="46">
        <v>4.8499999999999996</v>
      </c>
      <c r="O89" s="46">
        <v>4.83</v>
      </c>
      <c r="P89" s="46">
        <v>3.88</v>
      </c>
      <c r="Q89" s="46">
        <v>6.11</v>
      </c>
      <c r="R89" s="46">
        <v>4.93</v>
      </c>
      <c r="S89" s="46">
        <v>5.0999999999999996</v>
      </c>
      <c r="T89" s="46">
        <v>4.1900000000000004</v>
      </c>
      <c r="U89" s="46">
        <v>6.08</v>
      </c>
      <c r="V89" s="46">
        <v>5.29</v>
      </c>
      <c r="W89" s="46">
        <v>4.9800000000000004</v>
      </c>
      <c r="X89" s="46">
        <v>3.98</v>
      </c>
      <c r="Y89" s="46">
        <v>6.87</v>
      </c>
      <c r="Z89" s="46">
        <v>5.78</v>
      </c>
      <c r="AA89" s="46">
        <v>5.2</v>
      </c>
      <c r="AB89" s="46" t="s">
        <v>160</v>
      </c>
      <c r="AC89" s="46" t="s">
        <v>160</v>
      </c>
    </row>
    <row r="90" spans="1:29">
      <c r="A90" s="62">
        <f t="shared" ca="1" si="10"/>
        <v>80</v>
      </c>
      <c r="B90" s="62" t="str">
        <f t="shared" ca="1" si="11"/>
        <v>E</v>
      </c>
      <c r="C90" s="62" t="str">
        <f t="shared" ca="1" si="9"/>
        <v>A-</v>
      </c>
      <c r="D90" s="62">
        <f t="shared" ca="1" si="12"/>
        <v>15</v>
      </c>
      <c r="E90" s="63">
        <f t="shared" ca="1" si="13"/>
        <v>3.6391666666666667</v>
      </c>
      <c r="F90" s="46" t="s">
        <v>456</v>
      </c>
      <c r="G90" s="46" t="s">
        <v>160</v>
      </c>
      <c r="H90" s="46" t="s">
        <v>457</v>
      </c>
      <c r="I90" s="46" t="s">
        <v>551</v>
      </c>
      <c r="J90" s="46">
        <v>3.32</v>
      </c>
      <c r="K90" s="46">
        <v>3.73</v>
      </c>
      <c r="L90" s="46">
        <v>2.73</v>
      </c>
      <c r="M90" s="46">
        <v>4.28</v>
      </c>
      <c r="N90" s="46">
        <v>3.59</v>
      </c>
      <c r="O90" s="46">
        <v>4.2</v>
      </c>
      <c r="P90" s="46">
        <v>3.12</v>
      </c>
      <c r="Q90" s="46">
        <v>4.3899999999999997</v>
      </c>
      <c r="R90" s="46">
        <v>3.48</v>
      </c>
      <c r="S90" s="46">
        <v>3.85</v>
      </c>
      <c r="T90" s="46">
        <v>2.7</v>
      </c>
      <c r="U90" s="46">
        <v>4.05</v>
      </c>
      <c r="V90" s="46">
        <v>3.33</v>
      </c>
      <c r="W90" s="46">
        <v>4</v>
      </c>
      <c r="X90" s="46">
        <v>2.76</v>
      </c>
      <c r="Y90" s="46">
        <v>4.33</v>
      </c>
      <c r="Z90" s="46">
        <v>3.63</v>
      </c>
      <c r="AA90" s="46">
        <v>4.03</v>
      </c>
      <c r="AB90" s="46" t="s">
        <v>160</v>
      </c>
      <c r="AC90" s="46" t="s">
        <v>160</v>
      </c>
    </row>
    <row r="91" spans="1:29">
      <c r="A91" s="62">
        <f t="shared" ca="1" si="10"/>
        <v>81</v>
      </c>
      <c r="B91" s="62" t="str">
        <f t="shared" ca="1" si="11"/>
        <v>E</v>
      </c>
      <c r="C91" s="62" t="str">
        <f t="shared" ca="1" si="9"/>
        <v>A</v>
      </c>
      <c r="D91" s="62">
        <f t="shared" ca="1" si="12"/>
        <v>16</v>
      </c>
      <c r="E91" s="63">
        <f t="shared" ca="1" si="13"/>
        <v>3.69</v>
      </c>
      <c r="F91" s="46" t="s">
        <v>458</v>
      </c>
      <c r="G91" s="46" t="s">
        <v>160</v>
      </c>
      <c r="H91" s="46" t="s">
        <v>459</v>
      </c>
      <c r="I91" s="46" t="s">
        <v>473</v>
      </c>
      <c r="J91" s="46">
        <v>3.65</v>
      </c>
      <c r="K91" s="46">
        <v>4.18</v>
      </c>
      <c r="L91" s="46">
        <v>3.73</v>
      </c>
      <c r="M91" s="46">
        <v>4.4400000000000004</v>
      </c>
      <c r="N91" s="46">
        <v>2.64</v>
      </c>
      <c r="O91" s="46">
        <v>5.08</v>
      </c>
      <c r="P91" s="46">
        <v>3.88</v>
      </c>
      <c r="Q91" s="46">
        <v>4.17</v>
      </c>
      <c r="R91" s="46">
        <v>2.93</v>
      </c>
      <c r="S91" s="46">
        <v>3.46</v>
      </c>
      <c r="T91" s="46">
        <v>3.46</v>
      </c>
      <c r="U91" s="46">
        <v>5.38</v>
      </c>
      <c r="V91" s="46">
        <v>3.03</v>
      </c>
      <c r="W91" s="46">
        <v>3.79</v>
      </c>
      <c r="X91" s="46">
        <v>2.64</v>
      </c>
      <c r="Y91" s="46">
        <v>4.07</v>
      </c>
      <c r="Z91" s="46">
        <v>3.12</v>
      </c>
      <c r="AA91" s="46">
        <v>4.3499999999999996</v>
      </c>
      <c r="AB91" s="46" t="s">
        <v>160</v>
      </c>
      <c r="AC91" s="46" t="s">
        <v>160</v>
      </c>
    </row>
    <row r="92" spans="1:29">
      <c r="A92" s="62">
        <f t="shared" ca="1" si="10"/>
        <v>82</v>
      </c>
      <c r="B92" s="62" t="str">
        <f t="shared" ca="1" si="11"/>
        <v>E</v>
      </c>
      <c r="C92" s="62" t="str">
        <f t="shared" ca="1" si="9"/>
        <v>BBB+</v>
      </c>
      <c r="D92" s="62">
        <f t="shared" ca="1" si="12"/>
        <v>14</v>
      </c>
      <c r="E92" s="63">
        <f t="shared" ca="1" si="13"/>
        <v>3.7816666666666658</v>
      </c>
      <c r="F92" s="46" t="s">
        <v>460</v>
      </c>
      <c r="G92" s="46" t="s">
        <v>160</v>
      </c>
      <c r="H92" s="46" t="s">
        <v>461</v>
      </c>
      <c r="I92" s="46" t="s">
        <v>551</v>
      </c>
      <c r="J92" s="46">
        <v>4.96</v>
      </c>
      <c r="K92" s="46">
        <v>3.9</v>
      </c>
      <c r="L92" s="46">
        <v>2.91</v>
      </c>
      <c r="M92" s="46">
        <v>6.36</v>
      </c>
      <c r="N92" s="46">
        <v>5.21</v>
      </c>
      <c r="O92" s="46">
        <v>4.3099999999999996</v>
      </c>
      <c r="P92" s="46">
        <v>3.08</v>
      </c>
      <c r="Q92" s="46">
        <v>4.84</v>
      </c>
      <c r="R92" s="46">
        <v>5.32</v>
      </c>
      <c r="S92" s="46">
        <v>4.76</v>
      </c>
      <c r="T92" s="46">
        <v>3.22</v>
      </c>
      <c r="U92" s="46">
        <v>-4.8899999999999997</v>
      </c>
      <c r="V92" s="46">
        <v>6.36</v>
      </c>
      <c r="W92" s="46">
        <v>5.25</v>
      </c>
      <c r="X92" s="46">
        <v>3.54</v>
      </c>
      <c r="Y92" s="46">
        <v>4.84</v>
      </c>
      <c r="Z92" s="46">
        <v>4.9400000000000004</v>
      </c>
      <c r="AA92" s="46">
        <v>4.12</v>
      </c>
      <c r="AB92" s="46" t="s">
        <v>160</v>
      </c>
      <c r="AC92" s="46" t="s">
        <v>160</v>
      </c>
    </row>
    <row r="93" spans="1:29">
      <c r="A93" s="62">
        <f t="shared" ca="1" si="10"/>
        <v>83</v>
      </c>
      <c r="B93" s="62" t="str">
        <f t="shared" ca="1" si="11"/>
        <v>E</v>
      </c>
      <c r="C93" s="62" t="str">
        <f t="shared" ca="1" si="9"/>
        <v>BBB+</v>
      </c>
      <c r="D93" s="62">
        <f t="shared" ca="1" si="12"/>
        <v>14</v>
      </c>
      <c r="E93" s="63">
        <f t="shared" ca="1" si="13"/>
        <v>8.3889999999999993</v>
      </c>
      <c r="F93" s="46" t="s">
        <v>462</v>
      </c>
      <c r="G93" s="46" t="s">
        <v>160</v>
      </c>
      <c r="H93" s="46" t="s">
        <v>463</v>
      </c>
      <c r="I93" s="46" t="s">
        <v>473</v>
      </c>
      <c r="J93" s="46">
        <v>1.57</v>
      </c>
      <c r="K93" s="46">
        <v>5.93</v>
      </c>
      <c r="L93" s="46">
        <v>10.6</v>
      </c>
      <c r="M93" s="46">
        <v>1.93</v>
      </c>
      <c r="N93" s="46">
        <v>1.47</v>
      </c>
      <c r="O93" s="46">
        <v>5.52</v>
      </c>
      <c r="P93" s="46" t="s">
        <v>160</v>
      </c>
      <c r="Q93" s="46" t="s">
        <v>160</v>
      </c>
      <c r="R93" s="46">
        <v>1.5</v>
      </c>
      <c r="S93" s="46">
        <v>6.8</v>
      </c>
      <c r="T93" s="46">
        <v>23.7</v>
      </c>
      <c r="U93" s="46">
        <v>2.33</v>
      </c>
      <c r="V93" s="46">
        <v>1.68</v>
      </c>
      <c r="W93" s="46">
        <v>9.14</v>
      </c>
      <c r="X93" s="46">
        <v>24.7</v>
      </c>
      <c r="Y93" s="46">
        <v>2.4900000000000002</v>
      </c>
      <c r="Z93" s="46">
        <v>1.63</v>
      </c>
      <c r="AA93" s="46">
        <v>9.92</v>
      </c>
      <c r="AB93" s="46" t="s">
        <v>160</v>
      </c>
      <c r="AC93" s="46" t="s">
        <v>160</v>
      </c>
    </row>
    <row r="94" spans="1:29">
      <c r="A94" s="62">
        <f t="shared" ca="1" si="10"/>
        <v>84</v>
      </c>
      <c r="B94" s="62" t="str">
        <f t="shared" ca="1" si="11"/>
        <v>E</v>
      </c>
      <c r="C94" s="62" t="str">
        <f t="shared" ca="1" si="9"/>
        <v>A-</v>
      </c>
      <c r="D94" s="62">
        <f t="shared" ca="1" si="12"/>
        <v>15</v>
      </c>
      <c r="E94" s="63">
        <f t="shared" ca="1" si="13"/>
        <v>5.3016666666666667</v>
      </c>
      <c r="F94" s="46" t="s">
        <v>464</v>
      </c>
      <c r="G94" s="46" t="s">
        <v>160</v>
      </c>
      <c r="H94" s="46" t="s">
        <v>465</v>
      </c>
      <c r="I94" s="46" t="s">
        <v>326</v>
      </c>
      <c r="J94" s="46">
        <v>4.28</v>
      </c>
      <c r="K94" s="46">
        <v>3.07</v>
      </c>
      <c r="L94" s="46">
        <v>2.0699999999999998</v>
      </c>
      <c r="M94" s="46">
        <v>5.64</v>
      </c>
      <c r="N94" s="46">
        <v>5.76</v>
      </c>
      <c r="O94" s="46">
        <v>4.03</v>
      </c>
      <c r="P94" s="46">
        <v>2.61</v>
      </c>
      <c r="Q94" s="46">
        <v>5.68</v>
      </c>
      <c r="R94" s="46">
        <v>5.26</v>
      </c>
      <c r="S94" s="46">
        <v>3.93</v>
      </c>
      <c r="T94" s="46">
        <v>2.94</v>
      </c>
      <c r="U94" s="46">
        <v>7.36</v>
      </c>
      <c r="V94" s="46">
        <v>4.72</v>
      </c>
      <c r="W94" s="46">
        <v>3.48</v>
      </c>
      <c r="X94" s="46">
        <v>2.48</v>
      </c>
      <c r="Y94" s="46">
        <v>13.5</v>
      </c>
      <c r="Z94" s="46">
        <v>6.95</v>
      </c>
      <c r="AA94" s="46">
        <v>4.71</v>
      </c>
      <c r="AB94" s="46" t="s">
        <v>160</v>
      </c>
      <c r="AC94" s="46" t="s">
        <v>160</v>
      </c>
    </row>
    <row r="95" spans="1:29">
      <c r="A95" s="62">
        <f t="shared" ca="1" si="10"/>
        <v>85</v>
      </c>
      <c r="B95" s="62" t="str">
        <f t="shared" ca="1" si="11"/>
        <v>E</v>
      </c>
      <c r="C95" s="62" t="str">
        <f t="shared" ca="1" si="9"/>
        <v>BBB+</v>
      </c>
      <c r="D95" s="62">
        <f t="shared" ca="1" si="12"/>
        <v>14</v>
      </c>
      <c r="E95" s="63">
        <f t="shared" ca="1" si="13"/>
        <v>3.625</v>
      </c>
      <c r="F95" s="46" t="s">
        <v>467</v>
      </c>
      <c r="G95" s="46" t="s">
        <v>160</v>
      </c>
      <c r="H95" s="46" t="s">
        <v>468</v>
      </c>
      <c r="I95" s="46" t="s">
        <v>473</v>
      </c>
      <c r="J95" s="46">
        <v>2.88</v>
      </c>
      <c r="K95" s="46">
        <v>3.99</v>
      </c>
      <c r="L95" s="46">
        <v>3.05</v>
      </c>
      <c r="M95" s="46">
        <v>3.32</v>
      </c>
      <c r="N95" s="46">
        <v>2.5299999999999998</v>
      </c>
      <c r="O95" s="46">
        <v>3.43</v>
      </c>
      <c r="P95" s="46">
        <v>2.72</v>
      </c>
      <c r="Q95" s="46">
        <v>3.64</v>
      </c>
      <c r="R95" s="46">
        <v>2.8</v>
      </c>
      <c r="S95" s="46">
        <v>3.82</v>
      </c>
      <c r="T95" s="46">
        <v>3.33</v>
      </c>
      <c r="U95" s="46">
        <v>4.79</v>
      </c>
      <c r="V95" s="46">
        <v>3.26</v>
      </c>
      <c r="W95" s="46">
        <v>4.37</v>
      </c>
      <c r="X95" s="46">
        <v>3.54</v>
      </c>
      <c r="Y95" s="46">
        <v>4</v>
      </c>
      <c r="Z95" s="46">
        <v>3.11</v>
      </c>
      <c r="AA95" s="46">
        <v>4.12</v>
      </c>
      <c r="AB95" s="46" t="s">
        <v>160</v>
      </c>
      <c r="AC95" s="46" t="s">
        <v>160</v>
      </c>
    </row>
    <row r="96" spans="1:29">
      <c r="A96" s="62">
        <f t="shared" ca="1" si="10"/>
        <v>86</v>
      </c>
      <c r="B96" s="62" t="str">
        <f t="shared" ca="1" si="11"/>
        <v>E</v>
      </c>
      <c r="C96" s="62" t="str">
        <f t="shared" ca="1" si="9"/>
        <v>BBB+</v>
      </c>
      <c r="D96" s="62">
        <f t="shared" ca="1" si="12"/>
        <v>14</v>
      </c>
      <c r="E96" s="63">
        <f t="shared" ca="1" si="13"/>
        <v>5.3466666666666676</v>
      </c>
      <c r="F96" s="46" t="s">
        <v>469</v>
      </c>
      <c r="G96" s="46" t="s">
        <v>160</v>
      </c>
      <c r="H96" s="46" t="s">
        <v>470</v>
      </c>
      <c r="I96" s="46" t="s">
        <v>473</v>
      </c>
      <c r="J96" s="46">
        <v>1.7</v>
      </c>
      <c r="K96" s="46">
        <v>8.69</v>
      </c>
      <c r="L96" s="46">
        <v>112.4</v>
      </c>
      <c r="M96" s="46">
        <v>2.31</v>
      </c>
      <c r="N96" s="46">
        <v>1.62</v>
      </c>
      <c r="O96" s="46">
        <v>9.66</v>
      </c>
      <c r="P96" s="46">
        <v>35</v>
      </c>
      <c r="Q96" s="46">
        <v>2.56</v>
      </c>
      <c r="R96" s="46">
        <v>1.6</v>
      </c>
      <c r="S96" s="46">
        <v>9.83</v>
      </c>
      <c r="T96" s="46">
        <v>34.700000000000003</v>
      </c>
      <c r="U96" s="46">
        <v>2.79</v>
      </c>
      <c r="V96" s="46">
        <v>1.7</v>
      </c>
      <c r="W96" s="46">
        <v>8.39</v>
      </c>
      <c r="X96" s="46">
        <v>-50.3</v>
      </c>
      <c r="Y96" s="46">
        <v>3.03</v>
      </c>
      <c r="Z96" s="46">
        <v>1.86</v>
      </c>
      <c r="AA96" s="46">
        <v>13</v>
      </c>
      <c r="AB96" s="46" t="s">
        <v>160</v>
      </c>
      <c r="AC96" s="46" t="s">
        <v>160</v>
      </c>
    </row>
    <row r="97" spans="1:29">
      <c r="A97" s="62">
        <f t="shared" ca="1" si="10"/>
        <v>87</v>
      </c>
      <c r="B97" s="62" t="str">
        <f t="shared" ca="1" si="11"/>
        <v>E</v>
      </c>
      <c r="C97" s="62" t="str">
        <f t="shared" ca="1" si="9"/>
        <v>A-</v>
      </c>
      <c r="D97" s="62">
        <f t="shared" ca="1" si="12"/>
        <v>15</v>
      </c>
      <c r="E97" s="63">
        <f t="shared" ca="1" si="13"/>
        <v>3.6680000000000001</v>
      </c>
      <c r="F97" s="46" t="s">
        <v>471</v>
      </c>
      <c r="G97" s="46" t="s">
        <v>160</v>
      </c>
      <c r="H97" s="46" t="s">
        <v>472</v>
      </c>
      <c r="I97" s="46" t="s">
        <v>473</v>
      </c>
      <c r="J97" s="46" t="s">
        <v>160</v>
      </c>
      <c r="K97" s="46" t="s">
        <v>160</v>
      </c>
      <c r="L97" s="46" t="s">
        <v>160</v>
      </c>
      <c r="M97" s="46">
        <v>1.76</v>
      </c>
      <c r="N97" s="46" t="s">
        <v>160</v>
      </c>
      <c r="O97" s="46" t="s">
        <v>160</v>
      </c>
      <c r="P97" s="46" t="s">
        <v>160</v>
      </c>
      <c r="Q97" s="46" t="s">
        <v>160</v>
      </c>
      <c r="R97" s="46">
        <v>3.05</v>
      </c>
      <c r="S97" s="46">
        <v>4.03</v>
      </c>
      <c r="T97" s="46">
        <v>4.74</v>
      </c>
      <c r="U97" s="46">
        <v>5.6</v>
      </c>
      <c r="V97" s="46">
        <v>2.67</v>
      </c>
      <c r="W97" s="46">
        <v>1.21</v>
      </c>
      <c r="X97" s="46">
        <v>4.04</v>
      </c>
      <c r="Y97" s="46">
        <v>3.36</v>
      </c>
      <c r="Z97" s="46">
        <v>3.13</v>
      </c>
      <c r="AA97" s="46">
        <v>4.8499999999999996</v>
      </c>
      <c r="AB97" s="46" t="s">
        <v>160</v>
      </c>
      <c r="AC97" s="46" t="s">
        <v>160</v>
      </c>
    </row>
    <row r="98" spans="1:29">
      <c r="A98" s="62">
        <f t="shared" ca="1" si="10"/>
        <v>88</v>
      </c>
      <c r="B98" s="62" t="str">
        <f t="shared" ca="1" si="11"/>
        <v>E</v>
      </c>
      <c r="C98" s="62" t="str">
        <f t="shared" ca="1" si="9"/>
        <v>A</v>
      </c>
      <c r="D98" s="62">
        <f t="shared" ca="1" si="12"/>
        <v>16</v>
      </c>
      <c r="E98" s="63">
        <f t="shared" ca="1" si="13"/>
        <v>3.15</v>
      </c>
      <c r="F98" s="46" t="s">
        <v>474</v>
      </c>
      <c r="G98" s="46" t="s">
        <v>160</v>
      </c>
      <c r="H98" s="46" t="s">
        <v>475</v>
      </c>
      <c r="I98" s="46" t="s">
        <v>551</v>
      </c>
      <c r="J98" s="46">
        <v>3.61</v>
      </c>
      <c r="K98" s="46">
        <v>2.66</v>
      </c>
      <c r="L98" s="46">
        <v>3</v>
      </c>
      <c r="M98" s="46">
        <v>3.28</v>
      </c>
      <c r="N98" s="46">
        <v>4.1100000000000003</v>
      </c>
      <c r="O98" s="46">
        <v>3.84</v>
      </c>
      <c r="P98" s="46">
        <v>3.47</v>
      </c>
      <c r="Q98" s="46">
        <v>3.89</v>
      </c>
      <c r="R98" s="46">
        <v>3.01</v>
      </c>
      <c r="S98" s="46">
        <v>3.18</v>
      </c>
      <c r="T98" s="46">
        <v>2.61</v>
      </c>
      <c r="U98" s="46">
        <v>2.86</v>
      </c>
      <c r="V98" s="46">
        <v>2.93</v>
      </c>
      <c r="W98" s="46">
        <v>3.85</v>
      </c>
      <c r="X98" s="46">
        <v>2.64</v>
      </c>
      <c r="Y98" s="46">
        <v>2.92</v>
      </c>
      <c r="Z98" s="46">
        <v>2.94</v>
      </c>
      <c r="AA98" s="46">
        <v>3.5</v>
      </c>
      <c r="AB98" s="46" t="s">
        <v>160</v>
      </c>
      <c r="AC98" s="46" t="s">
        <v>160</v>
      </c>
    </row>
    <row r="99" spans="1:29">
      <c r="A99" s="62">
        <f t="shared" ca="1" si="10"/>
        <v>89</v>
      </c>
      <c r="B99" s="62" t="str">
        <f t="shared" ca="1" si="11"/>
        <v>E</v>
      </c>
      <c r="C99" s="62" t="str">
        <f t="shared" ca="1" si="9"/>
        <v>BBB+</v>
      </c>
      <c r="D99" s="62">
        <f t="shared" ca="1" si="12"/>
        <v>14</v>
      </c>
      <c r="E99" s="63">
        <f t="shared" ca="1" si="13"/>
        <v>4.3899999999999997</v>
      </c>
      <c r="F99" s="46" t="s">
        <v>476</v>
      </c>
      <c r="G99" s="46" t="s">
        <v>160</v>
      </c>
      <c r="H99" s="46" t="s">
        <v>477</v>
      </c>
      <c r="I99" s="46" t="s">
        <v>473</v>
      </c>
      <c r="J99" s="46">
        <v>3.86</v>
      </c>
      <c r="K99" s="46">
        <v>4.0599999999999996</v>
      </c>
      <c r="L99" s="46">
        <v>3.23</v>
      </c>
      <c r="M99" s="46">
        <v>5.48</v>
      </c>
      <c r="N99" s="46">
        <v>3.51</v>
      </c>
      <c r="O99" s="46">
        <v>5.2</v>
      </c>
      <c r="P99" s="46">
        <v>3.36</v>
      </c>
      <c r="Q99" s="46">
        <v>4.67</v>
      </c>
      <c r="R99" s="46">
        <v>3.98</v>
      </c>
      <c r="S99" s="46">
        <v>4.28</v>
      </c>
      <c r="T99" s="46">
        <v>3.48</v>
      </c>
      <c r="U99" s="46">
        <v>5.27</v>
      </c>
      <c r="V99" s="46">
        <v>4.46</v>
      </c>
      <c r="W99" s="46">
        <v>4.88</v>
      </c>
      <c r="X99" s="46">
        <v>3.59</v>
      </c>
      <c r="Y99" s="46">
        <v>4.8899999999999997</v>
      </c>
      <c r="Z99" s="46">
        <v>4.91</v>
      </c>
      <c r="AA99" s="46">
        <v>4.91</v>
      </c>
      <c r="AB99" s="46" t="s">
        <v>160</v>
      </c>
      <c r="AC99" s="46" t="s">
        <v>160</v>
      </c>
    </row>
    <row r="100" spans="1:29">
      <c r="A100" s="62">
        <f t="shared" ca="1" si="10"/>
        <v>90</v>
      </c>
      <c r="B100" s="62" t="str">
        <f t="shared" ca="1" si="11"/>
        <v>G</v>
      </c>
      <c r="C100" s="62" t="str">
        <f t="shared" ca="1" si="9"/>
        <v>BBB+</v>
      </c>
      <c r="D100" s="62">
        <f t="shared" ca="1" si="12"/>
        <v>14</v>
      </c>
      <c r="E100" s="63">
        <f t="shared" ca="1" si="13"/>
        <v>8.0233333333333334</v>
      </c>
      <c r="F100" s="46" t="s">
        <v>478</v>
      </c>
      <c r="G100" s="46" t="s">
        <v>160</v>
      </c>
      <c r="H100" s="46" t="s">
        <v>479</v>
      </c>
      <c r="I100" s="46" t="s">
        <v>554</v>
      </c>
      <c r="J100" s="46">
        <v>2.17</v>
      </c>
      <c r="K100" s="46">
        <v>7.05</v>
      </c>
      <c r="L100" s="46">
        <v>8.94</v>
      </c>
      <c r="M100" s="46">
        <v>2.98</v>
      </c>
      <c r="N100" s="46">
        <v>2.08</v>
      </c>
      <c r="O100" s="46">
        <v>8.3699999999999992</v>
      </c>
      <c r="P100" s="46">
        <v>11.9</v>
      </c>
      <c r="Q100" s="46">
        <v>2.4300000000000002</v>
      </c>
      <c r="R100" s="46">
        <v>2.2799999999999998</v>
      </c>
      <c r="S100" s="46">
        <v>8.6</v>
      </c>
      <c r="T100" s="46">
        <v>24</v>
      </c>
      <c r="U100" s="46">
        <v>2.71</v>
      </c>
      <c r="V100" s="46">
        <v>2.3199999999999998</v>
      </c>
      <c r="W100" s="46">
        <v>8.7200000000000006</v>
      </c>
      <c r="X100" s="46">
        <v>16.7</v>
      </c>
      <c r="Y100" s="46">
        <v>3.51</v>
      </c>
      <c r="Z100" s="46">
        <v>2.21</v>
      </c>
      <c r="AA100" s="46">
        <v>10.9</v>
      </c>
      <c r="AB100" s="46" t="s">
        <v>160</v>
      </c>
      <c r="AC100" s="46" t="s">
        <v>160</v>
      </c>
    </row>
    <row r="101" spans="1:29">
      <c r="A101" s="62">
        <f t="shared" ca="1" si="10"/>
        <v>91</v>
      </c>
      <c r="B101" s="62" t="str">
        <f t="shared" ca="1" si="11"/>
        <v>E</v>
      </c>
      <c r="C101" s="62" t="str">
        <f t="shared" ca="1" si="9"/>
        <v>BBB+</v>
      </c>
      <c r="D101" s="62">
        <f t="shared" ca="1" si="12"/>
        <v>14</v>
      </c>
      <c r="E101" s="63">
        <f t="shared" ca="1" si="13"/>
        <v>3.3183333333333334</v>
      </c>
      <c r="F101" s="46" t="s">
        <v>480</v>
      </c>
      <c r="G101" s="46" t="s">
        <v>160</v>
      </c>
      <c r="H101" s="46" t="s">
        <v>481</v>
      </c>
      <c r="I101" s="46" t="s">
        <v>551</v>
      </c>
      <c r="J101" s="46">
        <v>3.49</v>
      </c>
      <c r="K101" s="46">
        <v>3.49</v>
      </c>
      <c r="L101" s="46">
        <v>3</v>
      </c>
      <c r="M101" s="46">
        <v>3.59</v>
      </c>
      <c r="N101" s="46">
        <v>3.39</v>
      </c>
      <c r="O101" s="46">
        <v>3.45</v>
      </c>
      <c r="P101" s="46">
        <v>2.68</v>
      </c>
      <c r="Q101" s="46">
        <v>3.21</v>
      </c>
      <c r="R101" s="46">
        <v>3.77</v>
      </c>
      <c r="S101" s="46">
        <v>3.85</v>
      </c>
      <c r="T101" s="46">
        <v>3.43</v>
      </c>
      <c r="U101" s="46">
        <v>3.65</v>
      </c>
      <c r="V101" s="46">
        <v>3.28</v>
      </c>
      <c r="W101" s="46">
        <v>3.4</v>
      </c>
      <c r="X101" s="46">
        <v>2.63</v>
      </c>
      <c r="Y101" s="46">
        <v>3.1</v>
      </c>
      <c r="Z101" s="46">
        <v>3.42</v>
      </c>
      <c r="AA101" s="46">
        <v>3.4</v>
      </c>
      <c r="AB101" s="46" t="s">
        <v>160</v>
      </c>
      <c r="AC101" s="46" t="s">
        <v>160</v>
      </c>
    </row>
    <row r="102" spans="1:29">
      <c r="A102" s="62">
        <f t="shared" ca="1" si="10"/>
        <v>92</v>
      </c>
      <c r="B102" s="62" t="str">
        <f t="shared" ca="1" si="11"/>
        <v>E</v>
      </c>
      <c r="C102" s="62" t="str">
        <f t="shared" ca="1" si="9"/>
        <v>A</v>
      </c>
      <c r="D102" s="62">
        <f t="shared" ca="1" si="12"/>
        <v>16</v>
      </c>
      <c r="E102" s="63">
        <f t="shared" ca="1" si="13"/>
        <v>4.5449999999999999</v>
      </c>
      <c r="F102" s="46" t="s">
        <v>482</v>
      </c>
      <c r="G102" s="46" t="s">
        <v>160</v>
      </c>
      <c r="H102" s="46" t="s">
        <v>483</v>
      </c>
      <c r="I102" s="46" t="s">
        <v>551</v>
      </c>
      <c r="J102" s="46">
        <v>3.63</v>
      </c>
      <c r="K102" s="46">
        <v>2.68</v>
      </c>
      <c r="L102" s="46">
        <v>2.72</v>
      </c>
      <c r="M102" s="46">
        <v>2.68</v>
      </c>
      <c r="N102" s="46">
        <v>2.54</v>
      </c>
      <c r="O102" s="46">
        <v>2.68</v>
      </c>
      <c r="P102" s="46">
        <v>2.77</v>
      </c>
      <c r="Q102" s="46">
        <v>3.49</v>
      </c>
      <c r="R102" s="46">
        <v>1.89</v>
      </c>
      <c r="S102" s="46">
        <v>4.28</v>
      </c>
      <c r="T102" s="46">
        <v>8.35</v>
      </c>
      <c r="U102" s="46">
        <v>3.02</v>
      </c>
      <c r="V102" s="46">
        <v>2.4</v>
      </c>
      <c r="W102" s="46">
        <v>10.9</v>
      </c>
      <c r="X102" s="46">
        <v>7.28</v>
      </c>
      <c r="Y102" s="46">
        <v>2.94</v>
      </c>
      <c r="Z102" s="46">
        <v>2.5</v>
      </c>
      <c r="AA102" s="46">
        <v>4.72</v>
      </c>
      <c r="AB102" s="46" t="s">
        <v>160</v>
      </c>
      <c r="AC102" s="46" t="s">
        <v>160</v>
      </c>
    </row>
    <row r="103" spans="1:29">
      <c r="A103" s="62">
        <f t="shared" ca="1" si="10"/>
        <v>93</v>
      </c>
      <c r="B103" s="62" t="str">
        <f t="shared" ca="1" si="11"/>
        <v>E</v>
      </c>
      <c r="C103" s="62" t="str">
        <f t="shared" ca="1" si="9"/>
        <v>A-</v>
      </c>
      <c r="D103" s="62">
        <f t="shared" ca="1" si="12"/>
        <v>15</v>
      </c>
      <c r="E103" s="63">
        <f t="shared" ca="1" si="13"/>
        <v>4.7075000000000005</v>
      </c>
      <c r="F103" s="46" t="s">
        <v>485</v>
      </c>
      <c r="G103" s="46" t="s">
        <v>160</v>
      </c>
      <c r="H103" s="46" t="s">
        <v>486</v>
      </c>
      <c r="I103" s="46" t="s">
        <v>473</v>
      </c>
      <c r="J103" s="46">
        <v>2.81</v>
      </c>
      <c r="K103" s="46">
        <v>4.87</v>
      </c>
      <c r="L103" s="46">
        <v>5.95</v>
      </c>
      <c r="M103" s="46">
        <v>3.71</v>
      </c>
      <c r="N103" s="46">
        <v>1.62</v>
      </c>
      <c r="O103" s="46">
        <v>4.2</v>
      </c>
      <c r="P103" s="46">
        <v>6.31</v>
      </c>
      <c r="Q103" s="46">
        <v>3.31</v>
      </c>
      <c r="R103" s="46">
        <v>2.35</v>
      </c>
      <c r="S103" s="46">
        <v>4.5</v>
      </c>
      <c r="T103" s="46">
        <v>4.6900000000000004</v>
      </c>
      <c r="U103" s="46">
        <v>3.16</v>
      </c>
      <c r="V103" s="46">
        <v>2.4700000000000002</v>
      </c>
      <c r="W103" s="46">
        <v>7.53</v>
      </c>
      <c r="X103" s="46">
        <v>9.33</v>
      </c>
      <c r="Y103" s="46">
        <v>3.81</v>
      </c>
      <c r="Z103" s="46">
        <v>2.89</v>
      </c>
      <c r="AA103" s="46">
        <v>6.14</v>
      </c>
      <c r="AB103" s="46" t="s">
        <v>160</v>
      </c>
      <c r="AC103" s="46" t="s">
        <v>160</v>
      </c>
    </row>
    <row r="104" spans="1:29">
      <c r="A104" s="62">
        <f t="shared" ca="1" si="10"/>
        <v>94</v>
      </c>
      <c r="B104" s="62" t="str">
        <f t="shared" ca="1" si="11"/>
        <v>E</v>
      </c>
      <c r="C104" s="62" t="str">
        <f t="shared" ca="1" si="9"/>
        <v>A-</v>
      </c>
      <c r="D104" s="62">
        <f t="shared" ca="1" si="12"/>
        <v>15</v>
      </c>
      <c r="E104" s="63">
        <f t="shared" ca="1" si="13"/>
        <v>2.7111111111111112</v>
      </c>
      <c r="F104" s="46" t="s">
        <v>488</v>
      </c>
      <c r="G104" s="46" t="s">
        <v>160</v>
      </c>
      <c r="H104" s="46" t="s">
        <v>489</v>
      </c>
      <c r="I104" s="46" t="s">
        <v>326</v>
      </c>
      <c r="J104" s="46">
        <v>2.64</v>
      </c>
      <c r="K104" s="46">
        <v>2.67</v>
      </c>
      <c r="L104" s="46">
        <v>2.09</v>
      </c>
      <c r="M104" s="46">
        <v>2.76</v>
      </c>
      <c r="N104" s="46">
        <v>2.37</v>
      </c>
      <c r="O104" s="46">
        <v>2.64</v>
      </c>
      <c r="P104" s="46" t="s">
        <v>160</v>
      </c>
      <c r="Q104" s="46" t="s">
        <v>160</v>
      </c>
      <c r="R104" s="46">
        <v>2.37</v>
      </c>
      <c r="S104" s="46">
        <v>2.56</v>
      </c>
      <c r="T104" s="46">
        <v>2.2599999999999998</v>
      </c>
      <c r="U104" s="46">
        <v>2.88</v>
      </c>
      <c r="V104" s="46">
        <v>2.74</v>
      </c>
      <c r="W104" s="46">
        <v>2.77</v>
      </c>
      <c r="X104" s="46" t="s">
        <v>160</v>
      </c>
      <c r="Y104" s="46">
        <v>2.72</v>
      </c>
      <c r="Z104" s="46">
        <v>2.96</v>
      </c>
      <c r="AA104" s="46">
        <v>3.14</v>
      </c>
      <c r="AB104" s="46" t="s">
        <v>160</v>
      </c>
      <c r="AC104" s="46" t="s">
        <v>160</v>
      </c>
    </row>
    <row r="105" spans="1:29">
      <c r="A105" s="62">
        <f t="shared" ca="1" si="10"/>
        <v>95</v>
      </c>
      <c r="B105" s="62" t="str">
        <f t="shared" ca="1" si="11"/>
        <v>E</v>
      </c>
      <c r="C105" s="62" t="str">
        <f t="shared" ca="1" si="9"/>
        <v>BBB+</v>
      </c>
      <c r="D105" s="62">
        <f t="shared" ca="1" si="12"/>
        <v>14</v>
      </c>
      <c r="E105" s="63">
        <f t="shared" ca="1" si="13"/>
        <v>5.4008333333333338</v>
      </c>
      <c r="F105" s="46" t="s">
        <v>490</v>
      </c>
      <c r="G105" s="46" t="s">
        <v>160</v>
      </c>
      <c r="H105" s="46" t="s">
        <v>491</v>
      </c>
      <c r="I105" s="46" t="s">
        <v>473</v>
      </c>
      <c r="J105" s="46">
        <v>3.31</v>
      </c>
      <c r="K105" s="46">
        <v>3.92</v>
      </c>
      <c r="L105" s="46">
        <v>2.87</v>
      </c>
      <c r="M105" s="46">
        <v>4.07</v>
      </c>
      <c r="N105" s="46">
        <v>3.56</v>
      </c>
      <c r="O105" s="46">
        <v>4.1100000000000003</v>
      </c>
      <c r="P105" s="46">
        <v>2.4500000000000002</v>
      </c>
      <c r="Q105" s="46">
        <v>4.5599999999999996</v>
      </c>
      <c r="R105" s="46">
        <v>3.72</v>
      </c>
      <c r="S105" s="46">
        <v>3.91</v>
      </c>
      <c r="T105" s="46">
        <v>2.89</v>
      </c>
      <c r="U105" s="46">
        <v>5.26</v>
      </c>
      <c r="V105" s="46">
        <v>7.39</v>
      </c>
      <c r="W105" s="46">
        <v>6.47</v>
      </c>
      <c r="X105" s="46">
        <v>4.7699999999999996</v>
      </c>
      <c r="Y105" s="46">
        <v>9.0399999999999991</v>
      </c>
      <c r="Z105" s="46">
        <v>8.0500000000000007</v>
      </c>
      <c r="AA105" s="46">
        <v>6.3</v>
      </c>
      <c r="AB105" s="46" t="s">
        <v>160</v>
      </c>
      <c r="AC105" s="46" t="s">
        <v>160</v>
      </c>
    </row>
    <row r="106" spans="1:29">
      <c r="A106" s="62">
        <f t="shared" ca="1" si="10"/>
        <v>96</v>
      </c>
      <c r="B106" s="62" t="str">
        <f t="shared" ca="1" si="11"/>
        <v>G</v>
      </c>
      <c r="C106" s="62" t="str">
        <f t="shared" ca="1" si="9"/>
        <v>BBB+</v>
      </c>
      <c r="D106" s="62">
        <f t="shared" ca="1" si="12"/>
        <v>14</v>
      </c>
      <c r="E106" s="63">
        <f t="shared" ca="1" si="13"/>
        <v>3.4458333333333329</v>
      </c>
      <c r="F106" s="46" t="s">
        <v>492</v>
      </c>
      <c r="G106" s="46" t="s">
        <v>160</v>
      </c>
      <c r="H106" s="46" t="s">
        <v>493</v>
      </c>
      <c r="I106" s="46" t="s">
        <v>554</v>
      </c>
      <c r="J106" s="46">
        <v>1.81</v>
      </c>
      <c r="K106" s="46">
        <v>3.97</v>
      </c>
      <c r="L106" s="46">
        <v>5.38</v>
      </c>
      <c r="M106" s="46">
        <v>2.2400000000000002</v>
      </c>
      <c r="N106" s="46">
        <v>1.87</v>
      </c>
      <c r="O106" s="46">
        <v>3.9</v>
      </c>
      <c r="P106" s="46">
        <v>4.42</v>
      </c>
      <c r="Q106" s="46">
        <v>2.58</v>
      </c>
      <c r="R106" s="46">
        <v>2.16</v>
      </c>
      <c r="S106" s="46">
        <v>4.4400000000000004</v>
      </c>
      <c r="T106" s="46">
        <v>5.01</v>
      </c>
      <c r="U106" s="46">
        <v>2.35</v>
      </c>
      <c r="V106" s="46">
        <v>1.9</v>
      </c>
      <c r="W106" s="46">
        <v>3.96</v>
      </c>
      <c r="X106" s="46">
        <v>4.92</v>
      </c>
      <c r="Y106" s="46">
        <v>2.33</v>
      </c>
      <c r="Z106" s="46">
        <v>2.0099999999999998</v>
      </c>
      <c r="AA106" s="46">
        <v>5.27</v>
      </c>
      <c r="AB106" s="46" t="s">
        <v>160</v>
      </c>
      <c r="AC106" s="46" t="s">
        <v>160</v>
      </c>
    </row>
    <row r="107" spans="1:29">
      <c r="A107" s="62">
        <f t="shared" ca="1" si="10"/>
        <v>97</v>
      </c>
      <c r="B107" s="62" t="str">
        <f t="shared" ca="1" si="11"/>
        <v>E</v>
      </c>
      <c r="C107" s="62" t="str">
        <f t="shared" ca="1" si="9"/>
        <v>A-</v>
      </c>
      <c r="D107" s="62">
        <f t="shared" ca="1" si="12"/>
        <v>15</v>
      </c>
      <c r="E107" s="63">
        <f t="shared" ca="1" si="13"/>
        <v>5.458333333333333</v>
      </c>
      <c r="F107" s="46" t="s">
        <v>495</v>
      </c>
      <c r="G107" s="46" t="s">
        <v>160</v>
      </c>
      <c r="H107" s="46" t="s">
        <v>496</v>
      </c>
      <c r="I107" s="46" t="s">
        <v>326</v>
      </c>
      <c r="J107" s="46">
        <v>5.74</v>
      </c>
      <c r="K107" s="46">
        <v>4.58</v>
      </c>
      <c r="L107" s="46">
        <v>2.72</v>
      </c>
      <c r="M107" s="46">
        <v>5.65</v>
      </c>
      <c r="N107" s="46">
        <v>5.25</v>
      </c>
      <c r="O107" s="46">
        <v>4.63</v>
      </c>
      <c r="P107" s="46">
        <v>3.22</v>
      </c>
      <c r="Q107" s="46">
        <v>6.27</v>
      </c>
      <c r="R107" s="46">
        <v>4.8600000000000003</v>
      </c>
      <c r="S107" s="46">
        <v>4.1900000000000004</v>
      </c>
      <c r="T107" s="46">
        <v>3.24</v>
      </c>
      <c r="U107" s="46">
        <v>8.07</v>
      </c>
      <c r="V107" s="46">
        <v>6.77</v>
      </c>
      <c r="W107" s="46">
        <v>4.87</v>
      </c>
      <c r="X107" s="46">
        <v>3.6</v>
      </c>
      <c r="Y107" s="46">
        <v>8.4499999999999993</v>
      </c>
      <c r="Z107" s="46">
        <v>6.62</v>
      </c>
      <c r="AA107" s="46">
        <v>5.34</v>
      </c>
      <c r="AB107" s="46" t="s">
        <v>160</v>
      </c>
      <c r="AC107" s="46" t="s">
        <v>160</v>
      </c>
    </row>
    <row r="108" spans="1:29">
      <c r="A108" s="62">
        <f t="shared" ca="1" si="10"/>
        <v>98</v>
      </c>
      <c r="B108" s="62" t="str">
        <f t="shared" ca="1" si="11"/>
        <v>E</v>
      </c>
      <c r="C108" s="62" t="str">
        <f t="shared" ca="1" si="9"/>
        <v>A-</v>
      </c>
      <c r="D108" s="62">
        <f t="shared" ca="1" si="12"/>
        <v>15</v>
      </c>
      <c r="E108" s="63">
        <f t="shared" ca="1" si="13"/>
        <v>4.0508333333333342</v>
      </c>
      <c r="F108" s="46" t="s">
        <v>497</v>
      </c>
      <c r="G108" s="46" t="s">
        <v>160</v>
      </c>
      <c r="H108" s="46" t="s">
        <v>498</v>
      </c>
      <c r="I108" s="46" t="s">
        <v>551</v>
      </c>
      <c r="J108" s="46">
        <v>5.0599999999999996</v>
      </c>
      <c r="K108" s="46">
        <v>3.87</v>
      </c>
      <c r="L108" s="46">
        <v>3.5</v>
      </c>
      <c r="M108" s="46">
        <v>4.88</v>
      </c>
      <c r="N108" s="46">
        <v>5.1100000000000003</v>
      </c>
      <c r="O108" s="46">
        <v>4.25</v>
      </c>
      <c r="P108" s="46">
        <v>2.58</v>
      </c>
      <c r="Q108" s="46">
        <v>4.54</v>
      </c>
      <c r="R108" s="46">
        <v>4.68</v>
      </c>
      <c r="S108" s="46">
        <v>4.66</v>
      </c>
      <c r="T108" s="46">
        <v>2.9</v>
      </c>
      <c r="U108" s="46">
        <v>4.3499999999999996</v>
      </c>
      <c r="V108" s="46">
        <v>4.7300000000000004</v>
      </c>
      <c r="W108" s="46">
        <v>4.21</v>
      </c>
      <c r="X108" s="46">
        <v>2.85</v>
      </c>
      <c r="Y108" s="46">
        <v>4.53</v>
      </c>
      <c r="Z108" s="46">
        <v>4.45</v>
      </c>
      <c r="AA108" s="46">
        <v>4.13</v>
      </c>
      <c r="AB108" s="46" t="s">
        <v>160</v>
      </c>
      <c r="AC108" s="46" t="s">
        <v>160</v>
      </c>
    </row>
    <row r="109" spans="1:29">
      <c r="A109" s="62">
        <f t="shared" ca="1" si="10"/>
        <v>99</v>
      </c>
      <c r="B109" s="62" t="str">
        <f t="shared" ca="1" si="11"/>
        <v>G</v>
      </c>
      <c r="C109" s="62" t="str">
        <f t="shared" ca="1" si="9"/>
        <v>A-</v>
      </c>
      <c r="D109" s="62">
        <f t="shared" ca="1" si="12"/>
        <v>15</v>
      </c>
      <c r="E109" s="63">
        <f t="shared" ca="1" si="13"/>
        <v>14.341916666666663</v>
      </c>
      <c r="F109" s="46" t="s">
        <v>499</v>
      </c>
      <c r="G109" s="46" t="s">
        <v>160</v>
      </c>
      <c r="H109" s="46" t="s">
        <v>500</v>
      </c>
      <c r="I109" s="46" t="s">
        <v>554</v>
      </c>
      <c r="J109" s="46">
        <v>0.84299999999999997</v>
      </c>
      <c r="K109" s="46">
        <v>5.19</v>
      </c>
      <c r="L109" s="46">
        <v>-7.83</v>
      </c>
      <c r="M109" s="46">
        <v>1.79</v>
      </c>
      <c r="N109" s="46">
        <v>0.77900000000000003</v>
      </c>
      <c r="O109" s="46">
        <v>4.88</v>
      </c>
      <c r="P109" s="46">
        <v>143.4</v>
      </c>
      <c r="Q109" s="46">
        <v>2.14</v>
      </c>
      <c r="R109" s="46">
        <v>0.59299999999999997</v>
      </c>
      <c r="S109" s="46">
        <v>3.36</v>
      </c>
      <c r="T109" s="46">
        <v>-9.0500000000000007</v>
      </c>
      <c r="U109" s="46">
        <v>2.98</v>
      </c>
      <c r="V109" s="46">
        <v>1.04</v>
      </c>
      <c r="W109" s="46">
        <v>4.29</v>
      </c>
      <c r="X109" s="46">
        <v>15.7</v>
      </c>
      <c r="Y109" s="46">
        <v>3</v>
      </c>
      <c r="Z109" s="46">
        <v>1.18</v>
      </c>
      <c r="AA109" s="46">
        <v>3.47</v>
      </c>
      <c r="AB109" s="46" t="s">
        <v>160</v>
      </c>
      <c r="AC109" s="46" t="s">
        <v>160</v>
      </c>
    </row>
    <row r="110" spans="1:29">
      <c r="A110" s="62">
        <f t="shared" ca="1" si="10"/>
        <v>100</v>
      </c>
      <c r="B110" s="62" t="str">
        <f t="shared" ca="1" si="11"/>
        <v>G</v>
      </c>
      <c r="C110" s="62" t="str">
        <f t="shared" ca="1" si="9"/>
        <v>A-</v>
      </c>
      <c r="D110" s="62">
        <f t="shared" ca="1" si="12"/>
        <v>15</v>
      </c>
      <c r="E110" s="63">
        <f t="shared" ca="1" si="13"/>
        <v>4.5183333333333335</v>
      </c>
      <c r="F110" s="46" t="s">
        <v>502</v>
      </c>
      <c r="G110" s="46" t="s">
        <v>160</v>
      </c>
      <c r="H110" s="46" t="s">
        <v>503</v>
      </c>
      <c r="I110" s="46" t="s">
        <v>554</v>
      </c>
      <c r="J110" s="46">
        <v>2.14</v>
      </c>
      <c r="K110" s="46">
        <v>6.24</v>
      </c>
      <c r="L110" s="46">
        <v>40.6</v>
      </c>
      <c r="M110" s="46">
        <v>3.17</v>
      </c>
      <c r="N110" s="46">
        <v>2.68</v>
      </c>
      <c r="O110" s="46">
        <v>5.63</v>
      </c>
      <c r="P110" s="46">
        <v>7.62</v>
      </c>
      <c r="Q110" s="46">
        <v>3.2</v>
      </c>
      <c r="R110" s="46">
        <v>2.58</v>
      </c>
      <c r="S110" s="46">
        <v>4.32</v>
      </c>
      <c r="T110" s="46">
        <v>8.19</v>
      </c>
      <c r="U110" s="46">
        <v>3.05</v>
      </c>
      <c r="V110" s="46">
        <v>2.38</v>
      </c>
      <c r="W110" s="46">
        <v>4.5199999999999996</v>
      </c>
      <c r="X110" s="46">
        <v>7.95</v>
      </c>
      <c r="Y110" s="46">
        <v>3.15</v>
      </c>
      <c r="Z110" s="46">
        <v>2.5</v>
      </c>
      <c r="AA110" s="46">
        <v>4.76</v>
      </c>
      <c r="AB110" s="46" t="s">
        <v>160</v>
      </c>
      <c r="AC110" s="46" t="s">
        <v>160</v>
      </c>
    </row>
    <row r="111" spans="1:29">
      <c r="A111" s="62">
        <f t="shared" ca="1" si="10"/>
        <v>101</v>
      </c>
      <c r="B111" s="62" t="str">
        <f t="shared" ca="1" si="11"/>
        <v>E</v>
      </c>
      <c r="C111" s="62" t="str">
        <f t="shared" ca="1" si="9"/>
        <v>BBB+</v>
      </c>
      <c r="D111" s="62">
        <f t="shared" ca="1" si="12"/>
        <v>14</v>
      </c>
      <c r="E111" s="63">
        <f t="shared" ca="1" si="13"/>
        <v>2.8458333333333332</v>
      </c>
      <c r="F111" s="46" t="s">
        <v>504</v>
      </c>
      <c r="G111" s="46" t="s">
        <v>160</v>
      </c>
      <c r="H111" s="46" t="s">
        <v>505</v>
      </c>
      <c r="I111" s="46" t="s">
        <v>551</v>
      </c>
      <c r="J111" s="46">
        <v>3.38</v>
      </c>
      <c r="K111" s="46">
        <v>3.05</v>
      </c>
      <c r="L111" s="46">
        <v>2.59</v>
      </c>
      <c r="M111" s="46">
        <v>2.93</v>
      </c>
      <c r="N111" s="46">
        <v>3.02</v>
      </c>
      <c r="O111" s="46">
        <v>2.85</v>
      </c>
      <c r="P111" s="46">
        <v>2.36</v>
      </c>
      <c r="Q111" s="46">
        <v>2.93</v>
      </c>
      <c r="R111" s="46">
        <v>3.1</v>
      </c>
      <c r="S111" s="46">
        <v>2.58</v>
      </c>
      <c r="T111" s="46">
        <v>2.41</v>
      </c>
      <c r="U111" s="46">
        <v>3.17</v>
      </c>
      <c r="V111" s="46">
        <v>3.34</v>
      </c>
      <c r="W111" s="46">
        <v>3.01</v>
      </c>
      <c r="X111" s="46">
        <v>2.34</v>
      </c>
      <c r="Y111" s="46">
        <v>2.78</v>
      </c>
      <c r="Z111" s="46">
        <v>3.31</v>
      </c>
      <c r="AA111" s="46">
        <v>2.82</v>
      </c>
      <c r="AB111" s="46" t="s">
        <v>160</v>
      </c>
      <c r="AC111" s="46" t="s">
        <v>160</v>
      </c>
    </row>
    <row r="112" spans="1:29">
      <c r="A112" s="62">
        <f t="shared" ca="1" si="10"/>
        <v>102</v>
      </c>
      <c r="B112" s="62" t="str">
        <f t="shared" ca="1" si="11"/>
        <v>E</v>
      </c>
      <c r="C112" s="62" t="str">
        <f t="shared" ca="1" si="9"/>
        <v>BBB-</v>
      </c>
      <c r="D112" s="62">
        <f t="shared" ca="1" si="12"/>
        <v>12</v>
      </c>
      <c r="E112" s="63">
        <f t="shared" ca="1" si="13"/>
        <v>6.3018181818181809</v>
      </c>
      <c r="F112" s="46" t="s">
        <v>507</v>
      </c>
      <c r="G112" s="46" t="s">
        <v>160</v>
      </c>
      <c r="H112" s="46" t="s">
        <v>508</v>
      </c>
      <c r="I112" s="46" t="s">
        <v>473</v>
      </c>
      <c r="J112" s="46">
        <v>5.54</v>
      </c>
      <c r="K112" s="46">
        <v>5.1100000000000003</v>
      </c>
      <c r="L112" s="46">
        <v>4.17</v>
      </c>
      <c r="M112" s="46">
        <v>5.53</v>
      </c>
      <c r="N112" s="46">
        <v>5.89</v>
      </c>
      <c r="O112" s="46">
        <v>7.36</v>
      </c>
      <c r="P112" s="46">
        <v>5.57</v>
      </c>
      <c r="Q112" s="46">
        <v>11.9</v>
      </c>
      <c r="R112" s="46">
        <v>4.62</v>
      </c>
      <c r="S112" s="46">
        <v>5.42</v>
      </c>
      <c r="T112" s="46">
        <v>4.13</v>
      </c>
      <c r="U112" s="46">
        <v>7.36</v>
      </c>
      <c r="V112" s="46" t="s">
        <v>160</v>
      </c>
      <c r="W112" s="46">
        <v>11.9</v>
      </c>
      <c r="X112" s="46">
        <v>3.76</v>
      </c>
      <c r="Y112" s="46">
        <v>6.59</v>
      </c>
      <c r="Z112" s="46">
        <v>4.6100000000000003</v>
      </c>
      <c r="AA112" s="46">
        <v>3.46</v>
      </c>
      <c r="AB112" s="46" t="s">
        <v>160</v>
      </c>
      <c r="AC112" s="46" t="s">
        <v>160</v>
      </c>
    </row>
    <row r="113" spans="1:29">
      <c r="A113" s="62">
        <f t="shared" ca="1" si="10"/>
        <v>103</v>
      </c>
      <c r="B113" s="62" t="str">
        <f t="shared" ca="1" si="11"/>
        <v>E</v>
      </c>
      <c r="C113" s="62" t="str">
        <f t="shared" ca="1" si="9"/>
        <v>A</v>
      </c>
      <c r="D113" s="62">
        <f t="shared" ca="1" si="12"/>
        <v>16</v>
      </c>
      <c r="E113" s="63">
        <f t="shared" ca="1" si="13"/>
        <v>3.4939999999999998</v>
      </c>
      <c r="F113" s="46" t="s">
        <v>509</v>
      </c>
      <c r="G113" s="46" t="s">
        <v>160</v>
      </c>
      <c r="H113" s="46" t="s">
        <v>510</v>
      </c>
      <c r="I113" s="46" t="s">
        <v>473</v>
      </c>
      <c r="J113" s="46">
        <v>3.91</v>
      </c>
      <c r="K113" s="46">
        <v>4.29</v>
      </c>
      <c r="L113" s="46">
        <v>4.4000000000000004</v>
      </c>
      <c r="M113" s="46">
        <v>4.75</v>
      </c>
      <c r="N113" s="46" t="s">
        <v>160</v>
      </c>
      <c r="O113" s="46" t="s">
        <v>160</v>
      </c>
      <c r="P113" s="46" t="s">
        <v>160</v>
      </c>
      <c r="Q113" s="46" t="s">
        <v>160</v>
      </c>
      <c r="R113" s="46">
        <v>3.29</v>
      </c>
      <c r="S113" s="46">
        <v>4.05</v>
      </c>
      <c r="T113" s="46">
        <v>4.05</v>
      </c>
      <c r="U113" s="46">
        <v>3.95</v>
      </c>
      <c r="V113" s="46">
        <v>3.22</v>
      </c>
      <c r="W113" s="46">
        <v>3.52</v>
      </c>
      <c r="X113" s="46">
        <v>2.99</v>
      </c>
      <c r="Y113" s="46">
        <v>3.38</v>
      </c>
      <c r="Z113" s="46">
        <v>3.19</v>
      </c>
      <c r="AA113" s="46">
        <v>3.3</v>
      </c>
      <c r="AB113" s="46" t="s">
        <v>160</v>
      </c>
      <c r="AC113" s="46" t="s">
        <v>160</v>
      </c>
    </row>
    <row r="114" spans="1:29">
      <c r="A114" s="62">
        <f t="shared" ca="1" si="10"/>
        <v>104</v>
      </c>
      <c r="B114" s="62" t="str">
        <f t="shared" ca="1" si="11"/>
        <v>E</v>
      </c>
      <c r="C114" s="62" t="str">
        <f t="shared" ca="1" si="9"/>
        <v>A-</v>
      </c>
      <c r="D114" s="62">
        <f t="shared" ca="1" si="12"/>
        <v>15</v>
      </c>
      <c r="E114" s="63">
        <f t="shared" ca="1" si="13"/>
        <v>5.1114285714285712</v>
      </c>
      <c r="F114" s="46" t="s">
        <v>511</v>
      </c>
      <c r="G114" s="46" t="s">
        <v>160</v>
      </c>
      <c r="H114" s="46" t="s">
        <v>512</v>
      </c>
      <c r="I114" s="46" t="s">
        <v>326</v>
      </c>
      <c r="J114" s="46" t="s">
        <v>160</v>
      </c>
      <c r="K114" s="46" t="s">
        <v>160</v>
      </c>
      <c r="L114" s="46" t="s">
        <v>160</v>
      </c>
      <c r="M114" s="46" t="s">
        <v>160</v>
      </c>
      <c r="N114" s="46" t="s">
        <v>160</v>
      </c>
      <c r="O114" s="46" t="s">
        <v>160</v>
      </c>
      <c r="P114" s="46" t="s">
        <v>160</v>
      </c>
      <c r="Q114" s="46" t="s">
        <v>160</v>
      </c>
      <c r="R114" s="46" t="s">
        <v>160</v>
      </c>
      <c r="S114" s="46" t="s">
        <v>160</v>
      </c>
      <c r="T114" s="46">
        <v>8.67</v>
      </c>
      <c r="U114" s="46" t="s">
        <v>160</v>
      </c>
      <c r="V114" s="46">
        <v>2.2999999999999998</v>
      </c>
      <c r="W114" s="46">
        <v>8.85</v>
      </c>
      <c r="X114" s="46">
        <v>6.07</v>
      </c>
      <c r="Y114" s="46">
        <v>3.57</v>
      </c>
      <c r="Z114" s="46">
        <v>2.0299999999999998</v>
      </c>
      <c r="AA114" s="46">
        <v>4.29</v>
      </c>
      <c r="AB114" s="46" t="s">
        <v>160</v>
      </c>
      <c r="AC114" s="46" t="s">
        <v>160</v>
      </c>
    </row>
    <row r="115" spans="1:29">
      <c r="A115" s="62">
        <f t="shared" ca="1" si="10"/>
        <v>105</v>
      </c>
      <c r="B115" s="62" t="str">
        <f t="shared" ca="1" si="11"/>
        <v>E</v>
      </c>
      <c r="C115" s="62" t="str">
        <f t="shared" ca="1" si="9"/>
        <v>BBB-</v>
      </c>
      <c r="D115" s="62">
        <f t="shared" ca="1" si="12"/>
        <v>12</v>
      </c>
      <c r="E115" s="63">
        <f t="shared" ca="1" si="13"/>
        <v>4.0916666666666668</v>
      </c>
      <c r="F115" s="46" t="s">
        <v>513</v>
      </c>
      <c r="G115" s="46" t="s">
        <v>160</v>
      </c>
      <c r="H115" s="46" t="s">
        <v>514</v>
      </c>
      <c r="I115" s="46" t="s">
        <v>473</v>
      </c>
      <c r="J115" s="46">
        <v>2.83</v>
      </c>
      <c r="K115" s="46">
        <v>3.64</v>
      </c>
      <c r="L115" s="46">
        <v>3.82</v>
      </c>
      <c r="M115" s="46">
        <v>2.52</v>
      </c>
      <c r="N115" s="46">
        <v>3.28</v>
      </c>
      <c r="O115" s="46">
        <v>6.67</v>
      </c>
      <c r="P115" s="46">
        <v>7.22</v>
      </c>
      <c r="Q115" s="46">
        <v>10.1</v>
      </c>
      <c r="R115" s="46">
        <v>2.0499999999999998</v>
      </c>
      <c r="S115" s="46">
        <v>3.57</v>
      </c>
      <c r="T115" s="46">
        <v>2.92</v>
      </c>
      <c r="U115" s="46">
        <v>3.86</v>
      </c>
      <c r="V115" s="46">
        <v>2.37</v>
      </c>
      <c r="W115" s="46">
        <v>4.45</v>
      </c>
      <c r="X115" s="46">
        <v>2.7</v>
      </c>
      <c r="Y115" s="46">
        <v>3.17</v>
      </c>
      <c r="Z115" s="46">
        <v>2.33</v>
      </c>
      <c r="AA115" s="46">
        <v>4.3600000000000003</v>
      </c>
      <c r="AB115" s="46" t="s">
        <v>160</v>
      </c>
      <c r="AC115" s="46" t="s">
        <v>160</v>
      </c>
    </row>
    <row r="116" spans="1:29">
      <c r="A116" s="62">
        <f t="shared" ca="1" si="10"/>
        <v>106</v>
      </c>
      <c r="B116" s="62" t="str">
        <f t="shared" ca="1" si="11"/>
        <v>E</v>
      </c>
      <c r="C116" s="62" t="str">
        <f t="shared" ca="1" si="9"/>
        <v>A-</v>
      </c>
      <c r="D116" s="62">
        <f t="shared" ca="1" si="12"/>
        <v>15</v>
      </c>
      <c r="E116" s="63">
        <f t="shared" ca="1" si="13"/>
        <v>3.8208333333333333</v>
      </c>
      <c r="F116" s="46" t="s">
        <v>515</v>
      </c>
      <c r="G116" s="46" t="s">
        <v>160</v>
      </c>
      <c r="H116" s="46" t="s">
        <v>516</v>
      </c>
      <c r="I116" s="46" t="s">
        <v>473</v>
      </c>
      <c r="J116" s="46">
        <v>2.33</v>
      </c>
      <c r="K116" s="46">
        <v>6.13</v>
      </c>
      <c r="L116" s="46">
        <v>7.97</v>
      </c>
      <c r="M116" s="46">
        <v>2.4900000000000002</v>
      </c>
      <c r="N116" s="46">
        <v>1.48</v>
      </c>
      <c r="O116" s="46">
        <v>4.8</v>
      </c>
      <c r="P116" s="46">
        <v>10.7</v>
      </c>
      <c r="Q116" s="46">
        <v>3.07</v>
      </c>
      <c r="R116" s="46">
        <v>1.55</v>
      </c>
      <c r="S116" s="46">
        <v>4.4800000000000004</v>
      </c>
      <c r="T116" s="46">
        <v>8.68</v>
      </c>
      <c r="U116" s="46">
        <v>-8.3800000000000008</v>
      </c>
      <c r="V116" s="46">
        <v>2.02</v>
      </c>
      <c r="W116" s="46">
        <v>4.51</v>
      </c>
      <c r="X116" s="46">
        <v>10.3</v>
      </c>
      <c r="Y116" s="46">
        <v>1.94</v>
      </c>
      <c r="Z116" s="46">
        <v>1.76</v>
      </c>
      <c r="AA116" s="46">
        <v>5.22</v>
      </c>
      <c r="AB116" s="46" t="s">
        <v>160</v>
      </c>
      <c r="AC116" s="46" t="s">
        <v>160</v>
      </c>
    </row>
    <row r="117" spans="1:29">
      <c r="A117" s="62">
        <f t="shared" ca="1" si="10"/>
        <v>107</v>
      </c>
      <c r="B117" s="62" t="str">
        <f t="shared" ca="1" si="11"/>
        <v>E</v>
      </c>
      <c r="C117" s="62" t="str">
        <f t="shared" ca="1" si="9"/>
        <v>BBB-</v>
      </c>
      <c r="D117" s="62">
        <f t="shared" ca="1" si="12"/>
        <v>12</v>
      </c>
      <c r="E117" s="63">
        <f t="shared" ca="1" si="13"/>
        <v>3.5083333333333333</v>
      </c>
      <c r="F117" s="46" t="s">
        <v>517</v>
      </c>
      <c r="G117" s="46" t="s">
        <v>160</v>
      </c>
      <c r="H117" s="46" t="s">
        <v>518</v>
      </c>
      <c r="I117" s="46" t="s">
        <v>473</v>
      </c>
      <c r="J117" s="46">
        <v>5.28</v>
      </c>
      <c r="K117" s="46">
        <v>4.57</v>
      </c>
      <c r="L117" s="46">
        <v>2.89</v>
      </c>
      <c r="M117" s="46">
        <v>3.67</v>
      </c>
      <c r="N117" s="46">
        <v>3.9</v>
      </c>
      <c r="O117" s="46">
        <v>4.76</v>
      </c>
      <c r="P117" s="46">
        <v>3.83</v>
      </c>
      <c r="Q117" s="46">
        <v>7.74</v>
      </c>
      <c r="R117" s="46">
        <v>3.26</v>
      </c>
      <c r="S117" s="46">
        <v>4.5999999999999996</v>
      </c>
      <c r="T117" s="46">
        <v>2.52</v>
      </c>
      <c r="U117" s="46">
        <v>3.09</v>
      </c>
      <c r="V117" s="46">
        <v>3.74</v>
      </c>
      <c r="W117" s="46">
        <v>3.49</v>
      </c>
      <c r="X117" s="46">
        <v>1.93</v>
      </c>
      <c r="Y117" s="46">
        <v>3.46</v>
      </c>
      <c r="Z117" s="46">
        <v>2.29</v>
      </c>
      <c r="AA117" s="46">
        <v>2.15</v>
      </c>
      <c r="AB117" s="46" t="s">
        <v>160</v>
      </c>
      <c r="AC117" s="46" t="s">
        <v>160</v>
      </c>
    </row>
    <row r="118" spans="1:29">
      <c r="A118" s="62">
        <f t="shared" ca="1" si="10"/>
        <v>108</v>
      </c>
      <c r="B118" s="62" t="str">
        <f t="shared" ca="1" si="11"/>
        <v>G</v>
      </c>
      <c r="C118" s="62" t="str">
        <f t="shared" ca="1" si="9"/>
        <v>-</v>
      </c>
      <c r="D118" s="62" t="str">
        <f t="shared" ca="1" si="12"/>
        <v/>
      </c>
      <c r="E118" s="63" t="str">
        <f t="shared" ca="1" si="13"/>
        <v>N/A</v>
      </c>
      <c r="F118" s="46" t="s">
        <v>137</v>
      </c>
      <c r="G118" s="46" t="s">
        <v>261</v>
      </c>
      <c r="H118" s="46" t="s">
        <v>262</v>
      </c>
      <c r="I118" s="46" t="s">
        <v>554</v>
      </c>
      <c r="J118" s="46" t="s">
        <v>160</v>
      </c>
      <c r="K118" s="46" t="s">
        <v>160</v>
      </c>
      <c r="L118" s="46" t="s">
        <v>160</v>
      </c>
      <c r="M118" s="46" t="s">
        <v>160</v>
      </c>
      <c r="N118" s="46" t="s">
        <v>160</v>
      </c>
      <c r="O118" s="46" t="s">
        <v>160</v>
      </c>
      <c r="P118" s="46" t="s">
        <v>160</v>
      </c>
      <c r="Q118" s="46" t="s">
        <v>160</v>
      </c>
      <c r="R118" s="46" t="s">
        <v>160</v>
      </c>
      <c r="S118" s="46" t="s">
        <v>160</v>
      </c>
      <c r="T118" s="46" t="s">
        <v>160</v>
      </c>
      <c r="U118" s="46" t="s">
        <v>160</v>
      </c>
      <c r="V118" s="46" t="s">
        <v>160</v>
      </c>
      <c r="W118" s="46" t="s">
        <v>160</v>
      </c>
      <c r="X118" s="46" t="s">
        <v>160</v>
      </c>
      <c r="Y118" s="46" t="s">
        <v>160</v>
      </c>
      <c r="Z118" s="46" t="s">
        <v>160</v>
      </c>
      <c r="AA118" s="46" t="s">
        <v>160</v>
      </c>
      <c r="AB118" s="46" t="s">
        <v>160</v>
      </c>
      <c r="AC118" s="46" t="s">
        <v>160</v>
      </c>
    </row>
    <row r="119" spans="1:29">
      <c r="A119" s="62">
        <f t="shared" ca="1" si="10"/>
        <v>109</v>
      </c>
      <c r="B119" s="62" t="str">
        <f t="shared" ca="1" si="11"/>
        <v>E</v>
      </c>
      <c r="C119" s="62" t="str">
        <f t="shared" ca="1" si="9"/>
        <v>BBB+</v>
      </c>
      <c r="D119" s="62">
        <f t="shared" ca="1" si="12"/>
        <v>14</v>
      </c>
      <c r="E119" s="63">
        <f t="shared" ca="1" si="13"/>
        <v>3.5716666666666659</v>
      </c>
      <c r="F119" s="46" t="s">
        <v>520</v>
      </c>
      <c r="G119" s="46" t="s">
        <v>160</v>
      </c>
      <c r="H119" s="46" t="s">
        <v>521</v>
      </c>
      <c r="I119" s="46" t="s">
        <v>326</v>
      </c>
      <c r="J119" s="46">
        <v>4.16</v>
      </c>
      <c r="K119" s="46">
        <v>3.37</v>
      </c>
      <c r="L119" s="46">
        <v>1.84</v>
      </c>
      <c r="M119" s="46">
        <v>4.09</v>
      </c>
      <c r="N119" s="46">
        <v>3.98</v>
      </c>
      <c r="O119" s="46">
        <v>2.88</v>
      </c>
      <c r="P119" s="46">
        <v>1.98</v>
      </c>
      <c r="Q119" s="46">
        <v>5.5</v>
      </c>
      <c r="R119" s="46">
        <v>4.1500000000000004</v>
      </c>
      <c r="S119" s="46">
        <v>2.99</v>
      </c>
      <c r="T119" s="46">
        <v>1.97</v>
      </c>
      <c r="U119" s="46">
        <v>4.6399999999999997</v>
      </c>
      <c r="V119" s="46">
        <v>4.5999999999999996</v>
      </c>
      <c r="W119" s="46">
        <v>3.05</v>
      </c>
      <c r="X119" s="46">
        <v>1.75</v>
      </c>
      <c r="Y119" s="46">
        <v>4.75</v>
      </c>
      <c r="Z119" s="46">
        <v>4.9000000000000004</v>
      </c>
      <c r="AA119" s="46">
        <v>2.58</v>
      </c>
      <c r="AB119" s="46" t="s">
        <v>160</v>
      </c>
      <c r="AC119" s="46" t="s">
        <v>160</v>
      </c>
    </row>
    <row r="120" spans="1:29">
      <c r="A120" s="62">
        <f t="shared" ca="1" si="10"/>
        <v>110</v>
      </c>
      <c r="B120" s="62" t="str">
        <f t="shared" ca="1" si="11"/>
        <v>E</v>
      </c>
      <c r="C120" s="62" t="str">
        <f t="shared" ca="1" si="9"/>
        <v>A-</v>
      </c>
      <c r="D120" s="62">
        <f t="shared" ca="1" si="12"/>
        <v>15</v>
      </c>
      <c r="E120" s="63">
        <f t="shared" ca="1" si="13"/>
        <v>6.3</v>
      </c>
      <c r="F120" s="46" t="s">
        <v>522</v>
      </c>
      <c r="G120" s="46" t="s">
        <v>160</v>
      </c>
      <c r="H120" s="46" t="s">
        <v>523</v>
      </c>
      <c r="I120" s="46" t="s">
        <v>473</v>
      </c>
      <c r="J120" s="46" t="s">
        <v>160</v>
      </c>
      <c r="K120" s="46" t="s">
        <v>160</v>
      </c>
      <c r="L120" s="46" t="s">
        <v>160</v>
      </c>
      <c r="M120" s="46" t="s">
        <v>160</v>
      </c>
      <c r="N120" s="46" t="s">
        <v>160</v>
      </c>
      <c r="O120" s="46" t="s">
        <v>160</v>
      </c>
      <c r="P120" s="46" t="s">
        <v>160</v>
      </c>
      <c r="Q120" s="46" t="s">
        <v>160</v>
      </c>
      <c r="R120" s="46">
        <v>5.0199999999999996</v>
      </c>
      <c r="S120" s="46">
        <v>4.53</v>
      </c>
      <c r="T120" s="46">
        <v>3.77</v>
      </c>
      <c r="U120" s="46">
        <v>25.4</v>
      </c>
      <c r="V120" s="46">
        <v>4.1100000000000003</v>
      </c>
      <c r="W120" s="46">
        <v>4.97</v>
      </c>
      <c r="X120" s="46">
        <v>3.6</v>
      </c>
      <c r="Y120" s="46">
        <v>3.62</v>
      </c>
      <c r="Z120" s="46">
        <v>3.82</v>
      </c>
      <c r="AA120" s="46">
        <v>4.16</v>
      </c>
      <c r="AB120" s="46" t="s">
        <v>160</v>
      </c>
      <c r="AC120" s="46" t="s">
        <v>160</v>
      </c>
    </row>
    <row r="121" spans="1:29">
      <c r="A121" s="62">
        <f t="shared" ca="1" si="10"/>
        <v>111</v>
      </c>
      <c r="B121" s="62" t="str">
        <f t="shared" ca="1" si="11"/>
        <v>E</v>
      </c>
      <c r="C121" s="62" t="str">
        <f t="shared" ca="1" si="9"/>
        <v>BBB+</v>
      </c>
      <c r="D121" s="62">
        <f t="shared" ca="1" si="12"/>
        <v>14</v>
      </c>
      <c r="E121" s="63">
        <f t="shared" ca="1" si="13"/>
        <v>3.3483333333333332</v>
      </c>
      <c r="F121" s="46" t="s">
        <v>524</v>
      </c>
      <c r="G121" s="46" t="s">
        <v>160</v>
      </c>
      <c r="H121" s="46" t="s">
        <v>525</v>
      </c>
      <c r="I121" s="46" t="s">
        <v>473</v>
      </c>
      <c r="J121" s="46">
        <v>2.76</v>
      </c>
      <c r="K121" s="46">
        <v>3.15</v>
      </c>
      <c r="L121" s="46">
        <v>2.39</v>
      </c>
      <c r="M121" s="46">
        <v>3.51</v>
      </c>
      <c r="N121" s="46">
        <v>2.82</v>
      </c>
      <c r="O121" s="46">
        <v>5.52</v>
      </c>
      <c r="P121" s="46">
        <v>2.96</v>
      </c>
      <c r="Q121" s="46">
        <v>4.51</v>
      </c>
      <c r="R121" s="46">
        <v>3.24</v>
      </c>
      <c r="S121" s="46">
        <v>3.59</v>
      </c>
      <c r="T121" s="46">
        <v>2.7</v>
      </c>
      <c r="U121" s="46">
        <v>4.34</v>
      </c>
      <c r="V121" s="46">
        <v>3.33</v>
      </c>
      <c r="W121" s="46">
        <v>3.23</v>
      </c>
      <c r="X121" s="46">
        <v>2.1800000000000002</v>
      </c>
      <c r="Y121" s="46">
        <v>4.13</v>
      </c>
      <c r="Z121" s="46">
        <v>2.85</v>
      </c>
      <c r="AA121" s="46">
        <v>3.12</v>
      </c>
      <c r="AB121" s="46" t="s">
        <v>160</v>
      </c>
      <c r="AC121" s="46" t="s">
        <v>160</v>
      </c>
    </row>
    <row r="122" spans="1:29">
      <c r="A122" s="62">
        <f t="shared" ca="1" si="10"/>
        <v>112</v>
      </c>
      <c r="B122" s="62" t="str">
        <f t="shared" ca="1" si="11"/>
        <v>G</v>
      </c>
      <c r="C122" s="62" t="str">
        <f t="shared" ca="1" si="9"/>
        <v>A</v>
      </c>
      <c r="D122" s="62">
        <f t="shared" ca="1" si="12"/>
        <v>16</v>
      </c>
      <c r="E122" s="63">
        <f t="shared" ca="1" si="13"/>
        <v>6.1558333333333328</v>
      </c>
      <c r="F122" s="46" t="s">
        <v>526</v>
      </c>
      <c r="G122" s="46" t="s">
        <v>160</v>
      </c>
      <c r="H122" s="46" t="s">
        <v>527</v>
      </c>
      <c r="I122" s="46" t="s">
        <v>554</v>
      </c>
      <c r="J122" s="46">
        <v>1.29</v>
      </c>
      <c r="K122" s="46">
        <v>6.32</v>
      </c>
      <c r="L122" s="46">
        <v>-9.75</v>
      </c>
      <c r="M122" s="46">
        <v>2.23</v>
      </c>
      <c r="N122" s="46">
        <v>1.69</v>
      </c>
      <c r="O122" s="46">
        <v>5.05</v>
      </c>
      <c r="P122" s="46">
        <v>3.65</v>
      </c>
      <c r="Q122" s="46">
        <v>1.55</v>
      </c>
      <c r="R122" s="46">
        <v>1.35</v>
      </c>
      <c r="S122" s="46">
        <v>7.18</v>
      </c>
      <c r="T122" s="46">
        <v>12.2</v>
      </c>
      <c r="U122" s="46">
        <v>1.98</v>
      </c>
      <c r="V122" s="46">
        <v>1.3</v>
      </c>
      <c r="W122" s="46">
        <v>19.399999999999999</v>
      </c>
      <c r="X122" s="46">
        <v>14.6</v>
      </c>
      <c r="Y122" s="46">
        <v>2.39</v>
      </c>
      <c r="Z122" s="46">
        <v>1.66</v>
      </c>
      <c r="AA122" s="46">
        <v>6.61</v>
      </c>
      <c r="AB122" s="46" t="s">
        <v>160</v>
      </c>
      <c r="AC122" s="46" t="s">
        <v>160</v>
      </c>
    </row>
    <row r="123" spans="1:29">
      <c r="A123" s="62">
        <f t="shared" ca="1" si="10"/>
        <v>113</v>
      </c>
      <c r="B123" s="62" t="str">
        <f t="shared" ca="1" si="11"/>
        <v>E</v>
      </c>
      <c r="C123" s="62" t="str">
        <f t="shared" ca="1" si="9"/>
        <v>BBB-</v>
      </c>
      <c r="D123" s="62">
        <f t="shared" ca="1" si="12"/>
        <v>12</v>
      </c>
      <c r="E123" s="63">
        <f t="shared" ca="1" si="13"/>
        <v>3.2291666666666674</v>
      </c>
      <c r="F123" s="46" t="s">
        <v>528</v>
      </c>
      <c r="G123" s="46" t="s">
        <v>160</v>
      </c>
      <c r="H123" s="46" t="s">
        <v>529</v>
      </c>
      <c r="I123" s="46" t="s">
        <v>473</v>
      </c>
      <c r="J123" s="46">
        <v>2.5499999999999998</v>
      </c>
      <c r="K123" s="46">
        <v>3.16</v>
      </c>
      <c r="L123" s="46">
        <v>2.64</v>
      </c>
      <c r="M123" s="46">
        <v>3.37</v>
      </c>
      <c r="N123" s="46">
        <v>5.76</v>
      </c>
      <c r="O123" s="46">
        <v>5.66</v>
      </c>
      <c r="P123" s="46">
        <v>3.74</v>
      </c>
      <c r="Q123" s="46">
        <v>5.65</v>
      </c>
      <c r="R123" s="46">
        <v>2.93</v>
      </c>
      <c r="S123" s="46">
        <v>3.37</v>
      </c>
      <c r="T123" s="46">
        <v>2.4300000000000002</v>
      </c>
      <c r="U123" s="46">
        <v>3.76</v>
      </c>
      <c r="V123" s="46">
        <v>2.74</v>
      </c>
      <c r="W123" s="46">
        <v>2.82</v>
      </c>
      <c r="X123" s="46">
        <v>2.2999999999999998</v>
      </c>
      <c r="Y123" s="46">
        <v>3.26</v>
      </c>
      <c r="Z123" s="46">
        <v>2.64</v>
      </c>
      <c r="AA123" s="46">
        <v>3.11</v>
      </c>
      <c r="AB123" s="46" t="s">
        <v>160</v>
      </c>
      <c r="AC123" s="46" t="s">
        <v>160</v>
      </c>
    </row>
    <row r="124" spans="1:29">
      <c r="A124" s="62">
        <f t="shared" ca="1" si="10"/>
        <v>114</v>
      </c>
      <c r="B124" s="62" t="str">
        <f t="shared" ca="1" si="11"/>
        <v>E</v>
      </c>
      <c r="C124" s="62" t="str">
        <f t="shared" ca="1" si="9"/>
        <v>A</v>
      </c>
      <c r="D124" s="62">
        <f t="shared" ca="1" si="12"/>
        <v>16</v>
      </c>
      <c r="E124" s="63">
        <f t="shared" ca="1" si="13"/>
        <v>3.8225000000000002</v>
      </c>
      <c r="F124" s="46" t="s">
        <v>530</v>
      </c>
      <c r="G124" s="46" t="s">
        <v>160</v>
      </c>
      <c r="H124" s="46" t="s">
        <v>531</v>
      </c>
      <c r="I124" s="46" t="s">
        <v>473</v>
      </c>
      <c r="J124" s="46">
        <v>3.45</v>
      </c>
      <c r="K124" s="46">
        <v>3.77</v>
      </c>
      <c r="L124" s="46">
        <v>4.0599999999999996</v>
      </c>
      <c r="M124" s="46">
        <v>6.18</v>
      </c>
      <c r="N124" s="46">
        <v>3.48</v>
      </c>
      <c r="O124" s="46">
        <v>5.28</v>
      </c>
      <c r="P124" s="46">
        <v>4.43</v>
      </c>
      <c r="Q124" s="46">
        <v>3.41</v>
      </c>
      <c r="R124" s="46">
        <v>3.98</v>
      </c>
      <c r="S124" s="46">
        <v>3.87</v>
      </c>
      <c r="T124" s="46">
        <v>3.78</v>
      </c>
      <c r="U124" s="46">
        <v>3.98</v>
      </c>
      <c r="V124" s="46">
        <v>3.71</v>
      </c>
      <c r="W124" s="46">
        <v>3.83</v>
      </c>
      <c r="X124" s="46">
        <v>3.54</v>
      </c>
      <c r="Y124" s="46">
        <v>4.17</v>
      </c>
      <c r="Z124" s="46">
        <v>3.64</v>
      </c>
      <c r="AA124" s="46">
        <v>3.53</v>
      </c>
      <c r="AB124" s="46" t="s">
        <v>160</v>
      </c>
      <c r="AC124" s="46" t="s">
        <v>160</v>
      </c>
    </row>
    <row r="125" spans="1:29">
      <c r="A125" s="62">
        <f t="shared" ca="1" si="10"/>
        <v>115</v>
      </c>
      <c r="B125" s="62" t="str">
        <f t="shared" ca="1" si="11"/>
        <v>E</v>
      </c>
      <c r="C125" s="62" t="str">
        <f t="shared" ca="1" si="9"/>
        <v>A-</v>
      </c>
      <c r="D125" s="62">
        <f t="shared" ca="1" si="12"/>
        <v>15</v>
      </c>
      <c r="E125" s="63">
        <f t="shared" ca="1" si="13"/>
        <v>6.1024999999999991</v>
      </c>
      <c r="F125" s="46" t="s">
        <v>532</v>
      </c>
      <c r="G125" s="46" t="s">
        <v>160</v>
      </c>
      <c r="H125" s="46" t="s">
        <v>533</v>
      </c>
      <c r="I125" s="46" t="s">
        <v>326</v>
      </c>
      <c r="J125" s="46">
        <v>5.72</v>
      </c>
      <c r="K125" s="46">
        <v>7.02</v>
      </c>
      <c r="L125" s="46">
        <v>5.76</v>
      </c>
      <c r="M125" s="46">
        <v>8.0500000000000007</v>
      </c>
      <c r="N125" s="46">
        <v>4.78</v>
      </c>
      <c r="O125" s="46">
        <v>6.34</v>
      </c>
      <c r="P125" s="46">
        <v>6.04</v>
      </c>
      <c r="Q125" s="46">
        <v>7.23</v>
      </c>
      <c r="R125" s="46">
        <v>5.23</v>
      </c>
      <c r="S125" s="46">
        <v>6.99</v>
      </c>
      <c r="T125" s="46">
        <v>5.9</v>
      </c>
      <c r="U125" s="46">
        <v>5.62</v>
      </c>
      <c r="V125" s="46">
        <v>5.72</v>
      </c>
      <c r="W125" s="46">
        <v>6.5</v>
      </c>
      <c r="X125" s="46">
        <v>5.35</v>
      </c>
      <c r="Y125" s="46">
        <v>6.24</v>
      </c>
      <c r="Z125" s="46">
        <v>5.75</v>
      </c>
      <c r="AA125" s="46">
        <v>6.66</v>
      </c>
      <c r="AB125" s="46" t="s">
        <v>160</v>
      </c>
      <c r="AC125" s="46" t="s">
        <v>160</v>
      </c>
    </row>
    <row r="126" spans="1:29">
      <c r="A126" s="62">
        <f t="shared" ca="1" si="10"/>
        <v>116</v>
      </c>
      <c r="B126" s="62" t="str">
        <f t="shared" ca="1" si="11"/>
        <v>E</v>
      </c>
      <c r="C126" s="62" t="str">
        <f t="shared" ca="1" si="9"/>
        <v>A</v>
      </c>
      <c r="D126" s="62">
        <f t="shared" ca="1" si="12"/>
        <v>16</v>
      </c>
      <c r="E126" s="63">
        <f t="shared" ca="1" si="13"/>
        <v>5.9279999999999999</v>
      </c>
      <c r="F126" s="46" t="s">
        <v>534</v>
      </c>
      <c r="G126" s="46" t="s">
        <v>160</v>
      </c>
      <c r="H126" s="46" t="s">
        <v>535</v>
      </c>
      <c r="I126" s="46" t="s">
        <v>326</v>
      </c>
      <c r="J126" s="46" t="s">
        <v>160</v>
      </c>
      <c r="K126" s="46" t="s">
        <v>160</v>
      </c>
      <c r="L126" s="46" t="s">
        <v>160</v>
      </c>
      <c r="M126" s="46" t="s">
        <v>160</v>
      </c>
      <c r="N126" s="46" t="s">
        <v>160</v>
      </c>
      <c r="O126" s="46" t="s">
        <v>160</v>
      </c>
      <c r="P126" s="46" t="s">
        <v>160</v>
      </c>
      <c r="Q126" s="46" t="s">
        <v>160</v>
      </c>
      <c r="R126" s="46" t="s">
        <v>160</v>
      </c>
      <c r="S126" s="46" t="s">
        <v>160</v>
      </c>
      <c r="T126" s="46" t="s">
        <v>160</v>
      </c>
      <c r="U126" s="46" t="s">
        <v>160</v>
      </c>
      <c r="V126" s="46" t="s">
        <v>160</v>
      </c>
      <c r="W126" s="46">
        <v>4.59</v>
      </c>
      <c r="X126" s="46">
        <v>15.8</v>
      </c>
      <c r="Y126" s="46">
        <v>2.73</v>
      </c>
      <c r="Z126" s="46">
        <v>1.78</v>
      </c>
      <c r="AA126" s="46">
        <v>4.74</v>
      </c>
      <c r="AB126" s="46" t="s">
        <v>160</v>
      </c>
      <c r="AC126" s="46" t="s">
        <v>160</v>
      </c>
    </row>
    <row r="127" spans="1:29">
      <c r="A127" s="62">
        <f t="shared" ca="1" si="10"/>
        <v>117</v>
      </c>
      <c r="B127" s="62" t="str">
        <f t="shared" ca="1" si="11"/>
        <v>E</v>
      </c>
      <c r="C127" s="62" t="str">
        <f t="shared" ca="1" si="9"/>
        <v>A</v>
      </c>
      <c r="D127" s="62">
        <f t="shared" ca="1" si="12"/>
        <v>16</v>
      </c>
      <c r="E127" s="63">
        <f t="shared" ca="1" si="13"/>
        <v>3.3541666666666674</v>
      </c>
      <c r="F127" s="46" t="s">
        <v>537</v>
      </c>
      <c r="G127" s="46" t="s">
        <v>160</v>
      </c>
      <c r="H127" s="46" t="s">
        <v>538</v>
      </c>
      <c r="I127" s="46" t="s">
        <v>326</v>
      </c>
      <c r="J127" s="46">
        <v>3.12</v>
      </c>
      <c r="K127" s="46">
        <v>3.43</v>
      </c>
      <c r="L127" s="46">
        <v>2.66</v>
      </c>
      <c r="M127" s="46">
        <v>3.51</v>
      </c>
      <c r="N127" s="46">
        <v>2.74</v>
      </c>
      <c r="O127" s="46">
        <v>3.33</v>
      </c>
      <c r="P127" s="46">
        <v>2.64</v>
      </c>
      <c r="Q127" s="46">
        <v>3.53</v>
      </c>
      <c r="R127" s="46">
        <v>3.45</v>
      </c>
      <c r="S127" s="46">
        <v>3.81</v>
      </c>
      <c r="T127" s="46">
        <v>2.84</v>
      </c>
      <c r="U127" s="46">
        <v>3.39</v>
      </c>
      <c r="V127" s="46">
        <v>3.52</v>
      </c>
      <c r="W127" s="46">
        <v>3.62</v>
      </c>
      <c r="X127" s="46">
        <v>2.73</v>
      </c>
      <c r="Y127" s="46">
        <v>3.27</v>
      </c>
      <c r="Z127" s="46">
        <v>3.46</v>
      </c>
      <c r="AA127" s="46">
        <v>3.99</v>
      </c>
      <c r="AB127" s="46" t="s">
        <v>160</v>
      </c>
      <c r="AC127" s="46" t="s">
        <v>160</v>
      </c>
    </row>
    <row r="128" spans="1:29">
      <c r="A128" s="62">
        <f t="shared" ca="1" si="10"/>
        <v>118</v>
      </c>
      <c r="B128" s="62" t="str">
        <f t="shared" ca="1" si="11"/>
        <v>E</v>
      </c>
      <c r="C128" s="62" t="str">
        <f t="shared" ca="1" si="9"/>
        <v>A-</v>
      </c>
      <c r="D128" s="62">
        <f t="shared" ca="1" si="12"/>
        <v>15</v>
      </c>
      <c r="E128" s="63">
        <f t="shared" ca="1" si="13"/>
        <v>4.1149999999999993</v>
      </c>
      <c r="F128" s="46" t="s">
        <v>539</v>
      </c>
      <c r="G128" s="46" t="s">
        <v>160</v>
      </c>
      <c r="H128" s="46" t="s">
        <v>540</v>
      </c>
      <c r="I128" s="46" t="s">
        <v>326</v>
      </c>
      <c r="J128" s="46">
        <v>3.17</v>
      </c>
      <c r="K128" s="46">
        <v>4.25</v>
      </c>
      <c r="L128" s="46">
        <v>3.49</v>
      </c>
      <c r="M128" s="46">
        <v>3.91</v>
      </c>
      <c r="N128" s="46">
        <v>2.71</v>
      </c>
      <c r="O128" s="46">
        <v>4.57</v>
      </c>
      <c r="P128" s="46">
        <v>3.1</v>
      </c>
      <c r="Q128" s="46">
        <v>3.92</v>
      </c>
      <c r="R128" s="46">
        <v>3.53</v>
      </c>
      <c r="S128" s="46">
        <v>4.75</v>
      </c>
      <c r="T128" s="46">
        <v>3</v>
      </c>
      <c r="U128" s="46">
        <v>6.58</v>
      </c>
      <c r="V128" s="46">
        <v>3.53</v>
      </c>
      <c r="W128" s="46">
        <v>5.07</v>
      </c>
      <c r="X128" s="46">
        <v>2.9</v>
      </c>
      <c r="Y128" s="46">
        <v>5.43</v>
      </c>
      <c r="Z128" s="46">
        <v>3.57</v>
      </c>
      <c r="AA128" s="46">
        <v>4</v>
      </c>
      <c r="AB128" s="46" t="s">
        <v>160</v>
      </c>
      <c r="AC128" s="46" t="s">
        <v>160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Q57"/>
  <sheetViews>
    <sheetView workbookViewId="0"/>
  </sheetViews>
  <sheetFormatPr defaultColWidth="8.75" defaultRowHeight="14.25"/>
  <cols>
    <col min="1" max="1" width="2.875" style="46" bestFit="1" customWidth="1"/>
    <col min="2" max="2" width="6.25" style="46" bestFit="1" customWidth="1"/>
    <col min="3" max="3" width="2.875" style="46" bestFit="1" customWidth="1"/>
    <col min="4" max="4" width="11.75" style="46" bestFit="1" customWidth="1"/>
    <col min="5" max="5" width="48.75" style="46" bestFit="1" customWidth="1"/>
    <col min="6" max="6" width="15.625" style="46" bestFit="1" customWidth="1"/>
    <col min="7" max="7" width="11.75" style="46" bestFit="1" customWidth="1"/>
    <col min="8" max="8" width="22" style="46" bestFit="1" customWidth="1"/>
    <col min="9" max="14" width="11.5" style="46" customWidth="1"/>
    <col min="15" max="17" width="22.25" style="46" customWidth="1"/>
    <col min="18" max="16384" width="8.75" style="46"/>
  </cols>
  <sheetData>
    <row r="2" spans="1:17">
      <c r="B2" s="46">
        <f>MATCH(9.99999999999999E+307,J:J)-ROW($J$5)</f>
        <v>52</v>
      </c>
      <c r="E2" s="47" t="s">
        <v>607</v>
      </c>
    </row>
    <row r="3" spans="1:17" ht="15">
      <c r="E3" s="48" t="s">
        <v>140</v>
      </c>
    </row>
    <row r="5" spans="1:17" ht="128.25">
      <c r="A5" s="52" t="s">
        <v>141</v>
      </c>
      <c r="B5" s="52" t="s">
        <v>26</v>
      </c>
      <c r="C5" s="52" t="s">
        <v>141</v>
      </c>
      <c r="D5" s="52" t="s">
        <v>27</v>
      </c>
      <c r="E5" s="50" t="s">
        <v>142</v>
      </c>
      <c r="F5" s="50" t="s">
        <v>143</v>
      </c>
      <c r="G5" s="50" t="s">
        <v>144</v>
      </c>
      <c r="H5" s="50" t="s">
        <v>145</v>
      </c>
      <c r="I5" s="51" t="s">
        <v>146</v>
      </c>
      <c r="J5" s="51" t="s">
        <v>147</v>
      </c>
      <c r="K5" s="51" t="s">
        <v>148</v>
      </c>
      <c r="L5" s="51" t="s">
        <v>149</v>
      </c>
      <c r="M5" s="51" t="s">
        <v>150</v>
      </c>
      <c r="N5" s="51" t="s">
        <v>151</v>
      </c>
      <c r="O5" s="50" t="s">
        <v>152</v>
      </c>
      <c r="P5" s="50" t="s">
        <v>153</v>
      </c>
      <c r="Q5" s="50" t="s">
        <v>154</v>
      </c>
    </row>
    <row r="6" spans="1:17">
      <c r="A6" s="46">
        <f>FIND(":",E6,1)</f>
        <v>19</v>
      </c>
      <c r="B6" s="46" t="str">
        <f>RIGHT(F6,LEN(F6)-FIND(":",F6,1))</f>
        <v>ALE</v>
      </c>
      <c r="C6" s="46">
        <f>FIND(":",P6,1)</f>
        <v>19</v>
      </c>
      <c r="D6" s="46" t="str">
        <f>MID(P6,C6+1,LEN(P6)-C6-1)</f>
        <v>ALE</v>
      </c>
      <c r="E6" s="46" t="s">
        <v>34</v>
      </c>
      <c r="F6" s="46" t="s">
        <v>155</v>
      </c>
      <c r="G6" s="46" t="s">
        <v>156</v>
      </c>
      <c r="H6" s="46" t="s">
        <v>157</v>
      </c>
      <c r="I6" s="46" t="s">
        <v>10</v>
      </c>
      <c r="J6" s="49">
        <v>35130</v>
      </c>
      <c r="K6" s="46" t="s">
        <v>158</v>
      </c>
      <c r="L6" s="49">
        <v>38127</v>
      </c>
      <c r="M6" s="46" t="s">
        <v>159</v>
      </c>
      <c r="N6" s="49">
        <v>40284</v>
      </c>
      <c r="O6" s="46" t="s">
        <v>160</v>
      </c>
      <c r="P6" s="46" t="s">
        <v>34</v>
      </c>
      <c r="Q6" s="46" t="s">
        <v>160</v>
      </c>
    </row>
    <row r="7" spans="1:17">
      <c r="A7" s="46">
        <f t="shared" ref="A7:A57" si="0">FIND(":",E7,1)</f>
        <v>33</v>
      </c>
      <c r="B7" s="46" t="str">
        <f t="shared" ref="B7:B57" si="1">RIGHT(F7,LEN(F7)-FIND(":",F7,1))</f>
        <v>LNT</v>
      </c>
      <c r="C7" s="46">
        <f t="shared" ref="C7:C57" si="2">FIND(":",P7,1)</f>
        <v>33</v>
      </c>
      <c r="D7" s="46" t="str">
        <f t="shared" ref="D7:D57" si="3">MID(P7,C7+1,LEN(P7)-C7-1)</f>
        <v>LNT</v>
      </c>
      <c r="E7" s="46" t="s">
        <v>36</v>
      </c>
      <c r="F7" s="46" t="s">
        <v>161</v>
      </c>
      <c r="G7" s="46" t="s">
        <v>162</v>
      </c>
      <c r="H7" s="46" t="s">
        <v>157</v>
      </c>
      <c r="I7" s="46" t="s">
        <v>9</v>
      </c>
      <c r="J7" s="49">
        <v>41285</v>
      </c>
      <c r="K7" s="46" t="s">
        <v>160</v>
      </c>
      <c r="L7" s="49" t="s">
        <v>160</v>
      </c>
      <c r="M7" s="46" t="s">
        <v>159</v>
      </c>
      <c r="N7" s="49">
        <v>41285</v>
      </c>
      <c r="O7" s="46" t="s">
        <v>160</v>
      </c>
      <c r="P7" s="46" t="s">
        <v>36</v>
      </c>
      <c r="Q7" s="46" t="s">
        <v>160</v>
      </c>
    </row>
    <row r="8" spans="1:17">
      <c r="A8" s="46">
        <f t="shared" si="0"/>
        <v>25</v>
      </c>
      <c r="B8" s="46" t="str">
        <f t="shared" si="1"/>
        <v>AEE</v>
      </c>
      <c r="C8" s="46">
        <f t="shared" si="2"/>
        <v>25</v>
      </c>
      <c r="D8" s="46" t="str">
        <f t="shared" si="3"/>
        <v>AEE</v>
      </c>
      <c r="E8" s="46" t="s">
        <v>38</v>
      </c>
      <c r="F8" s="46" t="s">
        <v>163</v>
      </c>
      <c r="G8" s="46" t="s">
        <v>164</v>
      </c>
      <c r="H8" s="46" t="s">
        <v>157</v>
      </c>
      <c r="I8" s="46" t="s">
        <v>10</v>
      </c>
      <c r="J8" s="49">
        <v>41612</v>
      </c>
      <c r="K8" s="46" t="s">
        <v>158</v>
      </c>
      <c r="L8" s="49">
        <v>41612</v>
      </c>
      <c r="M8" s="46" t="s">
        <v>159</v>
      </c>
      <c r="N8" s="49">
        <v>41612</v>
      </c>
      <c r="O8" s="46" t="s">
        <v>160</v>
      </c>
      <c r="P8" s="46" t="s">
        <v>38</v>
      </c>
      <c r="Q8" s="46" t="s">
        <v>160</v>
      </c>
    </row>
    <row r="9" spans="1:17">
      <c r="A9" s="46">
        <f t="shared" si="0"/>
        <v>44</v>
      </c>
      <c r="B9" s="46" t="str">
        <f t="shared" si="1"/>
        <v>AEP</v>
      </c>
      <c r="C9" s="46">
        <f t="shared" si="2"/>
        <v>44</v>
      </c>
      <c r="D9" s="46" t="str">
        <f t="shared" si="3"/>
        <v>AEP</v>
      </c>
      <c r="E9" s="46" t="s">
        <v>40</v>
      </c>
      <c r="F9" s="46" t="s">
        <v>165</v>
      </c>
      <c r="G9" s="46" t="s">
        <v>166</v>
      </c>
      <c r="H9" s="46" t="s">
        <v>157</v>
      </c>
      <c r="I9" s="46" t="s">
        <v>9</v>
      </c>
      <c r="J9" s="49">
        <v>42768</v>
      </c>
      <c r="K9" s="46" t="s">
        <v>158</v>
      </c>
      <c r="L9" s="49">
        <v>42768</v>
      </c>
      <c r="M9" s="46" t="s">
        <v>159</v>
      </c>
      <c r="N9" s="49">
        <v>42768</v>
      </c>
      <c r="O9" s="46" t="s">
        <v>160</v>
      </c>
      <c r="P9" s="46" t="s">
        <v>40</v>
      </c>
      <c r="Q9" s="46" t="s">
        <v>160</v>
      </c>
    </row>
    <row r="10" spans="1:17">
      <c r="A10" s="46">
        <f t="shared" si="0"/>
        <v>31</v>
      </c>
      <c r="B10" s="46" t="str">
        <f t="shared" si="1"/>
        <v>ATO</v>
      </c>
      <c r="C10" s="46">
        <f t="shared" si="2"/>
        <v>31</v>
      </c>
      <c r="D10" s="46" t="str">
        <f t="shared" si="3"/>
        <v>ATO</v>
      </c>
      <c r="E10" s="46" t="s">
        <v>119</v>
      </c>
      <c r="F10" s="46" t="s">
        <v>167</v>
      </c>
      <c r="G10" s="46" t="s">
        <v>168</v>
      </c>
      <c r="H10" s="46" t="s">
        <v>169</v>
      </c>
      <c r="I10" s="46" t="s">
        <v>8</v>
      </c>
      <c r="J10" s="49">
        <v>42503</v>
      </c>
      <c r="K10" s="46" t="s">
        <v>158</v>
      </c>
      <c r="L10" s="49">
        <v>38260</v>
      </c>
      <c r="M10" s="46" t="s">
        <v>159</v>
      </c>
      <c r="N10" s="49">
        <v>42503</v>
      </c>
      <c r="O10" s="46" t="s">
        <v>160</v>
      </c>
      <c r="P10" s="46" t="s">
        <v>119</v>
      </c>
      <c r="Q10" s="46" t="s">
        <v>160</v>
      </c>
    </row>
    <row r="11" spans="1:17">
      <c r="A11" s="46">
        <f t="shared" si="0"/>
        <v>21</v>
      </c>
      <c r="B11" s="46" t="str">
        <f t="shared" si="1"/>
        <v>AGR</v>
      </c>
      <c r="C11" s="46">
        <f t="shared" si="2"/>
        <v>21</v>
      </c>
      <c r="D11" s="46" t="str">
        <f t="shared" si="3"/>
        <v>IBE</v>
      </c>
      <c r="E11" s="46" t="s">
        <v>67</v>
      </c>
      <c r="F11" s="46" t="s">
        <v>170</v>
      </c>
      <c r="G11" s="46" t="s">
        <v>171</v>
      </c>
      <c r="H11" s="46" t="s">
        <v>172</v>
      </c>
      <c r="I11" s="46" t="s">
        <v>10</v>
      </c>
      <c r="J11" s="49">
        <v>42482</v>
      </c>
      <c r="K11" s="46" t="s">
        <v>158</v>
      </c>
      <c r="L11" s="49">
        <v>41241</v>
      </c>
      <c r="M11" s="46" t="s">
        <v>159</v>
      </c>
      <c r="N11" s="49">
        <v>42482</v>
      </c>
      <c r="O11" s="46" t="s">
        <v>173</v>
      </c>
      <c r="P11" s="46" t="s">
        <v>173</v>
      </c>
      <c r="Q11" s="46" t="s">
        <v>160</v>
      </c>
    </row>
    <row r="12" spans="1:17">
      <c r="A12" s="46">
        <f t="shared" si="0"/>
        <v>25</v>
      </c>
      <c r="B12" s="46" t="str">
        <f t="shared" si="1"/>
        <v>AVA</v>
      </c>
      <c r="C12" s="46">
        <f t="shared" si="2"/>
        <v>25</v>
      </c>
      <c r="D12" s="46" t="str">
        <f t="shared" si="3"/>
        <v>AVA</v>
      </c>
      <c r="E12" s="46" t="s">
        <v>92</v>
      </c>
      <c r="F12" s="46" t="s">
        <v>174</v>
      </c>
      <c r="G12" s="46" t="s">
        <v>175</v>
      </c>
      <c r="H12" s="46" t="s">
        <v>176</v>
      </c>
      <c r="I12" s="46" t="s">
        <v>11</v>
      </c>
      <c r="J12" s="49">
        <v>40604</v>
      </c>
      <c r="K12" s="46" t="s">
        <v>158</v>
      </c>
      <c r="L12" s="49">
        <v>37174</v>
      </c>
      <c r="M12" s="46" t="s">
        <v>177</v>
      </c>
      <c r="N12" s="49">
        <v>42935</v>
      </c>
      <c r="O12" s="46" t="s">
        <v>178</v>
      </c>
      <c r="P12" s="46" t="s">
        <v>92</v>
      </c>
      <c r="Q12" s="46" t="s">
        <v>160</v>
      </c>
    </row>
    <row r="13" spans="1:17">
      <c r="A13" s="46">
        <f t="shared" si="0"/>
        <v>30</v>
      </c>
      <c r="B13" s="46" t="str">
        <f t="shared" si="1"/>
        <v>BKH</v>
      </c>
      <c r="C13" s="46">
        <f t="shared" si="2"/>
        <v>30</v>
      </c>
      <c r="D13" s="46" t="str">
        <f t="shared" si="3"/>
        <v>BKH</v>
      </c>
      <c r="E13" s="46" t="s">
        <v>94</v>
      </c>
      <c r="F13" s="46" t="s">
        <v>179</v>
      </c>
      <c r="G13" s="46" t="s">
        <v>180</v>
      </c>
      <c r="H13" s="46" t="s">
        <v>176</v>
      </c>
      <c r="I13" s="46" t="s">
        <v>11</v>
      </c>
      <c r="J13" s="49">
        <v>41479</v>
      </c>
      <c r="K13" s="46" t="s">
        <v>158</v>
      </c>
      <c r="L13" s="49">
        <v>38838</v>
      </c>
      <c r="M13" s="46" t="s">
        <v>159</v>
      </c>
      <c r="N13" s="49">
        <v>41479</v>
      </c>
      <c r="O13" s="46" t="s">
        <v>160</v>
      </c>
      <c r="P13" s="46" t="s">
        <v>94</v>
      </c>
      <c r="Q13" s="46" t="s">
        <v>160</v>
      </c>
    </row>
    <row r="14" spans="1:17">
      <c r="A14" s="46">
        <f t="shared" si="0"/>
        <v>31</v>
      </c>
      <c r="B14" s="46" t="str">
        <f t="shared" si="1"/>
        <v>CNP</v>
      </c>
      <c r="C14" s="46">
        <f t="shared" si="2"/>
        <v>31</v>
      </c>
      <c r="D14" s="46" t="str">
        <f t="shared" si="3"/>
        <v>CNP</v>
      </c>
      <c r="E14" s="46" t="s">
        <v>44</v>
      </c>
      <c r="F14" s="46" t="s">
        <v>181</v>
      </c>
      <c r="G14" s="46" t="s">
        <v>182</v>
      </c>
      <c r="H14" s="46" t="s">
        <v>157</v>
      </c>
      <c r="I14" s="46" t="s">
        <v>9</v>
      </c>
      <c r="J14" s="49">
        <v>41396</v>
      </c>
      <c r="K14" s="46" t="s">
        <v>158</v>
      </c>
      <c r="L14" s="49">
        <v>41396</v>
      </c>
      <c r="M14" s="46" t="s">
        <v>177</v>
      </c>
      <c r="N14" s="49">
        <v>42951</v>
      </c>
      <c r="O14" s="46" t="s">
        <v>160</v>
      </c>
      <c r="P14" s="46" t="s">
        <v>44</v>
      </c>
      <c r="Q14" s="46" t="s">
        <v>160</v>
      </c>
    </row>
    <row r="15" spans="1:17">
      <c r="A15" s="46">
        <f t="shared" si="0"/>
        <v>39</v>
      </c>
      <c r="B15" s="46" t="str">
        <f t="shared" si="1"/>
        <v>CPK</v>
      </c>
      <c r="C15" s="46">
        <f t="shared" si="2"/>
        <v>39</v>
      </c>
      <c r="D15" s="46" t="str">
        <f t="shared" si="3"/>
        <v>CPK</v>
      </c>
      <c r="E15" s="46" t="s">
        <v>121</v>
      </c>
      <c r="F15" s="46" t="s">
        <v>183</v>
      </c>
      <c r="G15" s="46" t="s">
        <v>160</v>
      </c>
      <c r="H15" s="46" t="s">
        <v>169</v>
      </c>
      <c r="I15" s="46" t="s">
        <v>160</v>
      </c>
      <c r="J15" s="49" t="s">
        <v>160</v>
      </c>
      <c r="K15" s="46" t="s">
        <v>160</v>
      </c>
      <c r="L15" s="49" t="s">
        <v>160</v>
      </c>
      <c r="M15" s="46" t="s">
        <v>160</v>
      </c>
      <c r="N15" s="49" t="s">
        <v>160</v>
      </c>
      <c r="O15" s="46" t="s">
        <v>160</v>
      </c>
      <c r="P15" s="46" t="s">
        <v>121</v>
      </c>
      <c r="Q15" s="46" t="s">
        <v>160</v>
      </c>
    </row>
    <row r="16" spans="1:17">
      <c r="A16" s="46">
        <f t="shared" si="0"/>
        <v>29</v>
      </c>
      <c r="B16" s="46" t="str">
        <f t="shared" si="1"/>
        <v>CMS</v>
      </c>
      <c r="C16" s="46">
        <f t="shared" si="2"/>
        <v>29</v>
      </c>
      <c r="D16" s="46" t="str">
        <f t="shared" si="3"/>
        <v>CMS</v>
      </c>
      <c r="E16" s="46" t="s">
        <v>42</v>
      </c>
      <c r="F16" s="46" t="s">
        <v>184</v>
      </c>
      <c r="G16" s="46" t="s">
        <v>185</v>
      </c>
      <c r="H16" s="46" t="s">
        <v>157</v>
      </c>
      <c r="I16" s="46" t="s">
        <v>10</v>
      </c>
      <c r="J16" s="49">
        <v>41976</v>
      </c>
      <c r="K16" s="46" t="s">
        <v>158</v>
      </c>
      <c r="L16" s="49">
        <v>39211</v>
      </c>
      <c r="M16" s="46" t="s">
        <v>159</v>
      </c>
      <c r="N16" s="49">
        <v>41976</v>
      </c>
      <c r="O16" s="46" t="s">
        <v>160</v>
      </c>
      <c r="P16" s="46" t="s">
        <v>42</v>
      </c>
      <c r="Q16" s="46" t="s">
        <v>160</v>
      </c>
    </row>
    <row r="17" spans="1:17">
      <c r="A17" s="46">
        <f t="shared" si="0"/>
        <v>32</v>
      </c>
      <c r="B17" s="46" t="str">
        <f t="shared" si="1"/>
        <v>ED</v>
      </c>
      <c r="C17" s="46">
        <f t="shared" si="2"/>
        <v>32</v>
      </c>
      <c r="D17" s="46" t="str">
        <f t="shared" si="3"/>
        <v>ED</v>
      </c>
      <c r="E17" s="46" t="s">
        <v>69</v>
      </c>
      <c r="F17" s="46" t="s">
        <v>186</v>
      </c>
      <c r="G17" s="46" t="s">
        <v>187</v>
      </c>
      <c r="H17" s="46" t="s">
        <v>172</v>
      </c>
      <c r="I17" s="46" t="s">
        <v>9</v>
      </c>
      <c r="J17" s="49">
        <v>39532</v>
      </c>
      <c r="K17" s="46" t="s">
        <v>158</v>
      </c>
      <c r="L17" s="49">
        <v>37335</v>
      </c>
      <c r="M17" s="46" t="s">
        <v>159</v>
      </c>
      <c r="N17" s="49">
        <v>42761</v>
      </c>
      <c r="O17" s="46" t="s">
        <v>160</v>
      </c>
      <c r="P17" s="46" t="s">
        <v>69</v>
      </c>
      <c r="Q17" s="46" t="s">
        <v>160</v>
      </c>
    </row>
    <row r="18" spans="1:17">
      <c r="A18" s="46">
        <f t="shared" si="0"/>
        <v>28</v>
      </c>
      <c r="B18" s="46" t="str">
        <f t="shared" si="1"/>
        <v>D</v>
      </c>
      <c r="C18" s="46">
        <f t="shared" si="2"/>
        <v>28</v>
      </c>
      <c r="D18" s="46" t="str">
        <f t="shared" si="3"/>
        <v>D</v>
      </c>
      <c r="E18" s="46" t="s">
        <v>71</v>
      </c>
      <c r="F18" s="46" t="s">
        <v>188</v>
      </c>
      <c r="G18" s="46" t="s">
        <v>189</v>
      </c>
      <c r="H18" s="46" t="s">
        <v>172</v>
      </c>
      <c r="I18" s="46" t="s">
        <v>10</v>
      </c>
      <c r="J18" s="49">
        <v>42401</v>
      </c>
      <c r="K18" s="46" t="s">
        <v>158</v>
      </c>
      <c r="L18" s="49">
        <v>36769</v>
      </c>
      <c r="M18" s="46" t="s">
        <v>159</v>
      </c>
      <c r="N18" s="49">
        <v>42401</v>
      </c>
      <c r="O18" s="46" t="s">
        <v>160</v>
      </c>
      <c r="P18" s="46" t="s">
        <v>71</v>
      </c>
      <c r="Q18" s="46" t="s">
        <v>160</v>
      </c>
    </row>
    <row r="19" spans="1:17">
      <c r="A19" s="46">
        <f t="shared" si="0"/>
        <v>25</v>
      </c>
      <c r="B19" s="46" t="str">
        <f t="shared" si="1"/>
        <v>DTE</v>
      </c>
      <c r="C19" s="46">
        <f t="shared" si="2"/>
        <v>25</v>
      </c>
      <c r="D19" s="46" t="str">
        <f t="shared" si="3"/>
        <v>DTE</v>
      </c>
      <c r="E19" s="46" t="s">
        <v>46</v>
      </c>
      <c r="F19" s="46" t="s">
        <v>190</v>
      </c>
      <c r="G19" s="46" t="s">
        <v>191</v>
      </c>
      <c r="H19" s="46" t="s">
        <v>157</v>
      </c>
      <c r="I19" s="46" t="s">
        <v>10</v>
      </c>
      <c r="J19" s="49">
        <v>40521</v>
      </c>
      <c r="K19" s="46" t="s">
        <v>160</v>
      </c>
      <c r="L19" s="49" t="s">
        <v>160</v>
      </c>
      <c r="M19" s="46" t="s">
        <v>159</v>
      </c>
      <c r="N19" s="49">
        <v>42237</v>
      </c>
      <c r="O19" s="46" t="s">
        <v>160</v>
      </c>
      <c r="P19" s="46" t="s">
        <v>46</v>
      </c>
      <c r="Q19" s="46" t="s">
        <v>160</v>
      </c>
    </row>
    <row r="20" spans="1:17">
      <c r="A20" s="46">
        <f t="shared" si="0"/>
        <v>30</v>
      </c>
      <c r="B20" s="46" t="str">
        <f t="shared" si="1"/>
        <v>DUK</v>
      </c>
      <c r="C20" s="46">
        <f t="shared" si="2"/>
        <v>30</v>
      </c>
      <c r="D20" s="46" t="str">
        <f t="shared" si="3"/>
        <v>DUK</v>
      </c>
      <c r="E20" s="46" t="s">
        <v>73</v>
      </c>
      <c r="F20" s="46" t="s">
        <v>192</v>
      </c>
      <c r="G20" s="46" t="s">
        <v>193</v>
      </c>
      <c r="H20" s="46" t="s">
        <v>172</v>
      </c>
      <c r="I20" s="46" t="s">
        <v>9</v>
      </c>
      <c r="J20" s="49">
        <v>42096</v>
      </c>
      <c r="K20" s="46" t="s">
        <v>158</v>
      </c>
      <c r="L20" s="49">
        <v>41115</v>
      </c>
      <c r="M20" s="46" t="s">
        <v>159</v>
      </c>
      <c r="N20" s="49">
        <v>42747</v>
      </c>
      <c r="O20" s="46" t="s">
        <v>46</v>
      </c>
      <c r="P20" s="46" t="s">
        <v>73</v>
      </c>
      <c r="Q20" s="46" t="s">
        <v>160</v>
      </c>
    </row>
    <row r="21" spans="1:17">
      <c r="A21" s="46">
        <f t="shared" si="0"/>
        <v>27</v>
      </c>
      <c r="B21" s="46" t="str">
        <f t="shared" si="1"/>
        <v>EIX</v>
      </c>
      <c r="C21" s="46">
        <f t="shared" si="2"/>
        <v>27</v>
      </c>
      <c r="D21" s="46" t="str">
        <f t="shared" si="3"/>
        <v>EIX</v>
      </c>
      <c r="E21" s="46" t="s">
        <v>96</v>
      </c>
      <c r="F21" s="46" t="s">
        <v>194</v>
      </c>
      <c r="G21" s="46" t="s">
        <v>195</v>
      </c>
      <c r="H21" s="46" t="s">
        <v>176</v>
      </c>
      <c r="I21" s="46" t="s">
        <v>10</v>
      </c>
      <c r="J21" s="49">
        <v>41737</v>
      </c>
      <c r="K21" s="46" t="s">
        <v>158</v>
      </c>
      <c r="L21" s="49">
        <v>41737</v>
      </c>
      <c r="M21" s="46" t="s">
        <v>159</v>
      </c>
      <c r="N21" s="49">
        <v>41737</v>
      </c>
      <c r="O21" s="46" t="s">
        <v>160</v>
      </c>
      <c r="P21" s="46" t="s">
        <v>96</v>
      </c>
      <c r="Q21" s="46" t="s">
        <v>160</v>
      </c>
    </row>
    <row r="22" spans="1:17">
      <c r="A22" s="46">
        <f t="shared" si="0"/>
        <v>31</v>
      </c>
      <c r="B22" s="46" t="str">
        <f t="shared" si="1"/>
        <v>EE</v>
      </c>
      <c r="C22" s="46">
        <f t="shared" si="2"/>
        <v>31</v>
      </c>
      <c r="D22" s="46" t="str">
        <f t="shared" si="3"/>
        <v>EE</v>
      </c>
      <c r="E22" s="46" t="s">
        <v>98</v>
      </c>
      <c r="F22" s="46" t="s">
        <v>196</v>
      </c>
      <c r="G22" s="46" t="s">
        <v>197</v>
      </c>
      <c r="H22" s="46" t="s">
        <v>176</v>
      </c>
      <c r="I22" s="46" t="s">
        <v>11</v>
      </c>
      <c r="J22" s="49">
        <v>38211</v>
      </c>
      <c r="K22" s="46" t="s">
        <v>158</v>
      </c>
      <c r="L22" s="49">
        <v>33725</v>
      </c>
      <c r="M22" s="46" t="s">
        <v>159</v>
      </c>
      <c r="N22" s="49">
        <v>38211</v>
      </c>
      <c r="O22" s="46" t="s">
        <v>160</v>
      </c>
      <c r="P22" s="46" t="s">
        <v>98</v>
      </c>
      <c r="Q22" s="46" t="s">
        <v>160</v>
      </c>
    </row>
    <row r="23" spans="1:17">
      <c r="A23" s="46">
        <f t="shared" si="0"/>
        <v>26</v>
      </c>
      <c r="B23" s="46" t="str">
        <f t="shared" si="1"/>
        <v>ETR</v>
      </c>
      <c r="C23" s="46">
        <f t="shared" si="2"/>
        <v>26</v>
      </c>
      <c r="D23" s="46" t="str">
        <f t="shared" si="3"/>
        <v>ETR</v>
      </c>
      <c r="E23" s="46" t="s">
        <v>48</v>
      </c>
      <c r="F23" s="46" t="s">
        <v>198</v>
      </c>
      <c r="G23" s="46" t="s">
        <v>199</v>
      </c>
      <c r="H23" s="46" t="s">
        <v>157</v>
      </c>
      <c r="I23" s="46" t="s">
        <v>10</v>
      </c>
      <c r="J23" s="49">
        <v>42586</v>
      </c>
      <c r="K23" s="46" t="s">
        <v>158</v>
      </c>
      <c r="L23" s="49">
        <v>39477</v>
      </c>
      <c r="M23" s="46" t="s">
        <v>177</v>
      </c>
      <c r="N23" s="49">
        <v>42744</v>
      </c>
      <c r="O23" s="46" t="s">
        <v>160</v>
      </c>
      <c r="P23" s="46" t="s">
        <v>48</v>
      </c>
      <c r="Q23" s="46" t="s">
        <v>160</v>
      </c>
    </row>
    <row r="24" spans="1:17">
      <c r="A24" s="46">
        <f t="shared" si="0"/>
        <v>24</v>
      </c>
      <c r="B24" s="46" t="str">
        <f t="shared" si="1"/>
        <v>ES</v>
      </c>
      <c r="C24" s="46">
        <f t="shared" si="2"/>
        <v>24</v>
      </c>
      <c r="D24" s="46" t="str">
        <f t="shared" si="3"/>
        <v>ES</v>
      </c>
      <c r="E24" s="46" t="s">
        <v>75</v>
      </c>
      <c r="F24" s="46" t="s">
        <v>200</v>
      </c>
      <c r="G24" s="46" t="s">
        <v>201</v>
      </c>
      <c r="H24" s="46" t="s">
        <v>172</v>
      </c>
      <c r="I24" s="46" t="s">
        <v>8</v>
      </c>
      <c r="J24" s="49">
        <v>42117</v>
      </c>
      <c r="K24" s="46" t="s">
        <v>158</v>
      </c>
      <c r="L24" s="49">
        <v>41004</v>
      </c>
      <c r="M24" s="46" t="s">
        <v>177</v>
      </c>
      <c r="N24" s="49">
        <v>42563</v>
      </c>
      <c r="O24" s="46" t="s">
        <v>160</v>
      </c>
      <c r="P24" s="46" t="s">
        <v>75</v>
      </c>
      <c r="Q24" s="46" t="s">
        <v>160</v>
      </c>
    </row>
    <row r="25" spans="1:17">
      <c r="A25" s="46">
        <f t="shared" si="0"/>
        <v>25</v>
      </c>
      <c r="B25" s="46" t="str">
        <f t="shared" si="1"/>
        <v>EXC</v>
      </c>
      <c r="C25" s="46">
        <f t="shared" si="2"/>
        <v>25</v>
      </c>
      <c r="D25" s="46" t="str">
        <f t="shared" si="3"/>
        <v>EXC</v>
      </c>
      <c r="E25" s="46" t="s">
        <v>77</v>
      </c>
      <c r="F25" s="46" t="s">
        <v>202</v>
      </c>
      <c r="G25" s="46" t="s">
        <v>203</v>
      </c>
      <c r="H25" s="46" t="s">
        <v>172</v>
      </c>
      <c r="I25" s="46" t="s">
        <v>11</v>
      </c>
      <c r="J25" s="49">
        <v>39742</v>
      </c>
      <c r="K25" s="46" t="s">
        <v>158</v>
      </c>
      <c r="L25" s="49">
        <v>40016</v>
      </c>
      <c r="M25" s="46" t="s">
        <v>159</v>
      </c>
      <c r="N25" s="49">
        <v>40016</v>
      </c>
      <c r="O25" s="46" t="s">
        <v>160</v>
      </c>
      <c r="P25" s="46" t="s">
        <v>77</v>
      </c>
      <c r="Q25" s="46" t="s">
        <v>160</v>
      </c>
    </row>
    <row r="26" spans="1:17">
      <c r="A26" s="46">
        <f t="shared" si="0"/>
        <v>24</v>
      </c>
      <c r="B26" s="46" t="str">
        <f t="shared" si="1"/>
        <v>FE</v>
      </c>
      <c r="C26" s="46">
        <f t="shared" si="2"/>
        <v>24</v>
      </c>
      <c r="D26" s="46" t="str">
        <f t="shared" si="3"/>
        <v>FE</v>
      </c>
      <c r="E26" s="46" t="s">
        <v>79</v>
      </c>
      <c r="F26" s="46" t="s">
        <v>204</v>
      </c>
      <c r="G26" s="46" t="s">
        <v>205</v>
      </c>
      <c r="H26" s="46" t="s">
        <v>172</v>
      </c>
      <c r="I26" s="46" t="s">
        <v>12</v>
      </c>
      <c r="J26" s="49">
        <v>40220</v>
      </c>
      <c r="K26" s="46" t="s">
        <v>158</v>
      </c>
      <c r="L26" s="49">
        <v>37978</v>
      </c>
      <c r="M26" s="46" t="s">
        <v>159</v>
      </c>
      <c r="N26" s="49">
        <v>42963</v>
      </c>
      <c r="O26" s="46" t="s">
        <v>160</v>
      </c>
      <c r="P26" s="46" t="s">
        <v>79</v>
      </c>
      <c r="Q26" s="46" t="s">
        <v>160</v>
      </c>
    </row>
    <row r="27" spans="1:17">
      <c r="A27" s="46">
        <f t="shared" si="0"/>
        <v>17</v>
      </c>
      <c r="B27" s="46" t="str">
        <f t="shared" si="1"/>
        <v>FTS</v>
      </c>
      <c r="C27" s="46">
        <f t="shared" si="2"/>
        <v>17</v>
      </c>
      <c r="D27" s="46" t="str">
        <f t="shared" si="3"/>
        <v>FTS</v>
      </c>
      <c r="E27" s="46" t="s">
        <v>50</v>
      </c>
      <c r="F27" s="46" t="s">
        <v>206</v>
      </c>
      <c r="G27" s="46" t="s">
        <v>207</v>
      </c>
      <c r="H27" s="46" t="s">
        <v>157</v>
      </c>
      <c r="I27" s="46" t="s">
        <v>9</v>
      </c>
      <c r="J27" s="49">
        <v>39252</v>
      </c>
      <c r="K27" s="46" t="s">
        <v>158</v>
      </c>
      <c r="L27" s="49">
        <v>41052</v>
      </c>
      <c r="M27" s="46" t="s">
        <v>159</v>
      </c>
      <c r="N27" s="49">
        <v>42661</v>
      </c>
      <c r="O27" s="46" t="s">
        <v>160</v>
      </c>
      <c r="P27" s="46" t="s">
        <v>50</v>
      </c>
      <c r="Q27" s="46" t="s">
        <v>160</v>
      </c>
    </row>
    <row r="28" spans="1:17">
      <c r="A28" s="46">
        <f t="shared" si="0"/>
        <v>39</v>
      </c>
      <c r="B28" s="46" t="str">
        <f t="shared" si="1"/>
        <v>GXP</v>
      </c>
      <c r="C28" s="46">
        <f t="shared" si="2"/>
        <v>39</v>
      </c>
      <c r="D28" s="46" t="str">
        <f t="shared" si="3"/>
        <v>GXP</v>
      </c>
      <c r="E28" s="46" t="s">
        <v>52</v>
      </c>
      <c r="F28" s="46" t="s">
        <v>208</v>
      </c>
      <c r="G28" s="46" t="s">
        <v>209</v>
      </c>
      <c r="H28" s="46" t="s">
        <v>157</v>
      </c>
      <c r="I28" s="46" t="s">
        <v>10</v>
      </c>
      <c r="J28" s="49">
        <v>41760</v>
      </c>
      <c r="K28" s="46" t="s">
        <v>158</v>
      </c>
      <c r="L28" s="49">
        <v>39643</v>
      </c>
      <c r="M28" s="46" t="s">
        <v>177</v>
      </c>
      <c r="N28" s="49">
        <v>42927</v>
      </c>
      <c r="O28" s="46" t="s">
        <v>210</v>
      </c>
      <c r="P28" s="46" t="s">
        <v>52</v>
      </c>
      <c r="Q28" s="46" t="s">
        <v>160</v>
      </c>
    </row>
    <row r="29" spans="1:17">
      <c r="A29" s="46">
        <f t="shared" si="0"/>
        <v>41</v>
      </c>
      <c r="B29" s="46" t="str">
        <f t="shared" si="1"/>
        <v>HE</v>
      </c>
      <c r="C29" s="46">
        <f t="shared" si="2"/>
        <v>41</v>
      </c>
      <c r="D29" s="46" t="str">
        <f t="shared" si="3"/>
        <v>HE</v>
      </c>
      <c r="E29" s="46" t="s">
        <v>100</v>
      </c>
      <c r="F29" s="46" t="s">
        <v>211</v>
      </c>
      <c r="G29" s="46" t="s">
        <v>212</v>
      </c>
      <c r="H29" s="46" t="s">
        <v>176</v>
      </c>
      <c r="I29" s="46" t="s">
        <v>12</v>
      </c>
      <c r="J29" s="49">
        <v>40497</v>
      </c>
      <c r="K29" s="46" t="s">
        <v>158</v>
      </c>
      <c r="L29" s="49">
        <v>42570</v>
      </c>
      <c r="M29" s="46" t="s">
        <v>159</v>
      </c>
      <c r="N29" s="49">
        <v>42570</v>
      </c>
      <c r="O29" s="46" t="s">
        <v>160</v>
      </c>
      <c r="P29" s="46" t="s">
        <v>100</v>
      </c>
      <c r="Q29" s="46" t="s">
        <v>160</v>
      </c>
    </row>
    <row r="30" spans="1:17">
      <c r="A30" s="46">
        <f t="shared" si="0"/>
        <v>20</v>
      </c>
      <c r="B30" s="46" t="str">
        <f t="shared" si="1"/>
        <v>IDA</v>
      </c>
      <c r="C30" s="46">
        <f t="shared" si="2"/>
        <v>20</v>
      </c>
      <c r="D30" s="46" t="str">
        <f t="shared" si="3"/>
        <v>IDA</v>
      </c>
      <c r="E30" s="46" t="s">
        <v>102</v>
      </c>
      <c r="F30" s="46" t="s">
        <v>213</v>
      </c>
      <c r="G30" s="46" t="s">
        <v>214</v>
      </c>
      <c r="H30" s="46" t="s">
        <v>176</v>
      </c>
      <c r="I30" s="46" t="s">
        <v>11</v>
      </c>
      <c r="J30" s="49">
        <v>39478</v>
      </c>
      <c r="K30" s="46" t="s">
        <v>158</v>
      </c>
      <c r="L30" s="49">
        <v>38320</v>
      </c>
      <c r="M30" s="46" t="s">
        <v>159</v>
      </c>
      <c r="N30" s="49">
        <v>39478</v>
      </c>
      <c r="O30" s="46" t="s">
        <v>160</v>
      </c>
      <c r="P30" s="46" t="s">
        <v>102</v>
      </c>
      <c r="Q30" s="46" t="s">
        <v>160</v>
      </c>
    </row>
    <row r="31" spans="1:17">
      <c r="A31" s="46">
        <f t="shared" si="0"/>
        <v>27</v>
      </c>
      <c r="B31" s="46" t="str">
        <f t="shared" si="1"/>
        <v>MGEE</v>
      </c>
      <c r="C31" s="46">
        <f t="shared" si="2"/>
        <v>27</v>
      </c>
      <c r="D31" s="46" t="str">
        <f t="shared" si="3"/>
        <v>MGEE</v>
      </c>
      <c r="E31" s="46" t="s">
        <v>54</v>
      </c>
      <c r="F31" s="46" t="s">
        <v>215</v>
      </c>
      <c r="G31" s="46" t="s">
        <v>216</v>
      </c>
      <c r="H31" s="46" t="s">
        <v>157</v>
      </c>
      <c r="I31" s="46" t="s">
        <v>160</v>
      </c>
      <c r="J31" s="49" t="s">
        <v>160</v>
      </c>
      <c r="K31" s="46" t="s">
        <v>160</v>
      </c>
      <c r="L31" s="49" t="s">
        <v>160</v>
      </c>
      <c r="M31" s="46" t="s">
        <v>160</v>
      </c>
      <c r="N31" s="49" t="s">
        <v>160</v>
      </c>
      <c r="O31" s="46" t="s">
        <v>160</v>
      </c>
      <c r="P31" s="46" t="s">
        <v>54</v>
      </c>
      <c r="Q31" s="46" t="s">
        <v>160</v>
      </c>
    </row>
    <row r="32" spans="1:17">
      <c r="A32" s="46">
        <f t="shared" si="0"/>
        <v>39</v>
      </c>
      <c r="B32" s="46" t="str">
        <f t="shared" si="1"/>
        <v>NJR</v>
      </c>
      <c r="C32" s="46">
        <f t="shared" si="2"/>
        <v>39</v>
      </c>
      <c r="D32" s="46" t="str">
        <f t="shared" si="3"/>
        <v>NJR</v>
      </c>
      <c r="E32" s="46" t="s">
        <v>123</v>
      </c>
      <c r="F32" s="46" t="s">
        <v>217</v>
      </c>
      <c r="G32" s="46" t="s">
        <v>218</v>
      </c>
      <c r="H32" s="46" t="s">
        <v>169</v>
      </c>
      <c r="I32" s="46" t="s">
        <v>160</v>
      </c>
      <c r="J32" s="49" t="s">
        <v>160</v>
      </c>
      <c r="K32" s="46" t="s">
        <v>160</v>
      </c>
      <c r="L32" s="49" t="s">
        <v>160</v>
      </c>
      <c r="M32" s="46" t="s">
        <v>160</v>
      </c>
      <c r="N32" s="49" t="s">
        <v>160</v>
      </c>
      <c r="O32" s="46" t="s">
        <v>160</v>
      </c>
      <c r="P32" s="46" t="s">
        <v>123</v>
      </c>
      <c r="Q32" s="46" t="s">
        <v>160</v>
      </c>
    </row>
    <row r="33" spans="1:17">
      <c r="A33" s="46">
        <f t="shared" si="0"/>
        <v>27</v>
      </c>
      <c r="B33" s="46" t="str">
        <f t="shared" si="1"/>
        <v>NEE</v>
      </c>
      <c r="C33" s="46">
        <f t="shared" si="2"/>
        <v>27</v>
      </c>
      <c r="D33" s="46" t="str">
        <f t="shared" si="3"/>
        <v>NEE</v>
      </c>
      <c r="E33" s="46" t="s">
        <v>81</v>
      </c>
      <c r="F33" s="46" t="s">
        <v>219</v>
      </c>
      <c r="G33" s="46" t="s">
        <v>220</v>
      </c>
      <c r="H33" s="46" t="s">
        <v>172</v>
      </c>
      <c r="I33" s="46" t="s">
        <v>9</v>
      </c>
      <c r="J33" s="49">
        <v>40248</v>
      </c>
      <c r="K33" s="46" t="s">
        <v>158</v>
      </c>
      <c r="L33" s="49">
        <v>40248</v>
      </c>
      <c r="M33" s="46" t="s">
        <v>159</v>
      </c>
      <c r="N33" s="49">
        <v>40248</v>
      </c>
      <c r="O33" s="46" t="s">
        <v>160</v>
      </c>
      <c r="P33" s="46" t="s">
        <v>81</v>
      </c>
      <c r="Q33" s="46" t="s">
        <v>160</v>
      </c>
    </row>
    <row r="34" spans="1:17">
      <c r="A34" s="46">
        <f t="shared" si="0"/>
        <v>20</v>
      </c>
      <c r="B34" s="46" t="str">
        <f t="shared" si="1"/>
        <v>NI</v>
      </c>
      <c r="C34" s="46">
        <f t="shared" si="2"/>
        <v>20</v>
      </c>
      <c r="D34" s="46" t="str">
        <f t="shared" si="3"/>
        <v>NI</v>
      </c>
      <c r="E34" s="46" t="s">
        <v>125</v>
      </c>
      <c r="F34" s="46" t="s">
        <v>221</v>
      </c>
      <c r="G34" s="46" t="s">
        <v>222</v>
      </c>
      <c r="H34" s="46" t="s">
        <v>169</v>
      </c>
      <c r="I34" s="46" t="s">
        <v>10</v>
      </c>
      <c r="J34" s="49">
        <v>42173</v>
      </c>
      <c r="K34" s="46" t="s">
        <v>158</v>
      </c>
      <c r="L34" s="49">
        <v>42173</v>
      </c>
      <c r="M34" s="46" t="s">
        <v>159</v>
      </c>
      <c r="N34" s="49">
        <v>42173</v>
      </c>
      <c r="O34" s="46" t="s">
        <v>160</v>
      </c>
      <c r="P34" s="46" t="s">
        <v>125</v>
      </c>
      <c r="Q34" s="46" t="s">
        <v>160</v>
      </c>
    </row>
    <row r="35" spans="1:17">
      <c r="A35" s="46">
        <f t="shared" si="0"/>
        <v>36</v>
      </c>
      <c r="B35" s="46" t="str">
        <f t="shared" si="1"/>
        <v>NWN</v>
      </c>
      <c r="C35" s="46">
        <f t="shared" si="2"/>
        <v>36</v>
      </c>
      <c r="D35" s="46" t="str">
        <f t="shared" si="3"/>
        <v>NWN</v>
      </c>
      <c r="E35" s="46" t="s">
        <v>127</v>
      </c>
      <c r="F35" s="46" t="s">
        <v>223</v>
      </c>
      <c r="G35" s="46" t="s">
        <v>224</v>
      </c>
      <c r="H35" s="46" t="s">
        <v>169</v>
      </c>
      <c r="I35" s="46" t="s">
        <v>7</v>
      </c>
      <c r="J35" s="49">
        <v>40203</v>
      </c>
      <c r="K35" s="46" t="s">
        <v>158</v>
      </c>
      <c r="L35" s="49">
        <v>37462</v>
      </c>
      <c r="M35" s="46" t="s">
        <v>159</v>
      </c>
      <c r="N35" s="49">
        <v>40203</v>
      </c>
      <c r="O35" s="46" t="s">
        <v>160</v>
      </c>
      <c r="P35" s="46" t="s">
        <v>127</v>
      </c>
      <c r="Q35" s="46" t="s">
        <v>160</v>
      </c>
    </row>
    <row r="36" spans="1:17">
      <c r="A36" s="46">
        <f t="shared" si="0"/>
        <v>31</v>
      </c>
      <c r="B36" s="46" t="str">
        <f t="shared" si="1"/>
        <v>NWE</v>
      </c>
      <c r="C36" s="46">
        <f t="shared" si="2"/>
        <v>31</v>
      </c>
      <c r="D36" s="46" t="str">
        <f t="shared" si="3"/>
        <v>NWE</v>
      </c>
      <c r="E36" s="46" t="s">
        <v>104</v>
      </c>
      <c r="F36" s="46" t="s">
        <v>225</v>
      </c>
      <c r="G36" s="46" t="s">
        <v>226</v>
      </c>
      <c r="H36" s="46" t="s">
        <v>176</v>
      </c>
      <c r="I36" s="46" t="s">
        <v>11</v>
      </c>
      <c r="J36" s="49">
        <v>39521</v>
      </c>
      <c r="K36" s="46" t="s">
        <v>158</v>
      </c>
      <c r="L36" s="49">
        <v>39294</v>
      </c>
      <c r="M36" s="46" t="s">
        <v>159</v>
      </c>
      <c r="N36" s="49">
        <v>39521</v>
      </c>
      <c r="O36" s="46" t="s">
        <v>160</v>
      </c>
      <c r="P36" s="46" t="s">
        <v>104</v>
      </c>
      <c r="Q36" s="46" t="s">
        <v>160</v>
      </c>
    </row>
    <row r="37" spans="1:17">
      <c r="A37" s="46">
        <f t="shared" si="0"/>
        <v>23</v>
      </c>
      <c r="B37" s="46" t="str">
        <f t="shared" si="1"/>
        <v>OGE</v>
      </c>
      <c r="C37" s="46">
        <f t="shared" si="2"/>
        <v>23</v>
      </c>
      <c r="D37" s="46" t="str">
        <f t="shared" si="3"/>
        <v>OGE</v>
      </c>
      <c r="E37" s="46" t="s">
        <v>56</v>
      </c>
      <c r="F37" s="46" t="s">
        <v>227</v>
      </c>
      <c r="G37" s="46" t="s">
        <v>228</v>
      </c>
      <c r="H37" s="46" t="s">
        <v>157</v>
      </c>
      <c r="I37" s="46" t="s">
        <v>9</v>
      </c>
      <c r="J37" s="49">
        <v>41396</v>
      </c>
      <c r="K37" s="46" t="s">
        <v>158</v>
      </c>
      <c r="L37" s="49">
        <v>41396</v>
      </c>
      <c r="M37" s="46" t="s">
        <v>159</v>
      </c>
      <c r="N37" s="49">
        <v>41396</v>
      </c>
      <c r="O37" s="46" t="s">
        <v>160</v>
      </c>
      <c r="P37" s="46" t="s">
        <v>56</v>
      </c>
      <c r="Q37" s="46" t="s">
        <v>160</v>
      </c>
    </row>
    <row r="38" spans="1:17">
      <c r="A38" s="46">
        <f t="shared" si="0"/>
        <v>20</v>
      </c>
      <c r="B38" s="46" t="str">
        <f t="shared" si="1"/>
        <v>OGS</v>
      </c>
      <c r="C38" s="46">
        <f t="shared" si="2"/>
        <v>20</v>
      </c>
      <c r="D38" s="46" t="str">
        <f t="shared" si="3"/>
        <v>OGS</v>
      </c>
      <c r="E38" s="46" t="s">
        <v>129</v>
      </c>
      <c r="F38" s="46" t="s">
        <v>229</v>
      </c>
      <c r="G38" s="46" t="s">
        <v>230</v>
      </c>
      <c r="H38" s="46" t="s">
        <v>169</v>
      </c>
      <c r="I38" s="46" t="s">
        <v>8</v>
      </c>
      <c r="J38" s="49">
        <v>42963</v>
      </c>
      <c r="K38" s="46" t="s">
        <v>160</v>
      </c>
      <c r="L38" s="49" t="s">
        <v>160</v>
      </c>
      <c r="M38" s="46" t="s">
        <v>159</v>
      </c>
      <c r="N38" s="49">
        <v>42963</v>
      </c>
      <c r="O38" s="46" t="s">
        <v>160</v>
      </c>
      <c r="P38" s="46" t="s">
        <v>129</v>
      </c>
      <c r="Q38" s="46" t="s">
        <v>231</v>
      </c>
    </row>
    <row r="39" spans="1:17">
      <c r="A39" s="46">
        <f t="shared" si="0"/>
        <v>33</v>
      </c>
      <c r="B39" s="46" t="str">
        <f t="shared" si="1"/>
        <v>OTTR</v>
      </c>
      <c r="C39" s="46">
        <f t="shared" si="2"/>
        <v>33</v>
      </c>
      <c r="D39" s="46" t="str">
        <f t="shared" si="3"/>
        <v>OTTR</v>
      </c>
      <c r="E39" s="46" t="s">
        <v>58</v>
      </c>
      <c r="F39" s="46" t="s">
        <v>232</v>
      </c>
      <c r="G39" s="46" t="s">
        <v>233</v>
      </c>
      <c r="H39" s="46" t="s">
        <v>157</v>
      </c>
      <c r="I39" s="46" t="s">
        <v>11</v>
      </c>
      <c r="J39" s="49">
        <v>41446</v>
      </c>
      <c r="K39" s="46" t="s">
        <v>160</v>
      </c>
      <c r="L39" s="49" t="s">
        <v>160</v>
      </c>
      <c r="M39" s="46" t="s">
        <v>177</v>
      </c>
      <c r="N39" s="49">
        <v>42968</v>
      </c>
      <c r="O39" s="46" t="s">
        <v>160</v>
      </c>
      <c r="P39" s="46" t="s">
        <v>58</v>
      </c>
      <c r="Q39" s="46" t="s">
        <v>160</v>
      </c>
    </row>
    <row r="40" spans="1:17">
      <c r="A40" s="46">
        <f t="shared" si="0"/>
        <v>23</v>
      </c>
      <c r="B40" s="46" t="str">
        <f t="shared" si="1"/>
        <v>PCG</v>
      </c>
      <c r="C40" s="46">
        <f t="shared" si="2"/>
        <v>23</v>
      </c>
      <c r="D40" s="46" t="str">
        <f t="shared" si="3"/>
        <v>PCG</v>
      </c>
      <c r="E40" s="46" t="s">
        <v>106</v>
      </c>
      <c r="F40" s="46" t="s">
        <v>234</v>
      </c>
      <c r="G40" s="46" t="s">
        <v>235</v>
      </c>
      <c r="H40" s="46" t="s">
        <v>176</v>
      </c>
      <c r="I40" s="46" t="s">
        <v>9</v>
      </c>
      <c r="J40" s="49">
        <v>42867</v>
      </c>
      <c r="K40" s="46" t="s">
        <v>158</v>
      </c>
      <c r="L40" s="49">
        <v>40527</v>
      </c>
      <c r="M40" s="46" t="s">
        <v>159</v>
      </c>
      <c r="N40" s="49">
        <v>42867</v>
      </c>
      <c r="O40" s="46" t="s">
        <v>160</v>
      </c>
      <c r="P40" s="46" t="s">
        <v>106</v>
      </c>
      <c r="Q40" s="46" t="s">
        <v>160</v>
      </c>
    </row>
    <row r="41" spans="1:17">
      <c r="A41" s="46">
        <f t="shared" si="0"/>
        <v>40</v>
      </c>
      <c r="B41" s="46" t="str">
        <f t="shared" si="1"/>
        <v>PNW</v>
      </c>
      <c r="C41" s="46">
        <f t="shared" si="2"/>
        <v>40</v>
      </c>
      <c r="D41" s="46" t="str">
        <f t="shared" si="3"/>
        <v>PNW</v>
      </c>
      <c r="E41" s="46" t="s">
        <v>110</v>
      </c>
      <c r="F41" s="46" t="s">
        <v>236</v>
      </c>
      <c r="G41" s="46" t="s">
        <v>237</v>
      </c>
      <c r="H41" s="46" t="s">
        <v>176</v>
      </c>
      <c r="I41" s="46" t="s">
        <v>9</v>
      </c>
      <c r="J41" s="49">
        <v>41612</v>
      </c>
      <c r="K41" s="46" t="s">
        <v>158</v>
      </c>
      <c r="L41" s="49">
        <v>41612</v>
      </c>
      <c r="M41" s="46" t="s">
        <v>177</v>
      </c>
      <c r="N41" s="49">
        <v>42976</v>
      </c>
      <c r="O41" s="46" t="s">
        <v>160</v>
      </c>
      <c r="P41" s="46" t="s">
        <v>110</v>
      </c>
      <c r="Q41" s="46" t="s">
        <v>160</v>
      </c>
    </row>
    <row r="42" spans="1:17">
      <c r="A42" s="46">
        <f t="shared" si="0"/>
        <v>26</v>
      </c>
      <c r="B42" s="46" t="str">
        <f t="shared" si="1"/>
        <v>PNM</v>
      </c>
      <c r="C42" s="46">
        <f t="shared" si="2"/>
        <v>26</v>
      </c>
      <c r="D42" s="46" t="str">
        <f t="shared" si="3"/>
        <v>PNM</v>
      </c>
      <c r="E42" s="46" t="s">
        <v>108</v>
      </c>
      <c r="F42" s="46" t="s">
        <v>238</v>
      </c>
      <c r="G42" s="46" t="s">
        <v>239</v>
      </c>
      <c r="H42" s="46" t="s">
        <v>176</v>
      </c>
      <c r="I42" s="46" t="s">
        <v>10</v>
      </c>
      <c r="J42" s="49">
        <v>42359</v>
      </c>
      <c r="K42" s="46" t="s">
        <v>158</v>
      </c>
      <c r="L42" s="49">
        <v>39574</v>
      </c>
      <c r="M42" s="46" t="s">
        <v>159</v>
      </c>
      <c r="N42" s="49">
        <v>42359</v>
      </c>
      <c r="O42" s="46" t="s">
        <v>160</v>
      </c>
      <c r="P42" s="46" t="s">
        <v>108</v>
      </c>
      <c r="Q42" s="46" t="s">
        <v>160</v>
      </c>
    </row>
    <row r="43" spans="1:17">
      <c r="A43" s="46">
        <f t="shared" si="0"/>
        <v>40</v>
      </c>
      <c r="B43" s="46" t="str">
        <f t="shared" si="1"/>
        <v>POR</v>
      </c>
      <c r="C43" s="46">
        <f t="shared" si="2"/>
        <v>40</v>
      </c>
      <c r="D43" s="46" t="str">
        <f t="shared" si="3"/>
        <v>POR</v>
      </c>
      <c r="E43" s="46" t="s">
        <v>112</v>
      </c>
      <c r="F43" s="46" t="s">
        <v>240</v>
      </c>
      <c r="G43" s="46" t="s">
        <v>241</v>
      </c>
      <c r="H43" s="46" t="s">
        <v>176</v>
      </c>
      <c r="I43" s="46" t="s">
        <v>11</v>
      </c>
      <c r="J43" s="49">
        <v>40207</v>
      </c>
      <c r="K43" s="46" t="s">
        <v>158</v>
      </c>
      <c r="L43" s="49">
        <v>38422</v>
      </c>
      <c r="M43" s="46" t="s">
        <v>177</v>
      </c>
      <c r="N43" s="49">
        <v>42936</v>
      </c>
      <c r="O43" s="46" t="s">
        <v>160</v>
      </c>
      <c r="P43" s="46" t="s">
        <v>112</v>
      </c>
      <c r="Q43" s="46" t="s">
        <v>242</v>
      </c>
    </row>
    <row r="44" spans="1:17">
      <c r="A44" s="46">
        <f t="shared" si="0"/>
        <v>22</v>
      </c>
      <c r="B44" s="46" t="str">
        <f t="shared" si="1"/>
        <v>PPL</v>
      </c>
      <c r="C44" s="46">
        <f t="shared" si="2"/>
        <v>22</v>
      </c>
      <c r="D44" s="46" t="str">
        <f t="shared" si="3"/>
        <v>PPL</v>
      </c>
      <c r="E44" s="46" t="s">
        <v>83</v>
      </c>
      <c r="F44" s="46" t="s">
        <v>243</v>
      </c>
      <c r="G44" s="46" t="s">
        <v>244</v>
      </c>
      <c r="H44" s="46" t="s">
        <v>172</v>
      </c>
      <c r="I44" s="46" t="s">
        <v>9</v>
      </c>
      <c r="J44" s="49">
        <v>42156</v>
      </c>
      <c r="K44" s="46" t="s">
        <v>158</v>
      </c>
      <c r="L44" s="49">
        <v>42156</v>
      </c>
      <c r="M44" s="46" t="s">
        <v>159</v>
      </c>
      <c r="N44" s="49">
        <v>42156</v>
      </c>
      <c r="O44" s="46" t="s">
        <v>160</v>
      </c>
      <c r="P44" s="46" t="s">
        <v>83</v>
      </c>
      <c r="Q44" s="46" t="s">
        <v>160</v>
      </c>
    </row>
    <row r="45" spans="1:17">
      <c r="A45" s="46">
        <f t="shared" si="0"/>
        <v>51</v>
      </c>
      <c r="B45" s="46" t="str">
        <f t="shared" si="1"/>
        <v>PEG</v>
      </c>
      <c r="C45" s="46">
        <f t="shared" si="2"/>
        <v>51</v>
      </c>
      <c r="D45" s="46" t="str">
        <f t="shared" si="3"/>
        <v>PEG</v>
      </c>
      <c r="E45" s="46" t="s">
        <v>85</v>
      </c>
      <c r="F45" s="46" t="s">
        <v>245</v>
      </c>
      <c r="G45" s="46" t="s">
        <v>246</v>
      </c>
      <c r="H45" s="46" t="s">
        <v>172</v>
      </c>
      <c r="I45" s="46" t="s">
        <v>10</v>
      </c>
      <c r="J45" s="49">
        <v>41387</v>
      </c>
      <c r="K45" s="46" t="s">
        <v>158</v>
      </c>
      <c r="L45" s="49">
        <v>38975</v>
      </c>
      <c r="M45" s="46" t="s">
        <v>159</v>
      </c>
      <c r="N45" s="49">
        <v>42129</v>
      </c>
      <c r="O45" s="46" t="s">
        <v>160</v>
      </c>
      <c r="P45" s="46" t="s">
        <v>85</v>
      </c>
      <c r="Q45" s="46" t="s">
        <v>160</v>
      </c>
    </row>
    <row r="46" spans="1:17">
      <c r="A46" s="46">
        <f t="shared" si="0"/>
        <v>24</v>
      </c>
      <c r="B46" s="46" t="str">
        <f t="shared" si="1"/>
        <v>SCG</v>
      </c>
      <c r="C46" s="46">
        <f t="shared" si="2"/>
        <v>24</v>
      </c>
      <c r="D46" s="46" t="str">
        <f t="shared" si="3"/>
        <v>SCG</v>
      </c>
      <c r="E46" s="46" t="s">
        <v>87</v>
      </c>
      <c r="F46" s="46" t="s">
        <v>247</v>
      </c>
      <c r="G46" s="46" t="s">
        <v>248</v>
      </c>
      <c r="H46" s="46" t="s">
        <v>172</v>
      </c>
      <c r="I46" s="46" t="s">
        <v>10</v>
      </c>
      <c r="J46" s="49">
        <v>39925</v>
      </c>
      <c r="K46" s="46" t="s">
        <v>158</v>
      </c>
      <c r="L46" s="49">
        <v>36564</v>
      </c>
      <c r="M46" s="46" t="s">
        <v>249</v>
      </c>
      <c r="N46" s="49">
        <v>42950</v>
      </c>
      <c r="O46" s="46" t="s">
        <v>160</v>
      </c>
      <c r="P46" s="46" t="s">
        <v>87</v>
      </c>
      <c r="Q46" s="46" t="s">
        <v>160</v>
      </c>
    </row>
    <row r="47" spans="1:17">
      <c r="A47" s="46">
        <f t="shared" si="0"/>
        <v>20</v>
      </c>
      <c r="B47" s="46" t="str">
        <f t="shared" si="1"/>
        <v>SRE</v>
      </c>
      <c r="C47" s="46">
        <f t="shared" si="2"/>
        <v>20</v>
      </c>
      <c r="D47" s="46" t="str">
        <f t="shared" si="3"/>
        <v>SRE</v>
      </c>
      <c r="E47" s="46" t="s">
        <v>114</v>
      </c>
      <c r="F47" s="46" t="s">
        <v>250</v>
      </c>
      <c r="G47" s="46" t="s">
        <v>251</v>
      </c>
      <c r="H47" s="46" t="s">
        <v>176</v>
      </c>
      <c r="I47" s="46" t="s">
        <v>10</v>
      </c>
      <c r="J47" s="49">
        <v>37901</v>
      </c>
      <c r="K47" s="46" t="s">
        <v>158</v>
      </c>
      <c r="L47" s="49">
        <v>36333</v>
      </c>
      <c r="M47" s="46" t="s">
        <v>159</v>
      </c>
      <c r="N47" s="49">
        <v>40088</v>
      </c>
      <c r="O47" s="46" t="s">
        <v>160</v>
      </c>
      <c r="P47" s="46" t="s">
        <v>114</v>
      </c>
      <c r="Q47" s="46" t="s">
        <v>160</v>
      </c>
    </row>
    <row r="48" spans="1:17">
      <c r="A48" s="46">
        <f t="shared" si="0"/>
        <v>36</v>
      </c>
      <c r="B48" s="46" t="str">
        <f t="shared" si="1"/>
        <v>SJI</v>
      </c>
      <c r="C48" s="46">
        <f t="shared" si="2"/>
        <v>36</v>
      </c>
      <c r="D48" s="46" t="str">
        <f t="shared" si="3"/>
        <v>SJI</v>
      </c>
      <c r="E48" s="46" t="s">
        <v>131</v>
      </c>
      <c r="F48" s="46" t="s">
        <v>252</v>
      </c>
      <c r="G48" s="46" t="s">
        <v>253</v>
      </c>
      <c r="H48" s="46" t="s">
        <v>169</v>
      </c>
      <c r="I48" s="46" t="s">
        <v>10</v>
      </c>
      <c r="J48" s="49">
        <v>40711</v>
      </c>
      <c r="K48" s="46" t="s">
        <v>160</v>
      </c>
      <c r="L48" s="49" t="s">
        <v>160</v>
      </c>
      <c r="M48" s="46" t="s">
        <v>159</v>
      </c>
      <c r="N48" s="49">
        <v>40711</v>
      </c>
      <c r="O48" s="46" t="s">
        <v>160</v>
      </c>
      <c r="P48" s="46" t="s">
        <v>131</v>
      </c>
      <c r="Q48" s="46" t="s">
        <v>160</v>
      </c>
    </row>
    <row r="49" spans="1:17">
      <c r="A49" s="46">
        <f t="shared" si="0"/>
        <v>35</v>
      </c>
      <c r="B49" s="46" t="str">
        <f t="shared" si="1"/>
        <v>SWX</v>
      </c>
      <c r="C49" s="46">
        <f t="shared" si="2"/>
        <v>35</v>
      </c>
      <c r="D49" s="46" t="str">
        <f t="shared" si="3"/>
        <v>SWX</v>
      </c>
      <c r="E49" s="46" t="s">
        <v>133</v>
      </c>
      <c r="F49" s="46" t="s">
        <v>254</v>
      </c>
      <c r="G49" s="46" t="s">
        <v>255</v>
      </c>
      <c r="H49" s="46" t="s">
        <v>169</v>
      </c>
      <c r="I49" s="46" t="s">
        <v>10</v>
      </c>
      <c r="J49" s="49">
        <v>42732</v>
      </c>
      <c r="K49" s="46" t="s">
        <v>160</v>
      </c>
      <c r="L49" s="49" t="s">
        <v>160</v>
      </c>
      <c r="M49" s="46" t="s">
        <v>159</v>
      </c>
      <c r="N49" s="49">
        <v>42732</v>
      </c>
      <c r="O49" s="46" t="s">
        <v>160</v>
      </c>
      <c r="P49" s="46" t="s">
        <v>133</v>
      </c>
      <c r="Q49" s="46" t="s">
        <v>160</v>
      </c>
    </row>
    <row r="50" spans="1:17">
      <c r="A50" s="46">
        <f t="shared" si="0"/>
        <v>17</v>
      </c>
      <c r="B50" s="46" t="str">
        <f t="shared" si="1"/>
        <v>SR</v>
      </c>
      <c r="C50" s="46">
        <f t="shared" si="2"/>
        <v>17</v>
      </c>
      <c r="D50" s="46" t="str">
        <f t="shared" si="3"/>
        <v>SR</v>
      </c>
      <c r="E50" s="46" t="s">
        <v>135</v>
      </c>
      <c r="F50" s="46" t="s">
        <v>256</v>
      </c>
      <c r="G50" s="46" t="s">
        <v>257</v>
      </c>
      <c r="H50" s="46" t="s">
        <v>169</v>
      </c>
      <c r="I50" s="46" t="s">
        <v>9</v>
      </c>
      <c r="J50" s="49">
        <v>41474</v>
      </c>
      <c r="K50" s="46" t="s">
        <v>158</v>
      </c>
      <c r="L50" s="49">
        <v>41803</v>
      </c>
      <c r="M50" s="46" t="s">
        <v>159</v>
      </c>
      <c r="N50" s="49">
        <v>41803</v>
      </c>
      <c r="O50" s="46" t="s">
        <v>160</v>
      </c>
      <c r="P50" s="46" t="s">
        <v>135</v>
      </c>
      <c r="Q50" s="46" t="s">
        <v>160</v>
      </c>
    </row>
    <row r="51" spans="1:17">
      <c r="A51" s="46">
        <f t="shared" si="0"/>
        <v>27</v>
      </c>
      <c r="B51" s="46" t="str">
        <f t="shared" si="1"/>
        <v>SO</v>
      </c>
      <c r="C51" s="46">
        <f t="shared" si="2"/>
        <v>27</v>
      </c>
      <c r="D51" s="46" t="str">
        <f t="shared" si="3"/>
        <v>SO</v>
      </c>
      <c r="E51" s="46" t="s">
        <v>89</v>
      </c>
      <c r="F51" s="46" t="s">
        <v>258</v>
      </c>
      <c r="G51" s="46" t="s">
        <v>259</v>
      </c>
      <c r="H51" s="46" t="s">
        <v>172</v>
      </c>
      <c r="I51" s="46" t="s">
        <v>9</v>
      </c>
      <c r="J51" s="49">
        <v>42233</v>
      </c>
      <c r="K51" s="46" t="s">
        <v>158</v>
      </c>
      <c r="L51" s="49">
        <v>42233</v>
      </c>
      <c r="M51" s="46" t="s">
        <v>260</v>
      </c>
      <c r="N51" s="49">
        <v>42818</v>
      </c>
      <c r="O51" s="46" t="s">
        <v>160</v>
      </c>
      <c r="P51" s="46" t="s">
        <v>89</v>
      </c>
      <c r="Q51" s="46" t="s">
        <v>160</v>
      </c>
    </row>
    <row r="52" spans="1:17">
      <c r="A52" s="46">
        <f t="shared" si="0"/>
        <v>22</v>
      </c>
      <c r="B52" s="46" t="str">
        <f t="shared" si="1"/>
        <v>UGI</v>
      </c>
      <c r="C52" s="46">
        <f t="shared" si="2"/>
        <v>22</v>
      </c>
      <c r="D52" s="46" t="str">
        <f t="shared" si="3"/>
        <v>UGI</v>
      </c>
      <c r="E52" s="46" t="s">
        <v>137</v>
      </c>
      <c r="F52" s="46" t="s">
        <v>261</v>
      </c>
      <c r="G52" s="46" t="s">
        <v>262</v>
      </c>
      <c r="H52" s="46" t="s">
        <v>169</v>
      </c>
      <c r="I52" s="46" t="s">
        <v>160</v>
      </c>
      <c r="J52" s="49" t="s">
        <v>160</v>
      </c>
      <c r="K52" s="46" t="s">
        <v>160</v>
      </c>
      <c r="L52" s="49" t="s">
        <v>160</v>
      </c>
      <c r="M52" s="46" t="s">
        <v>160</v>
      </c>
      <c r="N52" s="49" t="s">
        <v>160</v>
      </c>
      <c r="O52" s="46" t="s">
        <v>160</v>
      </c>
      <c r="P52" s="46" t="s">
        <v>137</v>
      </c>
      <c r="Q52" s="46" t="s">
        <v>160</v>
      </c>
    </row>
    <row r="53" spans="1:17">
      <c r="A53" s="46">
        <f t="shared" si="0"/>
        <v>26</v>
      </c>
      <c r="B53" s="46" t="str">
        <f t="shared" si="1"/>
        <v>VVC</v>
      </c>
      <c r="C53" s="46">
        <f t="shared" si="2"/>
        <v>26</v>
      </c>
      <c r="D53" s="46" t="str">
        <f t="shared" si="3"/>
        <v>VVC</v>
      </c>
      <c r="E53" s="46" t="s">
        <v>60</v>
      </c>
      <c r="F53" s="46" t="s">
        <v>263</v>
      </c>
      <c r="G53" s="46" t="s">
        <v>264</v>
      </c>
      <c r="H53" s="46" t="s">
        <v>157</v>
      </c>
      <c r="I53" s="46" t="s">
        <v>9</v>
      </c>
      <c r="J53" s="49">
        <v>37176</v>
      </c>
      <c r="K53" s="46" t="s">
        <v>158</v>
      </c>
      <c r="L53" s="49">
        <v>36819</v>
      </c>
      <c r="M53" s="46" t="s">
        <v>159</v>
      </c>
      <c r="N53" s="49">
        <v>38378</v>
      </c>
      <c r="O53" s="46" t="s">
        <v>160</v>
      </c>
      <c r="P53" s="46" t="s">
        <v>60</v>
      </c>
      <c r="Q53" s="46" t="s">
        <v>160</v>
      </c>
    </row>
    <row r="54" spans="1:17">
      <c r="A54" s="46">
        <f t="shared" si="0"/>
        <v>29</v>
      </c>
      <c r="B54" s="46" t="str">
        <f t="shared" si="1"/>
        <v>WEC</v>
      </c>
      <c r="C54" s="46">
        <f t="shared" si="2"/>
        <v>29</v>
      </c>
      <c r="D54" s="46" t="str">
        <f t="shared" si="3"/>
        <v>WEC</v>
      </c>
      <c r="E54" s="46" t="s">
        <v>62</v>
      </c>
      <c r="F54" s="46" t="s">
        <v>265</v>
      </c>
      <c r="G54" s="46" t="s">
        <v>266</v>
      </c>
      <c r="H54" s="46" t="s">
        <v>157</v>
      </c>
      <c r="I54" s="46" t="s">
        <v>9</v>
      </c>
      <c r="J54" s="49">
        <v>40721</v>
      </c>
      <c r="K54" s="46" t="s">
        <v>158</v>
      </c>
      <c r="L54" s="49">
        <v>36635</v>
      </c>
      <c r="M54" s="46" t="s">
        <v>159</v>
      </c>
      <c r="N54" s="49">
        <v>42184</v>
      </c>
      <c r="O54" s="46" t="s">
        <v>160</v>
      </c>
      <c r="P54" s="46" t="s">
        <v>62</v>
      </c>
      <c r="Q54" s="46" t="s">
        <v>160</v>
      </c>
    </row>
    <row r="55" spans="1:17">
      <c r="A55" s="46">
        <f t="shared" si="0"/>
        <v>26</v>
      </c>
      <c r="B55" s="46" t="str">
        <f t="shared" si="1"/>
        <v>WR</v>
      </c>
      <c r="C55" s="46">
        <f t="shared" si="2"/>
        <v>26</v>
      </c>
      <c r="D55" s="46" t="str">
        <f t="shared" si="3"/>
        <v>WR</v>
      </c>
      <c r="E55" s="46" t="s">
        <v>64</v>
      </c>
      <c r="F55" s="46" t="s">
        <v>267</v>
      </c>
      <c r="G55" s="46" t="s">
        <v>268</v>
      </c>
      <c r="H55" s="46" t="s">
        <v>157</v>
      </c>
      <c r="I55" s="46" t="s">
        <v>10</v>
      </c>
      <c r="J55" s="49">
        <v>41758</v>
      </c>
      <c r="K55" s="46" t="s">
        <v>158</v>
      </c>
      <c r="L55" s="49">
        <v>37658</v>
      </c>
      <c r="M55" s="46" t="s">
        <v>177</v>
      </c>
      <c r="N55" s="49">
        <v>42927</v>
      </c>
      <c r="O55" s="46" t="s">
        <v>160</v>
      </c>
      <c r="P55" s="46" t="s">
        <v>64</v>
      </c>
      <c r="Q55" s="46" t="s">
        <v>160</v>
      </c>
    </row>
    <row r="56" spans="1:17">
      <c r="A56" s="46">
        <f t="shared" si="0"/>
        <v>25</v>
      </c>
      <c r="B56" s="46" t="str">
        <f t="shared" si="1"/>
        <v>WGL</v>
      </c>
      <c r="C56" s="46">
        <f t="shared" si="2"/>
        <v>25</v>
      </c>
      <c r="D56" s="46" t="str">
        <f t="shared" si="3"/>
        <v>WGL</v>
      </c>
      <c r="E56" s="46" t="s">
        <v>139</v>
      </c>
      <c r="F56" s="46" t="s">
        <v>269</v>
      </c>
      <c r="G56" s="46" t="s">
        <v>270</v>
      </c>
      <c r="H56" s="46" t="s">
        <v>169</v>
      </c>
      <c r="I56" s="46" t="s">
        <v>8</v>
      </c>
      <c r="J56" s="49">
        <v>42817</v>
      </c>
      <c r="K56" s="46" t="s">
        <v>160</v>
      </c>
      <c r="L56" s="49" t="s">
        <v>160</v>
      </c>
      <c r="M56" s="46" t="s">
        <v>260</v>
      </c>
      <c r="N56" s="49">
        <v>42817</v>
      </c>
      <c r="O56" s="46" t="s">
        <v>271</v>
      </c>
      <c r="P56" s="46" t="s">
        <v>139</v>
      </c>
      <c r="Q56" s="46" t="s">
        <v>160</v>
      </c>
    </row>
    <row r="57" spans="1:17">
      <c r="A57" s="46">
        <f t="shared" si="0"/>
        <v>23</v>
      </c>
      <c r="B57" s="46" t="str">
        <f t="shared" si="1"/>
        <v>XEL</v>
      </c>
      <c r="C57" s="46">
        <f t="shared" si="2"/>
        <v>23</v>
      </c>
      <c r="D57" s="46" t="str">
        <f t="shared" si="3"/>
        <v>XEL</v>
      </c>
      <c r="E57" s="46" t="s">
        <v>116</v>
      </c>
      <c r="F57" s="46" t="s">
        <v>272</v>
      </c>
      <c r="G57" s="46" t="s">
        <v>273</v>
      </c>
      <c r="H57" s="46" t="s">
        <v>176</v>
      </c>
      <c r="I57" s="46" t="s">
        <v>9</v>
      </c>
      <c r="J57" s="49">
        <v>40352</v>
      </c>
      <c r="K57" s="46" t="s">
        <v>158</v>
      </c>
      <c r="L57" s="49">
        <v>38058</v>
      </c>
      <c r="M57" s="46" t="s">
        <v>159</v>
      </c>
      <c r="N57" s="49">
        <v>40352</v>
      </c>
      <c r="O57" s="46" t="s">
        <v>160</v>
      </c>
      <c r="P57" s="46" t="s">
        <v>116</v>
      </c>
      <c r="Q57" s="46" t="s">
        <v>160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5"/>
  <sheetViews>
    <sheetView workbookViewId="0"/>
  </sheetViews>
  <sheetFormatPr defaultRowHeight="14.25"/>
  <cols>
    <col min="1" max="1" width="8.875" bestFit="1" customWidth="1"/>
  </cols>
  <sheetData>
    <row r="1" spans="1:7">
      <c r="A1" s="5">
        <v>43006</v>
      </c>
      <c r="B1" t="s">
        <v>24</v>
      </c>
      <c r="E1" t="s">
        <v>614</v>
      </c>
    </row>
    <row r="2" spans="1:7">
      <c r="A2" s="42">
        <f ca="1">MATCH(9.99999999999999E+307,B:B)-ROW($B$3)</f>
        <v>52</v>
      </c>
    </row>
    <row r="3" spans="1:7">
      <c r="B3" t="s">
        <v>25</v>
      </c>
      <c r="C3" s="41" t="s">
        <v>26</v>
      </c>
      <c r="D3" t="s">
        <v>27</v>
      </c>
      <c r="E3" s="41" t="s">
        <v>28</v>
      </c>
      <c r="F3" s="41" t="s">
        <v>29</v>
      </c>
      <c r="G3" t="s">
        <v>30</v>
      </c>
    </row>
    <row r="4" spans="1:7">
      <c r="A4" s="42">
        <f t="shared" ref="A4:A35" ca="1" si="0">MATCH(C4,VLUNIVticker,0)</f>
        <v>1</v>
      </c>
      <c r="B4" s="1">
        <f t="shared" ref="B4:B35" ca="1" si="1">COUNTIF(RATINGSparent,C4)</f>
        <v>1</v>
      </c>
      <c r="C4" t="s">
        <v>31</v>
      </c>
      <c r="D4" t="str">
        <f ca="1">INDEX(VLUNIVparent,$A4)</f>
        <v>ALE</v>
      </c>
      <c r="E4" t="s">
        <v>32</v>
      </c>
      <c r="F4" t="s">
        <v>33</v>
      </c>
      <c r="G4" t="str">
        <f t="shared" ref="G4:G35" ca="1" si="2">INDEX(VLUNIVname,$A4)</f>
        <v>ALLETE, Inc. (NYSE:ALE)</v>
      </c>
    </row>
    <row r="5" spans="1:7">
      <c r="A5" s="42">
        <f t="shared" ca="1" si="0"/>
        <v>2</v>
      </c>
      <c r="B5" s="1">
        <f t="shared" ca="1" si="1"/>
        <v>2</v>
      </c>
      <c r="C5" t="s">
        <v>35</v>
      </c>
      <c r="D5" t="str">
        <f t="shared" ref="D5:D36" ca="1" si="3">INDEX(VLUNIVparent,MATCH(C5,VLUNIVticker,0))</f>
        <v>LNT</v>
      </c>
      <c r="E5" t="s">
        <v>32</v>
      </c>
      <c r="F5" t="s">
        <v>33</v>
      </c>
      <c r="G5" t="str">
        <f t="shared" ca="1" si="2"/>
        <v>Alliant Energy Corporation (NYSE:LNT)</v>
      </c>
    </row>
    <row r="6" spans="1:7">
      <c r="A6" s="42">
        <f t="shared" ca="1" si="0"/>
        <v>3</v>
      </c>
      <c r="B6" s="1">
        <f t="shared" ca="1" si="1"/>
        <v>2</v>
      </c>
      <c r="C6" t="s">
        <v>37</v>
      </c>
      <c r="D6" t="str">
        <f t="shared" ca="1" si="3"/>
        <v>AEE</v>
      </c>
      <c r="E6" t="s">
        <v>32</v>
      </c>
      <c r="F6" t="s">
        <v>33</v>
      </c>
      <c r="G6" t="str">
        <f t="shared" ca="1" si="2"/>
        <v>Ameren Corporation (NYSE:AEE)</v>
      </c>
    </row>
    <row r="7" spans="1:7">
      <c r="A7" s="42">
        <f t="shared" ca="1" si="0"/>
        <v>4</v>
      </c>
      <c r="B7" s="1">
        <f t="shared" ca="1" si="1"/>
        <v>8</v>
      </c>
      <c r="C7" t="s">
        <v>39</v>
      </c>
      <c r="D7" t="str">
        <f t="shared" ca="1" si="3"/>
        <v>AEP</v>
      </c>
      <c r="E7" t="s">
        <v>32</v>
      </c>
      <c r="F7" t="s">
        <v>33</v>
      </c>
      <c r="G7" t="str">
        <f t="shared" ca="1" si="2"/>
        <v>American Electric Power Company, Inc. (NYSE:AEP)</v>
      </c>
    </row>
    <row r="8" spans="1:7">
      <c r="A8" s="42">
        <f t="shared" ca="1" si="0"/>
        <v>11</v>
      </c>
      <c r="B8" s="1">
        <f t="shared" ca="1" si="1"/>
        <v>1</v>
      </c>
      <c r="C8" t="s">
        <v>41</v>
      </c>
      <c r="D8" t="str">
        <f t="shared" ca="1" si="3"/>
        <v>CMS</v>
      </c>
      <c r="E8" t="s">
        <v>32</v>
      </c>
      <c r="F8" t="s">
        <v>33</v>
      </c>
      <c r="G8" t="str">
        <f t="shared" ca="1" si="2"/>
        <v>CMS Energy Corporation (NYSE:CMS)</v>
      </c>
    </row>
    <row r="9" spans="1:7">
      <c r="A9" s="42">
        <f t="shared" ca="1" si="0"/>
        <v>9</v>
      </c>
      <c r="B9" s="1">
        <f t="shared" ca="1" si="1"/>
        <v>2</v>
      </c>
      <c r="C9" t="s">
        <v>43</v>
      </c>
      <c r="D9" t="str">
        <f t="shared" ca="1" si="3"/>
        <v>CNP</v>
      </c>
      <c r="E9" t="s">
        <v>32</v>
      </c>
      <c r="F9" t="s">
        <v>33</v>
      </c>
      <c r="G9" t="str">
        <f t="shared" ca="1" si="2"/>
        <v>CenterPoint Energy, Inc. (NYSE:CNP)</v>
      </c>
    </row>
    <row r="10" spans="1:7">
      <c r="A10" s="42">
        <f t="shared" ca="1" si="0"/>
        <v>14</v>
      </c>
      <c r="B10" s="1">
        <f t="shared" ca="1" si="1"/>
        <v>3</v>
      </c>
      <c r="C10" t="s">
        <v>45</v>
      </c>
      <c r="D10" t="str">
        <f t="shared" ca="1" si="3"/>
        <v>DTE</v>
      </c>
      <c r="E10" t="s">
        <v>32</v>
      </c>
      <c r="F10" t="s">
        <v>33</v>
      </c>
      <c r="G10" t="str">
        <f t="shared" ca="1" si="2"/>
        <v>DTE Energy Company (NYSE:DTE)</v>
      </c>
    </row>
    <row r="11" spans="1:7">
      <c r="A11" s="42">
        <f t="shared" ca="1" si="0"/>
        <v>18</v>
      </c>
      <c r="B11" s="1">
        <f t="shared" ca="1" si="1"/>
        <v>3</v>
      </c>
      <c r="C11" t="s">
        <v>47</v>
      </c>
      <c r="D11" t="str">
        <f t="shared" ca="1" si="3"/>
        <v>ETR</v>
      </c>
      <c r="E11" t="s">
        <v>32</v>
      </c>
      <c r="F11" t="s">
        <v>33</v>
      </c>
      <c r="G11" t="str">
        <f t="shared" ca="1" si="2"/>
        <v>Entergy Corporation (NYSE:ETR)</v>
      </c>
    </row>
    <row r="12" spans="1:7">
      <c r="A12" s="42">
        <f t="shared" ca="1" si="0"/>
        <v>22</v>
      </c>
      <c r="B12" s="1">
        <f t="shared" ca="1" si="1"/>
        <v>1</v>
      </c>
      <c r="C12" t="s">
        <v>49</v>
      </c>
      <c r="D12" t="str">
        <f t="shared" ca="1" si="3"/>
        <v>FTS</v>
      </c>
      <c r="E12" t="s">
        <v>32</v>
      </c>
      <c r="F12" t="s">
        <v>33</v>
      </c>
      <c r="G12" t="str">
        <f t="shared" ca="1" si="2"/>
        <v>Fortis Inc. (TSX:FTS)</v>
      </c>
    </row>
    <row r="13" spans="1:7">
      <c r="A13" s="42">
        <f t="shared" ca="1" si="0"/>
        <v>23</v>
      </c>
      <c r="B13" s="1">
        <f t="shared" ca="1" si="1"/>
        <v>2</v>
      </c>
      <c r="C13" t="s">
        <v>51</v>
      </c>
      <c r="D13" t="str">
        <f t="shared" ca="1" si="3"/>
        <v>GXP</v>
      </c>
      <c r="E13" t="s">
        <v>32</v>
      </c>
      <c r="F13" t="s">
        <v>33</v>
      </c>
      <c r="G13" t="str">
        <f t="shared" ca="1" si="2"/>
        <v>Great Plains Energy Incorporated (NYSE:GXP)</v>
      </c>
    </row>
    <row r="14" spans="1:7">
      <c r="A14" s="42">
        <f t="shared" ca="1" si="0"/>
        <v>26</v>
      </c>
      <c r="B14" s="1">
        <f t="shared" ca="1" si="1"/>
        <v>1</v>
      </c>
      <c r="C14" t="s">
        <v>53</v>
      </c>
      <c r="D14" t="str">
        <f t="shared" ca="1" si="3"/>
        <v>MGEE</v>
      </c>
      <c r="E14" t="s">
        <v>32</v>
      </c>
      <c r="F14" t="s">
        <v>33</v>
      </c>
      <c r="G14" t="str">
        <f t="shared" ca="1" si="2"/>
        <v>MGE Energy, Inc. (NasdaqGS:MGEE)</v>
      </c>
    </row>
    <row r="15" spans="1:7">
      <c r="A15" s="42">
        <f t="shared" ca="1" si="0"/>
        <v>32</v>
      </c>
      <c r="B15" s="1">
        <f t="shared" ca="1" si="1"/>
        <v>1</v>
      </c>
      <c r="C15" t="s">
        <v>55</v>
      </c>
      <c r="D15" t="str">
        <f t="shared" ca="1" si="3"/>
        <v>OGE</v>
      </c>
      <c r="E15" t="s">
        <v>32</v>
      </c>
      <c r="F15" t="s">
        <v>33</v>
      </c>
      <c r="G15" t="str">
        <f t="shared" ca="1" si="2"/>
        <v>OGE Energy Corp. (NYSE:OGE)</v>
      </c>
    </row>
    <row r="16" spans="1:7">
      <c r="A16" s="42">
        <f t="shared" ca="1" si="0"/>
        <v>34</v>
      </c>
      <c r="B16" s="1">
        <f t="shared" ca="1" si="1"/>
        <v>1</v>
      </c>
      <c r="C16" t="s">
        <v>57</v>
      </c>
      <c r="D16" t="str">
        <f t="shared" ca="1" si="3"/>
        <v>OTTR</v>
      </c>
      <c r="E16" t="s">
        <v>32</v>
      </c>
      <c r="F16" t="s">
        <v>33</v>
      </c>
      <c r="G16" t="str">
        <f t="shared" ca="1" si="2"/>
        <v>Otter Tail Corporation (NasdaqGS:OTTR)</v>
      </c>
    </row>
    <row r="17" spans="1:7">
      <c r="A17" s="42">
        <f t="shared" ca="1" si="0"/>
        <v>48</v>
      </c>
      <c r="B17" s="1">
        <f t="shared" ca="1" si="1"/>
        <v>2</v>
      </c>
      <c r="C17" t="s">
        <v>59</v>
      </c>
      <c r="D17" t="str">
        <f t="shared" ca="1" si="3"/>
        <v>VVC</v>
      </c>
      <c r="E17" t="s">
        <v>32</v>
      </c>
      <c r="F17" t="s">
        <v>33</v>
      </c>
      <c r="G17" t="str">
        <f t="shared" ca="1" si="2"/>
        <v>Vectren Corporation (NYSE:VVC)</v>
      </c>
    </row>
    <row r="18" spans="1:7">
      <c r="A18" s="42">
        <f t="shared" ca="1" si="0"/>
        <v>49</v>
      </c>
      <c r="B18" s="1">
        <f t="shared" ca="1" si="1"/>
        <v>6</v>
      </c>
      <c r="C18" t="s">
        <v>61</v>
      </c>
      <c r="D18" t="str">
        <f t="shared" ca="1" si="3"/>
        <v>WEC</v>
      </c>
      <c r="E18" t="s">
        <v>32</v>
      </c>
      <c r="F18" t="s">
        <v>33</v>
      </c>
      <c r="G18" t="str">
        <f t="shared" ca="1" si="2"/>
        <v>WEC Energy Group, Inc. (NYSE:WEC)</v>
      </c>
    </row>
    <row r="19" spans="1:7">
      <c r="A19" s="42">
        <f t="shared" ca="1" si="0"/>
        <v>50</v>
      </c>
      <c r="B19" s="1">
        <f t="shared" ca="1" si="1"/>
        <v>1</v>
      </c>
      <c r="C19" t="s">
        <v>63</v>
      </c>
      <c r="D19" t="str">
        <f t="shared" ca="1" si="3"/>
        <v>WR</v>
      </c>
      <c r="E19" t="s">
        <v>32</v>
      </c>
      <c r="F19" t="s">
        <v>33</v>
      </c>
      <c r="G19" t="str">
        <f t="shared" ca="1" si="2"/>
        <v>Westar Energy, Inc. (NYSE:WR)</v>
      </c>
    </row>
    <row r="20" spans="1:7">
      <c r="A20" s="42">
        <f t="shared" ca="1" si="0"/>
        <v>6</v>
      </c>
      <c r="B20" s="1">
        <f t="shared" ca="1" si="1"/>
        <v>0</v>
      </c>
      <c r="C20" t="s">
        <v>65</v>
      </c>
      <c r="D20" t="str">
        <f t="shared" ca="1" si="3"/>
        <v>IBE</v>
      </c>
      <c r="E20" t="s">
        <v>32</v>
      </c>
      <c r="F20" t="s">
        <v>66</v>
      </c>
      <c r="G20" t="str">
        <f t="shared" ca="1" si="2"/>
        <v>Avangrid, Inc. (NYSE:AGR)</v>
      </c>
    </row>
    <row r="21" spans="1:7">
      <c r="A21" s="42">
        <f t="shared" ca="1" si="0"/>
        <v>12</v>
      </c>
      <c r="B21" s="1">
        <f t="shared" ca="1" si="1"/>
        <v>2</v>
      </c>
      <c r="C21" t="s">
        <v>68</v>
      </c>
      <c r="D21" t="str">
        <f t="shared" ca="1" si="3"/>
        <v>ED</v>
      </c>
      <c r="E21" t="s">
        <v>32</v>
      </c>
      <c r="F21" t="s">
        <v>66</v>
      </c>
      <c r="G21" t="str">
        <f t="shared" ca="1" si="2"/>
        <v>Consolidated Edison, Inc. (NYSE:ED)</v>
      </c>
    </row>
    <row r="22" spans="1:7">
      <c r="A22" s="42">
        <f t="shared" ca="1" si="0"/>
        <v>13</v>
      </c>
      <c r="B22" s="1">
        <f t="shared" ca="1" si="1"/>
        <v>2</v>
      </c>
      <c r="C22" t="s">
        <v>70</v>
      </c>
      <c r="D22" t="str">
        <f t="shared" ca="1" si="3"/>
        <v>D</v>
      </c>
      <c r="E22" t="s">
        <v>32</v>
      </c>
      <c r="F22" t="s">
        <v>66</v>
      </c>
      <c r="G22" t="str">
        <f t="shared" ca="1" si="2"/>
        <v>Dominion Energy, Inc. (NYSE:D)</v>
      </c>
    </row>
    <row r="23" spans="1:7">
      <c r="A23" s="42">
        <f t="shared" ca="1" si="0"/>
        <v>15</v>
      </c>
      <c r="B23" s="1">
        <f t="shared" ca="1" si="1"/>
        <v>8</v>
      </c>
      <c r="C23" t="s">
        <v>72</v>
      </c>
      <c r="D23" t="str">
        <f t="shared" ca="1" si="3"/>
        <v>DUK</v>
      </c>
      <c r="E23" t="s">
        <v>32</v>
      </c>
      <c r="F23" t="s">
        <v>66</v>
      </c>
      <c r="G23" t="str">
        <f t="shared" ca="1" si="2"/>
        <v>Duke Energy Corporation (NYSE:DUK)</v>
      </c>
    </row>
    <row r="24" spans="1:7">
      <c r="A24" s="42">
        <f t="shared" ca="1" si="0"/>
        <v>19</v>
      </c>
      <c r="B24" s="1">
        <f t="shared" ca="1" si="1"/>
        <v>4</v>
      </c>
      <c r="C24" t="s">
        <v>74</v>
      </c>
      <c r="D24" t="str">
        <f t="shared" ca="1" si="3"/>
        <v>ES</v>
      </c>
      <c r="E24" t="s">
        <v>32</v>
      </c>
      <c r="F24" t="s">
        <v>66</v>
      </c>
      <c r="G24" t="str">
        <f t="shared" ca="1" si="2"/>
        <v>Eversource Energy (NYSE:ES)</v>
      </c>
    </row>
    <row r="25" spans="1:7">
      <c r="A25" s="42">
        <f t="shared" ca="1" si="0"/>
        <v>20</v>
      </c>
      <c r="B25" s="1">
        <f t="shared" ca="1" si="1"/>
        <v>6</v>
      </c>
      <c r="C25" t="s">
        <v>76</v>
      </c>
      <c r="D25" t="str">
        <f t="shared" ca="1" si="3"/>
        <v>EXC</v>
      </c>
      <c r="E25" t="s">
        <v>32</v>
      </c>
      <c r="F25" t="s">
        <v>66</v>
      </c>
      <c r="G25" t="str">
        <f t="shared" ca="1" si="2"/>
        <v>Exelon Corporation (NYSE:EXC)</v>
      </c>
    </row>
    <row r="26" spans="1:7">
      <c r="A26" s="42">
        <f t="shared" ca="1" si="0"/>
        <v>21</v>
      </c>
      <c r="B26" s="1">
        <f t="shared" ca="1" si="1"/>
        <v>9</v>
      </c>
      <c r="C26" t="s">
        <v>78</v>
      </c>
      <c r="D26" t="str">
        <f t="shared" ca="1" si="3"/>
        <v>FE</v>
      </c>
      <c r="E26" t="s">
        <v>32</v>
      </c>
      <c r="F26" t="s">
        <v>66</v>
      </c>
      <c r="G26" t="str">
        <f t="shared" ca="1" si="2"/>
        <v>FirstEnergy Corp. (NYSE:FE)</v>
      </c>
    </row>
    <row r="27" spans="1:7">
      <c r="A27" s="42">
        <f t="shared" ca="1" si="0"/>
        <v>28</v>
      </c>
      <c r="B27" s="1">
        <f t="shared" ca="1" si="1"/>
        <v>1</v>
      </c>
      <c r="C27" t="s">
        <v>80</v>
      </c>
      <c r="D27" t="str">
        <f t="shared" ca="1" si="3"/>
        <v>NEE</v>
      </c>
      <c r="E27" t="s">
        <v>32</v>
      </c>
      <c r="F27" t="s">
        <v>66</v>
      </c>
      <c r="G27" t="str">
        <f t="shared" ca="1" si="2"/>
        <v>NextEra Energy, Inc. (NYSE:NEE)</v>
      </c>
    </row>
    <row r="28" spans="1:7">
      <c r="A28" s="42">
        <f t="shared" ca="1" si="0"/>
        <v>39</v>
      </c>
      <c r="B28" s="1">
        <f t="shared" ca="1" si="1"/>
        <v>2</v>
      </c>
      <c r="C28" t="s">
        <v>82</v>
      </c>
      <c r="D28" t="str">
        <f t="shared" ca="1" si="3"/>
        <v>PPL</v>
      </c>
      <c r="E28" t="s">
        <v>32</v>
      </c>
      <c r="F28" t="s">
        <v>66</v>
      </c>
      <c r="G28" t="str">
        <f t="shared" ca="1" si="2"/>
        <v>PPL Corporation (NYSE:PPL)</v>
      </c>
    </row>
    <row r="29" spans="1:7">
      <c r="A29" s="42">
        <f t="shared" ca="1" si="0"/>
        <v>40</v>
      </c>
      <c r="B29" s="1">
        <f t="shared" ca="1" si="1"/>
        <v>1</v>
      </c>
      <c r="C29" t="s">
        <v>84</v>
      </c>
      <c r="D29" t="str">
        <f t="shared" ca="1" si="3"/>
        <v>PEG</v>
      </c>
      <c r="E29" t="s">
        <v>32</v>
      </c>
      <c r="F29" t="s">
        <v>66</v>
      </c>
      <c r="G29" t="str">
        <f t="shared" ca="1" si="2"/>
        <v>Public Service Enterprise Group Incorporated (NYSE:PEG)</v>
      </c>
    </row>
    <row r="30" spans="1:7">
      <c r="A30" s="42">
        <f t="shared" ca="1" si="0"/>
        <v>41</v>
      </c>
      <c r="B30" s="1">
        <f t="shared" ca="1" si="1"/>
        <v>2</v>
      </c>
      <c r="C30" t="s">
        <v>86</v>
      </c>
      <c r="D30" t="str">
        <f t="shared" ca="1" si="3"/>
        <v>SCG</v>
      </c>
      <c r="E30" t="s">
        <v>32</v>
      </c>
      <c r="F30" t="s">
        <v>66</v>
      </c>
      <c r="G30" t="str">
        <f t="shared" ca="1" si="2"/>
        <v>SCANA Corporation (NYSE:SCG)</v>
      </c>
    </row>
    <row r="31" spans="1:7">
      <c r="A31" s="42">
        <f t="shared" ca="1" si="0"/>
        <v>46</v>
      </c>
      <c r="B31" s="1">
        <f t="shared" ca="1" si="1"/>
        <v>7</v>
      </c>
      <c r="C31" t="s">
        <v>88</v>
      </c>
      <c r="D31" t="str">
        <f t="shared" ca="1" si="3"/>
        <v>SO</v>
      </c>
      <c r="E31" t="s">
        <v>32</v>
      </c>
      <c r="F31" t="s">
        <v>66</v>
      </c>
      <c r="G31" t="str">
        <f t="shared" ca="1" si="2"/>
        <v>The Southern Company (NYSE:SO)</v>
      </c>
    </row>
    <row r="32" spans="1:7">
      <c r="A32" s="42">
        <f t="shared" ca="1" si="0"/>
        <v>7</v>
      </c>
      <c r="B32" s="1">
        <f t="shared" ca="1" si="1"/>
        <v>1</v>
      </c>
      <c r="C32" t="s">
        <v>90</v>
      </c>
      <c r="D32" t="str">
        <f t="shared" ca="1" si="3"/>
        <v>AVA</v>
      </c>
      <c r="E32" t="s">
        <v>32</v>
      </c>
      <c r="F32" t="s">
        <v>91</v>
      </c>
      <c r="G32" t="str">
        <f t="shared" ca="1" si="2"/>
        <v>Avista Corporation (NYSE:AVA)</v>
      </c>
    </row>
    <row r="33" spans="1:7">
      <c r="A33" s="42">
        <f t="shared" ca="1" si="0"/>
        <v>8</v>
      </c>
      <c r="B33" s="1">
        <f t="shared" ca="1" si="1"/>
        <v>1</v>
      </c>
      <c r="C33" t="s">
        <v>93</v>
      </c>
      <c r="D33" t="str">
        <f t="shared" ca="1" si="3"/>
        <v>BKH</v>
      </c>
      <c r="E33" t="s">
        <v>32</v>
      </c>
      <c r="F33" t="s">
        <v>91</v>
      </c>
      <c r="G33" t="str">
        <f t="shared" ca="1" si="2"/>
        <v>Black Hills Corporation (NYSE:BKH)</v>
      </c>
    </row>
    <row r="34" spans="1:7">
      <c r="A34" s="42">
        <f t="shared" ca="1" si="0"/>
        <v>16</v>
      </c>
      <c r="B34" s="1">
        <f t="shared" ca="1" si="1"/>
        <v>1</v>
      </c>
      <c r="C34" t="s">
        <v>95</v>
      </c>
      <c r="D34" t="str">
        <f t="shared" ca="1" si="3"/>
        <v>EIX</v>
      </c>
      <c r="E34" t="s">
        <v>32</v>
      </c>
      <c r="F34" t="s">
        <v>91</v>
      </c>
      <c r="G34" t="str">
        <f t="shared" ca="1" si="2"/>
        <v>Edison International (NYSE:EIX)</v>
      </c>
    </row>
    <row r="35" spans="1:7">
      <c r="A35" s="42">
        <f t="shared" ca="1" si="0"/>
        <v>17</v>
      </c>
      <c r="B35" s="1">
        <f t="shared" ca="1" si="1"/>
        <v>1</v>
      </c>
      <c r="C35" t="s">
        <v>97</v>
      </c>
      <c r="D35" t="str">
        <f t="shared" ca="1" si="3"/>
        <v>EE</v>
      </c>
      <c r="E35" t="s">
        <v>32</v>
      </c>
      <c r="F35" t="s">
        <v>91</v>
      </c>
      <c r="G35" t="str">
        <f t="shared" ca="1" si="2"/>
        <v>El Paso Electric Company (NYSE:EE)</v>
      </c>
    </row>
    <row r="36" spans="1:7">
      <c r="A36" s="42">
        <f t="shared" ref="A36:A55" ca="1" si="4">MATCH(C36,VLUNIVticker,0)</f>
        <v>24</v>
      </c>
      <c r="B36" s="1">
        <f t="shared" ref="B36:B55" ca="1" si="5">COUNTIF(RATINGSparent,C36)</f>
        <v>1</v>
      </c>
      <c r="C36" t="s">
        <v>99</v>
      </c>
      <c r="D36" t="str">
        <f t="shared" ca="1" si="3"/>
        <v>HE</v>
      </c>
      <c r="E36" t="s">
        <v>32</v>
      </c>
      <c r="F36" t="s">
        <v>91</v>
      </c>
      <c r="G36" t="str">
        <f t="shared" ref="G36:G55" ca="1" si="6">INDEX(VLUNIVname,$A36)</f>
        <v>Hawaiian Electric Industries, Inc. (NYSE:HE)</v>
      </c>
    </row>
    <row r="37" spans="1:7">
      <c r="A37" s="42">
        <f t="shared" ca="1" si="4"/>
        <v>25</v>
      </c>
      <c r="B37" s="1">
        <f t="shared" ca="1" si="5"/>
        <v>1</v>
      </c>
      <c r="C37" t="s">
        <v>101</v>
      </c>
      <c r="D37" t="str">
        <f t="shared" ref="D37:D55" ca="1" si="7">INDEX(VLUNIVparent,MATCH(C37,VLUNIVticker,0))</f>
        <v>IDA</v>
      </c>
      <c r="E37" t="s">
        <v>32</v>
      </c>
      <c r="F37" t="s">
        <v>91</v>
      </c>
      <c r="G37" t="str">
        <f t="shared" ca="1" si="6"/>
        <v>IdaCorp, Inc. (NYSE:IDA)</v>
      </c>
    </row>
    <row r="38" spans="1:7">
      <c r="A38" s="42">
        <f t="shared" ca="1" si="4"/>
        <v>31</v>
      </c>
      <c r="B38" s="1">
        <f t="shared" ca="1" si="5"/>
        <v>1</v>
      </c>
      <c r="C38" t="s">
        <v>103</v>
      </c>
      <c r="D38" t="str">
        <f t="shared" ca="1" si="7"/>
        <v>NWE</v>
      </c>
      <c r="E38" t="s">
        <v>32</v>
      </c>
      <c r="F38" t="s">
        <v>91</v>
      </c>
      <c r="G38" t="str">
        <f t="shared" ca="1" si="6"/>
        <v>Northwestern Corporation (NYSE:NWE)</v>
      </c>
    </row>
    <row r="39" spans="1:7">
      <c r="A39" s="42">
        <f t="shared" ca="1" si="4"/>
        <v>35</v>
      </c>
      <c r="B39" s="1">
        <f t="shared" ca="1" si="5"/>
        <v>1</v>
      </c>
      <c r="C39" t="s">
        <v>105</v>
      </c>
      <c r="D39" t="str">
        <f t="shared" ca="1" si="7"/>
        <v>PCG</v>
      </c>
      <c r="E39" t="s">
        <v>32</v>
      </c>
      <c r="F39" t="s">
        <v>91</v>
      </c>
      <c r="G39" t="str">
        <f t="shared" ca="1" si="6"/>
        <v>PG&amp;E Corporation (NYSE:PCG)</v>
      </c>
    </row>
    <row r="40" spans="1:7">
      <c r="A40" s="42">
        <f t="shared" ca="1" si="4"/>
        <v>37</v>
      </c>
      <c r="B40" s="1">
        <f t="shared" ca="1" si="5"/>
        <v>2</v>
      </c>
      <c r="C40" t="s">
        <v>107</v>
      </c>
      <c r="D40" t="str">
        <f t="shared" ca="1" si="7"/>
        <v>PNM</v>
      </c>
      <c r="E40" t="s">
        <v>32</v>
      </c>
      <c r="F40" t="s">
        <v>91</v>
      </c>
      <c r="G40" t="str">
        <f t="shared" ca="1" si="6"/>
        <v>PNM Resources, Inc. (NYSE:PNM)</v>
      </c>
    </row>
    <row r="41" spans="1:7">
      <c r="A41" s="42">
        <f t="shared" ca="1" si="4"/>
        <v>36</v>
      </c>
      <c r="B41" s="1">
        <f t="shared" ca="1" si="5"/>
        <v>1</v>
      </c>
      <c r="C41" t="s">
        <v>109</v>
      </c>
      <c r="D41" t="str">
        <f t="shared" ca="1" si="7"/>
        <v>PNW</v>
      </c>
      <c r="E41" t="s">
        <v>32</v>
      </c>
      <c r="F41" t="s">
        <v>91</v>
      </c>
      <c r="G41" t="str">
        <f t="shared" ca="1" si="6"/>
        <v>Pinnacle West Capital Corporation (NYSE:PNW)</v>
      </c>
    </row>
    <row r="42" spans="1:7">
      <c r="A42" s="42">
        <f t="shared" ca="1" si="4"/>
        <v>38</v>
      </c>
      <c r="B42" s="1">
        <f t="shared" ca="1" si="5"/>
        <v>1</v>
      </c>
      <c r="C42" t="s">
        <v>111</v>
      </c>
      <c r="D42" t="str">
        <f t="shared" ca="1" si="7"/>
        <v>POR</v>
      </c>
      <c r="E42" t="s">
        <v>32</v>
      </c>
      <c r="F42" t="s">
        <v>91</v>
      </c>
      <c r="G42" t="str">
        <f t="shared" ca="1" si="6"/>
        <v>Portland General Electric Company (NYSE:POR)</v>
      </c>
    </row>
    <row r="43" spans="1:7">
      <c r="A43" s="42">
        <f t="shared" ca="1" si="4"/>
        <v>42</v>
      </c>
      <c r="B43" s="1">
        <f t="shared" ca="1" si="5"/>
        <v>2</v>
      </c>
      <c r="C43" t="s">
        <v>113</v>
      </c>
      <c r="D43" t="str">
        <f t="shared" ca="1" si="7"/>
        <v>SRE</v>
      </c>
      <c r="E43" t="s">
        <v>32</v>
      </c>
      <c r="F43" t="s">
        <v>91</v>
      </c>
      <c r="G43" t="str">
        <f t="shared" ca="1" si="6"/>
        <v>Sempra Energy (NYSE:SRE)</v>
      </c>
    </row>
    <row r="44" spans="1:7">
      <c r="A44" s="42">
        <f t="shared" ca="1" si="4"/>
        <v>52</v>
      </c>
      <c r="B44" s="1">
        <f t="shared" ca="1" si="5"/>
        <v>4</v>
      </c>
      <c r="C44" t="s">
        <v>115</v>
      </c>
      <c r="D44" t="str">
        <f t="shared" ca="1" si="7"/>
        <v>XEL</v>
      </c>
      <c r="E44" t="s">
        <v>32</v>
      </c>
      <c r="F44" t="s">
        <v>91</v>
      </c>
      <c r="G44" t="str">
        <f t="shared" ca="1" si="6"/>
        <v>Xcel Energy Inc. (NYSE:XEL)</v>
      </c>
    </row>
    <row r="45" spans="1:7">
      <c r="A45" s="42">
        <f t="shared" ca="1" si="4"/>
        <v>5</v>
      </c>
      <c r="B45" s="1">
        <f t="shared" ca="1" si="5"/>
        <v>1</v>
      </c>
      <c r="C45" t="s">
        <v>117</v>
      </c>
      <c r="D45" t="str">
        <f t="shared" ca="1" si="7"/>
        <v>ATO</v>
      </c>
      <c r="E45" t="s">
        <v>118</v>
      </c>
      <c r="G45" t="str">
        <f t="shared" ca="1" si="6"/>
        <v>Atmos Energy Corporation (NYSE:ATO)</v>
      </c>
    </row>
    <row r="46" spans="1:7">
      <c r="A46" s="42">
        <f t="shared" ca="1" si="4"/>
        <v>10</v>
      </c>
      <c r="B46" s="1">
        <f t="shared" ca="1" si="5"/>
        <v>1</v>
      </c>
      <c r="C46" t="s">
        <v>120</v>
      </c>
      <c r="D46" t="str">
        <f t="shared" ca="1" si="7"/>
        <v>CPK</v>
      </c>
      <c r="E46" t="s">
        <v>118</v>
      </c>
      <c r="G46" t="str">
        <f t="shared" ca="1" si="6"/>
        <v>Chesapeake Utilities Corporation (NYSE:CPK)</v>
      </c>
    </row>
    <row r="47" spans="1:7">
      <c r="A47" s="42">
        <f t="shared" ca="1" si="4"/>
        <v>27</v>
      </c>
      <c r="B47" s="1">
        <f t="shared" ca="1" si="5"/>
        <v>1</v>
      </c>
      <c r="C47" t="s">
        <v>122</v>
      </c>
      <c r="D47" t="str">
        <f t="shared" ca="1" si="7"/>
        <v>NJR</v>
      </c>
      <c r="E47" t="s">
        <v>118</v>
      </c>
      <c r="G47" t="str">
        <f t="shared" ca="1" si="6"/>
        <v>New Jersey Resources Corporation (NYSE:NJR)</v>
      </c>
    </row>
    <row r="48" spans="1:7">
      <c r="A48" s="42">
        <f t="shared" ca="1" si="4"/>
        <v>29</v>
      </c>
      <c r="B48" s="1">
        <f t="shared" ca="1" si="5"/>
        <v>2</v>
      </c>
      <c r="C48" t="s">
        <v>124</v>
      </c>
      <c r="D48" t="str">
        <f t="shared" ca="1" si="7"/>
        <v>NI</v>
      </c>
      <c r="E48" t="s">
        <v>118</v>
      </c>
      <c r="G48" t="str">
        <f t="shared" ca="1" si="6"/>
        <v>NiSource Inc. (NYSE:NI)</v>
      </c>
    </row>
    <row r="49" spans="1:7">
      <c r="A49" s="42">
        <f t="shared" ca="1" si="4"/>
        <v>30</v>
      </c>
      <c r="B49" s="1">
        <f t="shared" ca="1" si="5"/>
        <v>1</v>
      </c>
      <c r="C49" t="s">
        <v>126</v>
      </c>
      <c r="D49" t="str">
        <f t="shared" ca="1" si="7"/>
        <v>NWN</v>
      </c>
      <c r="E49" t="s">
        <v>118</v>
      </c>
      <c r="G49" t="str">
        <f t="shared" ca="1" si="6"/>
        <v>Northwest Natural Gas Company (NYSE:NWN)</v>
      </c>
    </row>
    <row r="50" spans="1:7">
      <c r="A50" s="42">
        <f t="shared" ca="1" si="4"/>
        <v>33</v>
      </c>
      <c r="B50" s="1">
        <f t="shared" ca="1" si="5"/>
        <v>1</v>
      </c>
      <c r="C50" t="s">
        <v>128</v>
      </c>
      <c r="D50" t="str">
        <f t="shared" ca="1" si="7"/>
        <v>OGS</v>
      </c>
      <c r="E50" t="s">
        <v>118</v>
      </c>
      <c r="G50" t="str">
        <f t="shared" ca="1" si="6"/>
        <v>ONE Gas, Inc. (NYSE:OGS)</v>
      </c>
    </row>
    <row r="51" spans="1:7">
      <c r="A51" s="42">
        <f t="shared" ca="1" si="4"/>
        <v>43</v>
      </c>
      <c r="B51" s="1">
        <f t="shared" ca="1" si="5"/>
        <v>1</v>
      </c>
      <c r="C51" t="s">
        <v>130</v>
      </c>
      <c r="D51" t="str">
        <f t="shared" ca="1" si="7"/>
        <v>SJI</v>
      </c>
      <c r="E51" t="s">
        <v>118</v>
      </c>
      <c r="G51" t="str">
        <f t="shared" ca="1" si="6"/>
        <v>South Jersey Industries, Inc. (NYSE:SJI)</v>
      </c>
    </row>
    <row r="52" spans="1:7">
      <c r="A52" s="42">
        <f t="shared" ca="1" si="4"/>
        <v>44</v>
      </c>
      <c r="B52" s="1">
        <f t="shared" ca="1" si="5"/>
        <v>1</v>
      </c>
      <c r="C52" t="s">
        <v>132</v>
      </c>
      <c r="D52" t="str">
        <f t="shared" ca="1" si="7"/>
        <v>SWX</v>
      </c>
      <c r="E52" t="s">
        <v>118</v>
      </c>
      <c r="G52" t="str">
        <f t="shared" ca="1" si="6"/>
        <v>Southwest Gas Holdings, Inc. (NYSE:SWX)</v>
      </c>
    </row>
    <row r="53" spans="1:7">
      <c r="A53" s="42">
        <f t="shared" ca="1" si="4"/>
        <v>45</v>
      </c>
      <c r="B53" s="1">
        <f t="shared" ca="1" si="5"/>
        <v>2</v>
      </c>
      <c r="C53" t="s">
        <v>134</v>
      </c>
      <c r="D53" t="str">
        <f t="shared" ca="1" si="7"/>
        <v>SR</v>
      </c>
      <c r="E53" t="s">
        <v>118</v>
      </c>
      <c r="G53" t="str">
        <f t="shared" ca="1" si="6"/>
        <v>Spire Inc. (NYSE:SR)</v>
      </c>
    </row>
    <row r="54" spans="1:7">
      <c r="A54" s="42">
        <f t="shared" ca="1" si="4"/>
        <v>47</v>
      </c>
      <c r="B54" s="1">
        <f t="shared" ca="1" si="5"/>
        <v>1</v>
      </c>
      <c r="C54" t="s">
        <v>136</v>
      </c>
      <c r="D54" t="str">
        <f t="shared" ca="1" si="7"/>
        <v>UGI</v>
      </c>
      <c r="E54" t="s">
        <v>118</v>
      </c>
      <c r="G54" t="str">
        <f t="shared" ca="1" si="6"/>
        <v>UGI Corporation (NYSE:UGI)</v>
      </c>
    </row>
    <row r="55" spans="1:7">
      <c r="A55" s="42">
        <f t="shared" ca="1" si="4"/>
        <v>51</v>
      </c>
      <c r="B55" s="1">
        <f t="shared" ca="1" si="5"/>
        <v>1</v>
      </c>
      <c r="C55" t="s">
        <v>138</v>
      </c>
      <c r="D55" t="str">
        <f t="shared" ca="1" si="7"/>
        <v>WGL</v>
      </c>
      <c r="E55" t="s">
        <v>118</v>
      </c>
      <c r="G55" t="str">
        <f t="shared" ca="1" si="6"/>
        <v>WGL Holdings, Inc. (NYSE:WGL)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1:E23"/>
  <sheetViews>
    <sheetView workbookViewId="0"/>
  </sheetViews>
  <sheetFormatPr defaultRowHeight="14.25"/>
  <sheetData>
    <row r="1" spans="3:5" ht="15">
      <c r="C1" s="3" t="s">
        <v>0</v>
      </c>
      <c r="D1" s="3"/>
    </row>
    <row r="2" spans="3:5" ht="15">
      <c r="C2" s="4" t="s">
        <v>1</v>
      </c>
      <c r="D2" s="4" t="s">
        <v>2</v>
      </c>
    </row>
    <row r="3" spans="3:5">
      <c r="C3" s="1" t="s">
        <v>3</v>
      </c>
      <c r="D3" s="1">
        <v>21</v>
      </c>
    </row>
    <row r="4" spans="3:5">
      <c r="C4" s="1" t="s">
        <v>4</v>
      </c>
      <c r="D4" s="1">
        <v>20</v>
      </c>
    </row>
    <row r="5" spans="3:5">
      <c r="C5" s="1" t="s">
        <v>5</v>
      </c>
      <c r="D5" s="1">
        <v>19</v>
      </c>
    </row>
    <row r="6" spans="3:5">
      <c r="C6" s="1" t="s">
        <v>6</v>
      </c>
      <c r="D6" s="1">
        <v>18</v>
      </c>
    </row>
    <row r="7" spans="3:5">
      <c r="C7" s="1" t="s">
        <v>7</v>
      </c>
      <c r="D7" s="1">
        <v>17</v>
      </c>
    </row>
    <row r="8" spans="3:5">
      <c r="C8" s="1" t="s">
        <v>8</v>
      </c>
      <c r="D8" s="1">
        <v>16</v>
      </c>
    </row>
    <row r="9" spans="3:5">
      <c r="C9" s="1" t="s">
        <v>9</v>
      </c>
      <c r="D9" s="1">
        <v>15</v>
      </c>
    </row>
    <row r="10" spans="3:5">
      <c r="C10" s="1" t="s">
        <v>10</v>
      </c>
      <c r="D10" s="1">
        <v>14</v>
      </c>
    </row>
    <row r="11" spans="3:5">
      <c r="C11" s="1" t="s">
        <v>11</v>
      </c>
      <c r="D11" s="1">
        <v>13</v>
      </c>
    </row>
    <row r="12" spans="3:5">
      <c r="C12" s="2" t="s">
        <v>12</v>
      </c>
      <c r="D12" s="2">
        <v>12</v>
      </c>
      <c r="E12" s="40" t="s">
        <v>605</v>
      </c>
    </row>
    <row r="13" spans="3:5">
      <c r="C13" s="1" t="s">
        <v>13</v>
      </c>
      <c r="D13" s="1">
        <v>11</v>
      </c>
      <c r="E13" t="s">
        <v>606</v>
      </c>
    </row>
    <row r="14" spans="3:5">
      <c r="C14" s="1" t="s">
        <v>14</v>
      </c>
      <c r="D14" s="1">
        <v>10</v>
      </c>
    </row>
    <row r="15" spans="3:5">
      <c r="C15" s="1" t="s">
        <v>15</v>
      </c>
      <c r="D15" s="1">
        <v>9</v>
      </c>
    </row>
    <row r="16" spans="3:5">
      <c r="C16" s="1" t="s">
        <v>16</v>
      </c>
      <c r="D16" s="1">
        <v>8</v>
      </c>
    </row>
    <row r="17" spans="3:4">
      <c r="C17" s="1" t="s">
        <v>17</v>
      </c>
      <c r="D17" s="1">
        <v>7</v>
      </c>
    </row>
    <row r="18" spans="3:4">
      <c r="C18" s="1" t="s">
        <v>18</v>
      </c>
      <c r="D18" s="1">
        <v>6</v>
      </c>
    </row>
    <row r="19" spans="3:4">
      <c r="C19" s="1" t="s">
        <v>19</v>
      </c>
      <c r="D19" s="1">
        <v>5</v>
      </c>
    </row>
    <row r="20" spans="3:4">
      <c r="C20" s="1" t="s">
        <v>20</v>
      </c>
      <c r="D20" s="1">
        <v>4</v>
      </c>
    </row>
    <row r="21" spans="3:4">
      <c r="C21" s="1" t="s">
        <v>21</v>
      </c>
      <c r="D21" s="1">
        <v>3</v>
      </c>
    </row>
    <row r="22" spans="3:4">
      <c r="C22" s="1" t="s">
        <v>22</v>
      </c>
      <c r="D22" s="1">
        <v>2</v>
      </c>
    </row>
    <row r="23" spans="3:4">
      <c r="C23" s="1" t="s">
        <v>23</v>
      </c>
      <c r="D23" s="1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B0239A7-D644-460D-9513-D66B303A9A57}"/>
</file>

<file path=customXml/itemProps2.xml><?xml version="1.0" encoding="utf-8"?>
<ds:datastoreItem xmlns:ds="http://schemas.openxmlformats.org/officeDocument/2006/customXml" ds:itemID="{072FD4E6-545F-4D5E-A235-BB15A0C1601B}"/>
</file>

<file path=customXml/itemProps3.xml><?xml version="1.0" encoding="utf-8"?>
<ds:datastoreItem xmlns:ds="http://schemas.openxmlformats.org/officeDocument/2006/customXml" ds:itemID="{73C875BA-52B8-4BBA-8FF1-11887692593C}"/>
</file>

<file path=customXml/itemProps4.xml><?xml version="1.0" encoding="utf-8"?>
<ds:datastoreItem xmlns:ds="http://schemas.openxmlformats.org/officeDocument/2006/customXml" ds:itemID="{AA98B04B-263C-4DB7-BFDD-3C22DA5A5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Debt Ratio Electric and Gas</vt:lpstr>
      <vt:lpstr>Debt Electric</vt:lpstr>
      <vt:lpstr>Debt Gas</vt:lpstr>
      <vt:lpstr>FFO to Debt Ratio Electric Gas</vt:lpstr>
      <vt:lpstr>FFO to Debt Electric</vt:lpstr>
      <vt:lpstr>FFO to Debt Gas</vt:lpstr>
      <vt:lpstr>Debt to EBITDA Ratio Elec Gas</vt:lpstr>
      <vt:lpstr>Debt to EBITDA Ratio Electric</vt:lpstr>
      <vt:lpstr>Debt to EBITDA Ratio Gas</vt:lpstr>
      <vt:lpstr>Ratings</vt:lpstr>
      <vt:lpstr>DebtRatios</vt:lpstr>
      <vt:lpstr>FFOtoDebtRatios</vt:lpstr>
      <vt:lpstr>DEBTtoEBITDARatios</vt:lpstr>
      <vt:lpstr>VL Universe</vt:lpstr>
      <vt:lpstr>VL Utilities</vt:lpstr>
      <vt:lpstr>Cedit Ratings (WP)</vt:lpstr>
      <vt:lpstr>CR</vt:lpstr>
      <vt:lpstr>'Debt Electric'!Print_Area</vt:lpstr>
      <vt:lpstr>'Debt Gas'!Print_Area</vt:lpstr>
      <vt:lpstr>'Debt Ratio Electric and Gas'!Print_Area</vt:lpstr>
      <vt:lpstr>'Debt to EBITDA Ratio Elec Gas'!Print_Area</vt:lpstr>
      <vt:lpstr>'Debt to EBITDA Ratio Electric'!Print_Area</vt:lpstr>
      <vt:lpstr>'Debt to EBITDA Ratio Gas'!Print_Area</vt:lpstr>
      <vt:lpstr>'FFO to Debt Electric'!Print_Area</vt:lpstr>
      <vt:lpstr>'FFO to Debt Gas'!Print_Area</vt:lpstr>
      <vt:lpstr>'FFO to Debt Ratio Electric Gas'!Print_Area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Berron</dc:creator>
  <cp:lastModifiedBy>Monet Covington</cp:lastModifiedBy>
  <cp:lastPrinted>2017-10-26T15:03:24Z</cp:lastPrinted>
  <dcterms:created xsi:type="dcterms:W3CDTF">2017-10-04T19:27:08Z</dcterms:created>
  <dcterms:modified xsi:type="dcterms:W3CDTF">2017-10-26T15:03:37Z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{50906880-DBA6-4522-9D3A-AF5D6717F777}</vt:lpwstr>
  </property>
  <property fmtid="{D5CDD505-2E9C-101B-9397-08002B2CF9AE}" pid="3" name="ContentTypeId">
    <vt:lpwstr>0x0101006E56B4D1795A2E4DB2F0B01679ED314A004293D7BF2DB2434CBA4573E3DBB11230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