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\RevReq-COS-Rate Years Exh\"/>
    </mc:Choice>
  </mc:AlternateContent>
  <bookViews>
    <workbookView xWindow="22665" yWindow="885" windowWidth="20370" windowHeight="7965" tabRatio="931"/>
  </bookViews>
  <sheets>
    <sheet name="Table of Contents" sheetId="309" r:id="rId1"/>
    <sheet name="Exhibit BDJ-9, Page 1" sheetId="120" r:id="rId2"/>
    <sheet name="Exhibit BDJ-9, Page 2" sheetId="5" r:id="rId3"/>
    <sheet name="Exhibit BDJ-9, Page 3" sheetId="189" r:id="rId4"/>
    <sheet name="Exhibit BDJ-9, Page 3a" sheetId="215" r:id="rId5"/>
    <sheet name="Exhibit BDJ-9, Page 4-6" sheetId="305" r:id="rId6"/>
  </sheets>
  <calcPr calcId="162913"/>
</workbook>
</file>

<file path=xl/calcChain.xml><?xml version="1.0" encoding="utf-8"?>
<calcChain xmlns="http://schemas.openxmlformats.org/spreadsheetml/2006/main">
  <c r="AN30" i="305" l="1"/>
  <c r="AN26" i="305"/>
  <c r="AN22" i="305"/>
  <c r="AN18" i="305"/>
  <c r="AN14" i="305"/>
  <c r="AN10" i="305"/>
  <c r="A2" i="309"/>
  <c r="A3" i="309"/>
  <c r="A1" i="309"/>
  <c r="C14" i="215" l="1"/>
  <c r="C25" i="120" l="1"/>
  <c r="C20" i="120"/>
  <c r="C21" i="120" s="1"/>
  <c r="C17" i="189" l="1"/>
  <c r="C17" i="5"/>
  <c r="AQ45" i="305" l="1"/>
  <c r="AM5" i="305"/>
  <c r="AQ37" i="305"/>
  <c r="AP36" i="305"/>
  <c r="AO11" i="305"/>
  <c r="AO15" i="305" s="1"/>
  <c r="AO23" i="305" s="1"/>
  <c r="AO19" i="305"/>
  <c r="AO31" i="305"/>
  <c r="AP37" i="305"/>
  <c r="AP40" i="305"/>
  <c r="AP41" i="305"/>
  <c r="AP44" i="305"/>
  <c r="AP45" i="305"/>
  <c r="AP48" i="305"/>
  <c r="AP49" i="305"/>
  <c r="AP52" i="305"/>
  <c r="AP53" i="305"/>
  <c r="AP56" i="305"/>
  <c r="AP57" i="305"/>
  <c r="T5" i="305"/>
  <c r="T4" i="305"/>
  <c r="AM4" i="305" s="1"/>
  <c r="X57" i="305"/>
  <c r="AQ57" i="305" s="1"/>
  <c r="X53" i="305"/>
  <c r="AQ53" i="305" s="1"/>
  <c r="X49" i="305"/>
  <c r="AQ49" i="305" s="1"/>
  <c r="X45" i="305"/>
  <c r="X41" i="305"/>
  <c r="AQ41" i="305" s="1"/>
  <c r="X37" i="305"/>
  <c r="W36" i="305"/>
  <c r="W11" i="305"/>
  <c r="AP11" i="305" s="1"/>
  <c r="V11" i="305"/>
  <c r="AP19" i="305" l="1"/>
  <c r="AP15" i="305"/>
  <c r="AP23" i="305" s="1"/>
  <c r="AP31" i="305"/>
  <c r="AP27" i="305"/>
  <c r="C44" i="215"/>
  <c r="C64" i="215" s="1"/>
  <c r="C43" i="215"/>
  <c r="C68" i="215" s="1"/>
  <c r="C39" i="215"/>
  <c r="C38" i="215"/>
  <c r="C69" i="5"/>
  <c r="C45" i="5"/>
  <c r="C21" i="5"/>
  <c r="A55" i="215"/>
  <c r="A30" i="215"/>
  <c r="A29" i="215"/>
  <c r="A54" i="215" s="1"/>
  <c r="A63" i="215"/>
  <c r="A64" i="215" s="1"/>
  <c r="A65" i="215" s="1"/>
  <c r="A66" i="215" s="1"/>
  <c r="A67" i="215" s="1"/>
  <c r="A68" i="215" s="1"/>
  <c r="A38" i="215"/>
  <c r="A39" i="215" s="1"/>
  <c r="A40" i="215" s="1"/>
  <c r="A41" i="215" s="1"/>
  <c r="A42" i="215" s="1"/>
  <c r="A43" i="215" s="1"/>
  <c r="A44" i="215" s="1"/>
  <c r="A45" i="215" s="1"/>
  <c r="A46" i="215" s="1"/>
  <c r="A47" i="215" s="1"/>
  <c r="C42" i="189"/>
  <c r="C61" i="189" s="1"/>
  <c r="C41" i="189"/>
  <c r="C60" i="189" s="1"/>
  <c r="C37" i="189"/>
  <c r="C36" i="189"/>
  <c r="A53" i="189"/>
  <c r="A29" i="189"/>
  <c r="A28" i="189"/>
  <c r="A52" i="189" s="1"/>
  <c r="A60" i="189"/>
  <c r="A36" i="189"/>
  <c r="A37" i="189" s="1"/>
  <c r="A38" i="189" s="1"/>
  <c r="A39" i="189" s="1"/>
  <c r="A40" i="189" s="1"/>
  <c r="A41" i="189" s="1"/>
  <c r="C40" i="215" l="1"/>
  <c r="C45" i="215"/>
  <c r="C47" i="215"/>
  <c r="C69" i="215"/>
  <c r="A69" i="215"/>
  <c r="A70" i="215" s="1"/>
  <c r="C70" i="215"/>
  <c r="C65" i="215"/>
  <c r="C63" i="215"/>
  <c r="C65" i="189"/>
  <c r="C66" i="189"/>
  <c r="A61" i="189"/>
  <c r="C38" i="189"/>
  <c r="A42" i="189"/>
  <c r="A43" i="189" s="1"/>
  <c r="A71" i="215" l="1"/>
  <c r="A72" i="215" s="1"/>
  <c r="C72" i="215"/>
  <c r="A44" i="189"/>
  <c r="A45" i="189" s="1"/>
  <c r="C45" i="189"/>
  <c r="A62" i="189"/>
  <c r="A63" i="189" s="1"/>
  <c r="A64" i="189" s="1"/>
  <c r="A65" i="189" s="1"/>
  <c r="C62" i="189"/>
  <c r="C43" i="189"/>
  <c r="A66" i="189" l="1"/>
  <c r="A67" i="189" s="1"/>
  <c r="A68" i="189" l="1"/>
  <c r="A69" i="189" s="1"/>
  <c r="C69" i="189"/>
  <c r="C67" i="189"/>
  <c r="C67" i="5" l="1"/>
  <c r="C66" i="5"/>
  <c r="C62" i="5"/>
  <c r="C61" i="5"/>
  <c r="C42" i="5"/>
  <c r="C41" i="5"/>
  <c r="C60" i="5" s="1"/>
  <c r="C65" i="5" l="1"/>
  <c r="C61" i="120"/>
  <c r="C97" i="120" s="1"/>
  <c r="C56" i="120"/>
  <c r="C92" i="120" s="1"/>
  <c r="C57" i="120"/>
  <c r="C93" i="120" s="1"/>
  <c r="C59" i="120"/>
  <c r="C95" i="120" s="1"/>
  <c r="C55" i="120"/>
  <c r="C91" i="120" s="1"/>
  <c r="A61" i="5" l="1"/>
  <c r="A62" i="5"/>
  <c r="A63" i="5"/>
  <c r="A64" i="5"/>
  <c r="A65" i="5" s="1"/>
  <c r="A66" i="5" s="1"/>
  <c r="A67" i="5" s="1"/>
  <c r="A68" i="5" s="1"/>
  <c r="A69" i="5" s="1"/>
  <c r="C37" i="5"/>
  <c r="C36" i="5"/>
  <c r="A53" i="5"/>
  <c r="A29" i="5"/>
  <c r="A60" i="5"/>
  <c r="A36" i="5"/>
  <c r="A37" i="5" s="1"/>
  <c r="A38" i="5" s="1"/>
  <c r="A39" i="5" s="1"/>
  <c r="A40" i="5" s="1"/>
  <c r="A41" i="5" s="1"/>
  <c r="A42" i="5" s="1"/>
  <c r="A43" i="5" s="1"/>
  <c r="A44" i="5" s="1"/>
  <c r="A45" i="5" s="1"/>
  <c r="M87" i="120"/>
  <c r="L87" i="120"/>
  <c r="K87" i="120"/>
  <c r="I87" i="120"/>
  <c r="H87" i="120"/>
  <c r="G87" i="120"/>
  <c r="E87" i="120"/>
  <c r="D87" i="120"/>
  <c r="C87" i="120"/>
  <c r="C85" i="120"/>
  <c r="M83" i="120"/>
  <c r="L83" i="120"/>
  <c r="K83" i="120"/>
  <c r="I83" i="120"/>
  <c r="H83" i="120"/>
  <c r="G83" i="120"/>
  <c r="E83" i="120"/>
  <c r="D83" i="120"/>
  <c r="C83" i="120"/>
  <c r="M82" i="120"/>
  <c r="L82" i="120"/>
  <c r="K82" i="120"/>
  <c r="I82" i="120"/>
  <c r="H82" i="120"/>
  <c r="G82" i="120"/>
  <c r="E82" i="120"/>
  <c r="D82" i="120"/>
  <c r="C82" i="120"/>
  <c r="M81" i="120"/>
  <c r="L81" i="120"/>
  <c r="K81" i="120"/>
  <c r="I81" i="120"/>
  <c r="H81" i="120"/>
  <c r="G81" i="120"/>
  <c r="E81" i="120"/>
  <c r="D81" i="120"/>
  <c r="C81" i="120"/>
  <c r="A81" i="120"/>
  <c r="F97" i="120"/>
  <c r="M94" i="120"/>
  <c r="L94" i="120"/>
  <c r="K94" i="120"/>
  <c r="I94" i="120"/>
  <c r="H94" i="120"/>
  <c r="G94" i="120"/>
  <c r="E94" i="120"/>
  <c r="D94" i="120"/>
  <c r="F93" i="120"/>
  <c r="F92" i="120"/>
  <c r="F91" i="120"/>
  <c r="F61" i="120"/>
  <c r="M58" i="120"/>
  <c r="L58" i="120"/>
  <c r="K58" i="120"/>
  <c r="I58" i="120"/>
  <c r="H58" i="120"/>
  <c r="G58" i="120"/>
  <c r="E58" i="120"/>
  <c r="D58" i="120"/>
  <c r="F57" i="120"/>
  <c r="F56" i="120"/>
  <c r="F55" i="120"/>
  <c r="F20" i="120"/>
  <c r="F21" i="120"/>
  <c r="F19" i="120"/>
  <c r="A82" i="120" l="1"/>
  <c r="A83" i="120" s="1"/>
  <c r="A84" i="120" s="1"/>
  <c r="C84" i="120"/>
  <c r="G84" i="120"/>
  <c r="M84" i="120"/>
  <c r="F58" i="120"/>
  <c r="H84" i="120"/>
  <c r="F83" i="120"/>
  <c r="F81" i="120"/>
  <c r="K84" i="120"/>
  <c r="E84" i="120"/>
  <c r="D84" i="120"/>
  <c r="C38" i="5"/>
  <c r="I84" i="120"/>
  <c r="F82" i="120"/>
  <c r="F94" i="120"/>
  <c r="F87" i="120"/>
  <c r="L84" i="120"/>
  <c r="M51" i="120"/>
  <c r="L51" i="120"/>
  <c r="K51" i="120"/>
  <c r="I51" i="120"/>
  <c r="H51" i="120"/>
  <c r="G51" i="120"/>
  <c r="E51" i="120"/>
  <c r="D51" i="120"/>
  <c r="M22" i="120"/>
  <c r="L22" i="120"/>
  <c r="K22" i="120"/>
  <c r="I22" i="120"/>
  <c r="H22" i="120"/>
  <c r="G22" i="120"/>
  <c r="E22" i="120"/>
  <c r="D22" i="120"/>
  <c r="M47" i="120"/>
  <c r="L47" i="120"/>
  <c r="K47" i="120"/>
  <c r="M46" i="120"/>
  <c r="L46" i="120"/>
  <c r="K46" i="120"/>
  <c r="M45" i="120"/>
  <c r="L45" i="120"/>
  <c r="K45" i="120"/>
  <c r="E45" i="120"/>
  <c r="G45" i="120"/>
  <c r="H45" i="120"/>
  <c r="I45" i="120"/>
  <c r="E46" i="120"/>
  <c r="G46" i="120"/>
  <c r="H46" i="120"/>
  <c r="I46" i="120"/>
  <c r="E47" i="120"/>
  <c r="G47" i="120"/>
  <c r="H47" i="120"/>
  <c r="I47" i="120"/>
  <c r="D47" i="120"/>
  <c r="D46" i="120"/>
  <c r="D45" i="120"/>
  <c r="C51" i="120"/>
  <c r="C46" i="120"/>
  <c r="C47" i="120"/>
  <c r="C49" i="120"/>
  <c r="C45" i="120"/>
  <c r="A85" i="120" l="1"/>
  <c r="A86" i="120" s="1"/>
  <c r="F46" i="120"/>
  <c r="M48" i="120"/>
  <c r="L48" i="120"/>
  <c r="H48" i="120"/>
  <c r="F47" i="120"/>
  <c r="K48" i="120"/>
  <c r="D48" i="120"/>
  <c r="C43" i="5"/>
  <c r="E48" i="120"/>
  <c r="I48" i="120"/>
  <c r="F45" i="120"/>
  <c r="G48" i="120"/>
  <c r="F84" i="120"/>
  <c r="F51" i="120"/>
  <c r="A87" i="120" l="1"/>
  <c r="A88" i="120" s="1"/>
  <c r="A89" i="120" s="1"/>
  <c r="A90" i="120" s="1"/>
  <c r="A91" i="120" s="1"/>
  <c r="C86" i="120"/>
  <c r="F48" i="120"/>
  <c r="A92" i="120" l="1"/>
  <c r="A93" i="120" s="1"/>
  <c r="A94" i="120" s="1"/>
  <c r="C94" i="120"/>
  <c r="C88" i="120"/>
  <c r="A35" i="120"/>
  <c r="A71" i="120" s="1"/>
  <c r="A45" i="120"/>
  <c r="A95" i="120" l="1"/>
  <c r="A96" i="120" s="1"/>
  <c r="A46" i="120"/>
  <c r="A47" i="120" s="1"/>
  <c r="A48" i="120" s="1"/>
  <c r="C96" i="120" l="1"/>
  <c r="C48" i="120"/>
  <c r="A97" i="120"/>
  <c r="A98" i="120" s="1"/>
  <c r="C98" i="120"/>
  <c r="A49" i="120"/>
  <c r="A50" i="120" s="1"/>
  <c r="A99" i="120" l="1"/>
  <c r="A100" i="120" s="1"/>
  <c r="A101" i="120" s="1"/>
  <c r="C100" i="120"/>
  <c r="C50" i="120"/>
  <c r="A51" i="120"/>
  <c r="A52" i="120" s="1"/>
  <c r="A53" i="120" s="1"/>
  <c r="A54" i="120" s="1"/>
  <c r="A55" i="120" s="1"/>
  <c r="C52" i="120" l="1"/>
  <c r="A56" i="120"/>
  <c r="A57" i="120" s="1"/>
  <c r="A58" i="120" s="1"/>
  <c r="C58" i="120"/>
  <c r="A59" i="120" l="1"/>
  <c r="A60" i="120" s="1"/>
  <c r="C60" i="120"/>
  <c r="A61" i="120" l="1"/>
  <c r="A62" i="120" s="1"/>
  <c r="C62" i="120"/>
  <c r="A63" i="120" l="1"/>
  <c r="A64" i="120" s="1"/>
  <c r="A65" i="120" s="1"/>
  <c r="C64" i="120"/>
  <c r="F61" i="189" l="1"/>
  <c r="H61" i="189"/>
  <c r="D61" i="5"/>
  <c r="E61" i="5"/>
  <c r="H61" i="5"/>
  <c r="I61" i="5"/>
  <c r="G61" i="5"/>
  <c r="E61" i="189"/>
  <c r="AN55" i="305"/>
  <c r="AN51" i="305"/>
  <c r="AN43" i="305"/>
  <c r="AN39" i="305"/>
  <c r="AN35" i="305"/>
  <c r="AM12" i="305"/>
  <c r="AM11" i="305"/>
  <c r="W56" i="305"/>
  <c r="U55" i="305"/>
  <c r="W52" i="305"/>
  <c r="U51" i="305"/>
  <c r="W48" i="305"/>
  <c r="W44" i="305"/>
  <c r="U43" i="305"/>
  <c r="W40" i="305"/>
  <c r="U39" i="305"/>
  <c r="U35" i="305"/>
  <c r="W31" i="305"/>
  <c r="V31" i="305"/>
  <c r="W27" i="305"/>
  <c r="W19" i="305"/>
  <c r="V19" i="305"/>
  <c r="W15" i="305"/>
  <c r="W23" i="305" s="1"/>
  <c r="V15" i="305"/>
  <c r="V23" i="305" s="1"/>
  <c r="T11" i="305"/>
  <c r="T12" i="305" s="1"/>
  <c r="AK15" i="305" l="1"/>
  <c r="AK23" i="305"/>
  <c r="AK11" i="305"/>
  <c r="BD15" i="305"/>
  <c r="BD11" i="305"/>
  <c r="AM13" i="305"/>
  <c r="AM14" i="305" s="1"/>
  <c r="AM15" i="305" s="1"/>
  <c r="AM16" i="305" s="1"/>
  <c r="BD23" i="305"/>
  <c r="T13" i="305"/>
  <c r="T14" i="305" s="1"/>
  <c r="T15" i="305" s="1"/>
  <c r="T16" i="305" s="1"/>
  <c r="AA12" i="305" l="1"/>
  <c r="AE12" i="305"/>
  <c r="AI12" i="305"/>
  <c r="Z12" i="305"/>
  <c r="AH12" i="305"/>
  <c r="AD12" i="305"/>
  <c r="AC12" i="305"/>
  <c r="AG12" i="305"/>
  <c r="AJ12" i="305"/>
  <c r="AF12" i="305"/>
  <c r="AB12" i="305"/>
  <c r="AC16" i="305"/>
  <c r="AG16" i="305"/>
  <c r="AB16" i="305"/>
  <c r="AJ16" i="305"/>
  <c r="AF16" i="305"/>
  <c r="AA16" i="305"/>
  <c r="AH16" i="305"/>
  <c r="AI16" i="305"/>
  <c r="Z16" i="305"/>
  <c r="AD16" i="305"/>
  <c r="AE16" i="305"/>
  <c r="AC24" i="305"/>
  <c r="AG24" i="305"/>
  <c r="AF24" i="305"/>
  <c r="AB24" i="305"/>
  <c r="AJ24" i="305"/>
  <c r="AA24" i="305"/>
  <c r="AH24" i="305"/>
  <c r="AI24" i="305"/>
  <c r="Z24" i="305"/>
  <c r="AD24" i="305"/>
  <c r="AE24" i="305"/>
  <c r="AW12" i="305"/>
  <c r="AS12" i="305"/>
  <c r="BA12" i="305"/>
  <c r="BC12" i="305"/>
  <c r="AV12" i="305"/>
  <c r="AZ12" i="305"/>
  <c r="AX12" i="305"/>
  <c r="AT12" i="305"/>
  <c r="AY12" i="305"/>
  <c r="BB12" i="305"/>
  <c r="AU12" i="305"/>
  <c r="AU24" i="305"/>
  <c r="AY24" i="305"/>
  <c r="BC24" i="305"/>
  <c r="AW24" i="305"/>
  <c r="BB24" i="305"/>
  <c r="AZ24" i="305"/>
  <c r="AT24" i="305"/>
  <c r="BA24" i="305"/>
  <c r="AV24" i="305"/>
  <c r="AS24" i="305"/>
  <c r="AX24" i="305"/>
  <c r="AU16" i="305"/>
  <c r="BC16" i="305"/>
  <c r="AY16" i="305"/>
  <c r="AZ16" i="305"/>
  <c r="AV16" i="305"/>
  <c r="AS16" i="305"/>
  <c r="AT16" i="305"/>
  <c r="BB16" i="305"/>
  <c r="BA16" i="305"/>
  <c r="AX16" i="305"/>
  <c r="AW16" i="305"/>
  <c r="AR24" i="305"/>
  <c r="AR16" i="305"/>
  <c r="AR12" i="305"/>
  <c r="Y24" i="305"/>
  <c r="Y16" i="305"/>
  <c r="Y12" i="305"/>
  <c r="AM17" i="305"/>
  <c r="AM18" i="305" s="1"/>
  <c r="AM19" i="305" s="1"/>
  <c r="AM20" i="305" s="1"/>
  <c r="T17" i="305"/>
  <c r="T18" i="305" s="1"/>
  <c r="T19" i="305" s="1"/>
  <c r="T20" i="305" s="1"/>
  <c r="AM21" i="305" l="1"/>
  <c r="AM22" i="305" s="1"/>
  <c r="AM23" i="305" s="1"/>
  <c r="AM24" i="305" s="1"/>
  <c r="T21" i="305"/>
  <c r="T22" i="305" s="1"/>
  <c r="T23" i="305" s="1"/>
  <c r="T24" i="305" s="1"/>
  <c r="AM25" i="305" l="1"/>
  <c r="AM26" i="305" s="1"/>
  <c r="AM27" i="305" s="1"/>
  <c r="AM28" i="305" s="1"/>
  <c r="T25" i="305"/>
  <c r="T26" i="305" s="1"/>
  <c r="T27" i="305" s="1"/>
  <c r="T28" i="305" s="1"/>
  <c r="AM29" i="305" l="1"/>
  <c r="AM30" i="305" s="1"/>
  <c r="AM31" i="305" s="1"/>
  <c r="AM32" i="305" s="1"/>
  <c r="T29" i="305"/>
  <c r="T30" i="305" s="1"/>
  <c r="T31" i="305" s="1"/>
  <c r="T32" i="305" s="1"/>
  <c r="AM33" i="305" l="1"/>
  <c r="AM34" i="305" s="1"/>
  <c r="AM35" i="305" s="1"/>
  <c r="AM36" i="305" s="1"/>
  <c r="T33" i="305"/>
  <c r="T34" i="305" s="1"/>
  <c r="T35" i="305" s="1"/>
  <c r="T36" i="305" s="1"/>
  <c r="AM37" i="305" l="1"/>
  <c r="AM38" i="305" s="1"/>
  <c r="AM39" i="305" s="1"/>
  <c r="AM40" i="305" s="1"/>
  <c r="T37" i="305"/>
  <c r="T38" i="305" s="1"/>
  <c r="T39" i="305" s="1"/>
  <c r="T40" i="305" s="1"/>
  <c r="W37" i="305"/>
  <c r="AM41" i="305" l="1"/>
  <c r="AM42" i="305" s="1"/>
  <c r="AM43" i="305" s="1"/>
  <c r="AM44" i="305" s="1"/>
  <c r="T41" i="305"/>
  <c r="T42" i="305" s="1"/>
  <c r="T43" i="305" s="1"/>
  <c r="T44" i="305" s="1"/>
  <c r="W41" i="305"/>
  <c r="AM45" i="305" l="1"/>
  <c r="AM46" i="305" s="1"/>
  <c r="AM47" i="305" s="1"/>
  <c r="AM48" i="305" s="1"/>
  <c r="T45" i="305"/>
  <c r="T46" i="305" s="1"/>
  <c r="T47" i="305" s="1"/>
  <c r="T48" i="305" s="1"/>
  <c r="W45" i="305"/>
  <c r="AM49" i="305" l="1"/>
  <c r="AM50" i="305" s="1"/>
  <c r="AM51" i="305" s="1"/>
  <c r="AM52" i="305" s="1"/>
  <c r="T49" i="305"/>
  <c r="T50" i="305" s="1"/>
  <c r="T51" i="305" s="1"/>
  <c r="T52" i="305" s="1"/>
  <c r="W49" i="305"/>
  <c r="AM53" i="305" l="1"/>
  <c r="AM54" i="305" s="1"/>
  <c r="AM55" i="305" s="1"/>
  <c r="AM56" i="305" s="1"/>
  <c r="T53" i="305"/>
  <c r="T54" i="305" s="1"/>
  <c r="T55" i="305" s="1"/>
  <c r="T56" i="305" s="1"/>
  <c r="W53" i="305"/>
  <c r="AM57" i="305" l="1"/>
  <c r="T57" i="305"/>
  <c r="W57" i="305"/>
  <c r="C13" i="120" l="1"/>
  <c r="C15" i="120" s="1"/>
  <c r="F61" i="5" l="1"/>
  <c r="D37" i="5"/>
  <c r="F37" i="5"/>
  <c r="E37" i="5"/>
  <c r="H37" i="5"/>
  <c r="I37" i="5"/>
  <c r="G37" i="5"/>
  <c r="BD19" i="305" l="1"/>
  <c r="AK19" i="305"/>
  <c r="G61" i="189"/>
  <c r="H37" i="189"/>
  <c r="G37" i="189"/>
  <c r="F37" i="189"/>
  <c r="E37" i="189"/>
  <c r="Y20" i="305" l="1"/>
  <c r="AA20" i="305"/>
  <c r="AE20" i="305"/>
  <c r="AI20" i="305"/>
  <c r="AD20" i="305"/>
  <c r="Z20" i="305"/>
  <c r="AH20" i="305"/>
  <c r="AC20" i="305"/>
  <c r="AF20" i="305"/>
  <c r="AB20" i="305"/>
  <c r="AJ20" i="305"/>
  <c r="AG20" i="305"/>
  <c r="AR20" i="305"/>
  <c r="AS20" i="305"/>
  <c r="AW20" i="305"/>
  <c r="BA20" i="305"/>
  <c r="AU20" i="305"/>
  <c r="BB20" i="305"/>
  <c r="BC20" i="305"/>
  <c r="AV20" i="305"/>
  <c r="AZ20" i="305"/>
  <c r="AT20" i="305"/>
  <c r="AX20" i="305"/>
  <c r="AY20" i="305"/>
  <c r="D56" i="305" l="1"/>
  <c r="B55" i="305"/>
  <c r="D52" i="305"/>
  <c r="B51" i="305"/>
  <c r="D48" i="305"/>
  <c r="D44" i="305"/>
  <c r="B43" i="305"/>
  <c r="D40" i="305"/>
  <c r="B39" i="305"/>
  <c r="B35" i="305"/>
  <c r="D31" i="305"/>
  <c r="C31" i="305"/>
  <c r="D27" i="305"/>
  <c r="R23" i="305"/>
  <c r="R19" i="305"/>
  <c r="D19" i="305"/>
  <c r="C19" i="305"/>
  <c r="R15" i="305"/>
  <c r="D15" i="305"/>
  <c r="D23" i="305" s="1"/>
  <c r="C15" i="305"/>
  <c r="C23" i="305" s="1"/>
  <c r="R11" i="305"/>
  <c r="A11" i="305"/>
  <c r="A12" i="305" s="1"/>
  <c r="A5" i="305"/>
  <c r="A3" i="305"/>
  <c r="T3" i="305" s="1"/>
  <c r="AM3" i="305" s="1"/>
  <c r="A2" i="305"/>
  <c r="T2" i="305" s="1"/>
  <c r="AM2" i="305" s="1"/>
  <c r="A1" i="305"/>
  <c r="T1" i="305" s="1"/>
  <c r="AM1" i="305" s="1"/>
  <c r="H20" i="305" l="1"/>
  <c r="L20" i="305"/>
  <c r="P20" i="305"/>
  <c r="G20" i="305"/>
  <c r="K20" i="305"/>
  <c r="O20" i="305"/>
  <c r="I20" i="305"/>
  <c r="M20" i="305"/>
  <c r="Q20" i="305"/>
  <c r="N20" i="305"/>
  <c r="J20" i="305"/>
  <c r="J16" i="305"/>
  <c r="N16" i="305"/>
  <c r="M16" i="305"/>
  <c r="I16" i="305"/>
  <c r="Q16" i="305"/>
  <c r="K16" i="305"/>
  <c r="H16" i="305"/>
  <c r="G16" i="305"/>
  <c r="O16" i="305"/>
  <c r="P16" i="305"/>
  <c r="L16" i="305"/>
  <c r="J24" i="305"/>
  <c r="N24" i="305"/>
  <c r="I24" i="305"/>
  <c r="G24" i="305"/>
  <c r="K24" i="305"/>
  <c r="O24" i="305"/>
  <c r="M24" i="305"/>
  <c r="Q24" i="305"/>
  <c r="L24" i="305"/>
  <c r="H24" i="305"/>
  <c r="P24" i="305"/>
  <c r="H12" i="305"/>
  <c r="L12" i="305"/>
  <c r="P12" i="305"/>
  <c r="G12" i="305"/>
  <c r="O12" i="305"/>
  <c r="K12" i="305"/>
  <c r="I12" i="305"/>
  <c r="N12" i="305"/>
  <c r="M12" i="305"/>
  <c r="Q12" i="305"/>
  <c r="J12" i="305"/>
  <c r="F12" i="305"/>
  <c r="A13" i="305"/>
  <c r="A14" i="305" s="1"/>
  <c r="A15" i="305" s="1"/>
  <c r="A16" i="305" s="1"/>
  <c r="F16" i="305"/>
  <c r="F20" i="305"/>
  <c r="F24" i="305"/>
  <c r="A13" i="215"/>
  <c r="H15" i="215"/>
  <c r="G15" i="215"/>
  <c r="F15" i="215"/>
  <c r="E15" i="215"/>
  <c r="A12" i="189"/>
  <c r="A13" i="189" s="1"/>
  <c r="A14" i="189" s="1"/>
  <c r="A15" i="189" s="1"/>
  <c r="A16" i="189" s="1"/>
  <c r="A17" i="189" s="1"/>
  <c r="A18" i="189" s="1"/>
  <c r="A19" i="189" s="1"/>
  <c r="A20" i="189" l="1"/>
  <c r="A21" i="189" s="1"/>
  <c r="C21" i="189"/>
  <c r="A14" i="215"/>
  <c r="A15" i="215" s="1"/>
  <c r="A16" i="215" s="1"/>
  <c r="A17" i="215" s="1"/>
  <c r="A18" i="215" s="1"/>
  <c r="AK12" i="305"/>
  <c r="BD24" i="305"/>
  <c r="AK16" i="305"/>
  <c r="BD20" i="305"/>
  <c r="AK20" i="305"/>
  <c r="AK24" i="305"/>
  <c r="BD16" i="305"/>
  <c r="BD12" i="305"/>
  <c r="R24" i="305"/>
  <c r="A17" i="305"/>
  <c r="A18" i="305" s="1"/>
  <c r="A19" i="305" s="1"/>
  <c r="A20" i="305" s="1"/>
  <c r="R16" i="305"/>
  <c r="R12" i="305"/>
  <c r="R20" i="305"/>
  <c r="A12" i="5"/>
  <c r="A13" i="5" s="1"/>
  <c r="A14" i="5" s="1"/>
  <c r="A15" i="5" s="1"/>
  <c r="A16" i="5" s="1"/>
  <c r="A17" i="5" s="1"/>
  <c r="A18" i="5" s="1"/>
  <c r="A19" i="5" s="1"/>
  <c r="A20" i="5" s="1"/>
  <c r="A21" i="5" s="1"/>
  <c r="A12" i="120"/>
  <c r="A13" i="120" s="1"/>
  <c r="A14" i="120" s="1"/>
  <c r="A15" i="120" s="1"/>
  <c r="A16" i="120" s="1"/>
  <c r="A17" i="120" s="1"/>
  <c r="A18" i="120" s="1"/>
  <c r="A19" i="120" s="1"/>
  <c r="H14" i="120"/>
  <c r="H16" i="120" s="1"/>
  <c r="D14" i="120"/>
  <c r="D16" i="120" s="1"/>
  <c r="F13" i="120"/>
  <c r="M14" i="120"/>
  <c r="M16" i="120" s="1"/>
  <c r="L14" i="120"/>
  <c r="L16" i="120" s="1"/>
  <c r="K14" i="120"/>
  <c r="K16" i="120" s="1"/>
  <c r="G14" i="120"/>
  <c r="G16" i="120" s="1"/>
  <c r="E14" i="120"/>
  <c r="E16" i="120" s="1"/>
  <c r="H12" i="189" l="1"/>
  <c r="E12" i="189"/>
  <c r="F12" i="189"/>
  <c r="H12" i="5"/>
  <c r="A19" i="215"/>
  <c r="A20" i="215" s="1"/>
  <c r="C20" i="215"/>
  <c r="C15" i="215"/>
  <c r="A20" i="120"/>
  <c r="A21" i="120" s="1"/>
  <c r="A22" i="120" s="1"/>
  <c r="A23" i="120" s="1"/>
  <c r="A24" i="120" s="1"/>
  <c r="A25" i="120" s="1"/>
  <c r="A26" i="120" s="1"/>
  <c r="G12" i="5"/>
  <c r="D12" i="5"/>
  <c r="E12" i="5"/>
  <c r="A21" i="305"/>
  <c r="A22" i="305" s="1"/>
  <c r="A23" i="305" s="1"/>
  <c r="A24" i="305" s="1"/>
  <c r="C14" i="189"/>
  <c r="F15" i="120"/>
  <c r="I14" i="120"/>
  <c r="I16" i="120" s="1"/>
  <c r="C14" i="120"/>
  <c r="F12" i="120"/>
  <c r="F14" i="120" s="1"/>
  <c r="A5" i="215"/>
  <c r="A5" i="189"/>
  <c r="A5" i="5"/>
  <c r="A27" i="120" l="1"/>
  <c r="A28" i="120" s="1"/>
  <c r="A29" i="120" s="1"/>
  <c r="C28" i="120"/>
  <c r="C22" i="120"/>
  <c r="I12" i="5"/>
  <c r="A21" i="215"/>
  <c r="A22" i="215" s="1"/>
  <c r="C22" i="215"/>
  <c r="A25" i="305"/>
  <c r="A26" i="305" s="1"/>
  <c r="A27" i="305" s="1"/>
  <c r="A28" i="305" s="1"/>
  <c r="C14" i="5"/>
  <c r="F16" i="120"/>
  <c r="G12" i="189" l="1"/>
  <c r="C26" i="120"/>
  <c r="F12" i="5"/>
  <c r="A29" i="305"/>
  <c r="A30" i="305" s="1"/>
  <c r="A31" i="305" s="1"/>
  <c r="A32" i="305" s="1"/>
  <c r="C16" i="120"/>
  <c r="A33" i="305" l="1"/>
  <c r="A34" i="305" s="1"/>
  <c r="A35" i="305" s="1"/>
  <c r="A36" i="305" s="1"/>
  <c r="A37" i="305" l="1"/>
  <c r="A38" i="305" s="1"/>
  <c r="A39" i="305" s="1"/>
  <c r="A40" i="305" s="1"/>
  <c r="D37" i="305"/>
  <c r="A41" i="305" l="1"/>
  <c r="A42" i="305" s="1"/>
  <c r="A43" i="305" s="1"/>
  <c r="A44" i="305" s="1"/>
  <c r="D41" i="305"/>
  <c r="A45" i="305" l="1"/>
  <c r="A46" i="305" s="1"/>
  <c r="A47" i="305" s="1"/>
  <c r="A48" i="305" s="1"/>
  <c r="D45" i="305"/>
  <c r="A49" i="305" l="1"/>
  <c r="A50" i="305" s="1"/>
  <c r="A51" i="305" s="1"/>
  <c r="A52" i="305" s="1"/>
  <c r="D49" i="305"/>
  <c r="A53" i="305" l="1"/>
  <c r="A54" i="305" s="1"/>
  <c r="A55" i="305" s="1"/>
  <c r="A56" i="305" s="1"/>
  <c r="D53" i="305"/>
  <c r="A57" i="305" l="1"/>
  <c r="D57" i="305"/>
  <c r="A2" i="215" l="1"/>
  <c r="A27" i="215" s="1"/>
  <c r="A52" i="215" s="1"/>
  <c r="A3" i="215"/>
  <c r="A28" i="215" s="1"/>
  <c r="A53" i="215" s="1"/>
  <c r="A1" i="215"/>
  <c r="A26" i="215" s="1"/>
  <c r="A51" i="215" s="1"/>
  <c r="A2" i="189"/>
  <c r="A26" i="189" s="1"/>
  <c r="A50" i="189" s="1"/>
  <c r="A3" i="189"/>
  <c r="A27" i="189" s="1"/>
  <c r="A51" i="189" s="1"/>
  <c r="A1" i="189"/>
  <c r="A25" i="189" s="1"/>
  <c r="A49" i="189" s="1"/>
  <c r="A2" i="5"/>
  <c r="A26" i="5" s="1"/>
  <c r="A50" i="5" s="1"/>
  <c r="A3" i="5"/>
  <c r="A27" i="5" s="1"/>
  <c r="A51" i="5" s="1"/>
  <c r="A1" i="5"/>
  <c r="A25" i="5" s="1"/>
  <c r="A49" i="5" s="1"/>
  <c r="C19" i="189" l="1"/>
  <c r="C24" i="120" l="1"/>
  <c r="C19" i="5" l="1"/>
  <c r="G14" i="5" l="1"/>
  <c r="H14" i="189"/>
  <c r="F25" i="120" l="1"/>
  <c r="I14" i="5" l="1"/>
  <c r="F14" i="189"/>
  <c r="E14" i="5"/>
  <c r="H14" i="5" l="1"/>
  <c r="D14" i="5"/>
  <c r="E14" i="189"/>
  <c r="F22" i="120" l="1"/>
  <c r="G14" i="189" l="1"/>
  <c r="F14" i="5"/>
  <c r="F64" i="215" l="1"/>
  <c r="G64" i="215"/>
  <c r="H64" i="215"/>
  <c r="E64" i="215"/>
  <c r="H39" i="215"/>
  <c r="G39" i="215"/>
  <c r="E39" i="215"/>
  <c r="F39" i="215"/>
  <c r="AK31" i="305"/>
  <c r="R27" i="305"/>
  <c r="AK27" i="305"/>
  <c r="R31" i="305"/>
  <c r="BD31" i="305"/>
  <c r="BD27" i="305"/>
  <c r="AA28" i="305" l="1"/>
  <c r="AE28" i="305"/>
  <c r="AI28" i="305"/>
  <c r="AD28" i="305"/>
  <c r="AH28" i="305"/>
  <c r="Z28" i="305"/>
  <c r="AF28" i="305"/>
  <c r="AG28" i="305"/>
  <c r="AJ28" i="305"/>
  <c r="AB28" i="305"/>
  <c r="AC28" i="305"/>
  <c r="Y32" i="305"/>
  <c r="AC32" i="305"/>
  <c r="AG32" i="305"/>
  <c r="AB32" i="305"/>
  <c r="AJ32" i="305"/>
  <c r="AF32" i="305"/>
  <c r="Z32" i="305"/>
  <c r="AH32" i="305"/>
  <c r="AI32" i="305"/>
  <c r="AD32" i="305"/>
  <c r="AE32" i="305"/>
  <c r="AA32" i="305"/>
  <c r="J32" i="305"/>
  <c r="N32" i="305"/>
  <c r="G32" i="305"/>
  <c r="K32" i="305"/>
  <c r="O32" i="305"/>
  <c r="I32" i="305"/>
  <c r="Q32" i="305"/>
  <c r="M32" i="305"/>
  <c r="L32" i="305"/>
  <c r="P32" i="305"/>
  <c r="H32" i="305"/>
  <c r="H28" i="305"/>
  <c r="L28" i="305"/>
  <c r="P28" i="305"/>
  <c r="K28" i="305"/>
  <c r="I28" i="305"/>
  <c r="M28" i="305"/>
  <c r="Q28" i="305"/>
  <c r="G28" i="305"/>
  <c r="O28" i="305"/>
  <c r="N28" i="305"/>
  <c r="J28" i="305"/>
  <c r="AS28" i="305"/>
  <c r="AW28" i="305"/>
  <c r="BA28" i="305"/>
  <c r="AX28" i="305"/>
  <c r="AZ28" i="305"/>
  <c r="AV28" i="305"/>
  <c r="AY28" i="305"/>
  <c r="BC28" i="305"/>
  <c r="AT28" i="305"/>
  <c r="AU28" i="305"/>
  <c r="BB28" i="305"/>
  <c r="AY32" i="305"/>
  <c r="AU32" i="305"/>
  <c r="BC32" i="305"/>
  <c r="BA32" i="305"/>
  <c r="AW32" i="305"/>
  <c r="AS32" i="305"/>
  <c r="AV32" i="305"/>
  <c r="AZ32" i="305"/>
  <c r="BB32" i="305"/>
  <c r="AX32" i="305"/>
  <c r="AT32" i="305"/>
  <c r="AR32" i="305"/>
  <c r="AR28" i="305"/>
  <c r="Y28" i="305"/>
  <c r="F28" i="305"/>
  <c r="F32" i="305"/>
  <c r="BD28" i="305" l="1"/>
  <c r="BD32" i="305"/>
  <c r="AK32" i="305"/>
  <c r="AK28" i="305"/>
  <c r="R32" i="305"/>
  <c r="R28" i="305"/>
  <c r="K96" i="120" l="1"/>
  <c r="K98" i="120" s="1"/>
  <c r="K24" i="120"/>
  <c r="K26" i="120" s="1"/>
  <c r="K28" i="120" s="1"/>
  <c r="H96" i="120"/>
  <c r="H98" i="120" s="1"/>
  <c r="H85" i="120"/>
  <c r="H86" i="120" s="1"/>
  <c r="H88" i="120" s="1"/>
  <c r="F70" i="215" l="1"/>
  <c r="E70" i="215"/>
  <c r="H60" i="120"/>
  <c r="H62" i="120" s="1"/>
  <c r="H65" i="5"/>
  <c r="H67" i="5" s="1"/>
  <c r="BD52" i="305" s="1"/>
  <c r="K49" i="120"/>
  <c r="K50" i="120" s="1"/>
  <c r="K52" i="120" s="1"/>
  <c r="H100" i="120"/>
  <c r="I96" i="120"/>
  <c r="I98" i="120" s="1"/>
  <c r="G96" i="120"/>
  <c r="G98" i="120" s="1"/>
  <c r="G65" i="5" s="1"/>
  <c r="G67" i="5" s="1"/>
  <c r="BD48" i="305" s="1"/>
  <c r="I85" i="120"/>
  <c r="I86" i="120" s="1"/>
  <c r="I88" i="120" s="1"/>
  <c r="L96" i="120"/>
  <c r="L98" i="120" s="1"/>
  <c r="M85" i="120"/>
  <c r="M86" i="120" s="1"/>
  <c r="M88" i="120" s="1"/>
  <c r="E85" i="120"/>
  <c r="E86" i="120" s="1"/>
  <c r="E88" i="120" s="1"/>
  <c r="D96" i="120"/>
  <c r="D98" i="120" s="1"/>
  <c r="E96" i="120"/>
  <c r="E98" i="120" s="1"/>
  <c r="M96" i="120"/>
  <c r="M98" i="120" s="1"/>
  <c r="K85" i="120"/>
  <c r="K60" i="120"/>
  <c r="K62" i="120" s="1"/>
  <c r="H49" i="120"/>
  <c r="H50" i="120" s="1"/>
  <c r="H52" i="120" s="1"/>
  <c r="H24" i="120"/>
  <c r="H26" i="120" s="1"/>
  <c r="BC49" i="305" l="1"/>
  <c r="AS49" i="305"/>
  <c r="AV49" i="305"/>
  <c r="AW49" i="305"/>
  <c r="AT49" i="305"/>
  <c r="AZ49" i="305"/>
  <c r="AX49" i="305"/>
  <c r="BB49" i="305"/>
  <c r="AY49" i="305"/>
  <c r="AU49" i="305"/>
  <c r="BA49" i="305"/>
  <c r="BA53" i="305"/>
  <c r="AV53" i="305"/>
  <c r="BC53" i="305"/>
  <c r="AU53" i="305"/>
  <c r="AW53" i="305"/>
  <c r="AS53" i="305"/>
  <c r="AT53" i="305"/>
  <c r="AX53" i="305"/>
  <c r="AZ53" i="305"/>
  <c r="AY53" i="305"/>
  <c r="BB53" i="305"/>
  <c r="H70" i="215"/>
  <c r="G70" i="215"/>
  <c r="H41" i="5"/>
  <c r="H60" i="5" s="1"/>
  <c r="H62" i="5" s="1"/>
  <c r="H69" i="5" s="1"/>
  <c r="F63" i="215"/>
  <c r="F65" i="215" s="1"/>
  <c r="F72" i="215" s="1"/>
  <c r="AR53" i="305"/>
  <c r="AR49" i="305"/>
  <c r="I60" i="120"/>
  <c r="I62" i="120" s="1"/>
  <c r="H64" i="120"/>
  <c r="I65" i="5"/>
  <c r="I67" i="5" s="1"/>
  <c r="BD56" i="305" s="1"/>
  <c r="E24" i="120"/>
  <c r="E26" i="120" s="1"/>
  <c r="E28" i="120" s="1"/>
  <c r="M60" i="120"/>
  <c r="M62" i="120" s="1"/>
  <c r="I100" i="120"/>
  <c r="E60" i="120"/>
  <c r="E62" i="120" s="1"/>
  <c r="E41" i="5" s="1"/>
  <c r="H65" i="189"/>
  <c r="H67" i="189" s="1"/>
  <c r="E49" i="120"/>
  <c r="E50" i="120" s="1"/>
  <c r="E52" i="120" s="1"/>
  <c r="F95" i="120"/>
  <c r="F96" i="120" s="1"/>
  <c r="F98" i="120" s="1"/>
  <c r="G65" i="189" s="1"/>
  <c r="G67" i="189" s="1"/>
  <c r="E100" i="120"/>
  <c r="K86" i="120"/>
  <c r="K88" i="120" s="1"/>
  <c r="K100" i="120" s="1"/>
  <c r="M100" i="120"/>
  <c r="L60" i="120"/>
  <c r="L62" i="120" s="1"/>
  <c r="L85" i="120"/>
  <c r="L86" i="120" s="1"/>
  <c r="L88" i="120" s="1"/>
  <c r="L100" i="120" s="1"/>
  <c r="L49" i="120"/>
  <c r="L24" i="120"/>
  <c r="L26" i="120" s="1"/>
  <c r="L28" i="120" s="1"/>
  <c r="F23" i="120"/>
  <c r="D49" i="120"/>
  <c r="D50" i="120" s="1"/>
  <c r="D52" i="120" s="1"/>
  <c r="D24" i="120"/>
  <c r="D26" i="120" s="1"/>
  <c r="G60" i="120"/>
  <c r="G62" i="120" s="1"/>
  <c r="G85" i="120"/>
  <c r="G86" i="120" s="1"/>
  <c r="G88" i="120" s="1"/>
  <c r="G100" i="120" s="1"/>
  <c r="G49" i="120"/>
  <c r="G50" i="120" s="1"/>
  <c r="G52" i="120" s="1"/>
  <c r="G24" i="120"/>
  <c r="G26" i="120" s="1"/>
  <c r="F59" i="120"/>
  <c r="F60" i="120" s="1"/>
  <c r="F62" i="120" s="1"/>
  <c r="D85" i="120"/>
  <c r="D86" i="120" s="1"/>
  <c r="D88" i="120" s="1"/>
  <c r="D100" i="120" s="1"/>
  <c r="D60" i="120"/>
  <c r="D62" i="120" s="1"/>
  <c r="D65" i="5"/>
  <c r="D67" i="5" s="1"/>
  <c r="BD36" i="305" s="1"/>
  <c r="E65" i="189"/>
  <c r="E67" i="189" s="1"/>
  <c r="I49" i="120"/>
  <c r="I50" i="120" s="1"/>
  <c r="I52" i="120" s="1"/>
  <c r="I24" i="120"/>
  <c r="I26" i="120" s="1"/>
  <c r="H17" i="5"/>
  <c r="H28" i="120"/>
  <c r="K64" i="120"/>
  <c r="E65" i="5"/>
  <c r="E67" i="5" s="1"/>
  <c r="BD40" i="305" s="1"/>
  <c r="F65" i="189"/>
  <c r="F67" i="189" s="1"/>
  <c r="M49" i="120"/>
  <c r="M50" i="120" s="1"/>
  <c r="M52" i="120" s="1"/>
  <c r="M24" i="120"/>
  <c r="M26" i="120" s="1"/>
  <c r="M28" i="120" s="1"/>
  <c r="H43" i="5" l="1"/>
  <c r="AK52" i="305" s="1"/>
  <c r="Z53" i="305" s="1"/>
  <c r="AX37" i="305"/>
  <c r="AV37" i="305"/>
  <c r="BC37" i="305"/>
  <c r="AY37" i="305"/>
  <c r="AS37" i="305"/>
  <c r="AW37" i="305"/>
  <c r="BA37" i="305"/>
  <c r="AZ37" i="305"/>
  <c r="BB37" i="305"/>
  <c r="AU37" i="305"/>
  <c r="AT37" i="305"/>
  <c r="AZ57" i="305"/>
  <c r="AT57" i="305"/>
  <c r="AU57" i="305"/>
  <c r="AW57" i="305"/>
  <c r="BA57" i="305"/>
  <c r="AV57" i="305"/>
  <c r="BB57" i="305"/>
  <c r="BC57" i="305"/>
  <c r="AS57" i="305"/>
  <c r="AY57" i="305"/>
  <c r="AX57" i="305"/>
  <c r="AV41" i="305"/>
  <c r="AY41" i="305"/>
  <c r="BB41" i="305"/>
  <c r="AX41" i="305"/>
  <c r="BA41" i="305"/>
  <c r="AU41" i="305"/>
  <c r="AS41" i="305"/>
  <c r="AZ41" i="305"/>
  <c r="AW41" i="305"/>
  <c r="BC41" i="305"/>
  <c r="AT41" i="305"/>
  <c r="H63" i="215"/>
  <c r="H65" i="215" s="1"/>
  <c r="H72" i="215" s="1"/>
  <c r="G63" i="215"/>
  <c r="G65" i="215" s="1"/>
  <c r="G72" i="215" s="1"/>
  <c r="AR57" i="305"/>
  <c r="AR41" i="305"/>
  <c r="AR37" i="305"/>
  <c r="I64" i="120"/>
  <c r="I41" i="5"/>
  <c r="I60" i="5" s="1"/>
  <c r="I62" i="5" s="1"/>
  <c r="I69" i="5" s="1"/>
  <c r="E45" i="215"/>
  <c r="F45" i="215"/>
  <c r="E17" i="5"/>
  <c r="E19" i="5" s="1"/>
  <c r="F17" i="189"/>
  <c r="F19" i="189" s="1"/>
  <c r="F21" i="189" s="1"/>
  <c r="E63" i="215"/>
  <c r="E65" i="215" s="1"/>
  <c r="E72" i="215" s="1"/>
  <c r="F41" i="189"/>
  <c r="F43" i="189" s="1"/>
  <c r="F24" i="120"/>
  <c r="F26" i="120" s="1"/>
  <c r="G17" i="189" s="1"/>
  <c r="M64" i="120"/>
  <c r="F65" i="5"/>
  <c r="F67" i="5" s="1"/>
  <c r="BD44" i="305" s="1"/>
  <c r="E64" i="120"/>
  <c r="I28" i="120"/>
  <c r="I17" i="5"/>
  <c r="E41" i="189"/>
  <c r="D41" i="5"/>
  <c r="D64" i="120"/>
  <c r="F41" i="5"/>
  <c r="G41" i="189"/>
  <c r="E60" i="5"/>
  <c r="E62" i="5" s="1"/>
  <c r="E69" i="5" s="1"/>
  <c r="E43" i="5"/>
  <c r="AK40" i="305" s="1"/>
  <c r="H36" i="5"/>
  <c r="H38" i="5" s="1"/>
  <c r="H19" i="5"/>
  <c r="H17" i="189"/>
  <c r="G17" i="5"/>
  <c r="G28" i="120"/>
  <c r="E38" i="215"/>
  <c r="E40" i="215" s="1"/>
  <c r="E20" i="215"/>
  <c r="E22" i="215" s="1"/>
  <c r="H41" i="189"/>
  <c r="G64" i="120"/>
  <c r="G41" i="5"/>
  <c r="D17" i="5"/>
  <c r="E17" i="189"/>
  <c r="D28" i="120"/>
  <c r="L50" i="120"/>
  <c r="L52" i="120" s="1"/>
  <c r="L64" i="120" s="1"/>
  <c r="F49" i="120"/>
  <c r="F50" i="120" s="1"/>
  <c r="F52" i="120" s="1"/>
  <c r="F64" i="120" s="1"/>
  <c r="F85" i="120"/>
  <c r="F86" i="120" s="1"/>
  <c r="F88" i="120" s="1"/>
  <c r="F100" i="120" s="1"/>
  <c r="I101" i="120" s="1"/>
  <c r="F38" i="215"/>
  <c r="F40" i="215" s="1"/>
  <c r="F20" i="215"/>
  <c r="F22" i="215" s="1"/>
  <c r="H45" i="5" l="1"/>
  <c r="Y53" i="305"/>
  <c r="AJ53" i="305"/>
  <c r="AB53" i="305"/>
  <c r="AI53" i="305"/>
  <c r="AA53" i="305"/>
  <c r="AG53" i="305"/>
  <c r="AC53" i="305"/>
  <c r="AH53" i="305"/>
  <c r="AD53" i="305"/>
  <c r="AF53" i="305"/>
  <c r="AE53" i="305"/>
  <c r="AY45" i="305"/>
  <c r="AX45" i="305"/>
  <c r="BB45" i="305"/>
  <c r="AZ45" i="305"/>
  <c r="BC45" i="305"/>
  <c r="AS45" i="305"/>
  <c r="AV45" i="305"/>
  <c r="AW45" i="305"/>
  <c r="BA45" i="305"/>
  <c r="AU45" i="305"/>
  <c r="AT45" i="305"/>
  <c r="AA41" i="305"/>
  <c r="AE41" i="305"/>
  <c r="AI41" i="305"/>
  <c r="Z41" i="305"/>
  <c r="AB41" i="305"/>
  <c r="AF41" i="305"/>
  <c r="AJ41" i="305"/>
  <c r="AH41" i="305"/>
  <c r="AC41" i="305"/>
  <c r="AG41" i="305"/>
  <c r="AD41" i="305"/>
  <c r="I43" i="5"/>
  <c r="AK56" i="305" s="1"/>
  <c r="Y57" i="305" s="1"/>
  <c r="G45" i="215"/>
  <c r="AR45" i="305"/>
  <c r="H45" i="215"/>
  <c r="Y41" i="305"/>
  <c r="E47" i="215"/>
  <c r="F47" i="215"/>
  <c r="E36" i="5"/>
  <c r="E38" i="5" s="1"/>
  <c r="E45" i="5" s="1"/>
  <c r="F60" i="189"/>
  <c r="F62" i="189" s="1"/>
  <c r="F69" i="189" s="1"/>
  <c r="F36" i="189"/>
  <c r="F38" i="189" s="1"/>
  <c r="F45" i="189" s="1"/>
  <c r="F28" i="120"/>
  <c r="I29" i="120" s="1"/>
  <c r="F17" i="5"/>
  <c r="F36" i="5" s="1"/>
  <c r="F38" i="5" s="1"/>
  <c r="R52" i="305"/>
  <c r="H21" i="5"/>
  <c r="G60" i="189"/>
  <c r="G62" i="189" s="1"/>
  <c r="G69" i="189" s="1"/>
  <c r="G43" i="189"/>
  <c r="E43" i="189"/>
  <c r="E60" i="189"/>
  <c r="E62" i="189" s="1"/>
  <c r="E69" i="189" s="1"/>
  <c r="E19" i="189"/>
  <c r="E21" i="189" s="1"/>
  <c r="E36" i="189"/>
  <c r="E38" i="189" s="1"/>
  <c r="H60" i="189"/>
  <c r="H62" i="189" s="1"/>
  <c r="H69" i="189" s="1"/>
  <c r="H43" i="189"/>
  <c r="G36" i="5"/>
  <c r="G38" i="5" s="1"/>
  <c r="G19" i="5"/>
  <c r="F60" i="5"/>
  <c r="F62" i="5" s="1"/>
  <c r="F69" i="5" s="1"/>
  <c r="F43" i="5"/>
  <c r="AK44" i="305" s="1"/>
  <c r="H19" i="189"/>
  <c r="H21" i="189" s="1"/>
  <c r="H36" i="189"/>
  <c r="H38" i="189" s="1"/>
  <c r="G19" i="189"/>
  <c r="G21" i="189" s="1"/>
  <c r="G36" i="189"/>
  <c r="G38" i="189" s="1"/>
  <c r="I65" i="120"/>
  <c r="G38" i="215"/>
  <c r="G40" i="215" s="1"/>
  <c r="G20" i="215"/>
  <c r="G22" i="215" s="1"/>
  <c r="D19" i="5"/>
  <c r="D36" i="5"/>
  <c r="D38" i="5" s="1"/>
  <c r="G60" i="5"/>
  <c r="G62" i="5" s="1"/>
  <c r="G69" i="5" s="1"/>
  <c r="G43" i="5"/>
  <c r="AK48" i="305" s="1"/>
  <c r="R40" i="305"/>
  <c r="E21" i="5"/>
  <c r="D60" i="5"/>
  <c r="D62" i="5" s="1"/>
  <c r="D69" i="5" s="1"/>
  <c r="D43" i="5"/>
  <c r="AK36" i="305" s="1"/>
  <c r="I19" i="5"/>
  <c r="I36" i="5"/>
  <c r="I38" i="5" s="1"/>
  <c r="H38" i="215"/>
  <c r="H40" i="215" s="1"/>
  <c r="H20" i="215"/>
  <c r="H22" i="215" s="1"/>
  <c r="I45" i="5" l="1"/>
  <c r="G47" i="215"/>
  <c r="I53" i="305"/>
  <c r="G53" i="305"/>
  <c r="P53" i="305"/>
  <c r="M53" i="305"/>
  <c r="Q53" i="305"/>
  <c r="N53" i="305"/>
  <c r="O53" i="305"/>
  <c r="H53" i="305"/>
  <c r="K53" i="305"/>
  <c r="J53" i="305"/>
  <c r="L53" i="305"/>
  <c r="AC49" i="305"/>
  <c r="AG49" i="305"/>
  <c r="Z49" i="305"/>
  <c r="AD49" i="305"/>
  <c r="AH49" i="305"/>
  <c r="AB49" i="305"/>
  <c r="AJ49" i="305"/>
  <c r="AA49" i="305"/>
  <c r="AE49" i="305"/>
  <c r="AI49" i="305"/>
  <c r="AF49" i="305"/>
  <c r="AA57" i="305"/>
  <c r="AE57" i="305"/>
  <c r="AI57" i="305"/>
  <c r="Z57" i="305"/>
  <c r="AB57" i="305"/>
  <c r="AF57" i="305"/>
  <c r="AJ57" i="305"/>
  <c r="AD57" i="305"/>
  <c r="AC57" i="305"/>
  <c r="AG57" i="305"/>
  <c r="AH57" i="305"/>
  <c r="Z37" i="305"/>
  <c r="AD37" i="305"/>
  <c r="AH37" i="305"/>
  <c r="AA37" i="305"/>
  <c r="AE37" i="305"/>
  <c r="AI37" i="305"/>
  <c r="AG37" i="305"/>
  <c r="AB37" i="305"/>
  <c r="AF37" i="305"/>
  <c r="AJ37" i="305"/>
  <c r="AC37" i="305"/>
  <c r="O41" i="305"/>
  <c r="N41" i="305"/>
  <c r="I41" i="305"/>
  <c r="Q41" i="305"/>
  <c r="L41" i="305"/>
  <c r="P41" i="305"/>
  <c r="G41" i="305"/>
  <c r="K41" i="305"/>
  <c r="J41" i="305"/>
  <c r="H41" i="305"/>
  <c r="M41" i="305"/>
  <c r="AB45" i="305"/>
  <c r="AF45" i="305"/>
  <c r="AJ45" i="305"/>
  <c r="AC45" i="305"/>
  <c r="AG45" i="305"/>
  <c r="AE45" i="305"/>
  <c r="Z45" i="305"/>
  <c r="AD45" i="305"/>
  <c r="AH45" i="305"/>
  <c r="AA45" i="305"/>
  <c r="AI45" i="305"/>
  <c r="H47" i="215"/>
  <c r="Y37" i="305"/>
  <c r="Y45" i="305"/>
  <c r="Y49" i="305"/>
  <c r="G45" i="189"/>
  <c r="F19" i="5"/>
  <c r="F21" i="5" s="1"/>
  <c r="F45" i="5"/>
  <c r="D45" i="5"/>
  <c r="G45" i="5"/>
  <c r="F41" i="305"/>
  <c r="R56" i="305"/>
  <c r="I21" i="5"/>
  <c r="D21" i="5"/>
  <c r="R36" i="305"/>
  <c r="H45" i="189"/>
  <c r="R48" i="305"/>
  <c r="G21" i="5"/>
  <c r="E45" i="189"/>
  <c r="F53" i="305"/>
  <c r="P37" i="305" l="1"/>
  <c r="M37" i="305"/>
  <c r="G37" i="305"/>
  <c r="Q37" i="305"/>
  <c r="O37" i="305"/>
  <c r="J37" i="305"/>
  <c r="K37" i="305"/>
  <c r="H37" i="305"/>
  <c r="N37" i="305"/>
  <c r="I37" i="305"/>
  <c r="L37" i="305"/>
  <c r="P49" i="305"/>
  <c r="L49" i="305"/>
  <c r="G49" i="305"/>
  <c r="I49" i="305"/>
  <c r="H49" i="305"/>
  <c r="K49" i="305"/>
  <c r="N49" i="305"/>
  <c r="Q49" i="305"/>
  <c r="O49" i="305"/>
  <c r="M49" i="305"/>
  <c r="J49" i="305"/>
  <c r="L57" i="305"/>
  <c r="G57" i="305"/>
  <c r="H57" i="305"/>
  <c r="O57" i="305"/>
  <c r="P57" i="305"/>
  <c r="J57" i="305"/>
  <c r="M57" i="305"/>
  <c r="I57" i="305"/>
  <c r="K57" i="305"/>
  <c r="Q57" i="305"/>
  <c r="N57" i="305"/>
  <c r="R44" i="305"/>
  <c r="R53" i="305"/>
  <c r="BD53" i="305"/>
  <c r="F37" i="305"/>
  <c r="AK41" i="305"/>
  <c r="BD41" i="305"/>
  <c r="F57" i="305"/>
  <c r="R41" i="305"/>
  <c r="AK53" i="305"/>
  <c r="F49" i="305"/>
  <c r="K45" i="305" l="1"/>
  <c r="G45" i="305"/>
  <c r="N45" i="305"/>
  <c r="H45" i="305"/>
  <c r="J45" i="305"/>
  <c r="O45" i="305"/>
  <c r="Q45" i="305"/>
  <c r="I45" i="305"/>
  <c r="L45" i="305"/>
  <c r="M45" i="305"/>
  <c r="P45" i="305"/>
  <c r="F45" i="305"/>
  <c r="BD45" i="305"/>
  <c r="BD49" i="305"/>
  <c r="AK57" i="305"/>
  <c r="AK37" i="305"/>
  <c r="R57" i="305"/>
  <c r="BD37" i="305"/>
  <c r="R49" i="305"/>
  <c r="AK49" i="305"/>
  <c r="BD57" i="305"/>
  <c r="R37" i="305"/>
  <c r="R45" i="305" l="1"/>
  <c r="AK45" i="305"/>
</calcChain>
</file>

<file path=xl/sharedStrings.xml><?xml version="1.0" encoding="utf-8"?>
<sst xmlns="http://schemas.openxmlformats.org/spreadsheetml/2006/main" count="674" uniqueCount="136">
  <si>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</si>
  <si>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</si>
  <si>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</si>
  <si>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</si>
  <si>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</si>
  <si>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</si>
  <si>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</si>
  <si>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</si>
  <si>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</si>
  <si>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</si>
  <si>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</si>
  <si>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</si>
  <si>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</si>
  <si>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</si>
  <si>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</si>
  <si>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</si>
  <si>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</si>
  <si>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</si>
  <si>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</si>
  <si>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</si>
  <si>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</si>
  <si>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</si>
  <si>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</si>
  <si>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</si>
  <si>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</si>
  <si>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</si>
  <si>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</si>
  <si>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</si>
  <si>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</si>
  <si>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</si>
  <si>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</si>
  <si>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</si>
  <si>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</si>
  <si>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Development of Monthly Allowed Delivery Revenue Per Customer</t>
  </si>
  <si>
    <t>% of Annual Total</t>
  </si>
  <si>
    <t>Sales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</si>
  <si>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</si>
  <si>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</si>
  <si>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</si>
  <si>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</si>
  <si>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</si>
  <si>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</si>
  <si>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</si>
  <si>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</si>
  <si>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</si>
  <si>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</si>
  <si>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</si>
  <si>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</si>
  <si>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</si>
  <si>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</si>
  <si>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</si>
  <si>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</si>
  <si>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</si>
  <si>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</si>
  <si>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</si>
  <si>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</si>
  <si>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</si>
  <si>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</si>
  <si>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</si>
  <si>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</si>
  <si>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</si>
  <si>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</si>
  <si>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</si>
  <si>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</si>
  <si>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</si>
  <si>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</si>
  <si>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</si>
  <si>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</si>
  <si>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</si>
  <si>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</si>
  <si>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</si>
  <si>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</si>
  <si>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</si>
  <si>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</si>
  <si>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</si>
  <si>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</si>
  <si>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Total Revenue</t>
  </si>
  <si>
    <t>Electric Decoupling Mechanism (Schedule 142)</t>
  </si>
  <si>
    <t>Net Revenue</t>
  </si>
  <si>
    <t>Net Delivery Revenue</t>
  </si>
  <si>
    <t xml:space="preserve">Demand Charge Revenue </t>
  </si>
  <si>
    <t xml:space="preserve">Special </t>
  </si>
  <si>
    <t>Contracts</t>
  </si>
  <si>
    <t>Special Contracts</t>
  </si>
  <si>
    <t>Current:</t>
  </si>
  <si>
    <t>Change in Net Delivery Revenue</t>
  </si>
  <si>
    <t>Proposed:</t>
  </si>
  <si>
    <t>Change in Annual Allowed Delivery Revenue Per Customer</t>
  </si>
  <si>
    <t>Change in Volumetric Delivery Revenue Per Unit ($/kWh)</t>
  </si>
  <si>
    <t>Tariff</t>
  </si>
  <si>
    <t>Sheet No. 142</t>
  </si>
  <si>
    <t>Change in Volumetric Delivery Revenue Per Unit ($/KW)</t>
  </si>
  <si>
    <t>Sheet No. 142-A</t>
  </si>
  <si>
    <t>(p)</t>
  </si>
  <si>
    <t>Sheet No. 142-B</t>
  </si>
  <si>
    <t>Sheet No. 142-C</t>
  </si>
  <si>
    <t xml:space="preserve">   Base Revenue </t>
  </si>
  <si>
    <t xml:space="preserve">   Non-Refundable: SCH 141N Base Revenue</t>
  </si>
  <si>
    <t xml:space="preserve">   Refundable: SCH 141R Base Revenue</t>
  </si>
  <si>
    <t>Proposed Effective January 1, 2023</t>
  </si>
  <si>
    <t>Proposed Effective January 1, 2024</t>
  </si>
  <si>
    <t>Proposed Effective January 1, 2025</t>
  </si>
  <si>
    <t>F2021 Forecasted Customers</t>
  </si>
  <si>
    <t>F2021 Forecasted Volumes (KWHs)</t>
  </si>
  <si>
    <t>F2021 Forecasted Volumes (KWs)</t>
  </si>
  <si>
    <t>Forecasted Delivered Volumes</t>
  </si>
  <si>
    <t>TOTAL Change in Net Delivery Revenue</t>
  </si>
  <si>
    <t>2019 GRC PLR filing (UE-190529), Exhibit JAP-11, Page 1</t>
  </si>
  <si>
    <t>Work Papers, Exhibit A-1</t>
  </si>
  <si>
    <t>Note: Decoupling Net Delivery Revenue for 2023-2025 excludes Colstrip revenues as they are being re-classed to it's own tracker under Schedule 141C, which is excluded from Decoupling Mechanism.</t>
  </si>
  <si>
    <t>2019 GRC PLR filing (UE-190529), Exhibit JAP-11, Page 2</t>
  </si>
  <si>
    <t>Exhibit BDJ-9, Page 1</t>
  </si>
  <si>
    <t>Exhibit BDJ-9, Page 2</t>
  </si>
  <si>
    <t>Exhibit BDJ-5, ELECTRIC RATE SPREAD DESIGN</t>
  </si>
  <si>
    <t>2019 GRC PLR filing (UE-190529), Exhibit JAP-11, Page 3</t>
  </si>
  <si>
    <t>2018 GRC PLR filing (UE-190529), Exhibit JAP-11, Page 3</t>
  </si>
  <si>
    <t>Table of Contents</t>
  </si>
  <si>
    <t xml:space="preserve">Category </t>
  </si>
  <si>
    <t xml:space="preserve">Exhibit </t>
  </si>
  <si>
    <t>Exhibit BDJ-9, Page 3</t>
  </si>
  <si>
    <t>Exhibit BDJ-9, Page 3a</t>
  </si>
  <si>
    <t>Exhibit BDJ-9, Page 4-6</t>
  </si>
  <si>
    <t>7 (7D1, 7D2)</t>
  </si>
  <si>
    <t>Schedule 7 (7D1, 7D2)</t>
  </si>
  <si>
    <t>Schedule 7  (7D1, 7D2)</t>
  </si>
  <si>
    <t>Exhibit BDJ-3, Electric F2021 Billing Determinants</t>
  </si>
  <si>
    <t>2022 General Rate Case (GRC)</t>
  </si>
  <si>
    <t>Electric Delivery Decoupling Mechanism (Schedule 142)</t>
  </si>
  <si>
    <t>Links from Other Spreadsheets</t>
  </si>
  <si>
    <t>NEW-PSE-WP-BDJ-5-ELEC-RATE-SPREAD-DESIGN-22GRC-01-2022.xlsx</t>
  </si>
  <si>
    <t>NEW-PSE-WP-BDJ-3-ELEC-F2021-BILL-DETERMINANTS-22GRC-01-2022.xlsx</t>
  </si>
  <si>
    <t>NEW-PSE-WP-BDJ-5-ELEC-RATE-SPREAD-DESIGN-22GRC-01-2022.xlsx, NEW-PSE-WP-BDJ-3-ELEC-F2021-BILL-DETERMINANTS-22GRC-01-2022.xlsx</t>
  </si>
  <si>
    <t>Sheet No. 142-D</t>
  </si>
  <si>
    <t>Sheet No. 142-E</t>
  </si>
  <si>
    <t>Sheet No. 142-F</t>
  </si>
  <si>
    <t>Sheet No. 142-G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</si>
</sst>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74" formatCode="_(&quot;$&quot;* #,##0.00000_);_(&quot;$&quot;* \(#,##0.00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b/>
      <i/>
      <u/>
      <sz val="8"/>
      <name val="Arial"/>
      <family val="2"/>
    </font>
    <font>
      <u/>
      <sz val="8"/>
      <name val="Arial"/>
      <family val="2"/>
    </font>
    <font>
      <sz val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9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65" fontId="1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1" fillId="0" borderId="3" xfId="0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165" fontId="1" fillId="0" borderId="0" xfId="0" applyNumberFormat="1" applyFont="1" applyFill="1" applyBorder="1"/>
    <xf numFmtId="165" fontId="1" fillId="0" borderId="3" xfId="0" applyNumberFormat="1" applyFont="1" applyFill="1" applyBorder="1"/>
    <xf numFmtId="165" fontId="1" fillId="0" borderId="2" xfId="0" applyNumberFormat="1" applyFont="1" applyFill="1" applyBorder="1"/>
    <xf numFmtId="0" fontId="6" fillId="0" borderId="0" xfId="0" applyFont="1" applyFill="1"/>
    <xf numFmtId="164" fontId="1" fillId="0" borderId="0" xfId="0" applyNumberFormat="1" applyFont="1" applyFill="1" applyBorder="1"/>
    <xf numFmtId="44" fontId="1" fillId="0" borderId="0" xfId="0" applyNumberFormat="1" applyFont="1" applyFill="1" applyAlignment="1">
      <alignment horizontal="center"/>
    </xf>
    <xf numFmtId="4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7" fillId="0" borderId="0" xfId="0" applyFont="1" applyFill="1"/>
    <xf numFmtId="44" fontId="1" fillId="0" borderId="1" xfId="0" applyNumberFormat="1" applyFont="1" applyFill="1" applyBorder="1"/>
    <xf numFmtId="0" fontId="1" fillId="0" borderId="3" xfId="0" applyFont="1" applyFill="1" applyBorder="1" applyAlignment="1"/>
    <xf numFmtId="167" fontId="1" fillId="0" borderId="1" xfId="0" applyNumberFormat="1" applyFont="1" applyFill="1" applyBorder="1"/>
    <xf numFmtId="0" fontId="7" fillId="0" borderId="0" xfId="0" applyFont="1" applyFill="1" applyAlignment="1"/>
    <xf numFmtId="0" fontId="8" fillId="0" borderId="0" xfId="0" applyFont="1" applyFill="1"/>
    <xf numFmtId="174" fontId="7" fillId="0" borderId="0" xfId="0" applyNumberFormat="1" applyFont="1" applyFill="1"/>
    <xf numFmtId="0" fontId="4" fillId="2" borderId="0" xfId="0" applyFont="1" applyFill="1"/>
    <xf numFmtId="0" fontId="1" fillId="2" borderId="0" xfId="0" applyFont="1" applyFill="1"/>
    <xf numFmtId="0" fontId="8" fillId="0" borderId="0" xfId="0" applyFont="1"/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5" fontId="1" fillId="0" borderId="3" xfId="0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167" fontId="1" fillId="0" borderId="0" xfId="0" applyNumberFormat="1" applyFont="1" applyFill="1"/>
    <xf numFmtId="0" fontId="2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/>
    <xf numFmtId="44" fontId="1" fillId="0" borderId="0" xfId="0" applyNumberFormat="1" applyFont="1" applyFill="1" applyBorder="1" applyAlignment="1">
      <alignment horizontal="center"/>
    </xf>
    <xf numFmtId="4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/>
    <xf numFmtId="0" fontId="9" fillId="0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pane ySplit="5" topLeftCell="A6" activePane="bottomLeft" state="frozen"/>
      <selection pane="bottomLeft" activeCell="D21" sqref="D21"/>
    </sheetView>
  </sheetViews>
  <sheetFormatPr defaultRowHeight="11.25" x14ac:dyDescent="0.2"/>
  <cols>
    <col min="1" max="1" width="2.7109375" style="49" customWidth="1"/>
    <col min="2" max="2" width="21.140625" style="49" bestFit="1" customWidth="1"/>
    <col min="3" max="3" width="9.85546875" style="49" bestFit="1" customWidth="1"/>
    <col min="4" max="4" width="108.5703125" style="49" bestFit="1" customWidth="1"/>
    <col min="5" max="16384" width="9.140625" style="49"/>
  </cols>
  <sheetData>
    <row r="1" spans="1:11" s="45" customFormat="1" x14ac:dyDescent="0.2">
      <c r="A1" s="59" t="str">
        <f>'Exhibit BDJ-9, Page 1'!A1:M1</f>
        <v>Puget Sound Energy</v>
      </c>
      <c r="B1" s="59"/>
    </row>
    <row r="2" spans="1:11" s="45" customFormat="1" x14ac:dyDescent="0.2">
      <c r="A2" s="59" t="str">
        <f>'Exhibit BDJ-9, Page 1'!A2:M2</f>
        <v>2022 General Rate Case (GRC)</v>
      </c>
      <c r="B2" s="59"/>
    </row>
    <row r="3" spans="1:11" s="45" customFormat="1" x14ac:dyDescent="0.2">
      <c r="A3" s="59" t="str">
        <f>'Exhibit BDJ-9, Page 1'!A3:M3</f>
        <v>Electric Delivery Decoupling Mechanism (Schedule 142)</v>
      </c>
      <c r="B3" s="59"/>
    </row>
    <row r="4" spans="1:11" s="45" customFormat="1" x14ac:dyDescent="0.2">
      <c r="B4" s="60"/>
    </row>
    <row r="5" spans="1:11" s="45" customFormat="1" x14ac:dyDescent="0.2">
      <c r="B5" s="59" t="s">
        <v>116</v>
      </c>
      <c r="C5" s="59" t="s">
        <v>117</v>
      </c>
      <c r="D5" s="67" t="s">
        <v>128</v>
      </c>
      <c r="E5" s="49"/>
      <c r="F5" s="49"/>
      <c r="G5" s="49"/>
      <c r="H5" s="49"/>
      <c r="I5" s="49"/>
      <c r="J5" s="49"/>
      <c r="K5" s="49"/>
    </row>
    <row r="7" spans="1:11" x14ac:dyDescent="0.2">
      <c r="B7" s="61" t="s">
        <v>111</v>
      </c>
      <c r="C7" s="49" t="s">
        <v>118</v>
      </c>
      <c r="D7" s="49" t="s">
        <v>129</v>
      </c>
    </row>
    <row r="8" spans="1:11" x14ac:dyDescent="0.2">
      <c r="B8" s="61" t="s">
        <v>112</v>
      </c>
      <c r="C8" s="49" t="s">
        <v>118</v>
      </c>
      <c r="D8" s="49" t="s">
        <v>130</v>
      </c>
    </row>
    <row r="9" spans="1:11" x14ac:dyDescent="0.2">
      <c r="B9" s="61" t="s">
        <v>119</v>
      </c>
      <c r="C9" s="49" t="s">
        <v>118</v>
      </c>
      <c r="D9" s="49" t="s">
        <v>130</v>
      </c>
    </row>
    <row r="10" spans="1:11" x14ac:dyDescent="0.2">
      <c r="B10" s="61" t="s">
        <v>120</v>
      </c>
      <c r="C10" s="49" t="s">
        <v>118</v>
      </c>
      <c r="D10" s="49" t="s">
        <v>131</v>
      </c>
    </row>
    <row r="11" spans="1:11" x14ac:dyDescent="0.2">
      <c r="B11" s="61" t="s">
        <v>121</v>
      </c>
      <c r="C11" s="49" t="s">
        <v>118</v>
      </c>
      <c r="D11" s="49" t="s">
        <v>130</v>
      </c>
    </row>
  </sheetData>
  <hyperlinks>
    <hyperlink ref="B7" location="'Exhibit BDJ-9, Page 1'!A1" display="Exhibit BDJ-9, Page 1"/>
    <hyperlink ref="B8" location="'Exhibit BDJ-9, Page 2'!A1" display="Exhibit BDJ-9, Page 2"/>
    <hyperlink ref="B9" location="'Exhibit BDJ-9, Page 3'!A1" display="Exhibit BDJ-9, Page 3"/>
    <hyperlink ref="B10" location="'Exhibit BDJ-9, Page 3a'!A1" display="Exhibit BDJ-9, Page 3a"/>
    <hyperlink ref="B11" location="'Exhibit BDJ-9, Page 4-6'!A1" display="Exhibit BDJ-9, Page 4-6"/>
  </hyperlink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M105"/>
  <sheetViews>
    <sheetView workbookViewId="0">
      <pane ySplit="9" topLeftCell="A10" activePane="bottomLeft" state="frozen"/>
      <selection activeCell="D67" sqref="D67"/>
      <selection pane="bottomLeft" activeCell="I101" sqref="I101"/>
    </sheetView>
  </sheetViews>
  <sheetFormatPr defaultColWidth="8.85546875" defaultRowHeight="11.25" x14ac:dyDescent="0.2"/>
  <cols>
    <col min="1" max="1" width="5.28515625" style="24" customWidth="1"/>
    <col min="2" max="2" width="32.28515625" style="24" customWidth="1"/>
    <col min="3" max="3" width="39.85546875" style="24" bestFit="1" customWidth="1"/>
    <col min="4" max="4" width="15.28515625" style="24" bestFit="1" customWidth="1"/>
    <col min="5" max="5" width="12.85546875" style="24" bestFit="1" customWidth="1"/>
    <col min="6" max="6" width="17.28515625" style="24" bestFit="1" customWidth="1"/>
    <col min="7" max="7" width="10.85546875" style="24" bestFit="1" customWidth="1"/>
    <col min="8" max="9" width="12.85546875" style="24" bestFit="1" customWidth="1"/>
    <col min="10" max="10" width="0.85546875" style="24" customWidth="1"/>
    <col min="11" max="11" width="12.85546875" style="24" bestFit="1" customWidth="1"/>
    <col min="12" max="12" width="9.85546875" style="24" bestFit="1" customWidth="1"/>
    <col min="13" max="13" width="12.140625" style="24" bestFit="1" customWidth="1"/>
    <col min="14" max="16384" width="8.85546875" style="24"/>
  </cols>
  <sheetData>
    <row r="1" spans="1:13" x14ac:dyDescent="0.2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A2" s="5" t="s">
        <v>126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">
      <c r="A3" s="5" t="s">
        <v>127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">
      <c r="A4" s="5" t="s">
        <v>73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5" t="s">
        <v>99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x14ac:dyDescent="0.2">
      <c r="A7" s="7"/>
      <c r="B7" s="58"/>
      <c r="C7" s="58"/>
      <c r="D7" s="58"/>
      <c r="E7" s="58"/>
      <c r="F7" s="58"/>
      <c r="G7" s="58"/>
      <c r="H7" s="58"/>
      <c r="J7" s="58"/>
      <c r="K7" s="58"/>
      <c r="L7" s="58"/>
      <c r="M7" s="58"/>
    </row>
    <row r="8" spans="1:13" ht="15" customHeight="1" x14ac:dyDescent="0.2">
      <c r="A8" s="8" t="s">
        <v>52</v>
      </c>
      <c r="B8" s="58"/>
      <c r="C8" s="58"/>
      <c r="D8" s="58" t="s">
        <v>54</v>
      </c>
      <c r="E8" s="58" t="s">
        <v>55</v>
      </c>
      <c r="F8" s="58" t="s">
        <v>55</v>
      </c>
      <c r="G8" s="58" t="s">
        <v>81</v>
      </c>
      <c r="H8" s="58" t="s">
        <v>55</v>
      </c>
      <c r="I8" s="58" t="s">
        <v>55</v>
      </c>
      <c r="J8" s="58"/>
      <c r="K8" s="58" t="s">
        <v>55</v>
      </c>
      <c r="L8" s="58" t="s">
        <v>32</v>
      </c>
      <c r="M8" s="58" t="s">
        <v>32</v>
      </c>
    </row>
    <row r="9" spans="1:13" ht="15" customHeight="1" x14ac:dyDescent="0.2">
      <c r="A9" s="9" t="s">
        <v>53</v>
      </c>
      <c r="B9" s="28"/>
      <c r="C9" s="10" t="s">
        <v>14</v>
      </c>
      <c r="D9" s="11" t="s">
        <v>122</v>
      </c>
      <c r="E9" s="11" t="s">
        <v>39</v>
      </c>
      <c r="F9" s="11" t="s">
        <v>56</v>
      </c>
      <c r="G9" s="11" t="s">
        <v>82</v>
      </c>
      <c r="H9" s="11" t="s">
        <v>40</v>
      </c>
      <c r="I9" s="11" t="s">
        <v>41</v>
      </c>
      <c r="J9" s="12"/>
      <c r="K9" s="11" t="s">
        <v>57</v>
      </c>
      <c r="L9" s="11">
        <v>35</v>
      </c>
      <c r="M9" s="11">
        <v>43</v>
      </c>
    </row>
    <row r="10" spans="1:13" x14ac:dyDescent="0.2">
      <c r="B10" s="23" t="s">
        <v>13</v>
      </c>
      <c r="C10" s="23" t="s">
        <v>12</v>
      </c>
      <c r="D10" s="23" t="s">
        <v>11</v>
      </c>
      <c r="E10" s="23" t="s">
        <v>10</v>
      </c>
      <c r="F10" s="23" t="s">
        <v>66</v>
      </c>
      <c r="G10" s="23" t="s">
        <v>8</v>
      </c>
      <c r="H10" s="23" t="s">
        <v>7</v>
      </c>
      <c r="I10" s="23" t="s">
        <v>6</v>
      </c>
      <c r="J10" s="29"/>
      <c r="K10" s="23" t="s">
        <v>5</v>
      </c>
      <c r="L10" s="23" t="s">
        <v>4</v>
      </c>
      <c r="M10" s="23" t="s">
        <v>3</v>
      </c>
    </row>
    <row r="11" spans="1:13" x14ac:dyDescent="0.2">
      <c r="A11" s="23">
        <v>1</v>
      </c>
      <c r="B11" s="30" t="s">
        <v>84</v>
      </c>
      <c r="C11" s="23"/>
      <c r="D11" s="23"/>
      <c r="E11" s="23"/>
      <c r="F11" s="23"/>
      <c r="G11" s="23"/>
      <c r="H11" s="23"/>
      <c r="I11" s="23"/>
      <c r="J11" s="29"/>
      <c r="K11" s="23"/>
      <c r="L11" s="23"/>
      <c r="M11" s="23"/>
    </row>
    <row r="12" spans="1:13" x14ac:dyDescent="0.2">
      <c r="A12" s="23">
        <f>A11+1</f>
        <v>2</v>
      </c>
      <c r="B12" s="31" t="s">
        <v>76</v>
      </c>
      <c r="C12" s="21" t="s">
        <v>107</v>
      </c>
      <c r="D12" s="32">
        <v>1156294307.3424428</v>
      </c>
      <c r="E12" s="32">
        <v>274527313.31068516</v>
      </c>
      <c r="F12" s="32">
        <f>SUM(K12:M12)</f>
        <v>290586570</v>
      </c>
      <c r="G12" s="32">
        <v>4307499.4600000009</v>
      </c>
      <c r="H12" s="32">
        <v>165231525</v>
      </c>
      <c r="I12" s="32">
        <v>117996252</v>
      </c>
      <c r="J12" s="32"/>
      <c r="K12" s="32">
        <v>279129142</v>
      </c>
      <c r="L12" s="32">
        <v>284925</v>
      </c>
      <c r="M12" s="32">
        <v>11172503</v>
      </c>
    </row>
    <row r="13" spans="1:13" x14ac:dyDescent="0.2">
      <c r="A13" s="23">
        <f t="shared" ref="A13:A29" si="0">A12+1</f>
        <v>3</v>
      </c>
      <c r="B13" s="24" t="s">
        <v>43</v>
      </c>
      <c r="C13" s="23" t="str">
        <f>C12</f>
        <v>2019 GRC PLR filing (UE-190529), Exhibit JAP-11, Page 1</v>
      </c>
      <c r="D13" s="33">
        <v>668366488.67849636</v>
      </c>
      <c r="E13" s="33">
        <v>165584070.69943342</v>
      </c>
      <c r="F13" s="33">
        <f>SUM(K13:M13)</f>
        <v>188002791.59632069</v>
      </c>
      <c r="G13" s="33">
        <v>0</v>
      </c>
      <c r="H13" s="33">
        <v>112387716.76588084</v>
      </c>
      <c r="I13" s="33">
        <v>78442408.127806216</v>
      </c>
      <c r="J13" s="33"/>
      <c r="K13" s="33">
        <v>182408538.13692743</v>
      </c>
      <c r="L13" s="33">
        <v>196150.77755635974</v>
      </c>
      <c r="M13" s="33">
        <v>5398102.6818369012</v>
      </c>
    </row>
    <row r="14" spans="1:13" x14ac:dyDescent="0.2">
      <c r="A14" s="23">
        <f t="shared" si="0"/>
        <v>4</v>
      </c>
      <c r="B14" s="31" t="s">
        <v>78</v>
      </c>
      <c r="C14" s="23" t="str">
        <f>"("&amp;A12&amp;") - ("&amp;A$13&amp;")"</f>
        <v>(2) - (3)</v>
      </c>
      <c r="D14" s="25">
        <f>D12-D13</f>
        <v>487927818.66394639</v>
      </c>
      <c r="E14" s="25">
        <f t="shared" ref="E14:L14" si="1">E12-E13</f>
        <v>108943242.61125174</v>
      </c>
      <c r="F14" s="25">
        <f t="shared" si="1"/>
        <v>102583778.40367931</v>
      </c>
      <c r="G14" s="25">
        <f>G12-G13</f>
        <v>4307499.4600000009</v>
      </c>
      <c r="H14" s="25">
        <f>H12-H13</f>
        <v>52843808.234119162</v>
      </c>
      <c r="I14" s="25">
        <f>I12-I13</f>
        <v>39553843.872193784</v>
      </c>
      <c r="J14" s="32"/>
      <c r="K14" s="25">
        <f t="shared" si="1"/>
        <v>96720603.863072574</v>
      </c>
      <c r="L14" s="25">
        <f t="shared" si="1"/>
        <v>88774.222443640261</v>
      </c>
      <c r="M14" s="25">
        <f>M12-M13</f>
        <v>5774400.3181630988</v>
      </c>
    </row>
    <row r="15" spans="1:13" x14ac:dyDescent="0.2">
      <c r="A15" s="23">
        <f t="shared" si="0"/>
        <v>5</v>
      </c>
      <c r="B15" s="24" t="s">
        <v>42</v>
      </c>
      <c r="C15" s="23" t="str">
        <f>C13</f>
        <v>2019 GRC PLR filing (UE-190529), Exhibit JAP-11, Page 1</v>
      </c>
      <c r="D15" s="25">
        <v>92631640</v>
      </c>
      <c r="E15" s="25">
        <v>23342965</v>
      </c>
      <c r="F15" s="25">
        <f>SUM(K15:M15)</f>
        <v>5894799</v>
      </c>
      <c r="G15" s="25">
        <v>278480</v>
      </c>
      <c r="H15" s="25">
        <v>1133778</v>
      </c>
      <c r="I15" s="25">
        <v>2127890</v>
      </c>
      <c r="J15" s="32"/>
      <c r="K15" s="25">
        <v>5209735</v>
      </c>
      <c r="L15" s="25">
        <v>13966</v>
      </c>
      <c r="M15" s="25">
        <v>671098</v>
      </c>
    </row>
    <row r="16" spans="1:13" ht="12" thickBot="1" x14ac:dyDescent="0.25">
      <c r="A16" s="23">
        <f t="shared" si="0"/>
        <v>6</v>
      </c>
      <c r="B16" s="24" t="s">
        <v>79</v>
      </c>
      <c r="C16" s="23" t="str">
        <f>"("&amp;A14&amp;") - ("&amp;A15&amp;")"</f>
        <v>(4) - (5)</v>
      </c>
      <c r="D16" s="34">
        <f t="shared" ref="D16:I16" si="2">D14-D15</f>
        <v>395296178.66394639</v>
      </c>
      <c r="E16" s="34">
        <f t="shared" si="2"/>
        <v>85600277.611251742</v>
      </c>
      <c r="F16" s="34">
        <f t="shared" si="2"/>
        <v>96688979.403679311</v>
      </c>
      <c r="G16" s="34">
        <f t="shared" si="2"/>
        <v>4029019.4600000009</v>
      </c>
      <c r="H16" s="34">
        <f t="shared" si="2"/>
        <v>51710030.234119162</v>
      </c>
      <c r="I16" s="34">
        <f t="shared" si="2"/>
        <v>37425953.872193784</v>
      </c>
      <c r="J16" s="25"/>
      <c r="K16" s="34">
        <f>K14-K15</f>
        <v>91510868.863072574</v>
      </c>
      <c r="L16" s="34">
        <f>L14-L15</f>
        <v>74808.222443640261</v>
      </c>
      <c r="M16" s="34">
        <f>M14-M15</f>
        <v>5103302.3181630988</v>
      </c>
    </row>
    <row r="17" spans="1:13" ht="12" thickTop="1" x14ac:dyDescent="0.2">
      <c r="A17" s="23">
        <f t="shared" si="0"/>
        <v>7</v>
      </c>
      <c r="B17" s="23"/>
      <c r="C17" s="23"/>
      <c r="D17" s="23"/>
      <c r="E17" s="23"/>
      <c r="F17" s="23"/>
      <c r="G17" s="23"/>
      <c r="H17" s="23"/>
      <c r="I17" s="23"/>
      <c r="J17" s="29"/>
      <c r="K17" s="23"/>
      <c r="L17" s="23"/>
      <c r="M17" s="23"/>
    </row>
    <row r="18" spans="1:13" x14ac:dyDescent="0.2">
      <c r="A18" s="23">
        <f t="shared" si="0"/>
        <v>8</v>
      </c>
      <c r="B18" s="30" t="s">
        <v>86</v>
      </c>
      <c r="C18" s="23"/>
      <c r="D18" s="23"/>
      <c r="E18" s="23"/>
      <c r="F18" s="23"/>
      <c r="G18" s="23"/>
      <c r="H18" s="23"/>
      <c r="I18" s="23"/>
      <c r="J18" s="29"/>
      <c r="K18" s="23"/>
      <c r="L18" s="23"/>
      <c r="M18" s="23"/>
    </row>
    <row r="19" spans="1:13" x14ac:dyDescent="0.2">
      <c r="A19" s="23">
        <f t="shared" si="0"/>
        <v>9</v>
      </c>
      <c r="B19" s="24" t="s">
        <v>96</v>
      </c>
      <c r="C19" s="23" t="s">
        <v>113</v>
      </c>
      <c r="D19" s="50">
        <v>1175312850.6165421</v>
      </c>
      <c r="E19" s="50">
        <v>273738372.75700003</v>
      </c>
      <c r="F19" s="55">
        <f t="shared" ref="F19:F23" si="3">SUM(K19:M19)</f>
        <v>283057371.19551873</v>
      </c>
      <c r="G19" s="50">
        <v>3652186.5759924036</v>
      </c>
      <c r="H19" s="50">
        <v>154385468.83613479</v>
      </c>
      <c r="I19" s="50">
        <v>111273840.61178441</v>
      </c>
      <c r="J19" s="51"/>
      <c r="K19" s="50">
        <v>272040083.29921466</v>
      </c>
      <c r="L19" s="50">
        <v>291013.96987387829</v>
      </c>
      <c r="M19" s="50">
        <v>10726273.926430142</v>
      </c>
    </row>
    <row r="20" spans="1:13" x14ac:dyDescent="0.2">
      <c r="A20" s="23">
        <f t="shared" si="0"/>
        <v>10</v>
      </c>
      <c r="B20" s="24" t="s">
        <v>97</v>
      </c>
      <c r="C20" s="23" t="str">
        <f>C19</f>
        <v>Exhibit BDJ-5, ELECTRIC RATE SPREAD DESIGN</v>
      </c>
      <c r="D20" s="51">
        <v>145082543.23199999</v>
      </c>
      <c r="E20" s="51">
        <v>27971756.577</v>
      </c>
      <c r="F20" s="55">
        <f t="shared" si="3"/>
        <v>31678509.490000006</v>
      </c>
      <c r="G20" s="51">
        <v>692596.41800000006</v>
      </c>
      <c r="H20" s="51">
        <v>16688536.657</v>
      </c>
      <c r="I20" s="51">
        <v>12020040.192000002</v>
      </c>
      <c r="J20" s="51"/>
      <c r="K20" s="51">
        <v>30598093.352000006</v>
      </c>
      <c r="L20" s="51">
        <v>58781.777999999998</v>
      </c>
      <c r="M20" s="51">
        <v>1021634.3600000001</v>
      </c>
    </row>
    <row r="21" spans="1:13" x14ac:dyDescent="0.2">
      <c r="A21" s="23">
        <f t="shared" si="0"/>
        <v>11</v>
      </c>
      <c r="B21" s="24" t="s">
        <v>98</v>
      </c>
      <c r="C21" s="23" t="str">
        <f>C20</f>
        <v>Exhibit BDJ-5, ELECTRIC RATE SPREAD DESIGN</v>
      </c>
      <c r="D21" s="52">
        <v>61694789.616000004</v>
      </c>
      <c r="E21" s="52">
        <v>11893863.897</v>
      </c>
      <c r="F21" s="54">
        <f t="shared" si="3"/>
        <v>13469969.612000002</v>
      </c>
      <c r="G21" s="52">
        <v>294635.66800000001</v>
      </c>
      <c r="H21" s="52">
        <v>7096244.875</v>
      </c>
      <c r="I21" s="52">
        <v>5110914.6960000005</v>
      </c>
      <c r="J21" s="52"/>
      <c r="K21" s="52">
        <v>13010627.682000002</v>
      </c>
      <c r="L21" s="52">
        <v>24993.68</v>
      </c>
      <c r="M21" s="52">
        <v>434348.25</v>
      </c>
    </row>
    <row r="22" spans="1:13" x14ac:dyDescent="0.2">
      <c r="A22" s="23">
        <f t="shared" si="0"/>
        <v>12</v>
      </c>
      <c r="B22" s="31" t="s">
        <v>76</v>
      </c>
      <c r="C22" s="23" t="str">
        <f>"("&amp;A19&amp;") + ("&amp;A20&amp;")+ ("&amp;A21&amp;")"</f>
        <v>(9) + (10)+ (11)</v>
      </c>
      <c r="D22" s="25">
        <f>SUM(D19:D21)</f>
        <v>1382090183.4645422</v>
      </c>
      <c r="E22" s="25">
        <f>SUM(E19:E21)</f>
        <v>313603993.23100007</v>
      </c>
      <c r="F22" s="25">
        <f t="shared" si="3"/>
        <v>328205850.29751861</v>
      </c>
      <c r="G22" s="25">
        <f>SUM(G19:G21)</f>
        <v>4639418.6619924027</v>
      </c>
      <c r="H22" s="25">
        <f>SUM(H19:H21)</f>
        <v>178170250.3681348</v>
      </c>
      <c r="I22" s="25">
        <f>SUM(I19:I21)</f>
        <v>128404795.49978441</v>
      </c>
      <c r="J22" s="32"/>
      <c r="K22" s="25">
        <f>SUM(K19:K21)</f>
        <v>315648804.33321464</v>
      </c>
      <c r="L22" s="25">
        <f>SUM(L19:L21)</f>
        <v>374789.42787387827</v>
      </c>
      <c r="M22" s="25">
        <f>SUM(M19:M21)</f>
        <v>12182256.536430141</v>
      </c>
    </row>
    <row r="23" spans="1:13" x14ac:dyDescent="0.2">
      <c r="A23" s="23">
        <f t="shared" si="0"/>
        <v>13</v>
      </c>
      <c r="B23" s="24" t="s">
        <v>43</v>
      </c>
      <c r="C23" s="23" t="s">
        <v>108</v>
      </c>
      <c r="D23" s="33">
        <v>752276193.5014255</v>
      </c>
      <c r="E23" s="33">
        <v>172167076.06492957</v>
      </c>
      <c r="F23" s="33">
        <f t="shared" si="3"/>
        <v>191511833.90154251</v>
      </c>
      <c r="G23" s="33">
        <v>0</v>
      </c>
      <c r="H23" s="33">
        <v>112146329.63849913</v>
      </c>
      <c r="I23" s="33">
        <v>78984851.518523991</v>
      </c>
      <c r="J23" s="32"/>
      <c r="K23" s="33">
        <v>186006072.31010938</v>
      </c>
      <c r="L23" s="33">
        <v>243679.31427376508</v>
      </c>
      <c r="M23" s="33">
        <v>5262082.2771593546</v>
      </c>
    </row>
    <row r="24" spans="1:13" x14ac:dyDescent="0.2">
      <c r="A24" s="23">
        <f t="shared" si="0"/>
        <v>14</v>
      </c>
      <c r="B24" s="31" t="s">
        <v>78</v>
      </c>
      <c r="C24" s="23" t="str">
        <f>"("&amp;A22&amp;") - ("&amp;A$23&amp;")"</f>
        <v>(12) - (13)</v>
      </c>
      <c r="D24" s="25">
        <f>D22-D23</f>
        <v>629813989.96311665</v>
      </c>
      <c r="E24" s="25">
        <f t="shared" ref="E24:L24" si="4">E22-E23</f>
        <v>141436917.16607049</v>
      </c>
      <c r="F24" s="25">
        <f t="shared" si="4"/>
        <v>136694016.3959761</v>
      </c>
      <c r="G24" s="25">
        <f>G22-G23</f>
        <v>4639418.6619924027</v>
      </c>
      <c r="H24" s="25">
        <f>H22-H23</f>
        <v>66023920.729635671</v>
      </c>
      <c r="I24" s="25">
        <f>I22-I23</f>
        <v>49419943.981260419</v>
      </c>
      <c r="J24" s="32"/>
      <c r="K24" s="25">
        <f t="shared" si="4"/>
        <v>129642732.02310526</v>
      </c>
      <c r="L24" s="25">
        <f t="shared" si="4"/>
        <v>131110.1136001132</v>
      </c>
      <c r="M24" s="25">
        <f>M22-M23</f>
        <v>6920174.2592707863</v>
      </c>
    </row>
    <row r="25" spans="1:13" x14ac:dyDescent="0.2">
      <c r="A25" s="23">
        <f t="shared" si="0"/>
        <v>15</v>
      </c>
      <c r="B25" s="24" t="s">
        <v>42</v>
      </c>
      <c r="C25" s="23" t="str">
        <f>C19</f>
        <v>Exhibit BDJ-5, ELECTRIC RATE SPREAD DESIGN</v>
      </c>
      <c r="D25" s="25">
        <v>108709619.05</v>
      </c>
      <c r="E25" s="25">
        <v>24528848.100000001</v>
      </c>
      <c r="F25" s="25">
        <f>SUM(K25:M25)</f>
        <v>6271027.3658925509</v>
      </c>
      <c r="G25" s="25">
        <v>423018.92447129916</v>
      </c>
      <c r="H25" s="25">
        <v>1153343.3906344045</v>
      </c>
      <c r="I25" s="25">
        <v>2197387.8042422994</v>
      </c>
      <c r="J25" s="32"/>
      <c r="K25" s="25">
        <v>5612247.0280788261</v>
      </c>
      <c r="L25" s="25">
        <v>8594.64</v>
      </c>
      <c r="M25" s="25">
        <v>650185.69781372487</v>
      </c>
    </row>
    <row r="26" spans="1:13" ht="12" thickBot="1" x14ac:dyDescent="0.25">
      <c r="A26" s="23">
        <f t="shared" si="0"/>
        <v>16</v>
      </c>
      <c r="B26" s="24" t="s">
        <v>79</v>
      </c>
      <c r="C26" s="23" t="str">
        <f>"("&amp;A24&amp;") - ("&amp;A25&amp;")"</f>
        <v>(14) - (15)</v>
      </c>
      <c r="D26" s="34">
        <f t="shared" ref="D26:I26" si="5">D24-D25</f>
        <v>521104370.91311663</v>
      </c>
      <c r="E26" s="34">
        <f t="shared" si="5"/>
        <v>116908069.0660705</v>
      </c>
      <c r="F26" s="34">
        <f t="shared" si="5"/>
        <v>130422989.03008355</v>
      </c>
      <c r="G26" s="34">
        <f t="shared" si="5"/>
        <v>4216399.7375211036</v>
      </c>
      <c r="H26" s="34">
        <f t="shared" si="5"/>
        <v>64870577.339001268</v>
      </c>
      <c r="I26" s="34">
        <f t="shared" si="5"/>
        <v>47222556.177018121</v>
      </c>
      <c r="J26" s="34"/>
      <c r="K26" s="34">
        <f>K24-K25</f>
        <v>124030484.99502644</v>
      </c>
      <c r="L26" s="34">
        <f>L24-L25</f>
        <v>122515.4736001132</v>
      </c>
      <c r="M26" s="34">
        <f>M24-M25</f>
        <v>6269988.5614570612</v>
      </c>
    </row>
    <row r="27" spans="1:13" ht="12" thickTop="1" x14ac:dyDescent="0.2">
      <c r="A27" s="23">
        <f t="shared" si="0"/>
        <v>17</v>
      </c>
    </row>
    <row r="28" spans="1:13" x14ac:dyDescent="0.2">
      <c r="A28" s="23">
        <f t="shared" si="0"/>
        <v>18</v>
      </c>
      <c r="B28" s="24" t="s">
        <v>85</v>
      </c>
      <c r="C28" s="23" t="str">
        <f>"("&amp;A26&amp;") - ("&amp;A16&amp;")"</f>
        <v>(16) - (6)</v>
      </c>
      <c r="D28" s="53">
        <f t="shared" ref="D28:I28" si="6">D26-D16</f>
        <v>125808192.24917024</v>
      </c>
      <c r="E28" s="53">
        <f t="shared" si="6"/>
        <v>31307791.454818755</v>
      </c>
      <c r="F28" s="53">
        <f t="shared" si="6"/>
        <v>33734009.626404241</v>
      </c>
      <c r="G28" s="53">
        <f t="shared" si="6"/>
        <v>187380.27752110269</v>
      </c>
      <c r="H28" s="53">
        <f t="shared" si="6"/>
        <v>13160547.104882106</v>
      </c>
      <c r="I28" s="53">
        <f t="shared" si="6"/>
        <v>9796602.3048243374</v>
      </c>
      <c r="K28" s="53">
        <f>K26-K16</f>
        <v>32519616.131953865</v>
      </c>
      <c r="L28" s="53">
        <f>L26-L16</f>
        <v>47707.251156472936</v>
      </c>
      <c r="M28" s="53">
        <f>M26-M16</f>
        <v>1166686.2432939624</v>
      </c>
    </row>
    <row r="29" spans="1:13" ht="12" thickBot="1" x14ac:dyDescent="0.25">
      <c r="A29" s="23">
        <f t="shared" si="0"/>
        <v>19</v>
      </c>
      <c r="B29" s="24" t="s">
        <v>106</v>
      </c>
      <c r="I29" s="34">
        <f>SUM(D28:I28)</f>
        <v>213994523.0176208</v>
      </c>
    </row>
    <row r="30" spans="1:13" ht="12" thickTop="1" x14ac:dyDescent="0.2">
      <c r="A30" s="23"/>
      <c r="I30" s="32"/>
    </row>
    <row r="32" spans="1:13" ht="3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4" spans="1:13" x14ac:dyDescent="0.2">
      <c r="A34" s="5" t="s">
        <v>16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">
      <c r="A35" s="5" t="str">
        <f>A2</f>
        <v>2022 General Rate Case (GRC)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">
      <c r="A36" s="5" t="s">
        <v>77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 s="5" t="s">
        <v>73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">
      <c r="A38" s="5" t="s">
        <v>100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x14ac:dyDescent="0.2">
      <c r="A40" s="7"/>
      <c r="B40" s="58"/>
      <c r="C40" s="58"/>
      <c r="D40" s="58"/>
      <c r="E40" s="58"/>
      <c r="F40" s="58"/>
      <c r="G40" s="58"/>
      <c r="H40" s="58"/>
      <c r="J40" s="58"/>
      <c r="K40" s="58"/>
      <c r="L40" s="58"/>
      <c r="M40" s="58"/>
    </row>
    <row r="41" spans="1:13" x14ac:dyDescent="0.2">
      <c r="A41" s="8" t="s">
        <v>52</v>
      </c>
      <c r="B41" s="58"/>
      <c r="C41" s="58"/>
      <c r="D41" s="58" t="s">
        <v>54</v>
      </c>
      <c r="E41" s="58" t="s">
        <v>55</v>
      </c>
      <c r="F41" s="58" t="s">
        <v>55</v>
      </c>
      <c r="G41" s="58" t="s">
        <v>81</v>
      </c>
      <c r="H41" s="58" t="s">
        <v>55</v>
      </c>
      <c r="I41" s="58" t="s">
        <v>55</v>
      </c>
      <c r="J41" s="58"/>
      <c r="K41" s="58" t="s">
        <v>55</v>
      </c>
      <c r="L41" s="58" t="s">
        <v>32</v>
      </c>
      <c r="M41" s="58" t="s">
        <v>32</v>
      </c>
    </row>
    <row r="42" spans="1:13" x14ac:dyDescent="0.2">
      <c r="A42" s="9" t="s">
        <v>53</v>
      </c>
      <c r="B42" s="28"/>
      <c r="C42" s="10" t="s">
        <v>14</v>
      </c>
      <c r="D42" s="11" t="s">
        <v>122</v>
      </c>
      <c r="E42" s="11" t="s">
        <v>39</v>
      </c>
      <c r="F42" s="11" t="s">
        <v>56</v>
      </c>
      <c r="G42" s="11" t="s">
        <v>82</v>
      </c>
      <c r="H42" s="11" t="s">
        <v>40</v>
      </c>
      <c r="I42" s="11" t="s">
        <v>41</v>
      </c>
      <c r="J42" s="12"/>
      <c r="K42" s="11" t="s">
        <v>57</v>
      </c>
      <c r="L42" s="11">
        <v>35</v>
      </c>
      <c r="M42" s="11">
        <v>43</v>
      </c>
    </row>
    <row r="43" spans="1:13" x14ac:dyDescent="0.2">
      <c r="B43" s="23" t="s">
        <v>13</v>
      </c>
      <c r="C43" s="23" t="s">
        <v>12</v>
      </c>
      <c r="D43" s="23" t="s">
        <v>11</v>
      </c>
      <c r="E43" s="23" t="s">
        <v>10</v>
      </c>
      <c r="F43" s="23" t="s">
        <v>66</v>
      </c>
      <c r="G43" s="23" t="s">
        <v>8</v>
      </c>
      <c r="H43" s="23" t="s">
        <v>7</v>
      </c>
      <c r="I43" s="23" t="s">
        <v>6</v>
      </c>
      <c r="J43" s="29"/>
      <c r="K43" s="23" t="s">
        <v>5</v>
      </c>
      <c r="L43" s="23" t="s">
        <v>4</v>
      </c>
      <c r="M43" s="23" t="s">
        <v>3</v>
      </c>
    </row>
    <row r="44" spans="1:13" x14ac:dyDescent="0.2">
      <c r="A44" s="23">
        <v>1</v>
      </c>
      <c r="B44" s="30" t="s">
        <v>84</v>
      </c>
      <c r="C44" s="23"/>
      <c r="D44" s="23"/>
      <c r="E44" s="23"/>
      <c r="F44" s="23"/>
      <c r="G44" s="23"/>
      <c r="H44" s="23"/>
      <c r="I44" s="23"/>
      <c r="J44" s="29"/>
      <c r="K44" s="23"/>
      <c r="L44" s="23"/>
      <c r="M44" s="23"/>
    </row>
    <row r="45" spans="1:13" x14ac:dyDescent="0.2">
      <c r="A45" s="23">
        <f>A44+1</f>
        <v>2</v>
      </c>
      <c r="B45" s="24" t="s">
        <v>96</v>
      </c>
      <c r="C45" s="23" t="str">
        <f t="shared" ref="C45:E47" si="7">C19</f>
        <v>Exhibit BDJ-5, ELECTRIC RATE SPREAD DESIGN</v>
      </c>
      <c r="D45" s="50">
        <f t="shared" si="7"/>
        <v>1175312850.6165421</v>
      </c>
      <c r="E45" s="50">
        <f t="shared" si="7"/>
        <v>273738372.75700003</v>
      </c>
      <c r="F45" s="50">
        <f t="shared" ref="F45:F47" si="8">SUM(K45:M45)</f>
        <v>283057371.19551873</v>
      </c>
      <c r="G45" s="50">
        <f t="shared" ref="G45:I47" si="9">G19</f>
        <v>3652186.5759924036</v>
      </c>
      <c r="H45" s="50">
        <f t="shared" si="9"/>
        <v>154385468.83613479</v>
      </c>
      <c r="I45" s="50">
        <f t="shared" si="9"/>
        <v>111273840.61178441</v>
      </c>
      <c r="J45" s="51"/>
      <c r="K45" s="50">
        <f t="shared" ref="K45:M47" si="10">K19</f>
        <v>272040083.29921466</v>
      </c>
      <c r="L45" s="50">
        <f t="shared" si="10"/>
        <v>291013.96987387829</v>
      </c>
      <c r="M45" s="50">
        <f t="shared" si="10"/>
        <v>10726273.926430142</v>
      </c>
    </row>
    <row r="46" spans="1:13" x14ac:dyDescent="0.2">
      <c r="A46" s="23">
        <f t="shared" ref="A46:A65" si="11">A45+1</f>
        <v>3</v>
      </c>
      <c r="B46" s="24" t="s">
        <v>97</v>
      </c>
      <c r="C46" s="23" t="str">
        <f t="shared" si="7"/>
        <v>Exhibit BDJ-5, ELECTRIC RATE SPREAD DESIGN</v>
      </c>
      <c r="D46" s="51">
        <f t="shared" si="7"/>
        <v>145082543.23199999</v>
      </c>
      <c r="E46" s="51">
        <f t="shared" si="7"/>
        <v>27971756.577</v>
      </c>
      <c r="F46" s="51">
        <f t="shared" si="8"/>
        <v>31678509.490000006</v>
      </c>
      <c r="G46" s="51">
        <f t="shared" si="9"/>
        <v>692596.41800000006</v>
      </c>
      <c r="H46" s="51">
        <f t="shared" si="9"/>
        <v>16688536.657</v>
      </c>
      <c r="I46" s="51">
        <f t="shared" si="9"/>
        <v>12020040.192000002</v>
      </c>
      <c r="J46" s="51"/>
      <c r="K46" s="51">
        <f t="shared" si="10"/>
        <v>30598093.352000006</v>
      </c>
      <c r="L46" s="51">
        <f t="shared" si="10"/>
        <v>58781.777999999998</v>
      </c>
      <c r="M46" s="51">
        <f t="shared" si="10"/>
        <v>1021634.3600000001</v>
      </c>
    </row>
    <row r="47" spans="1:13" x14ac:dyDescent="0.2">
      <c r="A47" s="23">
        <f t="shared" si="11"/>
        <v>4</v>
      </c>
      <c r="B47" s="24" t="s">
        <v>98</v>
      </c>
      <c r="C47" s="23" t="str">
        <f t="shared" si="7"/>
        <v>Exhibit BDJ-5, ELECTRIC RATE SPREAD DESIGN</v>
      </c>
      <c r="D47" s="52">
        <f t="shared" si="7"/>
        <v>61694789.616000004</v>
      </c>
      <c r="E47" s="52">
        <f t="shared" si="7"/>
        <v>11893863.897</v>
      </c>
      <c r="F47" s="52">
        <f t="shared" si="8"/>
        <v>13469969.612000002</v>
      </c>
      <c r="G47" s="52">
        <f t="shared" si="9"/>
        <v>294635.66800000001</v>
      </c>
      <c r="H47" s="52">
        <f t="shared" si="9"/>
        <v>7096244.875</v>
      </c>
      <c r="I47" s="52">
        <f t="shared" si="9"/>
        <v>5110914.6960000005</v>
      </c>
      <c r="J47" s="52"/>
      <c r="K47" s="52">
        <f t="shared" si="10"/>
        <v>13010627.682000002</v>
      </c>
      <c r="L47" s="52">
        <f t="shared" si="10"/>
        <v>24993.68</v>
      </c>
      <c r="M47" s="52">
        <f t="shared" si="10"/>
        <v>434348.25</v>
      </c>
    </row>
    <row r="48" spans="1:13" x14ac:dyDescent="0.2">
      <c r="A48" s="23">
        <f t="shared" si="11"/>
        <v>5</v>
      </c>
      <c r="B48" s="31" t="s">
        <v>76</v>
      </c>
      <c r="C48" s="23" t="str">
        <f>"("&amp;A45&amp;") + ("&amp;A46&amp;")+ ("&amp;A47&amp;")"</f>
        <v>(2) + (3)+ (4)</v>
      </c>
      <c r="D48" s="53">
        <f>SUM(D45:D47)</f>
        <v>1382090183.4645422</v>
      </c>
      <c r="E48" s="53">
        <f>SUM(E45:E47)</f>
        <v>313603993.23100007</v>
      </c>
      <c r="F48" s="53">
        <f>SUM(K48:M48)</f>
        <v>328205850.29751861</v>
      </c>
      <c r="G48" s="53">
        <f>SUM(G45:G47)</f>
        <v>4639418.6619924027</v>
      </c>
      <c r="H48" s="53">
        <f>SUM(H45:H47)</f>
        <v>178170250.3681348</v>
      </c>
      <c r="I48" s="53">
        <f>SUM(I45:I47)</f>
        <v>128404795.49978441</v>
      </c>
      <c r="J48" s="55"/>
      <c r="K48" s="53">
        <f>SUM(K45:K47)</f>
        <v>315648804.33321464</v>
      </c>
      <c r="L48" s="53">
        <f>SUM(L45:L47)</f>
        <v>374789.42787387827</v>
      </c>
      <c r="M48" s="53">
        <f>SUM(M45:M47)</f>
        <v>12182256.536430141</v>
      </c>
    </row>
    <row r="49" spans="1:13" x14ac:dyDescent="0.2">
      <c r="A49" s="23">
        <f t="shared" si="11"/>
        <v>6</v>
      </c>
      <c r="B49" s="24" t="s">
        <v>43</v>
      </c>
      <c r="C49" s="23" t="str">
        <f>C23</f>
        <v>Work Papers, Exhibit A-1</v>
      </c>
      <c r="D49" s="54">
        <f>D23</f>
        <v>752276193.5014255</v>
      </c>
      <c r="E49" s="54">
        <f>E23</f>
        <v>172167076.06492957</v>
      </c>
      <c r="F49" s="54">
        <f>SUM(K49:M49)</f>
        <v>191511833.90154251</v>
      </c>
      <c r="G49" s="54">
        <f>G23</f>
        <v>0</v>
      </c>
      <c r="H49" s="54">
        <f>H23</f>
        <v>112146329.63849913</v>
      </c>
      <c r="I49" s="54">
        <f>I23</f>
        <v>78984851.518523991</v>
      </c>
      <c r="J49" s="55"/>
      <c r="K49" s="54">
        <f>K23</f>
        <v>186006072.31010938</v>
      </c>
      <c r="L49" s="54">
        <f>L23</f>
        <v>243679.31427376508</v>
      </c>
      <c r="M49" s="54">
        <f>M23</f>
        <v>5262082.2771593546</v>
      </c>
    </row>
    <row r="50" spans="1:13" x14ac:dyDescent="0.2">
      <c r="A50" s="23">
        <f t="shared" si="11"/>
        <v>7</v>
      </c>
      <c r="B50" s="31" t="s">
        <v>78</v>
      </c>
      <c r="C50" s="23" t="str">
        <f>"("&amp;A48&amp;") - ("&amp;A$49&amp;")"</f>
        <v>(5) - (6)</v>
      </c>
      <c r="D50" s="53">
        <f>D48-D49</f>
        <v>629813989.96311665</v>
      </c>
      <c r="E50" s="53">
        <f t="shared" ref="E50:F50" si="12">E48-E49</f>
        <v>141436917.16607049</v>
      </c>
      <c r="F50" s="53">
        <f t="shared" si="12"/>
        <v>136694016.3959761</v>
      </c>
      <c r="G50" s="53">
        <f>G48-G49</f>
        <v>4639418.6619924027</v>
      </c>
      <c r="H50" s="53">
        <f>H48-H49</f>
        <v>66023920.729635671</v>
      </c>
      <c r="I50" s="53">
        <f>I48-I49</f>
        <v>49419943.981260419</v>
      </c>
      <c r="J50" s="55"/>
      <c r="K50" s="53">
        <f t="shared" ref="K50:L50" si="13">K48-K49</f>
        <v>129642732.02310526</v>
      </c>
      <c r="L50" s="53">
        <f t="shared" si="13"/>
        <v>131110.1136001132</v>
      </c>
      <c r="M50" s="53">
        <f>M48-M49</f>
        <v>6920174.2592707863</v>
      </c>
    </row>
    <row r="51" spans="1:13" x14ac:dyDescent="0.2">
      <c r="A51" s="23">
        <f t="shared" si="11"/>
        <v>8</v>
      </c>
      <c r="B51" s="24" t="s">
        <v>42</v>
      </c>
      <c r="C51" s="23" t="str">
        <f>C25</f>
        <v>Exhibit BDJ-5, ELECTRIC RATE SPREAD DESIGN</v>
      </c>
      <c r="D51" s="32">
        <f>D25</f>
        <v>108709619.05</v>
      </c>
      <c r="E51" s="32">
        <f>E25</f>
        <v>24528848.100000001</v>
      </c>
      <c r="F51" s="32">
        <f>SUM(K51:M51)</f>
        <v>6271027.3658925509</v>
      </c>
      <c r="G51" s="32">
        <f>G25</f>
        <v>423018.92447129916</v>
      </c>
      <c r="H51" s="32">
        <f>H25</f>
        <v>1153343.3906344045</v>
      </c>
      <c r="I51" s="32">
        <f>I25</f>
        <v>2197387.8042422994</v>
      </c>
      <c r="J51" s="32"/>
      <c r="K51" s="32">
        <f>K25</f>
        <v>5612247.0280788261</v>
      </c>
      <c r="L51" s="32">
        <f>L25</f>
        <v>8594.64</v>
      </c>
      <c r="M51" s="32">
        <f>M25</f>
        <v>650185.69781372487</v>
      </c>
    </row>
    <row r="52" spans="1:13" ht="12" thickBot="1" x14ac:dyDescent="0.25">
      <c r="A52" s="23">
        <f t="shared" si="11"/>
        <v>9</v>
      </c>
      <c r="B52" s="24" t="s">
        <v>79</v>
      </c>
      <c r="C52" s="23" t="str">
        <f>"("&amp;A50&amp;") - ("&amp;A51&amp;")"</f>
        <v>(7) - (8)</v>
      </c>
      <c r="D52" s="34">
        <f t="shared" ref="D52:I52" si="14">D50-D51</f>
        <v>521104370.91311663</v>
      </c>
      <c r="E52" s="34">
        <f t="shared" si="14"/>
        <v>116908069.0660705</v>
      </c>
      <c r="F52" s="34">
        <f t="shared" si="14"/>
        <v>130422989.03008355</v>
      </c>
      <c r="G52" s="34">
        <f t="shared" si="14"/>
        <v>4216399.7375211036</v>
      </c>
      <c r="H52" s="34">
        <f t="shared" si="14"/>
        <v>64870577.339001268</v>
      </c>
      <c r="I52" s="34">
        <f t="shared" si="14"/>
        <v>47222556.177018121</v>
      </c>
      <c r="J52" s="34"/>
      <c r="K52" s="34">
        <f>K50-K51</f>
        <v>124030484.99502644</v>
      </c>
      <c r="L52" s="34">
        <f>L50-L51</f>
        <v>122515.4736001132</v>
      </c>
      <c r="M52" s="34">
        <f>M50-M51</f>
        <v>6269988.5614570612</v>
      </c>
    </row>
    <row r="53" spans="1:13" ht="12" thickTop="1" x14ac:dyDescent="0.2">
      <c r="A53" s="23">
        <f t="shared" si="11"/>
        <v>10</v>
      </c>
      <c r="B53" s="23"/>
      <c r="C53" s="23"/>
      <c r="D53" s="23"/>
      <c r="E53" s="23"/>
      <c r="F53" s="23"/>
      <c r="G53" s="23"/>
      <c r="H53" s="23"/>
      <c r="I53" s="23"/>
      <c r="J53" s="29"/>
      <c r="K53" s="23"/>
      <c r="L53" s="23"/>
      <c r="M53" s="23"/>
    </row>
    <row r="54" spans="1:13" x14ac:dyDescent="0.2">
      <c r="A54" s="23">
        <f t="shared" si="11"/>
        <v>11</v>
      </c>
      <c r="B54" s="30" t="s">
        <v>86</v>
      </c>
      <c r="C54" s="23"/>
      <c r="D54" s="23"/>
      <c r="E54" s="23"/>
      <c r="F54" s="23"/>
      <c r="G54" s="23"/>
      <c r="H54" s="23"/>
      <c r="I54" s="23"/>
      <c r="J54" s="29"/>
      <c r="K54" s="23"/>
      <c r="L54" s="23"/>
      <c r="M54" s="23"/>
    </row>
    <row r="55" spans="1:13" x14ac:dyDescent="0.2">
      <c r="A55" s="23">
        <f t="shared" si="11"/>
        <v>12</v>
      </c>
      <c r="B55" s="24" t="s">
        <v>96</v>
      </c>
      <c r="C55" s="23" t="str">
        <f>C19</f>
        <v>Exhibit BDJ-5, ELECTRIC RATE SPREAD DESIGN</v>
      </c>
      <c r="D55" s="50">
        <v>1187222858.8307846</v>
      </c>
      <c r="E55" s="50">
        <v>277084398.31200004</v>
      </c>
      <c r="F55" s="32">
        <f t="shared" ref="F55:F59" si="15">SUM(K55:M55)</f>
        <v>286641668.14823037</v>
      </c>
      <c r="G55" s="50">
        <v>3641015.0859514596</v>
      </c>
      <c r="H55" s="50">
        <v>155891438.18655092</v>
      </c>
      <c r="I55" s="50">
        <v>111296629.90960328</v>
      </c>
      <c r="J55" s="29"/>
      <c r="K55" s="50">
        <v>275482193.17499036</v>
      </c>
      <c r="L55" s="50">
        <v>293087.23693641752</v>
      </c>
      <c r="M55" s="50">
        <v>10866387.736303611</v>
      </c>
    </row>
    <row r="56" spans="1:13" x14ac:dyDescent="0.2">
      <c r="A56" s="23">
        <f t="shared" si="11"/>
        <v>13</v>
      </c>
      <c r="B56" s="24" t="s">
        <v>97</v>
      </c>
      <c r="C56" s="23" t="str">
        <f>C20</f>
        <v>Exhibit BDJ-5, ELECTRIC RATE SPREAD DESIGN</v>
      </c>
      <c r="D56" s="62">
        <v>111591945.32399999</v>
      </c>
      <c r="E56" s="62">
        <v>21515331.359999999</v>
      </c>
      <c r="F56" s="32">
        <f t="shared" si="15"/>
        <v>24368657.57</v>
      </c>
      <c r="G56" s="51">
        <v>532833.26599999995</v>
      </c>
      <c r="H56" s="62">
        <v>12837994.35</v>
      </c>
      <c r="I56" s="62">
        <v>9246641.9519999996</v>
      </c>
      <c r="J56" s="29"/>
      <c r="K56" s="62">
        <v>23537674.800000001</v>
      </c>
      <c r="L56" s="62">
        <v>45212.85</v>
      </c>
      <c r="M56" s="51">
        <v>785769.91999999993</v>
      </c>
    </row>
    <row r="57" spans="1:13" x14ac:dyDescent="0.2">
      <c r="A57" s="23">
        <f t="shared" si="11"/>
        <v>14</v>
      </c>
      <c r="B57" s="24" t="s">
        <v>98</v>
      </c>
      <c r="C57" s="23" t="str">
        <f>C21</f>
        <v>Exhibit BDJ-5, ELECTRIC RATE SPREAD DESIGN</v>
      </c>
      <c r="D57" s="63">
        <v>133093220.223</v>
      </c>
      <c r="E57" s="63">
        <v>25660036.056000002</v>
      </c>
      <c r="F57" s="33">
        <f t="shared" si="15"/>
        <v>29062089.438000001</v>
      </c>
      <c r="G57" s="52">
        <v>635579.49600000004</v>
      </c>
      <c r="H57" s="63">
        <v>15311046.258000001</v>
      </c>
      <c r="I57" s="63">
        <v>11028129.583999999</v>
      </c>
      <c r="J57" s="64"/>
      <c r="K57" s="63">
        <v>28070988.300000001</v>
      </c>
      <c r="L57" s="63">
        <v>53926.77</v>
      </c>
      <c r="M57" s="52">
        <v>937174.3679999999</v>
      </c>
    </row>
    <row r="58" spans="1:13" x14ac:dyDescent="0.2">
      <c r="A58" s="23">
        <f t="shared" si="11"/>
        <v>15</v>
      </c>
      <c r="B58" s="31" t="s">
        <v>76</v>
      </c>
      <c r="C58" s="23" t="str">
        <f>"("&amp;A55&amp;") + ("&amp;A56&amp;")+ ("&amp;A57&amp;")"</f>
        <v>(12) + (13)+ (14)</v>
      </c>
      <c r="D58" s="25">
        <f>SUM(D55:D57)</f>
        <v>1431908024.3777845</v>
      </c>
      <c r="E58" s="25">
        <f>SUM(E55:E57)</f>
        <v>324259765.72800004</v>
      </c>
      <c r="F58" s="25">
        <f t="shared" si="15"/>
        <v>340072415.15623039</v>
      </c>
      <c r="G58" s="25">
        <f>SUM(G55:G57)</f>
        <v>4809427.8479514597</v>
      </c>
      <c r="H58" s="25">
        <f>SUM(H55:H57)</f>
        <v>184040478.7945509</v>
      </c>
      <c r="I58" s="25">
        <f>SUM(I55:I57)</f>
        <v>131571401.44560328</v>
      </c>
      <c r="J58" s="32"/>
      <c r="K58" s="25">
        <f>SUM(K55:K57)</f>
        <v>327090856.27499038</v>
      </c>
      <c r="L58" s="25">
        <f>SUM(L55:L57)</f>
        <v>392226.85693641752</v>
      </c>
      <c r="M58" s="25">
        <f>SUM(M55:M57)</f>
        <v>12589332.024303611</v>
      </c>
    </row>
    <row r="59" spans="1:13" x14ac:dyDescent="0.2">
      <c r="A59" s="23">
        <f t="shared" si="11"/>
        <v>16</v>
      </c>
      <c r="B59" s="24" t="s">
        <v>43</v>
      </c>
      <c r="C59" s="23" t="str">
        <f>C23</f>
        <v>Work Papers, Exhibit A-1</v>
      </c>
      <c r="D59" s="33">
        <v>756131196.8105154</v>
      </c>
      <c r="E59" s="33">
        <v>173115599.7690748</v>
      </c>
      <c r="F59" s="33">
        <f t="shared" si="15"/>
        <v>192592700.69074151</v>
      </c>
      <c r="G59" s="33">
        <v>0</v>
      </c>
      <c r="H59" s="33">
        <v>112799085.32090402</v>
      </c>
      <c r="I59" s="33">
        <v>79448791.386475012</v>
      </c>
      <c r="J59" s="32"/>
      <c r="K59" s="33">
        <v>187030825.41165501</v>
      </c>
      <c r="L59" s="33">
        <v>245442.97510849289</v>
      </c>
      <c r="M59" s="33">
        <v>5316432.3039780101</v>
      </c>
    </row>
    <row r="60" spans="1:13" x14ac:dyDescent="0.2">
      <c r="A60" s="23">
        <f t="shared" si="11"/>
        <v>17</v>
      </c>
      <c r="B60" s="31" t="s">
        <v>78</v>
      </c>
      <c r="C60" s="23" t="str">
        <f>"("&amp;A58&amp;") - ("&amp;A$59&amp;")"</f>
        <v>(15) - (16)</v>
      </c>
      <c r="D60" s="25">
        <f>D58-D59</f>
        <v>675776827.56726909</v>
      </c>
      <c r="E60" s="25">
        <f t="shared" ref="E60:F60" si="16">E58-E59</f>
        <v>151144165.95892525</v>
      </c>
      <c r="F60" s="25">
        <f t="shared" si="16"/>
        <v>147479714.46548888</v>
      </c>
      <c r="G60" s="25">
        <f>G58-G59</f>
        <v>4809427.8479514597</v>
      </c>
      <c r="H60" s="25">
        <f>H58-H59</f>
        <v>71241393.473646879</v>
      </c>
      <c r="I60" s="25">
        <f>I58-I59</f>
        <v>52122610.05912827</v>
      </c>
      <c r="J60" s="32"/>
      <c r="K60" s="25">
        <f t="shared" ref="K60:L60" si="17">K58-K59</f>
        <v>140060030.86333537</v>
      </c>
      <c r="L60" s="25">
        <f t="shared" si="17"/>
        <v>146783.88182792463</v>
      </c>
      <c r="M60" s="25">
        <f>M58-M59</f>
        <v>7272899.7203256013</v>
      </c>
    </row>
    <row r="61" spans="1:13" x14ac:dyDescent="0.2">
      <c r="A61" s="23">
        <f t="shared" si="11"/>
        <v>18</v>
      </c>
      <c r="B61" s="24" t="s">
        <v>42</v>
      </c>
      <c r="C61" s="23" t="str">
        <f>C25</f>
        <v>Exhibit BDJ-5, ELECTRIC RATE SPREAD DESIGN</v>
      </c>
      <c r="D61" s="25">
        <v>110117015.06</v>
      </c>
      <c r="E61" s="25">
        <v>24831639.300000001</v>
      </c>
      <c r="F61" s="25">
        <f>SUM(K61:M61)</f>
        <v>6357050.2427270766</v>
      </c>
      <c r="G61" s="25">
        <v>423018.92447129916</v>
      </c>
      <c r="H61" s="25">
        <v>1236264.2545219569</v>
      </c>
      <c r="I61" s="25">
        <v>2207436.9634622922</v>
      </c>
      <c r="J61" s="32"/>
      <c r="K61" s="25">
        <v>5692168.8190227719</v>
      </c>
      <c r="L61" s="25">
        <v>8594.64</v>
      </c>
      <c r="M61" s="25">
        <v>656286.78370430518</v>
      </c>
    </row>
    <row r="62" spans="1:13" ht="12" thickBot="1" x14ac:dyDescent="0.25">
      <c r="A62" s="23">
        <f t="shared" si="11"/>
        <v>19</v>
      </c>
      <c r="B62" s="24" t="s">
        <v>79</v>
      </c>
      <c r="C62" s="23" t="str">
        <f>"("&amp;A60&amp;") - ("&amp;A$61&amp;")"</f>
        <v>(17) - (18)</v>
      </c>
      <c r="D62" s="34">
        <f t="shared" ref="D62:I62" si="18">D60-D61</f>
        <v>565659812.50726914</v>
      </c>
      <c r="E62" s="34">
        <f t="shared" si="18"/>
        <v>126312526.65892525</v>
      </c>
      <c r="F62" s="34">
        <f t="shared" si="18"/>
        <v>141122664.22276181</v>
      </c>
      <c r="G62" s="34">
        <f t="shared" si="18"/>
        <v>4386408.9234801605</v>
      </c>
      <c r="H62" s="34">
        <f t="shared" si="18"/>
        <v>70005129.219124928</v>
      </c>
      <c r="I62" s="34">
        <f t="shared" si="18"/>
        <v>49915173.095665976</v>
      </c>
      <c r="J62" s="34"/>
      <c r="K62" s="34">
        <f>K60-K61</f>
        <v>134367862.0443126</v>
      </c>
      <c r="L62" s="34">
        <f>L60-L61</f>
        <v>138189.24182792462</v>
      </c>
      <c r="M62" s="34">
        <f>M60-M61</f>
        <v>6616612.9366212962</v>
      </c>
    </row>
    <row r="63" spans="1:13" ht="12" thickTop="1" x14ac:dyDescent="0.2">
      <c r="A63" s="23">
        <f t="shared" si="11"/>
        <v>20</v>
      </c>
      <c r="D63" s="57"/>
    </row>
    <row r="64" spans="1:13" x14ac:dyDescent="0.2">
      <c r="A64" s="23">
        <f t="shared" si="11"/>
        <v>21</v>
      </c>
      <c r="B64" s="24" t="s">
        <v>85</v>
      </c>
      <c r="C64" s="23" t="str">
        <f>"("&amp;A62&amp;") - ("&amp;A52&amp;")"</f>
        <v>(19) - (9)</v>
      </c>
      <c r="D64" s="53">
        <f t="shared" ref="D64:I64" si="19">D62-D52</f>
        <v>44555441.59415251</v>
      </c>
      <c r="E64" s="53">
        <f t="shared" si="19"/>
        <v>9404457.5928547531</v>
      </c>
      <c r="F64" s="53">
        <f t="shared" si="19"/>
        <v>10699675.192678258</v>
      </c>
      <c r="G64" s="53">
        <f t="shared" si="19"/>
        <v>170009.18595905695</v>
      </c>
      <c r="H64" s="53">
        <f t="shared" si="19"/>
        <v>5134551.88012366</v>
      </c>
      <c r="I64" s="53">
        <f t="shared" si="19"/>
        <v>2692616.9186478555</v>
      </c>
      <c r="K64" s="53">
        <f>K62-K52</f>
        <v>10337377.049286157</v>
      </c>
      <c r="L64" s="53">
        <f>L62-L52</f>
        <v>15673.768227811423</v>
      </c>
      <c r="M64" s="53">
        <f>M62-M52</f>
        <v>346624.37516423501</v>
      </c>
    </row>
    <row r="65" spans="1:13" ht="12" thickBot="1" x14ac:dyDescent="0.25">
      <c r="A65" s="23">
        <f t="shared" si="11"/>
        <v>22</v>
      </c>
      <c r="B65" s="24" t="s">
        <v>106</v>
      </c>
      <c r="I65" s="34">
        <f>SUM(D64:I64)</f>
        <v>72656752.364416093</v>
      </c>
    </row>
    <row r="66" spans="1:13" ht="12" thickTop="1" x14ac:dyDescent="0.2">
      <c r="A66" s="23"/>
      <c r="I66" s="32"/>
    </row>
    <row r="68" spans="1:13" ht="3" customHeight="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70" spans="1:13" x14ac:dyDescent="0.2">
      <c r="A70" s="5" t="s">
        <v>16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2">
      <c r="A71" s="5" t="str">
        <f>A35</f>
        <v>2022 General Rate Case (GRC)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">
      <c r="A72" s="5" t="s">
        <v>77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">
      <c r="A73" s="5" t="s">
        <v>73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s="5" t="s">
        <v>101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x14ac:dyDescent="0.2">
      <c r="A76" s="7"/>
      <c r="B76" s="58"/>
      <c r="C76" s="58"/>
      <c r="D76" s="58"/>
      <c r="E76" s="58"/>
      <c r="F76" s="58"/>
      <c r="G76" s="58"/>
      <c r="H76" s="58"/>
      <c r="J76" s="58"/>
      <c r="K76" s="58"/>
      <c r="L76" s="58"/>
      <c r="M76" s="58"/>
    </row>
    <row r="77" spans="1:13" x14ac:dyDescent="0.2">
      <c r="A77" s="8" t="s">
        <v>52</v>
      </c>
      <c r="B77" s="58"/>
      <c r="C77" s="58"/>
      <c r="D77" s="58" t="s">
        <v>54</v>
      </c>
      <c r="E77" s="58" t="s">
        <v>55</v>
      </c>
      <c r="F77" s="58" t="s">
        <v>55</v>
      </c>
      <c r="G77" s="58" t="s">
        <v>81</v>
      </c>
      <c r="H77" s="58" t="s">
        <v>55</v>
      </c>
      <c r="I77" s="58" t="s">
        <v>55</v>
      </c>
      <c r="J77" s="58"/>
      <c r="K77" s="58" t="s">
        <v>55</v>
      </c>
      <c r="L77" s="58" t="s">
        <v>32</v>
      </c>
      <c r="M77" s="58" t="s">
        <v>32</v>
      </c>
    </row>
    <row r="78" spans="1:13" x14ac:dyDescent="0.2">
      <c r="A78" s="9" t="s">
        <v>53</v>
      </c>
      <c r="B78" s="28"/>
      <c r="C78" s="10" t="s">
        <v>14</v>
      </c>
      <c r="D78" s="11" t="s">
        <v>122</v>
      </c>
      <c r="E78" s="11" t="s">
        <v>39</v>
      </c>
      <c r="F78" s="11" t="s">
        <v>56</v>
      </c>
      <c r="G78" s="11" t="s">
        <v>82</v>
      </c>
      <c r="H78" s="11" t="s">
        <v>40</v>
      </c>
      <c r="I78" s="11" t="s">
        <v>41</v>
      </c>
      <c r="J78" s="12"/>
      <c r="K78" s="11" t="s">
        <v>57</v>
      </c>
      <c r="L78" s="11">
        <v>35</v>
      </c>
      <c r="M78" s="11">
        <v>43</v>
      </c>
    </row>
    <row r="79" spans="1:13" x14ac:dyDescent="0.2">
      <c r="B79" s="23" t="s">
        <v>13</v>
      </c>
      <c r="C79" s="23" t="s">
        <v>12</v>
      </c>
      <c r="D79" s="23" t="s">
        <v>11</v>
      </c>
      <c r="E79" s="23" t="s">
        <v>10</v>
      </c>
      <c r="F79" s="23" t="s">
        <v>66</v>
      </c>
      <c r="G79" s="23" t="s">
        <v>8</v>
      </c>
      <c r="H79" s="23" t="s">
        <v>7</v>
      </c>
      <c r="I79" s="23" t="s">
        <v>6</v>
      </c>
      <c r="J79" s="29"/>
      <c r="K79" s="23" t="s">
        <v>5</v>
      </c>
      <c r="L79" s="23" t="s">
        <v>4</v>
      </c>
      <c r="M79" s="23" t="s">
        <v>3</v>
      </c>
    </row>
    <row r="80" spans="1:13" x14ac:dyDescent="0.2">
      <c r="A80" s="23">
        <v>1</v>
      </c>
      <c r="B80" s="30" t="s">
        <v>84</v>
      </c>
      <c r="C80" s="23"/>
      <c r="D80" s="23"/>
      <c r="E80" s="23"/>
      <c r="F80" s="23"/>
      <c r="G80" s="23"/>
      <c r="H80" s="23"/>
      <c r="I80" s="23"/>
      <c r="J80" s="29"/>
      <c r="K80" s="23"/>
      <c r="L80" s="23"/>
      <c r="M80" s="23"/>
    </row>
    <row r="81" spans="1:13" x14ac:dyDescent="0.2">
      <c r="A81" s="23">
        <f t="shared" ref="A81:A101" si="20">A80+1</f>
        <v>2</v>
      </c>
      <c r="B81" s="24" t="s">
        <v>96</v>
      </c>
      <c r="C81" s="23" t="str">
        <f t="shared" ref="C81:E83" si="21">C55</f>
        <v>Exhibit BDJ-5, ELECTRIC RATE SPREAD DESIGN</v>
      </c>
      <c r="D81" s="50">
        <f t="shared" si="21"/>
        <v>1187222858.8307846</v>
      </c>
      <c r="E81" s="50">
        <f t="shared" si="21"/>
        <v>277084398.31200004</v>
      </c>
      <c r="F81" s="50">
        <f t="shared" ref="F81:F83" si="22">SUM(K81:M81)</f>
        <v>286641668.14823037</v>
      </c>
      <c r="G81" s="50">
        <f t="shared" ref="G81:I83" si="23">G55</f>
        <v>3641015.0859514596</v>
      </c>
      <c r="H81" s="50">
        <f t="shared" si="23"/>
        <v>155891438.18655092</v>
      </c>
      <c r="I81" s="50">
        <f t="shared" si="23"/>
        <v>111296629.90960328</v>
      </c>
      <c r="J81" s="51"/>
      <c r="K81" s="50">
        <f t="shared" ref="K81:M83" si="24">K55</f>
        <v>275482193.17499036</v>
      </c>
      <c r="L81" s="50">
        <f t="shared" si="24"/>
        <v>293087.23693641752</v>
      </c>
      <c r="M81" s="50">
        <f t="shared" si="24"/>
        <v>10866387.736303611</v>
      </c>
    </row>
    <row r="82" spans="1:13" x14ac:dyDescent="0.2">
      <c r="A82" s="23">
        <f t="shared" si="20"/>
        <v>3</v>
      </c>
      <c r="B82" s="24" t="s">
        <v>97</v>
      </c>
      <c r="C82" s="23" t="str">
        <f t="shared" si="21"/>
        <v>Exhibit BDJ-5, ELECTRIC RATE SPREAD DESIGN</v>
      </c>
      <c r="D82" s="51">
        <f t="shared" si="21"/>
        <v>111591945.32399999</v>
      </c>
      <c r="E82" s="51">
        <f t="shared" si="21"/>
        <v>21515331.359999999</v>
      </c>
      <c r="F82" s="51">
        <f t="shared" si="22"/>
        <v>24368657.57</v>
      </c>
      <c r="G82" s="51">
        <f t="shared" si="23"/>
        <v>532833.26599999995</v>
      </c>
      <c r="H82" s="51">
        <f t="shared" si="23"/>
        <v>12837994.35</v>
      </c>
      <c r="I82" s="51">
        <f t="shared" si="23"/>
        <v>9246641.9519999996</v>
      </c>
      <c r="J82" s="51"/>
      <c r="K82" s="51">
        <f t="shared" si="24"/>
        <v>23537674.800000001</v>
      </c>
      <c r="L82" s="51">
        <f t="shared" si="24"/>
        <v>45212.85</v>
      </c>
      <c r="M82" s="51">
        <f t="shared" si="24"/>
        <v>785769.91999999993</v>
      </c>
    </row>
    <row r="83" spans="1:13" x14ac:dyDescent="0.2">
      <c r="A83" s="23">
        <f t="shared" si="20"/>
        <v>4</v>
      </c>
      <c r="B83" s="24" t="s">
        <v>98</v>
      </c>
      <c r="C83" s="23" t="str">
        <f t="shared" si="21"/>
        <v>Exhibit BDJ-5, ELECTRIC RATE SPREAD DESIGN</v>
      </c>
      <c r="D83" s="52">
        <f t="shared" si="21"/>
        <v>133093220.223</v>
      </c>
      <c r="E83" s="52">
        <f t="shared" si="21"/>
        <v>25660036.056000002</v>
      </c>
      <c r="F83" s="52">
        <f t="shared" si="22"/>
        <v>29062089.438000001</v>
      </c>
      <c r="G83" s="52">
        <f t="shared" si="23"/>
        <v>635579.49600000004</v>
      </c>
      <c r="H83" s="52">
        <f t="shared" si="23"/>
        <v>15311046.258000001</v>
      </c>
      <c r="I83" s="52">
        <f t="shared" si="23"/>
        <v>11028129.583999999</v>
      </c>
      <c r="J83" s="52"/>
      <c r="K83" s="52">
        <f t="shared" si="24"/>
        <v>28070988.300000001</v>
      </c>
      <c r="L83" s="52">
        <f t="shared" si="24"/>
        <v>53926.77</v>
      </c>
      <c r="M83" s="52">
        <f t="shared" si="24"/>
        <v>937174.3679999999</v>
      </c>
    </row>
    <row r="84" spans="1:13" x14ac:dyDescent="0.2">
      <c r="A84" s="23">
        <f t="shared" si="20"/>
        <v>5</v>
      </c>
      <c r="B84" s="31" t="s">
        <v>76</v>
      </c>
      <c r="C84" s="23" t="str">
        <f>"("&amp;A81&amp;") + ("&amp;A82&amp;")+ ("&amp;A83&amp;")"</f>
        <v>(2) + (3)+ (4)</v>
      </c>
      <c r="D84" s="53">
        <f>SUM(D81:D83)</f>
        <v>1431908024.3777845</v>
      </c>
      <c r="E84" s="53">
        <f>SUM(E81:E83)</f>
        <v>324259765.72800004</v>
      </c>
      <c r="F84" s="53">
        <f>SUM(K84:M84)</f>
        <v>340072415.15623039</v>
      </c>
      <c r="G84" s="53">
        <f>SUM(G81:G83)</f>
        <v>4809427.8479514597</v>
      </c>
      <c r="H84" s="53">
        <f>SUM(H81:H83)</f>
        <v>184040478.7945509</v>
      </c>
      <c r="I84" s="53">
        <f>SUM(I81:I83)</f>
        <v>131571401.44560328</v>
      </c>
      <c r="J84" s="55"/>
      <c r="K84" s="53">
        <f>SUM(K81:K83)</f>
        <v>327090856.27499038</v>
      </c>
      <c r="L84" s="53">
        <f>SUM(L81:L83)</f>
        <v>392226.85693641752</v>
      </c>
      <c r="M84" s="53">
        <f>SUM(M81:M83)</f>
        <v>12589332.024303611</v>
      </c>
    </row>
    <row r="85" spans="1:13" x14ac:dyDescent="0.2">
      <c r="A85" s="23">
        <f t="shared" si="20"/>
        <v>6</v>
      </c>
      <c r="B85" s="24" t="s">
        <v>43</v>
      </c>
      <c r="C85" s="23" t="str">
        <f>C59</f>
        <v>Work Papers, Exhibit A-1</v>
      </c>
      <c r="D85" s="54">
        <f>D59</f>
        <v>756131196.8105154</v>
      </c>
      <c r="E85" s="54">
        <f>E59</f>
        <v>173115599.7690748</v>
      </c>
      <c r="F85" s="54">
        <f>SUM(K85:M85)</f>
        <v>192592700.69074151</v>
      </c>
      <c r="G85" s="54">
        <f>G59</f>
        <v>0</v>
      </c>
      <c r="H85" s="54">
        <f>H59</f>
        <v>112799085.32090402</v>
      </c>
      <c r="I85" s="54">
        <f>I59</f>
        <v>79448791.386475012</v>
      </c>
      <c r="J85" s="55"/>
      <c r="K85" s="54">
        <f>K59</f>
        <v>187030825.41165501</v>
      </c>
      <c r="L85" s="54">
        <f>L59</f>
        <v>245442.97510849289</v>
      </c>
      <c r="M85" s="54">
        <f>M59</f>
        <v>5316432.3039780101</v>
      </c>
    </row>
    <row r="86" spans="1:13" x14ac:dyDescent="0.2">
      <c r="A86" s="23">
        <f t="shared" si="20"/>
        <v>7</v>
      </c>
      <c r="B86" s="31" t="s">
        <v>78</v>
      </c>
      <c r="C86" s="23" t="str">
        <f>"("&amp;A84&amp;") - ("&amp;A$85&amp;")"</f>
        <v>(5) - (6)</v>
      </c>
      <c r="D86" s="53">
        <f>D84-D85</f>
        <v>675776827.56726909</v>
      </c>
      <c r="E86" s="53">
        <f t="shared" ref="E86:F86" si="25">E84-E85</f>
        <v>151144165.95892525</v>
      </c>
      <c r="F86" s="53">
        <f t="shared" si="25"/>
        <v>147479714.46548888</v>
      </c>
      <c r="G86" s="53">
        <f>G84-G85</f>
        <v>4809427.8479514597</v>
      </c>
      <c r="H86" s="53">
        <f>H84-H85</f>
        <v>71241393.473646879</v>
      </c>
      <c r="I86" s="53">
        <f>I84-I85</f>
        <v>52122610.05912827</v>
      </c>
      <c r="J86" s="55"/>
      <c r="K86" s="53">
        <f t="shared" ref="K86:L86" si="26">K84-K85</f>
        <v>140060030.86333537</v>
      </c>
      <c r="L86" s="53">
        <f t="shared" si="26"/>
        <v>146783.88182792463</v>
      </c>
      <c r="M86" s="53">
        <f>M84-M85</f>
        <v>7272899.7203256013</v>
      </c>
    </row>
    <row r="87" spans="1:13" x14ac:dyDescent="0.2">
      <c r="A87" s="23">
        <f t="shared" si="20"/>
        <v>8</v>
      </c>
      <c r="B87" s="24" t="s">
        <v>42</v>
      </c>
      <c r="C87" s="23" t="str">
        <f>C61</f>
        <v>Exhibit BDJ-5, ELECTRIC RATE SPREAD DESIGN</v>
      </c>
      <c r="D87" s="32">
        <f>D61</f>
        <v>110117015.06</v>
      </c>
      <c r="E87" s="32">
        <f>E61</f>
        <v>24831639.300000001</v>
      </c>
      <c r="F87" s="32">
        <f>SUM(K87:M87)</f>
        <v>6357050.2427270766</v>
      </c>
      <c r="G87" s="32">
        <f>G61</f>
        <v>423018.92447129916</v>
      </c>
      <c r="H87" s="32">
        <f>H61</f>
        <v>1236264.2545219569</v>
      </c>
      <c r="I87" s="32">
        <f>I61</f>
        <v>2207436.9634622922</v>
      </c>
      <c r="J87" s="32"/>
      <c r="K87" s="32">
        <f>K61</f>
        <v>5692168.8190227719</v>
      </c>
      <c r="L87" s="32">
        <f>L61</f>
        <v>8594.64</v>
      </c>
      <c r="M87" s="32">
        <f>M61</f>
        <v>656286.78370430518</v>
      </c>
    </row>
    <row r="88" spans="1:13" ht="12" thickBot="1" x14ac:dyDescent="0.25">
      <c r="A88" s="23">
        <f t="shared" si="20"/>
        <v>9</v>
      </c>
      <c r="B88" s="24" t="s">
        <v>79</v>
      </c>
      <c r="C88" s="23" t="str">
        <f>"("&amp;A86&amp;") - ("&amp;A$87&amp;")"</f>
        <v>(7) - (8)</v>
      </c>
      <c r="D88" s="34">
        <f t="shared" ref="D88:I88" si="27">D86-D87</f>
        <v>565659812.50726914</v>
      </c>
      <c r="E88" s="34">
        <f t="shared" si="27"/>
        <v>126312526.65892525</v>
      </c>
      <c r="F88" s="34">
        <f t="shared" si="27"/>
        <v>141122664.22276181</v>
      </c>
      <c r="G88" s="34">
        <f t="shared" si="27"/>
        <v>4386408.9234801605</v>
      </c>
      <c r="H88" s="34">
        <f t="shared" si="27"/>
        <v>70005129.219124928</v>
      </c>
      <c r="I88" s="34">
        <f t="shared" si="27"/>
        <v>49915173.095665976</v>
      </c>
      <c r="J88" s="34"/>
      <c r="K88" s="34">
        <f>K86-K87</f>
        <v>134367862.0443126</v>
      </c>
      <c r="L88" s="34">
        <f>L86-L87</f>
        <v>138189.24182792462</v>
      </c>
      <c r="M88" s="34">
        <f>M86-M87</f>
        <v>6616612.9366212962</v>
      </c>
    </row>
    <row r="89" spans="1:13" ht="12" thickTop="1" x14ac:dyDescent="0.2">
      <c r="A89" s="23">
        <f t="shared" si="20"/>
        <v>10</v>
      </c>
      <c r="B89" s="23"/>
      <c r="C89" s="23"/>
      <c r="D89" s="23"/>
      <c r="E89" s="23"/>
      <c r="F89" s="23"/>
      <c r="G89" s="23"/>
      <c r="H89" s="23"/>
      <c r="I89" s="23"/>
      <c r="J89" s="29"/>
      <c r="K89" s="23"/>
      <c r="L89" s="23"/>
      <c r="M89" s="23"/>
    </row>
    <row r="90" spans="1:13" x14ac:dyDescent="0.2">
      <c r="A90" s="23">
        <f t="shared" si="20"/>
        <v>11</v>
      </c>
      <c r="B90" s="30" t="s">
        <v>86</v>
      </c>
      <c r="C90" s="23"/>
      <c r="D90" s="23"/>
      <c r="E90" s="23"/>
      <c r="F90" s="23"/>
      <c r="G90" s="23"/>
      <c r="H90" s="23"/>
      <c r="I90" s="23"/>
      <c r="J90" s="29"/>
      <c r="K90" s="23"/>
      <c r="L90" s="23"/>
      <c r="M90" s="23"/>
    </row>
    <row r="91" spans="1:13" x14ac:dyDescent="0.2">
      <c r="A91" s="23">
        <f t="shared" si="20"/>
        <v>12</v>
      </c>
      <c r="B91" s="24" t="s">
        <v>96</v>
      </c>
      <c r="C91" s="23" t="str">
        <f>C55</f>
        <v>Exhibit BDJ-5, ELECTRIC RATE SPREAD DESIGN</v>
      </c>
      <c r="D91" s="50">
        <v>1193413897.9831271</v>
      </c>
      <c r="E91" s="50">
        <v>277027554.95800006</v>
      </c>
      <c r="F91" s="32">
        <f t="shared" ref="F91:F95" si="28">SUM(K91:M91)</f>
        <v>286696914.1128813</v>
      </c>
      <c r="G91" s="50">
        <v>3652186.5759924036</v>
      </c>
      <c r="H91" s="50">
        <v>156335209.05265877</v>
      </c>
      <c r="I91" s="50">
        <v>110418742.54820991</v>
      </c>
      <c r="J91" s="29"/>
      <c r="K91" s="50">
        <v>275548682.01863587</v>
      </c>
      <c r="L91" s="50">
        <v>293054.73713085003</v>
      </c>
      <c r="M91" s="50">
        <v>10855177.357114641</v>
      </c>
    </row>
    <row r="92" spans="1:13" x14ac:dyDescent="0.2">
      <c r="A92" s="23">
        <f t="shared" si="20"/>
        <v>13</v>
      </c>
      <c r="B92" s="24" t="s">
        <v>97</v>
      </c>
      <c r="C92" s="23" t="str">
        <f>C56</f>
        <v>Exhibit BDJ-5, ELECTRIC RATE SPREAD DESIGN</v>
      </c>
      <c r="D92" s="62">
        <v>48635103.140000001</v>
      </c>
      <c r="E92" s="62">
        <v>9377465.2000000011</v>
      </c>
      <c r="F92" s="32">
        <f t="shared" si="28"/>
        <v>10619934.792000001</v>
      </c>
      <c r="G92" s="51">
        <v>232119.652</v>
      </c>
      <c r="H92" s="62">
        <v>5594437.1699999999</v>
      </c>
      <c r="I92" s="62">
        <v>4029755.6519999998</v>
      </c>
      <c r="J92" s="29"/>
      <c r="K92" s="62">
        <v>10257683.4</v>
      </c>
      <c r="L92" s="62">
        <v>19705.412</v>
      </c>
      <c r="M92" s="51">
        <v>342545.98000000004</v>
      </c>
    </row>
    <row r="93" spans="1:13" x14ac:dyDescent="0.2">
      <c r="A93" s="23">
        <f t="shared" si="20"/>
        <v>14</v>
      </c>
      <c r="B93" s="24" t="s">
        <v>98</v>
      </c>
      <c r="C93" s="23" t="str">
        <f>C57</f>
        <v>Exhibit BDJ-5, ELECTRIC RATE SPREAD DESIGN</v>
      </c>
      <c r="D93" s="63">
        <v>202165780.54100001</v>
      </c>
      <c r="E93" s="63">
        <v>38979606</v>
      </c>
      <c r="F93" s="33">
        <f t="shared" si="28"/>
        <v>44144124.232999995</v>
      </c>
      <c r="G93" s="52">
        <v>965235.71</v>
      </c>
      <c r="H93" s="63">
        <v>23256874.520999998</v>
      </c>
      <c r="I93" s="63">
        <v>16750907.369999999</v>
      </c>
      <c r="J93" s="64"/>
      <c r="K93" s="63">
        <v>42638678.774999999</v>
      </c>
      <c r="L93" s="63">
        <v>81910.3</v>
      </c>
      <c r="M93" s="52">
        <v>1423535.1580000001</v>
      </c>
    </row>
    <row r="94" spans="1:13" x14ac:dyDescent="0.2">
      <c r="A94" s="23">
        <f t="shared" si="20"/>
        <v>15</v>
      </c>
      <c r="B94" s="31" t="s">
        <v>76</v>
      </c>
      <c r="C94" s="23" t="str">
        <f>"("&amp;A91&amp;") + ("&amp;A92&amp;")+ ("&amp;A93&amp;")"</f>
        <v>(12) + (13)+ (14)</v>
      </c>
      <c r="D94" s="25">
        <f>SUM(D91:D93)</f>
        <v>1444214781.6641273</v>
      </c>
      <c r="E94" s="25">
        <f>SUM(E91:E93)</f>
        <v>325384626.15800005</v>
      </c>
      <c r="F94" s="25">
        <f t="shared" si="28"/>
        <v>341460973.13788128</v>
      </c>
      <c r="G94" s="25">
        <f>SUM(G91:G93)</f>
        <v>4849541.9379924033</v>
      </c>
      <c r="H94" s="25">
        <f>SUM(H91:H93)</f>
        <v>185186520.74365875</v>
      </c>
      <c r="I94" s="25">
        <f>SUM(I91:I93)</f>
        <v>131199405.57020991</v>
      </c>
      <c r="J94" s="32"/>
      <c r="K94" s="25">
        <f>SUM(K91:K93)</f>
        <v>328445044.19363582</v>
      </c>
      <c r="L94" s="25">
        <f>SUM(L91:L93)</f>
        <v>394670.44913085003</v>
      </c>
      <c r="M94" s="25">
        <f>SUM(M91:M93)</f>
        <v>12621258.495114641</v>
      </c>
    </row>
    <row r="95" spans="1:13" x14ac:dyDescent="0.2">
      <c r="A95" s="23">
        <f t="shared" si="20"/>
        <v>16</v>
      </c>
      <c r="B95" s="24" t="s">
        <v>43</v>
      </c>
      <c r="C95" s="23" t="str">
        <f>C59</f>
        <v>Work Papers, Exhibit A-1</v>
      </c>
      <c r="D95" s="33">
        <v>717833133.16814971</v>
      </c>
      <c r="E95" s="33">
        <v>164152305.35480514</v>
      </c>
      <c r="F95" s="33">
        <f t="shared" si="28"/>
        <v>182545159.96839467</v>
      </c>
      <c r="G95" s="33">
        <v>0</v>
      </c>
      <c r="H95" s="33">
        <v>106856085.78084697</v>
      </c>
      <c r="I95" s="33">
        <v>75250545.899687663</v>
      </c>
      <c r="J95" s="32"/>
      <c r="K95" s="33">
        <v>177347092.05083957</v>
      </c>
      <c r="L95" s="33">
        <v>231496.0127698218</v>
      </c>
      <c r="M95" s="33">
        <v>4966571.9047852652</v>
      </c>
    </row>
    <row r="96" spans="1:13" x14ac:dyDescent="0.2">
      <c r="A96" s="23">
        <f t="shared" si="20"/>
        <v>17</v>
      </c>
      <c r="B96" s="31" t="s">
        <v>78</v>
      </c>
      <c r="C96" s="23" t="str">
        <f>"("&amp;A94&amp;") - ("&amp;A$95&amp;")"</f>
        <v>(15) - (16)</v>
      </c>
      <c r="D96" s="25">
        <f>D94-D95</f>
        <v>726381648.49597764</v>
      </c>
      <c r="E96" s="25">
        <f t="shared" ref="E96:F96" si="29">E94-E95</f>
        <v>161232320.80319491</v>
      </c>
      <c r="F96" s="25">
        <f t="shared" si="29"/>
        <v>158915813.16948661</v>
      </c>
      <c r="G96" s="25">
        <f>G94-G95</f>
        <v>4849541.9379924033</v>
      </c>
      <c r="H96" s="25">
        <f>H94-H95</f>
        <v>78330434.962811783</v>
      </c>
      <c r="I96" s="25">
        <f>I94-I95</f>
        <v>55948859.670522243</v>
      </c>
      <c r="J96" s="32"/>
      <c r="K96" s="25">
        <f t="shared" ref="K96:L96" si="30">K94-K95</f>
        <v>151097952.14279625</v>
      </c>
      <c r="L96" s="25">
        <f t="shared" si="30"/>
        <v>163174.43636102823</v>
      </c>
      <c r="M96" s="25">
        <f>M94-M95</f>
        <v>7654686.590329376</v>
      </c>
    </row>
    <row r="97" spans="1:13" x14ac:dyDescent="0.2">
      <c r="A97" s="23">
        <f t="shared" si="20"/>
        <v>18</v>
      </c>
      <c r="B97" s="24" t="s">
        <v>42</v>
      </c>
      <c r="C97" s="23" t="str">
        <f>C61</f>
        <v>Exhibit BDJ-5, ELECTRIC RATE SPREAD DESIGN</v>
      </c>
      <c r="D97" s="25">
        <v>111510679.92</v>
      </c>
      <c r="E97" s="25">
        <v>25117440.350000001</v>
      </c>
      <c r="F97" s="25">
        <f>SUM(K97:M97)</f>
        <v>6444117.7912665699</v>
      </c>
      <c r="G97" s="25">
        <v>423018.92447129916</v>
      </c>
      <c r="H97" s="25">
        <v>1366967.0023107971</v>
      </c>
      <c r="I97" s="25">
        <v>2213692.0400782181</v>
      </c>
      <c r="J97" s="32"/>
      <c r="K97" s="25">
        <v>5773125.7986818152</v>
      </c>
      <c r="L97" s="25">
        <v>8594.64</v>
      </c>
      <c r="M97" s="25">
        <v>662397.35258475505</v>
      </c>
    </row>
    <row r="98" spans="1:13" ht="12" thickBot="1" x14ac:dyDescent="0.25">
      <c r="A98" s="23">
        <f t="shared" si="20"/>
        <v>19</v>
      </c>
      <c r="B98" s="24" t="s">
        <v>79</v>
      </c>
      <c r="C98" s="23" t="str">
        <f>"("&amp;A96&amp;") - ("&amp;A$97&amp;")"</f>
        <v>(17) - (18)</v>
      </c>
      <c r="D98" s="34">
        <f t="shared" ref="D98:I98" si="31">D96-D97</f>
        <v>614870968.57597768</v>
      </c>
      <c r="E98" s="34">
        <f t="shared" si="31"/>
        <v>136114880.45319492</v>
      </c>
      <c r="F98" s="34">
        <f t="shared" si="31"/>
        <v>152471695.37822005</v>
      </c>
      <c r="G98" s="34">
        <f t="shared" si="31"/>
        <v>4426523.0135211041</v>
      </c>
      <c r="H98" s="34">
        <f t="shared" si="31"/>
        <v>76963467.960500985</v>
      </c>
      <c r="I98" s="34">
        <f t="shared" si="31"/>
        <v>53735167.630444027</v>
      </c>
      <c r="J98" s="34"/>
      <c r="K98" s="34">
        <f>K96-K97</f>
        <v>145324826.34411442</v>
      </c>
      <c r="L98" s="34">
        <f>L96-L97</f>
        <v>154579.79636102822</v>
      </c>
      <c r="M98" s="34">
        <f>M96-M97</f>
        <v>6992289.237744621</v>
      </c>
    </row>
    <row r="99" spans="1:13" ht="12" thickTop="1" x14ac:dyDescent="0.2">
      <c r="A99" s="23">
        <f t="shared" si="20"/>
        <v>20</v>
      </c>
      <c r="D99" s="57"/>
    </row>
    <row r="100" spans="1:13" x14ac:dyDescent="0.2">
      <c r="A100" s="23">
        <f t="shared" si="20"/>
        <v>21</v>
      </c>
      <c r="B100" s="24" t="s">
        <v>85</v>
      </c>
      <c r="C100" s="23" t="str">
        <f>"("&amp;A98&amp;") - ("&amp;A88&amp;")"</f>
        <v>(19) - (9)</v>
      </c>
      <c r="D100" s="53">
        <f t="shared" ref="D100:I100" si="32">D98-D88</f>
        <v>49211156.068708539</v>
      </c>
      <c r="E100" s="53">
        <f t="shared" si="32"/>
        <v>9802353.7942696661</v>
      </c>
      <c r="F100" s="53">
        <f t="shared" si="32"/>
        <v>11349031.155458242</v>
      </c>
      <c r="G100" s="53">
        <f t="shared" si="32"/>
        <v>40114.090040943585</v>
      </c>
      <c r="H100" s="53">
        <f t="shared" si="32"/>
        <v>6958338.7413760573</v>
      </c>
      <c r="I100" s="53">
        <f t="shared" si="32"/>
        <v>3819994.5347780511</v>
      </c>
      <c r="K100" s="53">
        <f>K98-K88</f>
        <v>10956964.299801826</v>
      </c>
      <c r="L100" s="53">
        <f>L98-L88</f>
        <v>16390.554533103597</v>
      </c>
      <c r="M100" s="53">
        <f>M98-M88</f>
        <v>375676.30112332478</v>
      </c>
    </row>
    <row r="101" spans="1:13" ht="13.5" customHeight="1" thickBot="1" x14ac:dyDescent="0.25">
      <c r="A101" s="23">
        <f t="shared" si="20"/>
        <v>22</v>
      </c>
      <c r="B101" s="24" t="s">
        <v>106</v>
      </c>
      <c r="I101" s="34">
        <f>SUM(D100:I100)</f>
        <v>81180988.384631485</v>
      </c>
    </row>
    <row r="102" spans="1:13" ht="12" thickTop="1" x14ac:dyDescent="0.2">
      <c r="A102" s="23"/>
      <c r="I102" s="32"/>
    </row>
    <row r="103" spans="1:13" x14ac:dyDescent="0.2">
      <c r="A103" s="23"/>
      <c r="D103" s="38"/>
      <c r="E103" s="38"/>
      <c r="F103" s="38"/>
      <c r="G103" s="38"/>
      <c r="H103" s="38"/>
      <c r="I103" s="38"/>
      <c r="K103" s="38"/>
      <c r="L103" s="38"/>
      <c r="M103" s="38"/>
    </row>
    <row r="105" spans="1:13" x14ac:dyDescent="0.2">
      <c r="B105" s="24" t="s">
        <v>109</v>
      </c>
    </row>
  </sheetData>
  <mergeCells count="15">
    <mergeCell ref="A1:M1"/>
    <mergeCell ref="A3:M3"/>
    <mergeCell ref="A4:M4"/>
    <mergeCell ref="A2:M2"/>
    <mergeCell ref="A5:M5"/>
    <mergeCell ref="A34:M34"/>
    <mergeCell ref="A35:M35"/>
    <mergeCell ref="A36:M36"/>
    <mergeCell ref="A37:M37"/>
    <mergeCell ref="A38:M38"/>
    <mergeCell ref="A70:M70"/>
    <mergeCell ref="A71:M71"/>
    <mergeCell ref="A72:M72"/>
    <mergeCell ref="A73:M73"/>
    <mergeCell ref="A74:M74"/>
  </mergeCells>
  <printOptions horizontalCentered="1"/>
  <pageMargins left="0.7" right="0.7" top="0.75" bottom="0.75" header="0.3" footer="0.3"/>
  <pageSetup scale="4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70"/>
  <sheetViews>
    <sheetView zoomScaleNormal="100" workbookViewId="0">
      <pane ySplit="9" topLeftCell="A10" activePane="bottomLeft" state="frozen"/>
      <selection activeCell="D67" sqref="D67"/>
      <selection pane="bottomLeft" activeCell="D18" sqref="D18"/>
    </sheetView>
  </sheetViews>
  <sheetFormatPr defaultColWidth="9.140625" defaultRowHeight="11.25" x14ac:dyDescent="0.2"/>
  <cols>
    <col min="1" max="1" width="4.28515625" style="40" bestFit="1" customWidth="1"/>
    <col min="2" max="2" width="46.28515625" style="40" customWidth="1"/>
    <col min="3" max="3" width="41.140625" style="40" bestFit="1" customWidth="1"/>
    <col min="4" max="4" width="12.85546875" style="40" bestFit="1" customWidth="1"/>
    <col min="5" max="5" width="12" style="40" bestFit="1" customWidth="1"/>
    <col min="6" max="6" width="17.28515625" style="40" bestFit="1" customWidth="1"/>
    <col min="7" max="7" width="10.7109375" style="40" bestFit="1" customWidth="1"/>
    <col min="8" max="9" width="12" style="40" bestFit="1" customWidth="1"/>
    <col min="10" max="16384" width="9.140625" style="40"/>
  </cols>
  <sheetData>
    <row r="1" spans="1:9" x14ac:dyDescent="0.2">
      <c r="A1" s="5" t="str">
        <f>'Exhibit BDJ-9, Page 1'!A1:M1</f>
        <v>Puget Sound Energy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A2" s="5" t="str">
        <f>'Exhibit BDJ-9, Page 1'!A2:M2</f>
        <v>2022 General Rate Case (GRC)</v>
      </c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5" t="str">
        <f>'Exhibit BDJ-9, Page 1'!A3:M3</f>
        <v>Electric Delivery Decoupling Mechanism (Schedule 142)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5" t="s">
        <v>74</v>
      </c>
      <c r="B4" s="5"/>
      <c r="C4" s="5"/>
      <c r="D4" s="5"/>
      <c r="E4" s="5"/>
      <c r="F4" s="5"/>
      <c r="G4" s="5"/>
      <c r="H4" s="5"/>
      <c r="I4" s="5"/>
    </row>
    <row r="5" spans="1:9" x14ac:dyDescent="0.2">
      <c r="A5" s="5" t="str">
        <f>'Exhibit BDJ-9, Page 1'!A5:M5</f>
        <v>Proposed Effective January 1, 2023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6"/>
      <c r="D6" s="6"/>
      <c r="E6" s="6"/>
      <c r="F6" s="58"/>
      <c r="G6" s="58"/>
      <c r="H6" s="58"/>
      <c r="I6" s="58"/>
    </row>
    <row r="8" spans="1:9" ht="12.75" customHeight="1" x14ac:dyDescent="0.2">
      <c r="A8" s="8" t="s">
        <v>52</v>
      </c>
      <c r="D8" s="58" t="s">
        <v>54</v>
      </c>
      <c r="E8" s="58" t="s">
        <v>55</v>
      </c>
      <c r="F8" s="58" t="s">
        <v>55</v>
      </c>
      <c r="G8" s="58" t="s">
        <v>81</v>
      </c>
      <c r="H8" s="58" t="s">
        <v>55</v>
      </c>
      <c r="I8" s="58" t="s">
        <v>55</v>
      </c>
    </row>
    <row r="9" spans="1:9" s="44" customFormat="1" ht="10.15" customHeight="1" x14ac:dyDescent="0.2">
      <c r="A9" s="9" t="s">
        <v>53</v>
      </c>
      <c r="B9" s="42"/>
      <c r="C9" s="10" t="s">
        <v>14</v>
      </c>
      <c r="D9" s="11" t="s">
        <v>122</v>
      </c>
      <c r="E9" s="11" t="s">
        <v>39</v>
      </c>
      <c r="F9" s="11" t="s">
        <v>56</v>
      </c>
      <c r="G9" s="11" t="s">
        <v>82</v>
      </c>
      <c r="H9" s="11" t="s">
        <v>40</v>
      </c>
      <c r="I9" s="11" t="s">
        <v>41</v>
      </c>
    </row>
    <row r="10" spans="1:9" x14ac:dyDescent="0.2">
      <c r="A10" s="24"/>
      <c r="B10" s="23" t="s">
        <v>13</v>
      </c>
      <c r="C10" s="23" t="s">
        <v>12</v>
      </c>
      <c r="D10" s="23" t="s">
        <v>11</v>
      </c>
      <c r="E10" s="23" t="s">
        <v>10</v>
      </c>
      <c r="F10" s="23" t="s">
        <v>9</v>
      </c>
      <c r="G10" s="23" t="s">
        <v>8</v>
      </c>
      <c r="H10" s="23" t="s">
        <v>7</v>
      </c>
      <c r="I10" s="23" t="s">
        <v>6</v>
      </c>
    </row>
    <row r="11" spans="1:9" x14ac:dyDescent="0.2">
      <c r="A11" s="23">
        <v>1</v>
      </c>
      <c r="B11" s="30" t="s">
        <v>84</v>
      </c>
      <c r="C11" s="23"/>
      <c r="D11" s="23"/>
      <c r="E11" s="23"/>
      <c r="F11" s="23"/>
      <c r="G11" s="23"/>
      <c r="H11" s="23"/>
      <c r="I11" s="23"/>
    </row>
    <row r="12" spans="1:9" x14ac:dyDescent="0.2">
      <c r="A12" s="23">
        <f>A11+1</f>
        <v>2</v>
      </c>
      <c r="B12" s="24" t="s">
        <v>61</v>
      </c>
      <c r="C12" s="21" t="s">
        <v>111</v>
      </c>
      <c r="D12" s="25">
        <f>'Exhibit BDJ-9, Page 1'!D$16</f>
        <v>395296178.66394639</v>
      </c>
      <c r="E12" s="25">
        <f>'Exhibit BDJ-9, Page 1'!E$16</f>
        <v>85600277.611251742</v>
      </c>
      <c r="F12" s="25">
        <f>'Exhibit BDJ-9, Page 1'!F$16</f>
        <v>96688979.403679311</v>
      </c>
      <c r="G12" s="25">
        <f>'Exhibit BDJ-9, Page 1'!G$16</f>
        <v>4029019.4600000009</v>
      </c>
      <c r="H12" s="25">
        <f>'Exhibit BDJ-9, Page 1'!H$16</f>
        <v>51710030.234119162</v>
      </c>
      <c r="I12" s="25">
        <f>'Exhibit BDJ-9, Page 1'!I$16</f>
        <v>37425953.872193784</v>
      </c>
    </row>
    <row r="13" spans="1:9" x14ac:dyDescent="0.2">
      <c r="A13" s="23">
        <f t="shared" ref="A13:A21" si="0">A12+1</f>
        <v>3</v>
      </c>
      <c r="B13" s="24" t="s">
        <v>17</v>
      </c>
      <c r="C13" s="21" t="s">
        <v>110</v>
      </c>
      <c r="D13" s="36">
        <v>1010572</v>
      </c>
      <c r="E13" s="36">
        <v>121598</v>
      </c>
      <c r="F13" s="36">
        <v>8321</v>
      </c>
      <c r="G13" s="36">
        <v>94</v>
      </c>
      <c r="H13" s="36">
        <v>841</v>
      </c>
      <c r="I13" s="36">
        <v>487</v>
      </c>
    </row>
    <row r="14" spans="1:9" x14ac:dyDescent="0.2">
      <c r="A14" s="23">
        <f t="shared" si="0"/>
        <v>4</v>
      </c>
      <c r="B14" s="24" t="s">
        <v>60</v>
      </c>
      <c r="C14" s="23" t="str">
        <f>"("&amp;A12&amp;") / ("&amp;A13&amp;")"</f>
        <v>(2) / (3)</v>
      </c>
      <c r="D14" s="41">
        <f t="shared" ref="D14:I14" si="1">ROUND(D12/D13,2)</f>
        <v>391.16</v>
      </c>
      <c r="E14" s="41">
        <f t="shared" si="1"/>
        <v>703.96</v>
      </c>
      <c r="F14" s="41">
        <f t="shared" si="1"/>
        <v>11619.87</v>
      </c>
      <c r="G14" s="41">
        <f t="shared" si="1"/>
        <v>42861.91</v>
      </c>
      <c r="H14" s="41">
        <f t="shared" si="1"/>
        <v>61486.36</v>
      </c>
      <c r="I14" s="41">
        <f t="shared" si="1"/>
        <v>76850.009999999995</v>
      </c>
    </row>
    <row r="15" spans="1:9" x14ac:dyDescent="0.2">
      <c r="A15" s="23">
        <f t="shared" si="0"/>
        <v>5</v>
      </c>
      <c r="B15" s="30"/>
      <c r="C15" s="23"/>
      <c r="D15" s="23"/>
      <c r="E15" s="23"/>
      <c r="F15" s="23"/>
      <c r="G15" s="23"/>
      <c r="H15" s="23"/>
      <c r="I15" s="23"/>
    </row>
    <row r="16" spans="1:9" x14ac:dyDescent="0.2">
      <c r="A16" s="23">
        <f t="shared" si="0"/>
        <v>6</v>
      </c>
      <c r="B16" s="30" t="s">
        <v>86</v>
      </c>
      <c r="C16" s="23"/>
      <c r="D16" s="23"/>
      <c r="E16" s="23"/>
      <c r="F16" s="23"/>
      <c r="G16" s="23"/>
      <c r="H16" s="23"/>
      <c r="I16" s="23"/>
    </row>
    <row r="17" spans="1:9" x14ac:dyDescent="0.2">
      <c r="A17" s="23">
        <f t="shared" si="0"/>
        <v>7</v>
      </c>
      <c r="B17" s="24" t="s">
        <v>61</v>
      </c>
      <c r="C17" s="21" t="str">
        <f>C12</f>
        <v>Exhibit BDJ-9, Page 1</v>
      </c>
      <c r="D17" s="25">
        <f>'Exhibit BDJ-9, Page 1'!D$26</f>
        <v>521104370.91311663</v>
      </c>
      <c r="E17" s="25">
        <f>'Exhibit BDJ-9, Page 1'!E$26</f>
        <v>116908069.0660705</v>
      </c>
      <c r="F17" s="25">
        <f>'Exhibit BDJ-9, Page 1'!F$26</f>
        <v>130422989.03008355</v>
      </c>
      <c r="G17" s="25">
        <f>'Exhibit BDJ-9, Page 1'!G$26</f>
        <v>4216399.7375211036</v>
      </c>
      <c r="H17" s="25">
        <f>'Exhibit BDJ-9, Page 1'!H$26</f>
        <v>64870577.339001268</v>
      </c>
      <c r="I17" s="25">
        <f>'Exhibit BDJ-9, Page 1'!I$26</f>
        <v>47222556.177018121</v>
      </c>
    </row>
    <row r="18" spans="1:9" x14ac:dyDescent="0.2">
      <c r="A18" s="23">
        <f t="shared" si="0"/>
        <v>8</v>
      </c>
      <c r="B18" s="24" t="s">
        <v>102</v>
      </c>
      <c r="C18" s="21" t="s">
        <v>125</v>
      </c>
      <c r="D18" s="36">
        <v>1081272.3949085891</v>
      </c>
      <c r="E18" s="36">
        <v>128145.22996027127</v>
      </c>
      <c r="F18" s="36">
        <v>8976.4157631638973</v>
      </c>
      <c r="G18" s="36">
        <v>82</v>
      </c>
      <c r="H18" s="36">
        <v>863.14840660242874</v>
      </c>
      <c r="I18" s="36">
        <v>505.69327766151088</v>
      </c>
    </row>
    <row r="19" spans="1:9" x14ac:dyDescent="0.2">
      <c r="A19" s="23">
        <f t="shared" si="0"/>
        <v>9</v>
      </c>
      <c r="B19" s="24" t="s">
        <v>60</v>
      </c>
      <c r="C19" s="23" t="str">
        <f>"("&amp;A17&amp;") / ("&amp;A18&amp;")"</f>
        <v>(7) / (8)</v>
      </c>
      <c r="D19" s="41">
        <f t="shared" ref="D19:I19" si="2">ROUND(D17/D18,2)</f>
        <v>481.94</v>
      </c>
      <c r="E19" s="41">
        <f t="shared" si="2"/>
        <v>912.31</v>
      </c>
      <c r="F19" s="41">
        <f t="shared" si="2"/>
        <v>14529.52</v>
      </c>
      <c r="G19" s="41">
        <f t="shared" si="2"/>
        <v>51419.51</v>
      </c>
      <c r="H19" s="41">
        <f t="shared" si="2"/>
        <v>75155.759999999995</v>
      </c>
      <c r="I19" s="41">
        <f t="shared" si="2"/>
        <v>93381.82</v>
      </c>
    </row>
    <row r="20" spans="1:9" x14ac:dyDescent="0.2">
      <c r="A20" s="23">
        <f t="shared" si="0"/>
        <v>10</v>
      </c>
      <c r="B20" s="24"/>
      <c r="C20" s="24"/>
      <c r="D20" s="24"/>
      <c r="E20" s="24"/>
      <c r="F20" s="24"/>
      <c r="G20" s="24"/>
      <c r="H20" s="24"/>
      <c r="I20" s="24"/>
    </row>
    <row r="21" spans="1:9" x14ac:dyDescent="0.2">
      <c r="A21" s="23">
        <f t="shared" si="0"/>
        <v>11</v>
      </c>
      <c r="B21" s="24" t="s">
        <v>87</v>
      </c>
      <c r="C21" s="23" t="str">
        <f>"("&amp;A19&amp;") - ("&amp;A14&amp;")"</f>
        <v>(9) - (4)</v>
      </c>
      <c r="D21" s="25">
        <f t="shared" ref="D21:I21" si="3">D19-D14</f>
        <v>90.779999999999973</v>
      </c>
      <c r="E21" s="25">
        <f t="shared" si="3"/>
        <v>208.34999999999991</v>
      </c>
      <c r="F21" s="25">
        <f t="shared" si="3"/>
        <v>2909.6499999999996</v>
      </c>
      <c r="G21" s="25">
        <f t="shared" si="3"/>
        <v>8557.5999999999985</v>
      </c>
      <c r="H21" s="25">
        <f t="shared" si="3"/>
        <v>13669.399999999994</v>
      </c>
      <c r="I21" s="25">
        <f t="shared" si="3"/>
        <v>16531.810000000012</v>
      </c>
    </row>
    <row r="22" spans="1:9" ht="12" customHeight="1" x14ac:dyDescent="0.2">
      <c r="A22" s="23"/>
    </row>
    <row r="23" spans="1:9" s="27" customFormat="1" ht="3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</row>
    <row r="25" spans="1:9" x14ac:dyDescent="0.2">
      <c r="A25" s="5" t="str">
        <f>A1</f>
        <v>Puget Sound Energy</v>
      </c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 t="str">
        <f>A2</f>
        <v>2022 General Rate Case (GRC)</v>
      </c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 t="str">
        <f>A3</f>
        <v>Electric Delivery Decoupling Mechanism (Schedule 142)</v>
      </c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 t="s">
        <v>74</v>
      </c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 t="str">
        <f>'Exhibit BDJ-9, Page 1'!A38:M38</f>
        <v>Proposed Effective January 1, 2024</v>
      </c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6"/>
      <c r="B30" s="6"/>
      <c r="C30" s="6"/>
      <c r="D30" s="6"/>
      <c r="E30" s="6"/>
      <c r="F30" s="58"/>
      <c r="G30" s="58"/>
      <c r="H30" s="58"/>
      <c r="I30" s="58"/>
    </row>
    <row r="32" spans="1:9" ht="33.75" x14ac:dyDescent="0.2">
      <c r="A32" s="8" t="s">
        <v>52</v>
      </c>
      <c r="D32" s="58" t="s">
        <v>54</v>
      </c>
      <c r="E32" s="58" t="s">
        <v>55</v>
      </c>
      <c r="F32" s="58" t="s">
        <v>55</v>
      </c>
      <c r="G32" s="58" t="s">
        <v>81</v>
      </c>
      <c r="H32" s="58" t="s">
        <v>55</v>
      </c>
      <c r="I32" s="58" t="s">
        <v>55</v>
      </c>
    </row>
    <row r="33" spans="1:9" x14ac:dyDescent="0.2">
      <c r="A33" s="9" t="s">
        <v>53</v>
      </c>
      <c r="B33" s="42"/>
      <c r="C33" s="10" t="s">
        <v>14</v>
      </c>
      <c r="D33" s="11" t="s">
        <v>122</v>
      </c>
      <c r="E33" s="11" t="s">
        <v>39</v>
      </c>
      <c r="F33" s="11" t="s">
        <v>56</v>
      </c>
      <c r="G33" s="11" t="s">
        <v>82</v>
      </c>
      <c r="H33" s="11" t="s">
        <v>40</v>
      </c>
      <c r="I33" s="11" t="s">
        <v>41</v>
      </c>
    </row>
    <row r="34" spans="1:9" x14ac:dyDescent="0.2">
      <c r="A34" s="24"/>
      <c r="B34" s="23" t="s">
        <v>13</v>
      </c>
      <c r="C34" s="23" t="s">
        <v>12</v>
      </c>
      <c r="D34" s="23" t="s">
        <v>11</v>
      </c>
      <c r="E34" s="23" t="s">
        <v>10</v>
      </c>
      <c r="F34" s="23" t="s">
        <v>9</v>
      </c>
      <c r="G34" s="23" t="s">
        <v>8</v>
      </c>
      <c r="H34" s="23" t="s">
        <v>7</v>
      </c>
      <c r="I34" s="23" t="s">
        <v>6</v>
      </c>
    </row>
    <row r="35" spans="1:9" x14ac:dyDescent="0.2">
      <c r="A35" s="23">
        <v>1</v>
      </c>
      <c r="B35" s="30" t="s">
        <v>84</v>
      </c>
      <c r="C35" s="23"/>
      <c r="D35" s="23"/>
      <c r="E35" s="23"/>
      <c r="F35" s="23"/>
      <c r="G35" s="23"/>
      <c r="H35" s="23"/>
      <c r="I35" s="23"/>
    </row>
    <row r="36" spans="1:9" x14ac:dyDescent="0.2">
      <c r="A36" s="23">
        <f>A35+1</f>
        <v>2</v>
      </c>
      <c r="B36" s="24" t="s">
        <v>61</v>
      </c>
      <c r="C36" s="23" t="str">
        <f t="shared" ref="C36:I36" si="4">C17</f>
        <v>Exhibit BDJ-9, Page 1</v>
      </c>
      <c r="D36" s="25">
        <f t="shared" si="4"/>
        <v>521104370.91311663</v>
      </c>
      <c r="E36" s="25">
        <f t="shared" si="4"/>
        <v>116908069.0660705</v>
      </c>
      <c r="F36" s="25">
        <f t="shared" si="4"/>
        <v>130422989.03008355</v>
      </c>
      <c r="G36" s="25">
        <f t="shared" si="4"/>
        <v>4216399.7375211036</v>
      </c>
      <c r="H36" s="25">
        <f t="shared" si="4"/>
        <v>64870577.339001268</v>
      </c>
      <c r="I36" s="25">
        <f t="shared" si="4"/>
        <v>47222556.177018121</v>
      </c>
    </row>
    <row r="37" spans="1:9" x14ac:dyDescent="0.2">
      <c r="A37" s="23">
        <f t="shared" ref="A37:A45" si="5">A36+1</f>
        <v>3</v>
      </c>
      <c r="B37" s="24" t="s">
        <v>17</v>
      </c>
      <c r="C37" s="23" t="str">
        <f>C18</f>
        <v>Exhibit BDJ-3, Electric F2021 Billing Determinants</v>
      </c>
      <c r="D37" s="36">
        <f t="shared" ref="D37:I37" si="6">D18</f>
        <v>1081272.3949085891</v>
      </c>
      <c r="E37" s="36">
        <f t="shared" si="6"/>
        <v>128145.22996027127</v>
      </c>
      <c r="F37" s="36">
        <f t="shared" si="6"/>
        <v>8976.4157631638973</v>
      </c>
      <c r="G37" s="36">
        <f t="shared" si="6"/>
        <v>82</v>
      </c>
      <c r="H37" s="36">
        <f t="shared" si="6"/>
        <v>863.14840660242874</v>
      </c>
      <c r="I37" s="36">
        <f t="shared" si="6"/>
        <v>505.69327766151088</v>
      </c>
    </row>
    <row r="38" spans="1:9" x14ac:dyDescent="0.2">
      <c r="A38" s="23">
        <f t="shared" si="5"/>
        <v>4</v>
      </c>
      <c r="B38" s="24" t="s">
        <v>60</v>
      </c>
      <c r="C38" s="23" t="str">
        <f>"("&amp;A36&amp;") / ("&amp;A37&amp;")"</f>
        <v>(2) / (3)</v>
      </c>
      <c r="D38" s="41">
        <f t="shared" ref="D38:I38" si="7">ROUND(D36/D37,2)</f>
        <v>481.94</v>
      </c>
      <c r="E38" s="41">
        <f t="shared" si="7"/>
        <v>912.31</v>
      </c>
      <c r="F38" s="41">
        <f t="shared" si="7"/>
        <v>14529.52</v>
      </c>
      <c r="G38" s="41">
        <f t="shared" si="7"/>
        <v>51419.51</v>
      </c>
      <c r="H38" s="41">
        <f t="shared" si="7"/>
        <v>75155.759999999995</v>
      </c>
      <c r="I38" s="41">
        <f t="shared" si="7"/>
        <v>93381.82</v>
      </c>
    </row>
    <row r="39" spans="1:9" x14ac:dyDescent="0.2">
      <c r="A39" s="23">
        <f t="shared" si="5"/>
        <v>5</v>
      </c>
      <c r="B39" s="30"/>
      <c r="C39" s="23"/>
      <c r="D39" s="23"/>
      <c r="E39" s="23"/>
      <c r="F39" s="23"/>
      <c r="G39" s="23"/>
      <c r="H39" s="23"/>
      <c r="I39" s="23"/>
    </row>
    <row r="40" spans="1:9" x14ac:dyDescent="0.2">
      <c r="A40" s="23">
        <f t="shared" si="5"/>
        <v>6</v>
      </c>
      <c r="B40" s="30" t="s">
        <v>86</v>
      </c>
      <c r="C40" s="23"/>
      <c r="D40" s="23"/>
      <c r="E40" s="23"/>
      <c r="F40" s="23"/>
      <c r="G40" s="23"/>
      <c r="H40" s="23"/>
      <c r="I40" s="23"/>
    </row>
    <row r="41" spans="1:9" x14ac:dyDescent="0.2">
      <c r="A41" s="23">
        <f t="shared" si="5"/>
        <v>7</v>
      </c>
      <c r="B41" s="24" t="s">
        <v>61</v>
      </c>
      <c r="C41" s="21" t="str">
        <f>C17</f>
        <v>Exhibit BDJ-9, Page 1</v>
      </c>
      <c r="D41" s="25">
        <f>'Exhibit BDJ-9, Page 1'!D$62</f>
        <v>565659812.50726914</v>
      </c>
      <c r="E41" s="25">
        <f>'Exhibit BDJ-9, Page 1'!E$62</f>
        <v>126312526.65892525</v>
      </c>
      <c r="F41" s="25">
        <f>'Exhibit BDJ-9, Page 1'!F$62</f>
        <v>141122664.22276181</v>
      </c>
      <c r="G41" s="25">
        <f>'Exhibit BDJ-9, Page 1'!G$62</f>
        <v>4386408.9234801605</v>
      </c>
      <c r="H41" s="25">
        <f>'Exhibit BDJ-9, Page 1'!H$62</f>
        <v>70005129.219124928</v>
      </c>
      <c r="I41" s="25">
        <f>'Exhibit BDJ-9, Page 1'!I$62</f>
        <v>49915173.095665976</v>
      </c>
    </row>
    <row r="42" spans="1:9" x14ac:dyDescent="0.2">
      <c r="A42" s="23">
        <f t="shared" si="5"/>
        <v>8</v>
      </c>
      <c r="B42" s="24" t="s">
        <v>102</v>
      </c>
      <c r="C42" s="21" t="str">
        <f>C18</f>
        <v>Exhibit BDJ-3, Electric F2021 Billing Determinants</v>
      </c>
      <c r="D42" s="36">
        <v>1095271.0948212475</v>
      </c>
      <c r="E42" s="36">
        <v>129727.31974531994</v>
      </c>
      <c r="F42" s="36">
        <v>9102.0358117534033</v>
      </c>
      <c r="G42" s="36">
        <v>82</v>
      </c>
      <c r="H42" s="36">
        <v>925.20538990838804</v>
      </c>
      <c r="I42" s="36">
        <v>508.00592918978896</v>
      </c>
    </row>
    <row r="43" spans="1:9" x14ac:dyDescent="0.2">
      <c r="A43" s="23">
        <f t="shared" si="5"/>
        <v>9</v>
      </c>
      <c r="B43" s="24" t="s">
        <v>60</v>
      </c>
      <c r="C43" s="23" t="str">
        <f>"("&amp;A41&amp;") / ("&amp;A42&amp;")"</f>
        <v>(7) / (8)</v>
      </c>
      <c r="D43" s="41">
        <f t="shared" ref="D43:I43" si="8">ROUND(D41/D42,2)</f>
        <v>516.46</v>
      </c>
      <c r="E43" s="41">
        <f t="shared" si="8"/>
        <v>973.68</v>
      </c>
      <c r="F43" s="41">
        <f t="shared" si="8"/>
        <v>15504.52</v>
      </c>
      <c r="G43" s="41">
        <f t="shared" si="8"/>
        <v>53492.79</v>
      </c>
      <c r="H43" s="41">
        <f t="shared" si="8"/>
        <v>75664.42</v>
      </c>
      <c r="I43" s="41">
        <f t="shared" si="8"/>
        <v>98257.07</v>
      </c>
    </row>
    <row r="44" spans="1:9" x14ac:dyDescent="0.2">
      <c r="A44" s="23">
        <f t="shared" si="5"/>
        <v>10</v>
      </c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3">
        <f t="shared" si="5"/>
        <v>11</v>
      </c>
      <c r="B45" s="24" t="s">
        <v>87</v>
      </c>
      <c r="C45" s="23" t="str">
        <f>"("&amp;A43&amp;") - ("&amp;A38&amp;")"</f>
        <v>(9) - (4)</v>
      </c>
      <c r="D45" s="25">
        <f t="shared" ref="D45:I45" si="9">D43-D38</f>
        <v>34.520000000000039</v>
      </c>
      <c r="E45" s="25">
        <f t="shared" si="9"/>
        <v>61.370000000000005</v>
      </c>
      <c r="F45" s="25">
        <f t="shared" si="9"/>
        <v>975</v>
      </c>
      <c r="G45" s="25">
        <f t="shared" si="9"/>
        <v>2073.2799999999988</v>
      </c>
      <c r="H45" s="25">
        <f t="shared" si="9"/>
        <v>508.66000000000349</v>
      </c>
      <c r="I45" s="25">
        <f t="shared" si="9"/>
        <v>4875.25</v>
      </c>
    </row>
    <row r="46" spans="1:9" x14ac:dyDescent="0.2">
      <c r="A46" s="23"/>
    </row>
    <row r="47" spans="1:9" s="27" customFormat="1" ht="3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</row>
    <row r="48" spans="1:9" x14ac:dyDescent="0.2">
      <c r="A48" s="23"/>
    </row>
    <row r="49" spans="1:9" x14ac:dyDescent="0.2">
      <c r="A49" s="5" t="str">
        <f>A25</f>
        <v>Puget Sound Energy</v>
      </c>
      <c r="B49" s="5"/>
      <c r="C49" s="5"/>
      <c r="D49" s="5"/>
      <c r="E49" s="5"/>
      <c r="F49" s="5"/>
      <c r="G49" s="5"/>
      <c r="H49" s="5"/>
      <c r="I49" s="5"/>
    </row>
    <row r="50" spans="1:9" x14ac:dyDescent="0.2">
      <c r="A50" s="5" t="str">
        <f t="shared" ref="A50:A51" si="10">A26</f>
        <v>2022 General Rate Case (GRC)</v>
      </c>
      <c r="B50" s="5"/>
      <c r="C50" s="5"/>
      <c r="D50" s="5"/>
      <c r="E50" s="5"/>
      <c r="F50" s="5"/>
      <c r="G50" s="5"/>
      <c r="H50" s="5"/>
      <c r="I50" s="5"/>
    </row>
    <row r="51" spans="1:9" x14ac:dyDescent="0.2">
      <c r="A51" s="5" t="str">
        <f t="shared" si="10"/>
        <v>Electric Delivery Decoupling Mechanism (Schedule 142)</v>
      </c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5" t="s">
        <v>74</v>
      </c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5" t="str">
        <f>'Exhibit BDJ-9, Page 1'!A74:M74</f>
        <v>Proposed Effective January 1, 2025</v>
      </c>
      <c r="B53" s="5"/>
      <c r="C53" s="5"/>
      <c r="D53" s="5"/>
      <c r="E53" s="5"/>
      <c r="F53" s="5"/>
      <c r="G53" s="5"/>
      <c r="H53" s="5"/>
      <c r="I53" s="5"/>
    </row>
    <row r="54" spans="1:9" x14ac:dyDescent="0.2">
      <c r="A54" s="6"/>
      <c r="B54" s="6"/>
      <c r="C54" s="6"/>
      <c r="D54" s="6"/>
      <c r="E54" s="6"/>
      <c r="F54" s="58"/>
      <c r="G54" s="58"/>
      <c r="H54" s="58"/>
      <c r="I54" s="58"/>
    </row>
    <row r="56" spans="1:9" ht="33.75" x14ac:dyDescent="0.2">
      <c r="A56" s="8" t="s">
        <v>52</v>
      </c>
      <c r="D56" s="58" t="s">
        <v>54</v>
      </c>
      <c r="E56" s="58" t="s">
        <v>55</v>
      </c>
      <c r="F56" s="58" t="s">
        <v>55</v>
      </c>
      <c r="G56" s="58" t="s">
        <v>81</v>
      </c>
      <c r="H56" s="58" t="s">
        <v>55</v>
      </c>
      <c r="I56" s="58" t="s">
        <v>55</v>
      </c>
    </row>
    <row r="57" spans="1:9" x14ac:dyDescent="0.2">
      <c r="A57" s="9" t="s">
        <v>53</v>
      </c>
      <c r="B57" s="42"/>
      <c r="C57" s="10" t="s">
        <v>14</v>
      </c>
      <c r="D57" s="11" t="s">
        <v>122</v>
      </c>
      <c r="E57" s="11" t="s">
        <v>39</v>
      </c>
      <c r="F57" s="11" t="s">
        <v>56</v>
      </c>
      <c r="G57" s="11" t="s">
        <v>82</v>
      </c>
      <c r="H57" s="11" t="s">
        <v>40</v>
      </c>
      <c r="I57" s="11" t="s">
        <v>41</v>
      </c>
    </row>
    <row r="58" spans="1:9" x14ac:dyDescent="0.2">
      <c r="A58" s="24"/>
      <c r="B58" s="23" t="s">
        <v>13</v>
      </c>
      <c r="C58" s="23" t="s">
        <v>12</v>
      </c>
      <c r="D58" s="23" t="s">
        <v>11</v>
      </c>
      <c r="E58" s="23" t="s">
        <v>10</v>
      </c>
      <c r="F58" s="23" t="s">
        <v>9</v>
      </c>
      <c r="G58" s="23" t="s">
        <v>8</v>
      </c>
      <c r="H58" s="23" t="s">
        <v>7</v>
      </c>
      <c r="I58" s="23" t="s">
        <v>6</v>
      </c>
    </row>
    <row r="59" spans="1:9" x14ac:dyDescent="0.2">
      <c r="A59" s="23">
        <v>1</v>
      </c>
      <c r="B59" s="30" t="s">
        <v>84</v>
      </c>
      <c r="C59" s="23"/>
      <c r="D59" s="23"/>
      <c r="E59" s="23"/>
      <c r="F59" s="23"/>
      <c r="G59" s="23"/>
      <c r="H59" s="23"/>
      <c r="I59" s="23"/>
    </row>
    <row r="60" spans="1:9" x14ac:dyDescent="0.2">
      <c r="A60" s="23">
        <f>A59+1</f>
        <v>2</v>
      </c>
      <c r="B60" s="24" t="s">
        <v>61</v>
      </c>
      <c r="C60" s="23" t="str">
        <f t="shared" ref="C60" si="11">C41</f>
        <v>Exhibit BDJ-9, Page 1</v>
      </c>
      <c r="D60" s="25">
        <f t="shared" ref="D60:I60" si="12">D41</f>
        <v>565659812.50726914</v>
      </c>
      <c r="E60" s="25">
        <f t="shared" si="12"/>
        <v>126312526.65892525</v>
      </c>
      <c r="F60" s="25">
        <f t="shared" si="12"/>
        <v>141122664.22276181</v>
      </c>
      <c r="G60" s="25">
        <f t="shared" si="12"/>
        <v>4386408.9234801605</v>
      </c>
      <c r="H60" s="25">
        <f t="shared" si="12"/>
        <v>70005129.219124928</v>
      </c>
      <c r="I60" s="25">
        <f t="shared" si="12"/>
        <v>49915173.095665976</v>
      </c>
    </row>
    <row r="61" spans="1:9" x14ac:dyDescent="0.2">
      <c r="A61" s="23">
        <f t="shared" ref="A61:A69" si="13">A60+1</f>
        <v>3</v>
      </c>
      <c r="B61" s="24" t="s">
        <v>17</v>
      </c>
      <c r="C61" s="23" t="str">
        <f>C42</f>
        <v>Exhibit BDJ-3, Electric F2021 Billing Determinants</v>
      </c>
      <c r="D61" s="36">
        <f t="shared" ref="D61:I61" si="14">D42</f>
        <v>1095271.0948212475</v>
      </c>
      <c r="E61" s="36">
        <f t="shared" si="14"/>
        <v>129727.31974531994</v>
      </c>
      <c r="F61" s="36">
        <f t="shared" si="14"/>
        <v>9102.0358117534033</v>
      </c>
      <c r="G61" s="36">
        <f t="shared" si="14"/>
        <v>82</v>
      </c>
      <c r="H61" s="36">
        <f t="shared" si="14"/>
        <v>925.20538990838804</v>
      </c>
      <c r="I61" s="36">
        <f t="shared" si="14"/>
        <v>508.00592918978896</v>
      </c>
    </row>
    <row r="62" spans="1:9" x14ac:dyDescent="0.2">
      <c r="A62" s="23">
        <f t="shared" si="13"/>
        <v>4</v>
      </c>
      <c r="B62" s="24" t="s">
        <v>60</v>
      </c>
      <c r="C62" s="23" t="str">
        <f>"("&amp;A60&amp;") / ("&amp;A61&amp;")"</f>
        <v>(2) / (3)</v>
      </c>
      <c r="D62" s="41">
        <f t="shared" ref="D62:I62" si="15">ROUND(D60/D61,2)</f>
        <v>516.46</v>
      </c>
      <c r="E62" s="41">
        <f t="shared" si="15"/>
        <v>973.68</v>
      </c>
      <c r="F62" s="41">
        <f t="shared" si="15"/>
        <v>15504.52</v>
      </c>
      <c r="G62" s="41">
        <f t="shared" si="15"/>
        <v>53492.79</v>
      </c>
      <c r="H62" s="41">
        <f t="shared" si="15"/>
        <v>75664.42</v>
      </c>
      <c r="I62" s="41">
        <f t="shared" si="15"/>
        <v>98257.07</v>
      </c>
    </row>
    <row r="63" spans="1:9" x14ac:dyDescent="0.2">
      <c r="A63" s="23">
        <f t="shared" si="13"/>
        <v>5</v>
      </c>
      <c r="B63" s="30"/>
      <c r="C63" s="23"/>
      <c r="D63" s="23"/>
      <c r="E63" s="23"/>
      <c r="F63" s="23"/>
      <c r="G63" s="23"/>
      <c r="H63" s="23"/>
      <c r="I63" s="23"/>
    </row>
    <row r="64" spans="1:9" x14ac:dyDescent="0.2">
      <c r="A64" s="23">
        <f t="shared" si="13"/>
        <v>6</v>
      </c>
      <c r="B64" s="30" t="s">
        <v>86</v>
      </c>
      <c r="C64" s="23"/>
      <c r="D64" s="23"/>
      <c r="E64" s="23"/>
      <c r="F64" s="23"/>
      <c r="G64" s="23"/>
      <c r="H64" s="23"/>
      <c r="I64" s="23"/>
    </row>
    <row r="65" spans="1:9" x14ac:dyDescent="0.2">
      <c r="A65" s="23">
        <f t="shared" si="13"/>
        <v>7</v>
      </c>
      <c r="B65" s="24" t="s">
        <v>61</v>
      </c>
      <c r="C65" s="21" t="str">
        <f>C41</f>
        <v>Exhibit BDJ-9, Page 1</v>
      </c>
      <c r="D65" s="25">
        <f>'Exhibit BDJ-9, Page 1'!D$98</f>
        <v>614870968.57597768</v>
      </c>
      <c r="E65" s="25">
        <f>'Exhibit BDJ-9, Page 1'!E$98</f>
        <v>136114880.45319492</v>
      </c>
      <c r="F65" s="25">
        <f>'Exhibit BDJ-9, Page 1'!F$98</f>
        <v>152471695.37822005</v>
      </c>
      <c r="G65" s="25">
        <f>'Exhibit BDJ-9, Page 1'!G$98</f>
        <v>4426523.0135211041</v>
      </c>
      <c r="H65" s="25">
        <f>'Exhibit BDJ-9, Page 1'!H$98</f>
        <v>76963467.960500985</v>
      </c>
      <c r="I65" s="25">
        <f>'Exhibit BDJ-9, Page 1'!I$98</f>
        <v>53735167.630444027</v>
      </c>
    </row>
    <row r="66" spans="1:9" x14ac:dyDescent="0.2">
      <c r="A66" s="23">
        <f t="shared" si="13"/>
        <v>8</v>
      </c>
      <c r="B66" s="24" t="s">
        <v>102</v>
      </c>
      <c r="C66" s="21" t="str">
        <f>C42</f>
        <v>Exhibit BDJ-3, Electric F2021 Billing Determinants</v>
      </c>
      <c r="D66" s="36">
        <v>1109133.2141930775</v>
      </c>
      <c r="E66" s="36">
        <v>131220.279395488</v>
      </c>
      <c r="F66" s="36">
        <v>9228.8657231639645</v>
      </c>
      <c r="G66" s="36">
        <v>82</v>
      </c>
      <c r="H66" s="36">
        <v>1023.0217639463416</v>
      </c>
      <c r="I66" s="36">
        <v>509.44543394622059</v>
      </c>
    </row>
    <row r="67" spans="1:9" x14ac:dyDescent="0.2">
      <c r="A67" s="23">
        <f t="shared" si="13"/>
        <v>9</v>
      </c>
      <c r="B67" s="24" t="s">
        <v>60</v>
      </c>
      <c r="C67" s="23" t="str">
        <f>"("&amp;A65&amp;") / ("&amp;A66&amp;")"</f>
        <v>(7) / (8)</v>
      </c>
      <c r="D67" s="41">
        <f t="shared" ref="D67:I67" si="16">ROUND(D65/D66,2)</f>
        <v>554.37</v>
      </c>
      <c r="E67" s="41">
        <f t="shared" si="16"/>
        <v>1037.3</v>
      </c>
      <c r="F67" s="41">
        <f t="shared" si="16"/>
        <v>16521.169999999998</v>
      </c>
      <c r="G67" s="41">
        <f t="shared" si="16"/>
        <v>53981.99</v>
      </c>
      <c r="H67" s="41">
        <f t="shared" si="16"/>
        <v>75231.509999999995</v>
      </c>
      <c r="I67" s="41">
        <f t="shared" si="16"/>
        <v>105477.77</v>
      </c>
    </row>
    <row r="68" spans="1:9" x14ac:dyDescent="0.2">
      <c r="A68" s="23">
        <f t="shared" si="13"/>
        <v>10</v>
      </c>
      <c r="B68" s="24"/>
      <c r="C68" s="24"/>
      <c r="D68" s="24"/>
      <c r="E68" s="24"/>
      <c r="F68" s="24"/>
      <c r="G68" s="24"/>
      <c r="H68" s="24"/>
      <c r="I68" s="24"/>
    </row>
    <row r="69" spans="1:9" x14ac:dyDescent="0.2">
      <c r="A69" s="23">
        <f t="shared" si="13"/>
        <v>11</v>
      </c>
      <c r="B69" s="24" t="s">
        <v>87</v>
      </c>
      <c r="C69" s="23" t="str">
        <f>"("&amp;A67&amp;") - ("&amp;A62&amp;")"</f>
        <v>(9) - (4)</v>
      </c>
      <c r="D69" s="25">
        <f t="shared" ref="D69:I69" si="17">D67-D62</f>
        <v>37.909999999999968</v>
      </c>
      <c r="E69" s="25">
        <f t="shared" si="17"/>
        <v>63.620000000000005</v>
      </c>
      <c r="F69" s="25">
        <f t="shared" si="17"/>
        <v>1016.6499999999978</v>
      </c>
      <c r="G69" s="25">
        <f t="shared" si="17"/>
        <v>489.19999999999709</v>
      </c>
      <c r="H69" s="25">
        <f t="shared" si="17"/>
        <v>-432.91000000000349</v>
      </c>
      <c r="I69" s="25">
        <f t="shared" si="17"/>
        <v>7220.6999999999971</v>
      </c>
    </row>
    <row r="70" spans="1:9" x14ac:dyDescent="0.2">
      <c r="A70" s="23"/>
    </row>
  </sheetData>
  <mergeCells count="15">
    <mergeCell ref="A1:I1"/>
    <mergeCell ref="A3:I3"/>
    <mergeCell ref="A4:I4"/>
    <mergeCell ref="A2:I2"/>
    <mergeCell ref="A5:I5"/>
    <mergeCell ref="A25:I25"/>
    <mergeCell ref="A26:I26"/>
    <mergeCell ref="A27:I27"/>
    <mergeCell ref="A28:I28"/>
    <mergeCell ref="A29:I29"/>
    <mergeCell ref="A49:I49"/>
    <mergeCell ref="A50:I50"/>
    <mergeCell ref="A51:I51"/>
    <mergeCell ref="A52:I52"/>
    <mergeCell ref="A53:I5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H71"/>
  <sheetViews>
    <sheetView zoomScaleNormal="100" workbookViewId="0">
      <pane ySplit="9" topLeftCell="A10" activePane="bottomLeft" state="frozen"/>
      <selection activeCell="D67" sqref="D67"/>
      <selection pane="bottomLeft" activeCell="E18" sqref="E18"/>
    </sheetView>
  </sheetViews>
  <sheetFormatPr defaultColWidth="9.140625" defaultRowHeight="11.25" x14ac:dyDescent="0.2"/>
  <cols>
    <col min="1" max="1" width="4.42578125" style="40" bestFit="1" customWidth="1"/>
    <col min="2" max="2" width="43.5703125" style="40" customWidth="1"/>
    <col min="3" max="3" width="41.140625" style="40" bestFit="1" customWidth="1"/>
    <col min="4" max="4" width="10.28515625" style="40" bestFit="1" customWidth="1"/>
    <col min="5" max="5" width="14.85546875" style="40" bestFit="1" customWidth="1"/>
    <col min="6" max="6" width="13.42578125" style="40" bestFit="1" customWidth="1"/>
    <col min="7" max="7" width="17.28515625" style="40" bestFit="1" customWidth="1"/>
    <col min="8" max="8" width="11.5703125" style="40" bestFit="1" customWidth="1"/>
    <col min="9" max="16384" width="9.140625" style="40"/>
  </cols>
  <sheetData>
    <row r="1" spans="1:8" ht="11.25" customHeight="1" x14ac:dyDescent="0.2">
      <c r="A1" s="4" t="str">
        <f>'Exhibit BDJ-9, Page 1'!A1:M1</f>
        <v>Puget Sound Energy</v>
      </c>
      <c r="B1" s="4"/>
      <c r="C1" s="4"/>
      <c r="D1" s="4"/>
      <c r="E1" s="4"/>
      <c r="F1" s="4"/>
      <c r="G1" s="4"/>
      <c r="H1" s="3"/>
    </row>
    <row r="2" spans="1:8" ht="12.75" customHeight="1" x14ac:dyDescent="0.2">
      <c r="A2" s="4" t="str">
        <f>'Exhibit BDJ-9, Page 1'!A2:M2</f>
        <v>2022 General Rate Case (GRC)</v>
      </c>
      <c r="B2" s="4"/>
      <c r="C2" s="4"/>
      <c r="D2" s="4"/>
      <c r="E2" s="4"/>
      <c r="F2" s="4"/>
      <c r="G2" s="4"/>
      <c r="H2" s="3"/>
    </row>
    <row r="3" spans="1:8" ht="12.75" customHeight="1" x14ac:dyDescent="0.2">
      <c r="A3" s="4" t="str">
        <f>'Exhibit BDJ-9, Page 1'!A3:M3</f>
        <v>Electric Delivery Decoupling Mechanism (Schedule 142)</v>
      </c>
      <c r="B3" s="4"/>
      <c r="C3" s="4"/>
      <c r="D3" s="4"/>
      <c r="E3" s="4"/>
      <c r="F3" s="4"/>
      <c r="G3" s="4"/>
      <c r="H3" s="3"/>
    </row>
    <row r="4" spans="1:8" ht="11.25" customHeight="1" x14ac:dyDescent="0.2">
      <c r="A4" s="4" t="s">
        <v>75</v>
      </c>
      <c r="B4" s="4"/>
      <c r="C4" s="4"/>
      <c r="D4" s="4"/>
      <c r="E4" s="4"/>
      <c r="F4" s="4"/>
      <c r="G4" s="4"/>
      <c r="H4" s="3"/>
    </row>
    <row r="5" spans="1:8" ht="11.25" customHeight="1" x14ac:dyDescent="0.2">
      <c r="A5" s="4" t="str">
        <f>'Exhibit BDJ-9, Page 1'!A5:M5</f>
        <v>Proposed Effective January 1, 2023</v>
      </c>
      <c r="B5" s="4"/>
      <c r="C5" s="4"/>
      <c r="D5" s="4"/>
      <c r="E5" s="4"/>
      <c r="F5" s="4"/>
      <c r="G5" s="4"/>
      <c r="H5" s="3"/>
    </row>
    <row r="6" spans="1:8" x14ac:dyDescent="0.2">
      <c r="A6" s="6"/>
      <c r="B6" s="6"/>
      <c r="C6" s="6"/>
      <c r="D6" s="6"/>
      <c r="E6" s="6"/>
      <c r="F6" s="6"/>
      <c r="G6" s="58"/>
      <c r="H6" s="6"/>
    </row>
    <row r="8" spans="1:8" ht="12.75" customHeight="1" x14ac:dyDescent="0.2">
      <c r="A8" s="8" t="s">
        <v>52</v>
      </c>
      <c r="E8" s="58" t="s">
        <v>54</v>
      </c>
      <c r="F8" s="58" t="s">
        <v>55</v>
      </c>
      <c r="G8" s="58" t="s">
        <v>55</v>
      </c>
      <c r="H8" s="58" t="s">
        <v>81</v>
      </c>
    </row>
    <row r="9" spans="1:8" x14ac:dyDescent="0.2">
      <c r="A9" s="9" t="s">
        <v>53</v>
      </c>
      <c r="B9" s="42"/>
      <c r="C9" s="10" t="s">
        <v>14</v>
      </c>
      <c r="D9" s="10" t="s">
        <v>89</v>
      </c>
      <c r="E9" s="11" t="s">
        <v>122</v>
      </c>
      <c r="F9" s="11" t="s">
        <v>39</v>
      </c>
      <c r="G9" s="11" t="s">
        <v>56</v>
      </c>
      <c r="H9" s="11" t="s">
        <v>82</v>
      </c>
    </row>
    <row r="10" spans="1:8" x14ac:dyDescent="0.2">
      <c r="A10" s="24"/>
      <c r="B10" s="23" t="s">
        <v>13</v>
      </c>
      <c r="C10" s="23" t="s">
        <v>12</v>
      </c>
      <c r="D10" s="23" t="s">
        <v>11</v>
      </c>
      <c r="E10" s="23" t="s">
        <v>10</v>
      </c>
      <c r="F10" s="23" t="s">
        <v>9</v>
      </c>
      <c r="G10" s="23" t="s">
        <v>8</v>
      </c>
      <c r="H10" s="23" t="s">
        <v>7</v>
      </c>
    </row>
    <row r="11" spans="1:8" x14ac:dyDescent="0.2">
      <c r="A11" s="23">
        <v>1</v>
      </c>
      <c r="B11" s="30" t="s">
        <v>84</v>
      </c>
      <c r="C11" s="23"/>
      <c r="D11" s="23"/>
      <c r="E11" s="23"/>
      <c r="F11" s="23"/>
      <c r="G11" s="23"/>
      <c r="H11" s="23"/>
    </row>
    <row r="12" spans="1:8" x14ac:dyDescent="0.2">
      <c r="A12" s="23">
        <f>A11+1</f>
        <v>2</v>
      </c>
      <c r="B12" s="24" t="s">
        <v>61</v>
      </c>
      <c r="C12" s="21" t="s">
        <v>111</v>
      </c>
      <c r="D12" s="21"/>
      <c r="E12" s="25">
        <f>'Exhibit BDJ-9, Page 1'!D$16</f>
        <v>395296178.66394639</v>
      </c>
      <c r="F12" s="25">
        <f>'Exhibit BDJ-9, Page 1'!E$16</f>
        <v>85600277.611251742</v>
      </c>
      <c r="G12" s="25">
        <f>'Exhibit BDJ-9, Page 1'!F$16</f>
        <v>96688979.403679311</v>
      </c>
      <c r="H12" s="25">
        <f>'Exhibit BDJ-9, Page 1'!G$16</f>
        <v>4029019.4600000009</v>
      </c>
    </row>
    <row r="13" spans="1:8" x14ac:dyDescent="0.2">
      <c r="A13" s="23">
        <f t="shared" ref="A13:A21" si="0">A12+1</f>
        <v>3</v>
      </c>
      <c r="B13" s="24" t="s">
        <v>47</v>
      </c>
      <c r="C13" s="21" t="s">
        <v>114</v>
      </c>
      <c r="D13" s="21"/>
      <c r="E13" s="36">
        <v>10658082710.53709</v>
      </c>
      <c r="F13" s="36">
        <v>2700716840.8001165</v>
      </c>
      <c r="G13" s="36">
        <v>3132070834.4764342</v>
      </c>
      <c r="H13" s="36">
        <v>335987764</v>
      </c>
    </row>
    <row r="14" spans="1:8" x14ac:dyDescent="0.2">
      <c r="A14" s="23">
        <f t="shared" si="0"/>
        <v>4</v>
      </c>
      <c r="B14" s="24" t="s">
        <v>62</v>
      </c>
      <c r="C14" s="23" t="str">
        <f>"("&amp;A12&amp;") / ("&amp;A13&amp;")"</f>
        <v>(2) / (3)</v>
      </c>
      <c r="D14" s="23"/>
      <c r="E14" s="43">
        <f>ROUND(E12/E13,6)</f>
        <v>3.7088999999999997E-2</v>
      </c>
      <c r="F14" s="43">
        <f>ROUND(F12/F13,6)</f>
        <v>3.1695000000000001E-2</v>
      </c>
      <c r="G14" s="43">
        <f>ROUND(G12/G13,6)</f>
        <v>3.0870999999999999E-2</v>
      </c>
      <c r="H14" s="43">
        <f>ROUND(H12/H13,6)</f>
        <v>1.1991999999999999E-2</v>
      </c>
    </row>
    <row r="15" spans="1:8" x14ac:dyDescent="0.2">
      <c r="A15" s="23">
        <f t="shared" si="0"/>
        <v>5</v>
      </c>
      <c r="B15" s="30"/>
      <c r="C15" s="23"/>
      <c r="D15" s="23"/>
      <c r="E15" s="23"/>
      <c r="F15" s="23"/>
      <c r="G15" s="23"/>
      <c r="H15" s="23"/>
    </row>
    <row r="16" spans="1:8" x14ac:dyDescent="0.2">
      <c r="A16" s="23">
        <f t="shared" si="0"/>
        <v>6</v>
      </c>
      <c r="B16" s="30" t="s">
        <v>86</v>
      </c>
      <c r="C16" s="23"/>
      <c r="D16" s="23"/>
      <c r="E16" s="23"/>
      <c r="F16" s="23"/>
      <c r="G16" s="23"/>
      <c r="H16" s="23"/>
    </row>
    <row r="17" spans="1:8" x14ac:dyDescent="0.2">
      <c r="A17" s="23">
        <f t="shared" si="0"/>
        <v>7</v>
      </c>
      <c r="B17" s="24" t="s">
        <v>61</v>
      </c>
      <c r="C17" s="21" t="str">
        <f>C12</f>
        <v>Exhibit BDJ-9, Page 1</v>
      </c>
      <c r="D17" s="21"/>
      <c r="E17" s="25">
        <f>'Exhibit BDJ-9, Page 1'!D$26</f>
        <v>521104370.91311663</v>
      </c>
      <c r="F17" s="25">
        <f>'Exhibit BDJ-9, Page 1'!E$26</f>
        <v>116908069.0660705</v>
      </c>
      <c r="G17" s="25">
        <f>'Exhibit BDJ-9, Page 1'!F$26</f>
        <v>130422989.03008355</v>
      </c>
      <c r="H17" s="25">
        <f>'Exhibit BDJ-9, Page 1'!G$26</f>
        <v>4216399.7375211036</v>
      </c>
    </row>
    <row r="18" spans="1:8" x14ac:dyDescent="0.2">
      <c r="A18" s="23">
        <f t="shared" si="0"/>
        <v>8</v>
      </c>
      <c r="B18" s="24" t="s">
        <v>103</v>
      </c>
      <c r="C18" s="21" t="s">
        <v>125</v>
      </c>
      <c r="D18" s="21"/>
      <c r="E18" s="36">
        <v>10846482000</v>
      </c>
      <c r="F18" s="36">
        <v>2697633000</v>
      </c>
      <c r="G18" s="36">
        <v>3049220000.0000005</v>
      </c>
      <c r="H18" s="36">
        <v>289426000</v>
      </c>
    </row>
    <row r="19" spans="1:8" x14ac:dyDescent="0.2">
      <c r="A19" s="23">
        <f t="shared" si="0"/>
        <v>9</v>
      </c>
      <c r="B19" s="24" t="s">
        <v>62</v>
      </c>
      <c r="C19" s="23" t="str">
        <f>"("&amp;A17&amp;") / ("&amp;A18&amp;")"</f>
        <v>(7) / (8)</v>
      </c>
      <c r="D19" s="65" t="s">
        <v>90</v>
      </c>
      <c r="E19" s="43">
        <f>ROUND(E17/E18,6)</f>
        <v>4.8044000000000003E-2</v>
      </c>
      <c r="F19" s="43">
        <f>ROUND(F17/F18,6)</f>
        <v>4.3337000000000001E-2</v>
      </c>
      <c r="G19" s="43">
        <f>ROUND(G17/G18,6)</f>
        <v>4.2772999999999999E-2</v>
      </c>
      <c r="H19" s="43">
        <f>ROUND(H17/H18,6)</f>
        <v>1.4567999999999999E-2</v>
      </c>
    </row>
    <row r="20" spans="1:8" x14ac:dyDescent="0.2">
      <c r="A20" s="23">
        <f t="shared" si="0"/>
        <v>10</v>
      </c>
    </row>
    <row r="21" spans="1:8" x14ac:dyDescent="0.2">
      <c r="A21" s="23">
        <f t="shared" si="0"/>
        <v>11</v>
      </c>
      <c r="B21" s="24" t="s">
        <v>88</v>
      </c>
      <c r="C21" s="23" t="str">
        <f>"("&amp;A19&amp;") - ("&amp;A14&amp;")"</f>
        <v>(9) - (4)</v>
      </c>
      <c r="D21" s="23"/>
      <c r="E21" s="46">
        <f>E19-E14</f>
        <v>1.0955000000000006E-2</v>
      </c>
      <c r="F21" s="46">
        <f>F19-F14</f>
        <v>1.1642E-2</v>
      </c>
      <c r="G21" s="46">
        <f>G19-G14</f>
        <v>1.1901999999999999E-2</v>
      </c>
      <c r="H21" s="46">
        <f>H19-H14</f>
        <v>2.5760000000000002E-3</v>
      </c>
    </row>
    <row r="22" spans="1:8" x14ac:dyDescent="0.2">
      <c r="B22" s="24"/>
    </row>
    <row r="23" spans="1:8" s="27" customFormat="1" ht="3" customHeight="1" x14ac:dyDescent="0.2">
      <c r="A23" s="47"/>
      <c r="B23" s="47"/>
      <c r="C23" s="47"/>
      <c r="D23" s="47"/>
      <c r="E23" s="47"/>
      <c r="F23" s="47"/>
      <c r="G23" s="47"/>
      <c r="H23" s="47"/>
    </row>
    <row r="25" spans="1:8" x14ac:dyDescent="0.2">
      <c r="A25" s="4" t="str">
        <f>A1</f>
        <v>Puget Sound Energy</v>
      </c>
      <c r="B25" s="4"/>
      <c r="C25" s="4"/>
      <c r="D25" s="4"/>
      <c r="E25" s="4"/>
      <c r="F25" s="4"/>
      <c r="G25" s="4"/>
      <c r="H25" s="3"/>
    </row>
    <row r="26" spans="1:8" x14ac:dyDescent="0.2">
      <c r="A26" s="4" t="str">
        <f>A2</f>
        <v>2022 General Rate Case (GRC)</v>
      </c>
      <c r="B26" s="4"/>
      <c r="C26" s="4"/>
      <c r="D26" s="4"/>
      <c r="E26" s="4"/>
      <c r="F26" s="4"/>
      <c r="G26" s="4"/>
      <c r="H26" s="3"/>
    </row>
    <row r="27" spans="1:8" x14ac:dyDescent="0.2">
      <c r="A27" s="4" t="str">
        <f>A3</f>
        <v>Electric Delivery Decoupling Mechanism (Schedule 142)</v>
      </c>
      <c r="B27" s="4"/>
      <c r="C27" s="4"/>
      <c r="D27" s="4"/>
      <c r="E27" s="4"/>
      <c r="F27" s="4"/>
      <c r="G27" s="4"/>
      <c r="H27" s="3"/>
    </row>
    <row r="28" spans="1:8" x14ac:dyDescent="0.2">
      <c r="A28" s="4" t="str">
        <f>A4</f>
        <v>Development of Delivery Revenue Per Unit Rates ($/kWh)</v>
      </c>
      <c r="B28" s="4"/>
      <c r="C28" s="4"/>
      <c r="D28" s="4"/>
      <c r="E28" s="4"/>
      <c r="F28" s="4"/>
      <c r="G28" s="4"/>
      <c r="H28" s="3"/>
    </row>
    <row r="29" spans="1:8" x14ac:dyDescent="0.2">
      <c r="A29" s="4" t="str">
        <f>'Exhibit BDJ-9, Page 1'!A38:M38</f>
        <v>Proposed Effective January 1, 2024</v>
      </c>
      <c r="B29" s="4"/>
      <c r="C29" s="4"/>
      <c r="D29" s="4"/>
      <c r="E29" s="4"/>
      <c r="F29" s="4"/>
      <c r="G29" s="4"/>
      <c r="H29" s="3"/>
    </row>
    <row r="30" spans="1:8" x14ac:dyDescent="0.2">
      <c r="A30" s="6"/>
      <c r="B30" s="6"/>
      <c r="C30" s="6"/>
      <c r="D30" s="6"/>
      <c r="E30" s="6"/>
      <c r="F30" s="6"/>
      <c r="G30" s="58"/>
      <c r="H30" s="6"/>
    </row>
    <row r="32" spans="1:8" ht="22.5" x14ac:dyDescent="0.2">
      <c r="A32" s="8" t="s">
        <v>52</v>
      </c>
      <c r="E32" s="58" t="s">
        <v>54</v>
      </c>
      <c r="F32" s="58" t="s">
        <v>55</v>
      </c>
      <c r="G32" s="58" t="s">
        <v>55</v>
      </c>
      <c r="H32" s="58" t="s">
        <v>81</v>
      </c>
    </row>
    <row r="33" spans="1:8" x14ac:dyDescent="0.2">
      <c r="A33" s="9" t="s">
        <v>53</v>
      </c>
      <c r="B33" s="42"/>
      <c r="C33" s="10" t="s">
        <v>14</v>
      </c>
      <c r="D33" s="10" t="s">
        <v>89</v>
      </c>
      <c r="E33" s="11" t="s">
        <v>122</v>
      </c>
      <c r="F33" s="11" t="s">
        <v>39</v>
      </c>
      <c r="G33" s="11" t="s">
        <v>56</v>
      </c>
      <c r="H33" s="11" t="s">
        <v>82</v>
      </c>
    </row>
    <row r="34" spans="1:8" x14ac:dyDescent="0.2">
      <c r="A34" s="24"/>
      <c r="B34" s="23" t="s">
        <v>13</v>
      </c>
      <c r="C34" s="23" t="s">
        <v>12</v>
      </c>
      <c r="D34" s="23" t="s">
        <v>11</v>
      </c>
      <c r="E34" s="23" t="s">
        <v>10</v>
      </c>
      <c r="F34" s="23" t="s">
        <v>9</v>
      </c>
      <c r="G34" s="23" t="s">
        <v>8</v>
      </c>
      <c r="H34" s="23" t="s">
        <v>7</v>
      </c>
    </row>
    <row r="35" spans="1:8" x14ac:dyDescent="0.2">
      <c r="A35" s="23">
        <v>1</v>
      </c>
      <c r="B35" s="30" t="s">
        <v>84</v>
      </c>
      <c r="C35" s="23"/>
      <c r="D35" s="23"/>
      <c r="E35" s="23"/>
      <c r="F35" s="23"/>
      <c r="G35" s="23"/>
      <c r="H35" s="23"/>
    </row>
    <row r="36" spans="1:8" x14ac:dyDescent="0.2">
      <c r="A36" s="23">
        <f>A35+1</f>
        <v>2</v>
      </c>
      <c r="B36" s="24" t="s">
        <v>61</v>
      </c>
      <c r="C36" s="23" t="str">
        <f>C17</f>
        <v>Exhibit BDJ-9, Page 1</v>
      </c>
      <c r="D36" s="23"/>
      <c r="E36" s="25">
        <f t="shared" ref="E36:H37" si="1">E17</f>
        <v>521104370.91311663</v>
      </c>
      <c r="F36" s="25">
        <f t="shared" si="1"/>
        <v>116908069.0660705</v>
      </c>
      <c r="G36" s="25">
        <f t="shared" si="1"/>
        <v>130422989.03008355</v>
      </c>
      <c r="H36" s="25">
        <f t="shared" si="1"/>
        <v>4216399.7375211036</v>
      </c>
    </row>
    <row r="37" spans="1:8" x14ac:dyDescent="0.2">
      <c r="A37" s="23">
        <f t="shared" ref="A37:A45" si="2">A36+1</f>
        <v>3</v>
      </c>
      <c r="B37" s="24" t="s">
        <v>47</v>
      </c>
      <c r="C37" s="23" t="str">
        <f>C18</f>
        <v>Exhibit BDJ-3, Electric F2021 Billing Determinants</v>
      </c>
      <c r="D37" s="23"/>
      <c r="E37" s="25">
        <f t="shared" si="1"/>
        <v>10846482000</v>
      </c>
      <c r="F37" s="25">
        <f t="shared" si="1"/>
        <v>2697633000</v>
      </c>
      <c r="G37" s="25">
        <f t="shared" si="1"/>
        <v>3049220000.0000005</v>
      </c>
      <c r="H37" s="25">
        <f t="shared" si="1"/>
        <v>289426000</v>
      </c>
    </row>
    <row r="38" spans="1:8" x14ac:dyDescent="0.2">
      <c r="A38" s="23">
        <f t="shared" si="2"/>
        <v>4</v>
      </c>
      <c r="B38" s="24" t="s">
        <v>62</v>
      </c>
      <c r="C38" s="23" t="str">
        <f>"("&amp;A36&amp;") / ("&amp;A37&amp;")"</f>
        <v>(2) / (3)</v>
      </c>
      <c r="D38" s="23"/>
      <c r="E38" s="43">
        <f>ROUND(E36/E37,6)</f>
        <v>4.8044000000000003E-2</v>
      </c>
      <c r="F38" s="43">
        <f>ROUND(F36/F37,6)</f>
        <v>4.3337000000000001E-2</v>
      </c>
      <c r="G38" s="43">
        <f>ROUND(G36/G37,6)</f>
        <v>4.2772999999999999E-2</v>
      </c>
      <c r="H38" s="43">
        <f>ROUND(H36/H37,6)</f>
        <v>1.4567999999999999E-2</v>
      </c>
    </row>
    <row r="39" spans="1:8" x14ac:dyDescent="0.2">
      <c r="A39" s="23">
        <f t="shared" si="2"/>
        <v>5</v>
      </c>
      <c r="B39" s="30"/>
      <c r="C39" s="23"/>
      <c r="D39" s="23"/>
      <c r="E39" s="23"/>
      <c r="F39" s="23"/>
      <c r="G39" s="23"/>
      <c r="H39" s="23"/>
    </row>
    <row r="40" spans="1:8" x14ac:dyDescent="0.2">
      <c r="A40" s="23">
        <f t="shared" si="2"/>
        <v>6</v>
      </c>
      <c r="B40" s="30" t="s">
        <v>86</v>
      </c>
      <c r="C40" s="23"/>
      <c r="D40" s="23"/>
      <c r="E40" s="23"/>
      <c r="F40" s="23"/>
      <c r="G40" s="23"/>
      <c r="H40" s="23"/>
    </row>
    <row r="41" spans="1:8" x14ac:dyDescent="0.2">
      <c r="A41" s="23">
        <f t="shared" si="2"/>
        <v>7</v>
      </c>
      <c r="B41" s="24" t="s">
        <v>61</v>
      </c>
      <c r="C41" s="23" t="str">
        <f>C17</f>
        <v>Exhibit BDJ-9, Page 1</v>
      </c>
      <c r="D41" s="23"/>
      <c r="E41" s="25">
        <f>'Exhibit BDJ-9, Page 1'!D$62</f>
        <v>565659812.50726914</v>
      </c>
      <c r="F41" s="25">
        <f>'Exhibit BDJ-9, Page 1'!E$62</f>
        <v>126312526.65892525</v>
      </c>
      <c r="G41" s="25">
        <f>'Exhibit BDJ-9, Page 1'!F$62</f>
        <v>141122664.22276181</v>
      </c>
      <c r="H41" s="25">
        <f>'Exhibit BDJ-9, Page 1'!G$62</f>
        <v>4386408.9234801605</v>
      </c>
    </row>
    <row r="42" spans="1:8" x14ac:dyDescent="0.2">
      <c r="A42" s="23">
        <f t="shared" si="2"/>
        <v>8</v>
      </c>
      <c r="B42" s="24" t="s">
        <v>103</v>
      </c>
      <c r="C42" s="23" t="str">
        <f>C18</f>
        <v>Exhibit BDJ-3, Electric F2021 Billing Determinants</v>
      </c>
      <c r="D42" s="23"/>
      <c r="E42" s="36">
        <v>10953273000</v>
      </c>
      <c r="F42" s="36">
        <v>2730372000</v>
      </c>
      <c r="G42" s="36">
        <v>3087427000</v>
      </c>
      <c r="H42" s="36">
        <v>289426000</v>
      </c>
    </row>
    <row r="43" spans="1:8" x14ac:dyDescent="0.2">
      <c r="A43" s="23">
        <f t="shared" si="2"/>
        <v>9</v>
      </c>
      <c r="B43" s="24" t="s">
        <v>62</v>
      </c>
      <c r="C43" s="23" t="str">
        <f>"("&amp;A41&amp;") / ("&amp;A42&amp;")"</f>
        <v>(7) / (8)</v>
      </c>
      <c r="D43" s="65" t="s">
        <v>90</v>
      </c>
      <c r="E43" s="43">
        <f>ROUND(E41/E42,6)</f>
        <v>5.1643000000000001E-2</v>
      </c>
      <c r="F43" s="43">
        <f>ROUND(F41/F42,6)</f>
        <v>4.6261999999999998E-2</v>
      </c>
      <c r="G43" s="43">
        <f>ROUND(G41/G42,6)</f>
        <v>4.5709E-2</v>
      </c>
      <c r="H43" s="43">
        <f>ROUND(H41/H42,6)</f>
        <v>1.5155999999999999E-2</v>
      </c>
    </row>
    <row r="44" spans="1:8" x14ac:dyDescent="0.2">
      <c r="A44" s="23">
        <f t="shared" si="2"/>
        <v>10</v>
      </c>
    </row>
    <row r="45" spans="1:8" x14ac:dyDescent="0.2">
      <c r="A45" s="23">
        <f t="shared" si="2"/>
        <v>11</v>
      </c>
      <c r="B45" s="24" t="s">
        <v>88</v>
      </c>
      <c r="C45" s="23" t="str">
        <f>"("&amp;A43&amp;") - ("&amp;A38&amp;")"</f>
        <v>(9) - (4)</v>
      </c>
      <c r="D45" s="23"/>
      <c r="E45" s="46">
        <f>E43-E38</f>
        <v>3.598999999999998E-3</v>
      </c>
      <c r="F45" s="46">
        <f>F43-F38</f>
        <v>2.924999999999997E-3</v>
      </c>
      <c r="G45" s="46">
        <f>G43-G38</f>
        <v>2.9360000000000011E-3</v>
      </c>
      <c r="H45" s="46">
        <f>H43-H38</f>
        <v>5.8799999999999998E-4</v>
      </c>
    </row>
    <row r="46" spans="1:8" x14ac:dyDescent="0.2">
      <c r="B46" s="24"/>
    </row>
    <row r="47" spans="1:8" s="27" customFormat="1" ht="3" customHeight="1" x14ac:dyDescent="0.2">
      <c r="A47" s="47"/>
      <c r="B47" s="47"/>
      <c r="C47" s="47"/>
      <c r="D47" s="47"/>
      <c r="E47" s="47"/>
      <c r="F47" s="47"/>
      <c r="G47" s="47"/>
      <c r="H47" s="47"/>
    </row>
    <row r="49" spans="1:8" x14ac:dyDescent="0.2">
      <c r="A49" s="4" t="str">
        <f>A25</f>
        <v>Puget Sound Energy</v>
      </c>
      <c r="B49" s="4"/>
      <c r="C49" s="4"/>
      <c r="D49" s="4"/>
      <c r="E49" s="4"/>
      <c r="F49" s="4"/>
      <c r="G49" s="4"/>
      <c r="H49" s="3"/>
    </row>
    <row r="50" spans="1:8" x14ac:dyDescent="0.2">
      <c r="A50" s="4" t="str">
        <f>A26</f>
        <v>2022 General Rate Case (GRC)</v>
      </c>
      <c r="B50" s="4"/>
      <c r="C50" s="4"/>
      <c r="D50" s="4"/>
      <c r="E50" s="4"/>
      <c r="F50" s="4"/>
      <c r="G50" s="4"/>
      <c r="H50" s="3"/>
    </row>
    <row r="51" spans="1:8" x14ac:dyDescent="0.2">
      <c r="A51" s="4" t="str">
        <f>A27</f>
        <v>Electric Delivery Decoupling Mechanism (Schedule 142)</v>
      </c>
      <c r="B51" s="4"/>
      <c r="C51" s="4"/>
      <c r="D51" s="4"/>
      <c r="E51" s="4"/>
      <c r="F51" s="4"/>
      <c r="G51" s="4"/>
      <c r="H51" s="3"/>
    </row>
    <row r="52" spans="1:8" x14ac:dyDescent="0.2">
      <c r="A52" s="4" t="str">
        <f>A28</f>
        <v>Development of Delivery Revenue Per Unit Rates ($/kWh)</v>
      </c>
      <c r="B52" s="4"/>
      <c r="C52" s="4"/>
      <c r="D52" s="4"/>
      <c r="E52" s="4"/>
      <c r="F52" s="4"/>
      <c r="G52" s="4"/>
      <c r="H52" s="3"/>
    </row>
    <row r="53" spans="1:8" x14ac:dyDescent="0.2">
      <c r="A53" s="4" t="str">
        <f>'Exhibit BDJ-9, Page 1'!A74:M74</f>
        <v>Proposed Effective January 1, 2025</v>
      </c>
      <c r="B53" s="4"/>
      <c r="C53" s="4"/>
      <c r="D53" s="4"/>
      <c r="E53" s="4"/>
      <c r="F53" s="4"/>
      <c r="G53" s="4"/>
      <c r="H53" s="3"/>
    </row>
    <row r="54" spans="1:8" x14ac:dyDescent="0.2">
      <c r="A54" s="6"/>
      <c r="B54" s="6"/>
      <c r="C54" s="6"/>
      <c r="D54" s="6"/>
      <c r="E54" s="6"/>
      <c r="F54" s="6"/>
      <c r="G54" s="58"/>
      <c r="H54" s="6"/>
    </row>
    <row r="56" spans="1:8" ht="22.5" x14ac:dyDescent="0.2">
      <c r="A56" s="8" t="s">
        <v>52</v>
      </c>
      <c r="E56" s="58" t="s">
        <v>54</v>
      </c>
      <c r="F56" s="58" t="s">
        <v>55</v>
      </c>
      <c r="G56" s="58" t="s">
        <v>55</v>
      </c>
      <c r="H56" s="58" t="s">
        <v>81</v>
      </c>
    </row>
    <row r="57" spans="1:8" x14ac:dyDescent="0.2">
      <c r="A57" s="9" t="s">
        <v>53</v>
      </c>
      <c r="B57" s="42"/>
      <c r="C57" s="10" t="s">
        <v>14</v>
      </c>
      <c r="D57" s="10" t="s">
        <v>89</v>
      </c>
      <c r="E57" s="11" t="s">
        <v>122</v>
      </c>
      <c r="F57" s="11" t="s">
        <v>39</v>
      </c>
      <c r="G57" s="11" t="s">
        <v>56</v>
      </c>
      <c r="H57" s="11" t="s">
        <v>82</v>
      </c>
    </row>
    <row r="58" spans="1:8" x14ac:dyDescent="0.2">
      <c r="A58" s="24"/>
      <c r="B58" s="23" t="s">
        <v>13</v>
      </c>
      <c r="C58" s="23" t="s">
        <v>12</v>
      </c>
      <c r="D58" s="23" t="s">
        <v>11</v>
      </c>
      <c r="E58" s="23" t="s">
        <v>10</v>
      </c>
      <c r="F58" s="23" t="s">
        <v>9</v>
      </c>
      <c r="G58" s="23" t="s">
        <v>8</v>
      </c>
      <c r="H58" s="23" t="s">
        <v>7</v>
      </c>
    </row>
    <row r="59" spans="1:8" x14ac:dyDescent="0.2">
      <c r="A59" s="23">
        <v>1</v>
      </c>
      <c r="B59" s="30" t="s">
        <v>84</v>
      </c>
      <c r="C59" s="23"/>
      <c r="D59" s="23"/>
      <c r="E59" s="23"/>
      <c r="F59" s="23"/>
      <c r="G59" s="23"/>
      <c r="H59" s="23"/>
    </row>
    <row r="60" spans="1:8" x14ac:dyDescent="0.2">
      <c r="A60" s="23">
        <f>A59+1</f>
        <v>2</v>
      </c>
      <c r="B60" s="24" t="s">
        <v>61</v>
      </c>
      <c r="C60" s="23" t="str">
        <f>C41</f>
        <v>Exhibit BDJ-9, Page 1</v>
      </c>
      <c r="D60" s="23"/>
      <c r="E60" s="25">
        <f>E41</f>
        <v>565659812.50726914</v>
      </c>
      <c r="F60" s="25">
        <f>F41</f>
        <v>126312526.65892525</v>
      </c>
      <c r="G60" s="25">
        <f>G41</f>
        <v>141122664.22276181</v>
      </c>
      <c r="H60" s="25">
        <f>H41</f>
        <v>4386408.9234801605</v>
      </c>
    </row>
    <row r="61" spans="1:8" x14ac:dyDescent="0.2">
      <c r="A61" s="23">
        <f t="shared" ref="A61:A69" si="3">A60+1</f>
        <v>3</v>
      </c>
      <c r="B61" s="24" t="s">
        <v>47</v>
      </c>
      <c r="C61" s="23" t="str">
        <f>C42</f>
        <v>Exhibit BDJ-3, Electric F2021 Billing Determinants</v>
      </c>
      <c r="D61" s="23"/>
      <c r="E61" s="25">
        <f>E42</f>
        <v>10953273000</v>
      </c>
      <c r="F61" s="25">
        <f t="shared" ref="F61:H61" si="4">F42</f>
        <v>2730372000</v>
      </c>
      <c r="G61" s="25">
        <f t="shared" si="4"/>
        <v>3087427000</v>
      </c>
      <c r="H61" s="25">
        <f t="shared" si="4"/>
        <v>289426000</v>
      </c>
    </row>
    <row r="62" spans="1:8" x14ac:dyDescent="0.2">
      <c r="A62" s="23">
        <f t="shared" si="3"/>
        <v>4</v>
      </c>
      <c r="B62" s="24" t="s">
        <v>62</v>
      </c>
      <c r="C62" s="23" t="str">
        <f>"("&amp;A60&amp;") / ("&amp;A61&amp;")"</f>
        <v>(2) / (3)</v>
      </c>
      <c r="D62" s="23"/>
      <c r="E62" s="43">
        <f>ROUND(E60/E61,6)</f>
        <v>5.1643000000000001E-2</v>
      </c>
      <c r="F62" s="43">
        <f>ROUND(F60/F61,6)</f>
        <v>4.6261999999999998E-2</v>
      </c>
      <c r="G62" s="43">
        <f>ROUND(G60/G61,6)</f>
        <v>4.5709E-2</v>
      </c>
      <c r="H62" s="43">
        <f>ROUND(H60/H61,6)</f>
        <v>1.5155999999999999E-2</v>
      </c>
    </row>
    <row r="63" spans="1:8" x14ac:dyDescent="0.2">
      <c r="A63" s="23">
        <f t="shared" si="3"/>
        <v>5</v>
      </c>
      <c r="B63" s="30"/>
      <c r="C63" s="23"/>
      <c r="D63" s="23"/>
      <c r="E63" s="23"/>
      <c r="F63" s="23"/>
      <c r="G63" s="23"/>
      <c r="H63" s="23"/>
    </row>
    <row r="64" spans="1:8" x14ac:dyDescent="0.2">
      <c r="A64" s="23">
        <f t="shared" si="3"/>
        <v>6</v>
      </c>
      <c r="B64" s="30" t="s">
        <v>86</v>
      </c>
      <c r="C64" s="23"/>
      <c r="D64" s="23"/>
      <c r="E64" s="23"/>
      <c r="F64" s="23"/>
      <c r="G64" s="23"/>
      <c r="H64" s="23"/>
    </row>
    <row r="65" spans="1:8" x14ac:dyDescent="0.2">
      <c r="A65" s="23">
        <f t="shared" si="3"/>
        <v>7</v>
      </c>
      <c r="B65" s="24" t="s">
        <v>61</v>
      </c>
      <c r="C65" s="23" t="str">
        <f>C41</f>
        <v>Exhibit BDJ-9, Page 1</v>
      </c>
      <c r="D65" s="23"/>
      <c r="E65" s="25">
        <f>'Exhibit BDJ-9, Page 1'!D$98</f>
        <v>614870968.57597768</v>
      </c>
      <c r="F65" s="25">
        <f>'Exhibit BDJ-9, Page 1'!E$98</f>
        <v>136114880.45319492</v>
      </c>
      <c r="G65" s="25">
        <f>'Exhibit BDJ-9, Page 1'!F$98</f>
        <v>152471695.37822005</v>
      </c>
      <c r="H65" s="25">
        <f>'Exhibit BDJ-9, Page 1'!G$98</f>
        <v>4426523.0135211041</v>
      </c>
    </row>
    <row r="66" spans="1:8" x14ac:dyDescent="0.2">
      <c r="A66" s="23">
        <f t="shared" si="3"/>
        <v>8</v>
      </c>
      <c r="B66" s="24" t="s">
        <v>103</v>
      </c>
      <c r="C66" s="23" t="str">
        <f>C42</f>
        <v>Exhibit BDJ-3, Electric F2021 Billing Determinants</v>
      </c>
      <c r="D66" s="23"/>
      <c r="E66" s="36">
        <v>11003417000</v>
      </c>
      <c r="F66" s="36">
        <v>2726800000</v>
      </c>
      <c r="G66" s="36">
        <v>3085273000</v>
      </c>
      <c r="H66" s="36">
        <v>289426000</v>
      </c>
    </row>
    <row r="67" spans="1:8" x14ac:dyDescent="0.2">
      <c r="A67" s="23">
        <f t="shared" si="3"/>
        <v>9</v>
      </c>
      <c r="B67" s="24" t="s">
        <v>62</v>
      </c>
      <c r="C67" s="23" t="str">
        <f>"("&amp;A65&amp;") / ("&amp;A66&amp;")"</f>
        <v>(7) / (8)</v>
      </c>
      <c r="D67" s="65" t="s">
        <v>90</v>
      </c>
      <c r="E67" s="43">
        <f>ROUND(E65/E66,6)</f>
        <v>5.5879999999999999E-2</v>
      </c>
      <c r="F67" s="43">
        <f>ROUND(F65/F66,6)</f>
        <v>4.9917000000000003E-2</v>
      </c>
      <c r="G67" s="43">
        <f>ROUND(G65/G66,6)</f>
        <v>4.9418999999999998E-2</v>
      </c>
      <c r="H67" s="43">
        <f>ROUND(H65/H66,6)</f>
        <v>1.5294E-2</v>
      </c>
    </row>
    <row r="68" spans="1:8" x14ac:dyDescent="0.2">
      <c r="A68" s="23">
        <f t="shared" si="3"/>
        <v>10</v>
      </c>
    </row>
    <row r="69" spans="1:8" x14ac:dyDescent="0.2">
      <c r="A69" s="23">
        <f t="shared" si="3"/>
        <v>11</v>
      </c>
      <c r="B69" s="24" t="s">
        <v>88</v>
      </c>
      <c r="C69" s="23" t="str">
        <f>"("&amp;A67&amp;") - ("&amp;A62&amp;")"</f>
        <v>(9) - (4)</v>
      </c>
      <c r="D69" s="23"/>
      <c r="E69" s="46">
        <f>E67-E62</f>
        <v>4.2369999999999977E-3</v>
      </c>
      <c r="F69" s="46">
        <f>F67-F62</f>
        <v>3.6550000000000055E-3</v>
      </c>
      <c r="G69" s="46">
        <f>G67-G62</f>
        <v>3.709999999999998E-3</v>
      </c>
      <c r="H69" s="46">
        <f>H67-H62</f>
        <v>1.3800000000000097E-4</v>
      </c>
    </row>
    <row r="70" spans="1:8" x14ac:dyDescent="0.2">
      <c r="B70" s="24"/>
    </row>
    <row r="71" spans="1:8" x14ac:dyDescent="0.2">
      <c r="C71" s="24"/>
      <c r="D71" s="24"/>
      <c r="E71" s="66"/>
      <c r="F71" s="66"/>
      <c r="G71" s="66"/>
      <c r="H71" s="66"/>
    </row>
  </sheetData>
  <mergeCells count="15">
    <mergeCell ref="A49:H49"/>
    <mergeCell ref="A50:H50"/>
    <mergeCell ref="A51:H51"/>
    <mergeCell ref="A52:H52"/>
    <mergeCell ref="A53:H53"/>
    <mergeCell ref="A25:H25"/>
    <mergeCell ref="A26:H26"/>
    <mergeCell ref="A27:H27"/>
    <mergeCell ref="A28:H28"/>
    <mergeCell ref="A29:H29"/>
    <mergeCell ref="A1:H1"/>
    <mergeCell ref="A2:H2"/>
    <mergeCell ref="A3:H3"/>
    <mergeCell ref="A4:H4"/>
    <mergeCell ref="A5:H5"/>
  </mergeCells>
  <printOptions horizontalCentered="1"/>
  <pageMargins left="0.7" right="0.7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H72"/>
  <sheetViews>
    <sheetView zoomScaleNormal="100" workbookViewId="0">
      <pane ySplit="10" topLeftCell="A11" activePane="bottomLeft" state="frozen"/>
      <selection activeCell="D67" sqref="D67"/>
      <selection pane="bottomLeft" activeCell="D20" sqref="D20"/>
    </sheetView>
  </sheetViews>
  <sheetFormatPr defaultColWidth="9.140625" defaultRowHeight="11.25" x14ac:dyDescent="0.2"/>
  <cols>
    <col min="1" max="1" width="4.7109375" style="24" bestFit="1" customWidth="1"/>
    <col min="2" max="2" width="43.28515625" style="24" customWidth="1"/>
    <col min="3" max="3" width="41.140625" style="24" bestFit="1" customWidth="1"/>
    <col min="4" max="4" width="12.42578125" style="24" bestFit="1" customWidth="1"/>
    <col min="5" max="8" width="13.42578125" style="24" customWidth="1"/>
    <col min="9" max="16384" width="9.140625" style="24"/>
  </cols>
  <sheetData>
    <row r="1" spans="1:8" x14ac:dyDescent="0.2">
      <c r="A1" s="5" t="str">
        <f>'Exhibit BDJ-9, Page 1'!A1:M1</f>
        <v>Puget Sound Energy</v>
      </c>
      <c r="B1" s="5"/>
      <c r="C1" s="5"/>
      <c r="D1" s="5"/>
      <c r="E1" s="5"/>
      <c r="F1" s="5"/>
      <c r="G1" s="5"/>
      <c r="H1" s="5"/>
    </row>
    <row r="2" spans="1:8" ht="12.75" customHeight="1" x14ac:dyDescent="0.2">
      <c r="A2" s="5" t="str">
        <f>'Exhibit BDJ-9, Page 1'!A2:M2</f>
        <v>2022 General Rate Case (GRC)</v>
      </c>
      <c r="B2" s="5"/>
      <c r="C2" s="5"/>
      <c r="D2" s="5"/>
      <c r="E2" s="5"/>
      <c r="F2" s="5"/>
      <c r="G2" s="5"/>
      <c r="H2" s="5"/>
    </row>
    <row r="3" spans="1:8" ht="12.75" customHeight="1" x14ac:dyDescent="0.2">
      <c r="A3" s="5" t="str">
        <f>'Exhibit BDJ-9, Page 1'!A3:M3</f>
        <v>Electric Delivery Decoupling Mechanism (Schedule 142)</v>
      </c>
      <c r="B3" s="5"/>
      <c r="C3" s="5"/>
      <c r="D3" s="5"/>
      <c r="E3" s="5"/>
      <c r="F3" s="5"/>
      <c r="G3" s="5"/>
      <c r="H3" s="5"/>
    </row>
    <row r="4" spans="1:8" x14ac:dyDescent="0.2">
      <c r="A4" s="5" t="s">
        <v>59</v>
      </c>
      <c r="B4" s="5"/>
      <c r="C4" s="5"/>
      <c r="D4" s="5"/>
      <c r="E4" s="5"/>
      <c r="F4" s="5"/>
      <c r="G4" s="5"/>
      <c r="H4" s="5"/>
    </row>
    <row r="5" spans="1:8" x14ac:dyDescent="0.2">
      <c r="A5" s="5" t="str">
        <f>'Exhibit BDJ-9, Page 1'!A5:M5</f>
        <v>Proposed Effective January 1, 2023</v>
      </c>
      <c r="B5" s="5"/>
      <c r="C5" s="5"/>
      <c r="D5" s="5"/>
      <c r="E5" s="5"/>
      <c r="F5" s="5"/>
      <c r="G5" s="5"/>
      <c r="H5" s="5"/>
    </row>
    <row r="6" spans="1:8" x14ac:dyDescent="0.2">
      <c r="A6" s="6"/>
      <c r="B6" s="6"/>
      <c r="C6" s="6"/>
      <c r="D6" s="6"/>
      <c r="E6" s="58"/>
      <c r="F6" s="58"/>
      <c r="G6" s="58"/>
      <c r="H6" s="58"/>
    </row>
    <row r="8" spans="1:8" ht="12.75" customHeight="1" x14ac:dyDescent="0.2">
      <c r="E8" s="2" t="s">
        <v>44</v>
      </c>
      <c r="F8" s="1"/>
      <c r="G8" s="2" t="s">
        <v>46</v>
      </c>
      <c r="H8" s="1"/>
    </row>
    <row r="9" spans="1:8" ht="12.75" customHeight="1" x14ac:dyDescent="0.2">
      <c r="A9" s="13" t="s">
        <v>52</v>
      </c>
      <c r="E9" s="14" t="s">
        <v>48</v>
      </c>
      <c r="F9" s="15" t="s">
        <v>49</v>
      </c>
      <c r="G9" s="14" t="s">
        <v>48</v>
      </c>
      <c r="H9" s="15" t="s">
        <v>49</v>
      </c>
    </row>
    <row r="10" spans="1:8" ht="12.75" customHeight="1" x14ac:dyDescent="0.2">
      <c r="A10" s="10" t="s">
        <v>53</v>
      </c>
      <c r="B10" s="28"/>
      <c r="C10" s="10" t="s">
        <v>14</v>
      </c>
      <c r="D10" s="10" t="s">
        <v>89</v>
      </c>
      <c r="E10" s="16" t="s">
        <v>50</v>
      </c>
      <c r="F10" s="17" t="s">
        <v>51</v>
      </c>
      <c r="G10" s="16" t="s">
        <v>50</v>
      </c>
      <c r="H10" s="17" t="s">
        <v>51</v>
      </c>
    </row>
    <row r="11" spans="1:8" x14ac:dyDescent="0.2">
      <c r="B11" s="23" t="s">
        <v>13</v>
      </c>
      <c r="C11" s="23" t="s">
        <v>12</v>
      </c>
      <c r="D11" s="23" t="s">
        <v>11</v>
      </c>
      <c r="E11" s="23" t="s">
        <v>10</v>
      </c>
      <c r="F11" s="23" t="s">
        <v>9</v>
      </c>
      <c r="G11" s="23" t="s">
        <v>8</v>
      </c>
      <c r="H11" s="23" t="s">
        <v>7</v>
      </c>
    </row>
    <row r="12" spans="1:8" x14ac:dyDescent="0.2">
      <c r="A12" s="23">
        <v>1</v>
      </c>
      <c r="B12" s="30" t="s">
        <v>84</v>
      </c>
      <c r="C12" s="23"/>
      <c r="D12" s="23"/>
      <c r="E12" s="23"/>
      <c r="F12" s="23"/>
      <c r="G12" s="23"/>
      <c r="H12" s="23"/>
    </row>
    <row r="13" spans="1:8" x14ac:dyDescent="0.2">
      <c r="A13" s="23">
        <f>A12+1</f>
        <v>2</v>
      </c>
      <c r="B13" s="24" t="s">
        <v>61</v>
      </c>
      <c r="C13" s="21" t="s">
        <v>115</v>
      </c>
      <c r="D13" s="21"/>
      <c r="E13" s="25">
        <v>30005963.71207615</v>
      </c>
      <c r="F13" s="25">
        <v>21704066.522043012</v>
      </c>
      <c r="G13" s="25">
        <v>22212783.9555531</v>
      </c>
      <c r="H13" s="25">
        <v>15213169.916640688</v>
      </c>
    </row>
    <row r="14" spans="1:8" x14ac:dyDescent="0.2">
      <c r="A14" s="23">
        <f t="shared" ref="A14:A22" si="0">A13+1</f>
        <v>3</v>
      </c>
      <c r="B14" s="24" t="s">
        <v>45</v>
      </c>
      <c r="C14" s="21" t="str">
        <f>C13</f>
        <v>2018 GRC PLR filing (UE-190529), Exhibit JAP-11, Page 3</v>
      </c>
      <c r="D14" s="21"/>
      <c r="E14" s="36">
        <v>2289533</v>
      </c>
      <c r="F14" s="36">
        <v>2485131</v>
      </c>
      <c r="G14" s="36">
        <v>1708564</v>
      </c>
      <c r="H14" s="36">
        <v>1755251</v>
      </c>
    </row>
    <row r="15" spans="1:8" x14ac:dyDescent="0.2">
      <c r="A15" s="23">
        <f t="shared" si="0"/>
        <v>4</v>
      </c>
      <c r="B15" s="24" t="s">
        <v>63</v>
      </c>
      <c r="C15" s="23" t="str">
        <f>"("&amp;A13&amp;") / ("&amp;A14&amp;")"</f>
        <v>(2) / (3)</v>
      </c>
      <c r="D15" s="23"/>
      <c r="E15" s="41">
        <f>ROUND(E13/E14,2)</f>
        <v>13.11</v>
      </c>
      <c r="F15" s="41">
        <f>ROUND(F13/F14,2)</f>
        <v>8.73</v>
      </c>
      <c r="G15" s="41">
        <f>ROUND(G13/G14,2)</f>
        <v>13</v>
      </c>
      <c r="H15" s="41">
        <f>ROUND(H13/H14,2)</f>
        <v>8.67</v>
      </c>
    </row>
    <row r="16" spans="1:8" x14ac:dyDescent="0.2">
      <c r="A16" s="23">
        <f t="shared" si="0"/>
        <v>5</v>
      </c>
      <c r="B16" s="30"/>
      <c r="C16" s="23"/>
      <c r="D16" s="23"/>
      <c r="E16" s="23"/>
      <c r="F16" s="23"/>
      <c r="G16" s="23"/>
      <c r="H16" s="23"/>
    </row>
    <row r="17" spans="1:8" x14ac:dyDescent="0.2">
      <c r="A17" s="23">
        <f t="shared" si="0"/>
        <v>6</v>
      </c>
      <c r="B17" s="30" t="s">
        <v>86</v>
      </c>
      <c r="C17" s="23"/>
      <c r="D17" s="23"/>
      <c r="E17" s="23"/>
      <c r="F17" s="23"/>
      <c r="G17" s="23"/>
      <c r="H17" s="23"/>
    </row>
    <row r="18" spans="1:8" x14ac:dyDescent="0.2">
      <c r="A18" s="23">
        <f t="shared" si="0"/>
        <v>7</v>
      </c>
      <c r="B18" s="24" t="s">
        <v>61</v>
      </c>
      <c r="C18" s="21" t="s">
        <v>111</v>
      </c>
      <c r="D18" s="21"/>
      <c r="E18" s="25">
        <v>38259884.091492824</v>
      </c>
      <c r="F18" s="25">
        <v>26610693.247508444</v>
      </c>
      <c r="G18" s="25">
        <v>27851294.068111923</v>
      </c>
      <c r="H18" s="25">
        <v>19371262.108906195</v>
      </c>
    </row>
    <row r="19" spans="1:8" x14ac:dyDescent="0.2">
      <c r="A19" s="23">
        <f t="shared" si="0"/>
        <v>8</v>
      </c>
      <c r="B19" s="24" t="s">
        <v>104</v>
      </c>
      <c r="C19" s="21" t="s">
        <v>125</v>
      </c>
      <c r="D19" s="21"/>
      <c r="E19" s="36">
        <v>2166079.5198340947</v>
      </c>
      <c r="F19" s="36">
        <v>2260766.8850435158</v>
      </c>
      <c r="G19" s="36">
        <v>1611634.5729500088</v>
      </c>
      <c r="H19" s="36">
        <v>1680397.6414039268</v>
      </c>
    </row>
    <row r="20" spans="1:8" x14ac:dyDescent="0.2">
      <c r="A20" s="23">
        <f t="shared" si="0"/>
        <v>9</v>
      </c>
      <c r="B20" s="24" t="s">
        <v>63</v>
      </c>
      <c r="C20" s="23" t="str">
        <f>"("&amp;A18&amp;") / ("&amp;A19&amp;")"</f>
        <v>(7) / (8)</v>
      </c>
      <c r="D20" s="23" t="s">
        <v>92</v>
      </c>
      <c r="E20" s="41">
        <f>ROUND(E18/E19,2)</f>
        <v>17.66</v>
      </c>
      <c r="F20" s="41">
        <f>ROUND(F18/F19,2)</f>
        <v>11.77</v>
      </c>
      <c r="G20" s="41">
        <f>ROUND(G18/G19,2)</f>
        <v>17.28</v>
      </c>
      <c r="H20" s="41">
        <f>ROUND(H18/H19,2)</f>
        <v>11.53</v>
      </c>
    </row>
    <row r="21" spans="1:8" x14ac:dyDescent="0.2">
      <c r="A21" s="23">
        <f t="shared" si="0"/>
        <v>10</v>
      </c>
      <c r="C21" s="40"/>
      <c r="D21" s="40"/>
      <c r="E21" s="38"/>
      <c r="F21" s="38"/>
      <c r="G21" s="38"/>
      <c r="H21" s="38"/>
    </row>
    <row r="22" spans="1:8" x14ac:dyDescent="0.2">
      <c r="A22" s="23">
        <f t="shared" si="0"/>
        <v>11</v>
      </c>
      <c r="B22" s="24" t="s">
        <v>91</v>
      </c>
      <c r="C22" s="23" t="str">
        <f>"("&amp;A20&amp;") - ("&amp;A15&amp;")"</f>
        <v>(9) - (4)</v>
      </c>
      <c r="D22" s="23"/>
      <c r="E22" s="38">
        <f>E20-E15</f>
        <v>4.5500000000000007</v>
      </c>
      <c r="F22" s="38">
        <f>F20-F15</f>
        <v>3.0399999999999991</v>
      </c>
      <c r="G22" s="38">
        <f>G20-G15</f>
        <v>4.2800000000000011</v>
      </c>
      <c r="H22" s="38">
        <f>H20-H15</f>
        <v>2.8599999999999994</v>
      </c>
    </row>
    <row r="24" spans="1:8" s="27" customFormat="1" ht="3" customHeight="1" x14ac:dyDescent="0.2">
      <c r="A24" s="47"/>
      <c r="B24" s="47"/>
      <c r="C24" s="47"/>
      <c r="D24" s="47"/>
      <c r="E24" s="47"/>
      <c r="F24" s="47"/>
      <c r="G24" s="47"/>
      <c r="H24" s="47"/>
    </row>
    <row r="26" spans="1:8" x14ac:dyDescent="0.2">
      <c r="A26" s="4" t="str">
        <f>A1</f>
        <v>Puget Sound Energy</v>
      </c>
      <c r="B26" s="4"/>
      <c r="C26" s="4"/>
      <c r="D26" s="4"/>
      <c r="E26" s="4"/>
      <c r="F26" s="4"/>
      <c r="G26" s="4"/>
      <c r="H26" s="3"/>
    </row>
    <row r="27" spans="1:8" x14ac:dyDescent="0.2">
      <c r="A27" s="4" t="str">
        <f>A2</f>
        <v>2022 General Rate Case (GRC)</v>
      </c>
      <c r="B27" s="4"/>
      <c r="C27" s="4"/>
      <c r="D27" s="4"/>
      <c r="E27" s="4"/>
      <c r="F27" s="4"/>
      <c r="G27" s="4"/>
      <c r="H27" s="3"/>
    </row>
    <row r="28" spans="1:8" x14ac:dyDescent="0.2">
      <c r="A28" s="4" t="str">
        <f>A3</f>
        <v>Electric Delivery Decoupling Mechanism (Schedule 142)</v>
      </c>
      <c r="B28" s="4"/>
      <c r="C28" s="4"/>
      <c r="D28" s="4"/>
      <c r="E28" s="4"/>
      <c r="F28" s="4"/>
      <c r="G28" s="4"/>
      <c r="H28" s="3"/>
    </row>
    <row r="29" spans="1:8" x14ac:dyDescent="0.2">
      <c r="A29" s="4" t="str">
        <f>A4</f>
        <v>Development of Delivery Revenue Per Unit Rates ($/KW)</v>
      </c>
      <c r="B29" s="4"/>
      <c r="C29" s="4"/>
      <c r="D29" s="4"/>
      <c r="E29" s="4"/>
      <c r="F29" s="4"/>
      <c r="G29" s="4"/>
      <c r="H29" s="3"/>
    </row>
    <row r="30" spans="1:8" x14ac:dyDescent="0.2">
      <c r="A30" s="4" t="str">
        <f>'Exhibit BDJ-9, Page 1'!A38</f>
        <v>Proposed Effective January 1, 2024</v>
      </c>
      <c r="B30" s="4"/>
      <c r="C30" s="4"/>
      <c r="D30" s="4"/>
      <c r="E30" s="4"/>
      <c r="F30" s="4"/>
      <c r="G30" s="4"/>
      <c r="H30" s="3"/>
    </row>
    <row r="31" spans="1:8" x14ac:dyDescent="0.2">
      <c r="A31" s="6"/>
      <c r="B31" s="6"/>
      <c r="C31" s="6"/>
      <c r="D31" s="6"/>
      <c r="E31" s="58"/>
      <c r="F31" s="58"/>
      <c r="G31" s="58"/>
      <c r="H31" s="58"/>
    </row>
    <row r="33" spans="1:8" x14ac:dyDescent="0.2">
      <c r="E33" s="2" t="s">
        <v>44</v>
      </c>
      <c r="F33" s="1"/>
      <c r="G33" s="2" t="s">
        <v>46</v>
      </c>
      <c r="H33" s="1"/>
    </row>
    <row r="34" spans="1:8" x14ac:dyDescent="0.2">
      <c r="A34" s="13" t="s">
        <v>52</v>
      </c>
      <c r="E34" s="14" t="s">
        <v>48</v>
      </c>
      <c r="F34" s="15" t="s">
        <v>49</v>
      </c>
      <c r="G34" s="14" t="s">
        <v>48</v>
      </c>
      <c r="H34" s="15" t="s">
        <v>49</v>
      </c>
    </row>
    <row r="35" spans="1:8" x14ac:dyDescent="0.2">
      <c r="A35" s="10" t="s">
        <v>53</v>
      </c>
      <c r="B35" s="28"/>
      <c r="C35" s="10" t="s">
        <v>14</v>
      </c>
      <c r="D35" s="10" t="s">
        <v>89</v>
      </c>
      <c r="E35" s="16" t="s">
        <v>50</v>
      </c>
      <c r="F35" s="17" t="s">
        <v>51</v>
      </c>
      <c r="G35" s="16" t="s">
        <v>50</v>
      </c>
      <c r="H35" s="17" t="s">
        <v>51</v>
      </c>
    </row>
    <row r="36" spans="1:8" x14ac:dyDescent="0.2">
      <c r="B36" s="23" t="s">
        <v>13</v>
      </c>
      <c r="C36" s="23" t="s">
        <v>12</v>
      </c>
      <c r="D36" s="23" t="s">
        <v>11</v>
      </c>
      <c r="E36" s="23" t="s">
        <v>10</v>
      </c>
      <c r="F36" s="23" t="s">
        <v>9</v>
      </c>
      <c r="G36" s="23" t="s">
        <v>8</v>
      </c>
      <c r="H36" s="23" t="s">
        <v>7</v>
      </c>
    </row>
    <row r="37" spans="1:8" x14ac:dyDescent="0.2">
      <c r="A37" s="23">
        <v>1</v>
      </c>
      <c r="B37" s="30" t="s">
        <v>84</v>
      </c>
      <c r="C37" s="23"/>
      <c r="D37" s="23"/>
      <c r="E37" s="23"/>
      <c r="F37" s="23"/>
      <c r="G37" s="23"/>
      <c r="H37" s="23"/>
    </row>
    <row r="38" spans="1:8" x14ac:dyDescent="0.2">
      <c r="A38" s="23">
        <f>A37+1</f>
        <v>2</v>
      </c>
      <c r="B38" s="24" t="s">
        <v>61</v>
      </c>
      <c r="C38" s="23" t="str">
        <f>C18</f>
        <v>Exhibit BDJ-9, Page 1</v>
      </c>
      <c r="D38" s="23"/>
      <c r="E38" s="25">
        <f t="shared" ref="E38:H39" si="1">E18</f>
        <v>38259884.091492824</v>
      </c>
      <c r="F38" s="25">
        <f t="shared" si="1"/>
        <v>26610693.247508444</v>
      </c>
      <c r="G38" s="25">
        <f t="shared" si="1"/>
        <v>27851294.068111923</v>
      </c>
      <c r="H38" s="25">
        <f t="shared" si="1"/>
        <v>19371262.108906195</v>
      </c>
    </row>
    <row r="39" spans="1:8" x14ac:dyDescent="0.2">
      <c r="A39" s="23">
        <f t="shared" ref="A39:A47" si="2">A38+1</f>
        <v>3</v>
      </c>
      <c r="B39" s="24" t="s">
        <v>45</v>
      </c>
      <c r="C39" s="23" t="str">
        <f>C19</f>
        <v>Exhibit BDJ-3, Electric F2021 Billing Determinants</v>
      </c>
      <c r="D39" s="23"/>
      <c r="E39" s="36">
        <f t="shared" si="1"/>
        <v>2166079.5198340947</v>
      </c>
      <c r="F39" s="36">
        <f t="shared" si="1"/>
        <v>2260766.8850435158</v>
      </c>
      <c r="G39" s="36">
        <f t="shared" si="1"/>
        <v>1611634.5729500088</v>
      </c>
      <c r="H39" s="36">
        <f t="shared" si="1"/>
        <v>1680397.6414039268</v>
      </c>
    </row>
    <row r="40" spans="1:8" x14ac:dyDescent="0.2">
      <c r="A40" s="23">
        <f t="shared" si="2"/>
        <v>4</v>
      </c>
      <c r="B40" s="24" t="s">
        <v>63</v>
      </c>
      <c r="C40" s="23" t="str">
        <f>"("&amp;A38&amp;") / ("&amp;A39&amp;")"</f>
        <v>(2) / (3)</v>
      </c>
      <c r="D40" s="23"/>
      <c r="E40" s="41">
        <f>ROUND(E38/E39,2)</f>
        <v>17.66</v>
      </c>
      <c r="F40" s="41">
        <f>ROUND(F38/F39,2)</f>
        <v>11.77</v>
      </c>
      <c r="G40" s="41">
        <f>ROUND(G38/G39,2)</f>
        <v>17.28</v>
      </c>
      <c r="H40" s="41">
        <f>ROUND(H38/H39,2)</f>
        <v>11.53</v>
      </c>
    </row>
    <row r="41" spans="1:8" x14ac:dyDescent="0.2">
      <c r="A41" s="23">
        <f t="shared" si="2"/>
        <v>5</v>
      </c>
      <c r="B41" s="30"/>
      <c r="C41" s="23"/>
      <c r="D41" s="23"/>
      <c r="E41" s="23"/>
      <c r="F41" s="23"/>
      <c r="G41" s="23"/>
      <c r="H41" s="23"/>
    </row>
    <row r="42" spans="1:8" x14ac:dyDescent="0.2">
      <c r="A42" s="23">
        <f t="shared" si="2"/>
        <v>6</v>
      </c>
      <c r="B42" s="30" t="s">
        <v>86</v>
      </c>
      <c r="C42" s="23"/>
      <c r="D42" s="23"/>
      <c r="E42" s="23"/>
      <c r="F42" s="23"/>
      <c r="G42" s="23"/>
      <c r="H42" s="23"/>
    </row>
    <row r="43" spans="1:8" x14ac:dyDescent="0.2">
      <c r="A43" s="23">
        <f t="shared" si="2"/>
        <v>7</v>
      </c>
      <c r="B43" s="24" t="s">
        <v>61</v>
      </c>
      <c r="C43" s="23" t="str">
        <f>C18</f>
        <v>Exhibit BDJ-9, Page 1</v>
      </c>
      <c r="D43" s="23"/>
      <c r="E43" s="25">
        <v>41291261.929704472</v>
      </c>
      <c r="F43" s="25">
        <v>28713867.289420459</v>
      </c>
      <c r="G43" s="25">
        <v>29441563.918956585</v>
      </c>
      <c r="H43" s="25">
        <v>20473609.176709399</v>
      </c>
    </row>
    <row r="44" spans="1:8" x14ac:dyDescent="0.2">
      <c r="A44" s="23">
        <f t="shared" si="2"/>
        <v>8</v>
      </c>
      <c r="B44" s="24" t="s">
        <v>104</v>
      </c>
      <c r="C44" s="23" t="str">
        <f>C19</f>
        <v>Exhibit BDJ-3, Electric F2021 Billing Determinants</v>
      </c>
      <c r="D44" s="23"/>
      <c r="E44" s="36">
        <v>2170544.7039725371</v>
      </c>
      <c r="F44" s="36">
        <v>2265015.1757267229</v>
      </c>
      <c r="G44" s="36">
        <v>1602213.5251208919</v>
      </c>
      <c r="H44" s="36">
        <v>1671360.9363106801</v>
      </c>
    </row>
    <row r="45" spans="1:8" x14ac:dyDescent="0.2">
      <c r="A45" s="23">
        <f t="shared" si="2"/>
        <v>9</v>
      </c>
      <c r="B45" s="24" t="s">
        <v>63</v>
      </c>
      <c r="C45" s="23" t="str">
        <f>"("&amp;A43&amp;") / ("&amp;A44&amp;")"</f>
        <v>(7) / (8)</v>
      </c>
      <c r="D45" s="23" t="s">
        <v>92</v>
      </c>
      <c r="E45" s="41">
        <f>ROUND(E43/E44,2)</f>
        <v>19.02</v>
      </c>
      <c r="F45" s="41">
        <f>ROUND(F43/F44,2)</f>
        <v>12.68</v>
      </c>
      <c r="G45" s="41">
        <f>ROUND(G43/G44,2)</f>
        <v>18.38</v>
      </c>
      <c r="H45" s="41">
        <f>ROUND(H43/H44,2)</f>
        <v>12.25</v>
      </c>
    </row>
    <row r="46" spans="1:8" x14ac:dyDescent="0.2">
      <c r="A46" s="23">
        <f t="shared" si="2"/>
        <v>10</v>
      </c>
      <c r="C46" s="40"/>
      <c r="D46" s="40"/>
      <c r="E46" s="38"/>
      <c r="F46" s="38"/>
      <c r="G46" s="38"/>
      <c r="H46" s="38"/>
    </row>
    <row r="47" spans="1:8" x14ac:dyDescent="0.2">
      <c r="A47" s="23">
        <f t="shared" si="2"/>
        <v>11</v>
      </c>
      <c r="B47" s="24" t="s">
        <v>91</v>
      </c>
      <c r="C47" s="23" t="str">
        <f>"("&amp;A45&amp;") - ("&amp;A40&amp;")"</f>
        <v>(9) - (4)</v>
      </c>
      <c r="D47" s="23"/>
      <c r="E47" s="38">
        <f>E45-E40</f>
        <v>1.3599999999999994</v>
      </c>
      <c r="F47" s="38">
        <f>F45-F40</f>
        <v>0.91000000000000014</v>
      </c>
      <c r="G47" s="38">
        <f>G45-G40</f>
        <v>1.0999999999999979</v>
      </c>
      <c r="H47" s="38">
        <f>H45-H40</f>
        <v>0.72000000000000064</v>
      </c>
    </row>
    <row r="49" spans="1:8" s="27" customFormat="1" ht="3" customHeight="1" x14ac:dyDescent="0.2">
      <c r="A49" s="47"/>
      <c r="B49" s="47"/>
      <c r="C49" s="47"/>
      <c r="D49" s="47"/>
      <c r="E49" s="47"/>
      <c r="F49" s="47"/>
      <c r="G49" s="47"/>
      <c r="H49" s="47"/>
    </row>
    <row r="51" spans="1:8" x14ac:dyDescent="0.2">
      <c r="A51" s="4" t="str">
        <f>A26</f>
        <v>Puget Sound Energy</v>
      </c>
      <c r="B51" s="4"/>
      <c r="C51" s="4"/>
      <c r="D51" s="4"/>
      <c r="E51" s="4"/>
      <c r="F51" s="4"/>
      <c r="G51" s="4"/>
      <c r="H51" s="3"/>
    </row>
    <row r="52" spans="1:8" x14ac:dyDescent="0.2">
      <c r="A52" s="4" t="str">
        <f>A27</f>
        <v>2022 General Rate Case (GRC)</v>
      </c>
      <c r="B52" s="4"/>
      <c r="C52" s="4"/>
      <c r="D52" s="4"/>
      <c r="E52" s="4"/>
      <c r="F52" s="4"/>
      <c r="G52" s="4"/>
      <c r="H52" s="3"/>
    </row>
    <row r="53" spans="1:8" x14ac:dyDescent="0.2">
      <c r="A53" s="4" t="str">
        <f>A28</f>
        <v>Electric Delivery Decoupling Mechanism (Schedule 142)</v>
      </c>
      <c r="B53" s="4"/>
      <c r="C53" s="4"/>
      <c r="D53" s="4"/>
      <c r="E53" s="4"/>
      <c r="F53" s="4"/>
      <c r="G53" s="4"/>
      <c r="H53" s="3"/>
    </row>
    <row r="54" spans="1:8" x14ac:dyDescent="0.2">
      <c r="A54" s="4" t="str">
        <f>A29</f>
        <v>Development of Delivery Revenue Per Unit Rates ($/KW)</v>
      </c>
      <c r="B54" s="4"/>
      <c r="C54" s="4"/>
      <c r="D54" s="4"/>
      <c r="E54" s="4"/>
      <c r="F54" s="4"/>
      <c r="G54" s="4"/>
      <c r="H54" s="3"/>
    </row>
    <row r="55" spans="1:8" x14ac:dyDescent="0.2">
      <c r="A55" s="4" t="str">
        <f>'Exhibit BDJ-9, Page 1'!A74</f>
        <v>Proposed Effective January 1, 2025</v>
      </c>
      <c r="B55" s="4"/>
      <c r="C55" s="4"/>
      <c r="D55" s="4"/>
      <c r="E55" s="4"/>
      <c r="F55" s="4"/>
      <c r="G55" s="4"/>
      <c r="H55" s="3"/>
    </row>
    <row r="56" spans="1:8" x14ac:dyDescent="0.2">
      <c r="A56" s="6"/>
      <c r="B56" s="6"/>
      <c r="C56" s="6"/>
      <c r="D56" s="6"/>
      <c r="E56" s="58"/>
      <c r="F56" s="58"/>
      <c r="G56" s="58"/>
      <c r="H56" s="58"/>
    </row>
    <row r="58" spans="1:8" x14ac:dyDescent="0.2">
      <c r="E58" s="2" t="s">
        <v>44</v>
      </c>
      <c r="F58" s="1"/>
      <c r="G58" s="2" t="s">
        <v>46</v>
      </c>
      <c r="H58" s="1"/>
    </row>
    <row r="59" spans="1:8" x14ac:dyDescent="0.2">
      <c r="A59" s="13" t="s">
        <v>52</v>
      </c>
      <c r="E59" s="14" t="s">
        <v>48</v>
      </c>
      <c r="F59" s="15" t="s">
        <v>49</v>
      </c>
      <c r="G59" s="14" t="s">
        <v>48</v>
      </c>
      <c r="H59" s="15" t="s">
        <v>49</v>
      </c>
    </row>
    <row r="60" spans="1:8" x14ac:dyDescent="0.2">
      <c r="A60" s="10" t="s">
        <v>53</v>
      </c>
      <c r="B60" s="28"/>
      <c r="C60" s="10" t="s">
        <v>14</v>
      </c>
      <c r="D60" s="10" t="s">
        <v>89</v>
      </c>
      <c r="E60" s="16" t="s">
        <v>50</v>
      </c>
      <c r="F60" s="17" t="s">
        <v>51</v>
      </c>
      <c r="G60" s="16" t="s">
        <v>50</v>
      </c>
      <c r="H60" s="17" t="s">
        <v>51</v>
      </c>
    </row>
    <row r="61" spans="1:8" x14ac:dyDescent="0.2">
      <c r="B61" s="23" t="s">
        <v>13</v>
      </c>
      <c r="C61" s="23" t="s">
        <v>12</v>
      </c>
      <c r="D61" s="23" t="s">
        <v>11</v>
      </c>
      <c r="E61" s="23" t="s">
        <v>10</v>
      </c>
      <c r="F61" s="23" t="s">
        <v>9</v>
      </c>
      <c r="G61" s="23" t="s">
        <v>8</v>
      </c>
      <c r="H61" s="23" t="s">
        <v>7</v>
      </c>
    </row>
    <row r="62" spans="1:8" x14ac:dyDescent="0.2">
      <c r="A62" s="23">
        <v>1</v>
      </c>
      <c r="B62" s="30" t="s">
        <v>84</v>
      </c>
      <c r="C62" s="23"/>
      <c r="D62" s="23"/>
      <c r="E62" s="23"/>
      <c r="F62" s="23"/>
      <c r="G62" s="23"/>
      <c r="H62" s="23"/>
    </row>
    <row r="63" spans="1:8" x14ac:dyDescent="0.2">
      <c r="A63" s="23">
        <f>A62+1</f>
        <v>2</v>
      </c>
      <c r="B63" s="24" t="s">
        <v>61</v>
      </c>
      <c r="C63" s="23" t="str">
        <f>C43</f>
        <v>Exhibit BDJ-9, Page 1</v>
      </c>
      <c r="D63" s="23"/>
      <c r="E63" s="25">
        <f>E43</f>
        <v>41291261.929704472</v>
      </c>
      <c r="F63" s="25">
        <f>F43</f>
        <v>28713867.289420459</v>
      </c>
      <c r="G63" s="25">
        <f>G43</f>
        <v>29441563.918956585</v>
      </c>
      <c r="H63" s="25">
        <f>H43</f>
        <v>20473609.176709399</v>
      </c>
    </row>
    <row r="64" spans="1:8" x14ac:dyDescent="0.2">
      <c r="A64" s="23">
        <f t="shared" ref="A64:A72" si="3">A63+1</f>
        <v>3</v>
      </c>
      <c r="B64" s="24" t="s">
        <v>45</v>
      </c>
      <c r="C64" s="23" t="str">
        <f t="shared" ref="C64" si="4">C44</f>
        <v>Exhibit BDJ-3, Electric F2021 Billing Determinants</v>
      </c>
      <c r="D64" s="23"/>
      <c r="E64" s="36">
        <f>E44</f>
        <v>2170544.7039725371</v>
      </c>
      <c r="F64" s="36">
        <f t="shared" ref="F64:H64" si="5">F44</f>
        <v>2265015.1757267229</v>
      </c>
      <c r="G64" s="36">
        <f t="shared" si="5"/>
        <v>1602213.5251208919</v>
      </c>
      <c r="H64" s="36">
        <f t="shared" si="5"/>
        <v>1671360.9363106801</v>
      </c>
    </row>
    <row r="65" spans="1:8" x14ac:dyDescent="0.2">
      <c r="A65" s="23">
        <f t="shared" si="3"/>
        <v>4</v>
      </c>
      <c r="B65" s="24" t="s">
        <v>63</v>
      </c>
      <c r="C65" s="23" t="str">
        <f>"("&amp;A63&amp;") / ("&amp;A64&amp;")"</f>
        <v>(2) / (3)</v>
      </c>
      <c r="D65" s="23"/>
      <c r="E65" s="41">
        <f>ROUND(E63/E64,2)</f>
        <v>19.02</v>
      </c>
      <c r="F65" s="41">
        <f>ROUND(F63/F64,2)</f>
        <v>12.68</v>
      </c>
      <c r="G65" s="41">
        <f>ROUND(G63/G64,2)</f>
        <v>18.38</v>
      </c>
      <c r="H65" s="41">
        <f>ROUND(H63/H64,2)</f>
        <v>12.25</v>
      </c>
    </row>
    <row r="66" spans="1:8" x14ac:dyDescent="0.2">
      <c r="A66" s="23">
        <f t="shared" si="3"/>
        <v>5</v>
      </c>
      <c r="B66" s="30"/>
      <c r="C66" s="23"/>
      <c r="D66" s="23"/>
      <c r="E66" s="23"/>
      <c r="F66" s="23"/>
      <c r="G66" s="23"/>
      <c r="H66" s="23"/>
    </row>
    <row r="67" spans="1:8" x14ac:dyDescent="0.2">
      <c r="A67" s="23">
        <f t="shared" si="3"/>
        <v>6</v>
      </c>
      <c r="B67" s="30" t="s">
        <v>86</v>
      </c>
      <c r="C67" s="23"/>
      <c r="D67" s="23"/>
      <c r="E67" s="23"/>
      <c r="F67" s="23"/>
      <c r="G67" s="23"/>
      <c r="H67" s="23"/>
    </row>
    <row r="68" spans="1:8" x14ac:dyDescent="0.2">
      <c r="A68" s="23">
        <f t="shared" si="3"/>
        <v>7</v>
      </c>
      <c r="B68" s="24" t="s">
        <v>61</v>
      </c>
      <c r="C68" s="23" t="str">
        <f>C43</f>
        <v>Exhibit BDJ-9, Page 1</v>
      </c>
      <c r="D68" s="23"/>
      <c r="E68" s="25">
        <v>45431237.439966977</v>
      </c>
      <c r="F68" s="25">
        <v>31532230.520534001</v>
      </c>
      <c r="G68" s="25">
        <v>31719661.60293122</v>
      </c>
      <c r="H68" s="25">
        <v>22015506.0275128</v>
      </c>
    </row>
    <row r="69" spans="1:8" x14ac:dyDescent="0.2">
      <c r="A69" s="23">
        <f t="shared" si="3"/>
        <v>8</v>
      </c>
      <c r="B69" s="24" t="s">
        <v>104</v>
      </c>
      <c r="C69" s="23" t="str">
        <f>C44</f>
        <v>Exhibit BDJ-3, Electric F2021 Billing Determinants</v>
      </c>
      <c r="D69" s="23"/>
      <c r="E69" s="36">
        <v>2173745.617575177</v>
      </c>
      <c r="F69" s="36">
        <v>2264006.6307927999</v>
      </c>
      <c r="G69" s="36">
        <v>1589443.0990647813</v>
      </c>
      <c r="H69" s="36">
        <v>1656881.8821073596</v>
      </c>
    </row>
    <row r="70" spans="1:8" x14ac:dyDescent="0.2">
      <c r="A70" s="23">
        <f t="shared" si="3"/>
        <v>9</v>
      </c>
      <c r="B70" s="24" t="s">
        <v>63</v>
      </c>
      <c r="C70" s="23" t="str">
        <f>"("&amp;A68&amp;") / ("&amp;A69&amp;")"</f>
        <v>(7) / (8)</v>
      </c>
      <c r="D70" s="23" t="s">
        <v>92</v>
      </c>
      <c r="E70" s="41">
        <f>ROUND(E68/E69,2)</f>
        <v>20.9</v>
      </c>
      <c r="F70" s="41">
        <f>ROUND(F68/F69,2)</f>
        <v>13.93</v>
      </c>
      <c r="G70" s="41">
        <f>ROUND(G68/G69,2)</f>
        <v>19.96</v>
      </c>
      <c r="H70" s="41">
        <f>ROUND(H68/H69,2)</f>
        <v>13.29</v>
      </c>
    </row>
    <row r="71" spans="1:8" x14ac:dyDescent="0.2">
      <c r="A71" s="23">
        <f t="shared" si="3"/>
        <v>10</v>
      </c>
      <c r="C71" s="40"/>
      <c r="D71" s="40"/>
      <c r="E71" s="38"/>
      <c r="F71" s="38"/>
      <c r="G71" s="38"/>
      <c r="H71" s="38"/>
    </row>
    <row r="72" spans="1:8" x14ac:dyDescent="0.2">
      <c r="A72" s="23">
        <f t="shared" si="3"/>
        <v>11</v>
      </c>
      <c r="B72" s="24" t="s">
        <v>91</v>
      </c>
      <c r="C72" s="23" t="str">
        <f>"("&amp;A70&amp;") - ("&amp;A65&amp;")"</f>
        <v>(9) - (4)</v>
      </c>
      <c r="D72" s="23"/>
      <c r="E72" s="38">
        <f>E70-E65</f>
        <v>1.879999999999999</v>
      </c>
      <c r="F72" s="38">
        <f>F70-F65</f>
        <v>1.25</v>
      </c>
      <c r="G72" s="38">
        <f>G70-G65</f>
        <v>1.5800000000000018</v>
      </c>
      <c r="H72" s="38">
        <f>H70-H65</f>
        <v>1.0399999999999991</v>
      </c>
    </row>
  </sheetData>
  <mergeCells count="21">
    <mergeCell ref="A54:H54"/>
    <mergeCell ref="A55:H55"/>
    <mergeCell ref="E58:F58"/>
    <mergeCell ref="G58:H58"/>
    <mergeCell ref="E33:F33"/>
    <mergeCell ref="G33:H33"/>
    <mergeCell ref="A51:H51"/>
    <mergeCell ref="A52:H52"/>
    <mergeCell ref="A53:H53"/>
    <mergeCell ref="A26:H26"/>
    <mergeCell ref="A27:H27"/>
    <mergeCell ref="A28:H28"/>
    <mergeCell ref="A29:H29"/>
    <mergeCell ref="A30:H30"/>
    <mergeCell ref="A1:H1"/>
    <mergeCell ref="A3:H3"/>
    <mergeCell ref="A4:H4"/>
    <mergeCell ref="E8:F8"/>
    <mergeCell ref="G8:H8"/>
    <mergeCell ref="A2:H2"/>
    <mergeCell ref="A5:H5"/>
  </mergeCells>
  <printOptions horizontalCentered="1"/>
  <pageMargins left="0.7" right="0.7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BD59"/>
  <sheetViews>
    <sheetView zoomScaleNormal="100" workbookViewId="0">
      <pane ySplit="8" topLeftCell="A9" activePane="bottomLeft" state="frozen"/>
      <selection activeCell="D67" sqref="D67"/>
      <selection pane="bottomLeft" activeCell="D42" sqref="D42"/>
    </sheetView>
  </sheetViews>
  <sheetFormatPr defaultColWidth="9.140625" defaultRowHeight="11.25" x14ac:dyDescent="0.2"/>
  <cols>
    <col min="1" max="1" width="4.42578125" style="24" bestFit="1" customWidth="1"/>
    <col min="2" max="2" width="1.5703125" style="24" customWidth="1"/>
    <col min="3" max="3" width="32.5703125" style="24" bestFit="1" customWidth="1"/>
    <col min="4" max="4" width="35.140625" style="23" bestFit="1" customWidth="1"/>
    <col min="5" max="5" width="12.42578125" style="23" bestFit="1" customWidth="1"/>
    <col min="6" max="8" width="12" style="23" bestFit="1" customWidth="1"/>
    <col min="9" max="9" width="10.7109375" style="23" bestFit="1" customWidth="1"/>
    <col min="10" max="15" width="10.7109375" style="24" bestFit="1" customWidth="1"/>
    <col min="16" max="17" width="12" style="24" bestFit="1" customWidth="1"/>
    <col min="18" max="18" width="11.7109375" style="24" bestFit="1" customWidth="1"/>
    <col min="19" max="19" width="0.7109375" style="24" customWidth="1"/>
    <col min="20" max="20" width="5.42578125" style="24" customWidth="1"/>
    <col min="21" max="21" width="1.85546875" style="24" customWidth="1"/>
    <col min="22" max="22" width="35.5703125" style="24" bestFit="1" customWidth="1"/>
    <col min="23" max="23" width="35.140625" style="24" bestFit="1" customWidth="1"/>
    <col min="24" max="24" width="12.42578125" style="24" bestFit="1" customWidth="1"/>
    <col min="25" max="32" width="12" style="24" bestFit="1" customWidth="1"/>
    <col min="33" max="34" width="10.7109375" style="24" bestFit="1" customWidth="1"/>
    <col min="35" max="36" width="12" style="24" bestFit="1" customWidth="1"/>
    <col min="37" max="37" width="11.7109375" style="24" bestFit="1" customWidth="1"/>
    <col min="38" max="38" width="1" style="24" customWidth="1"/>
    <col min="39" max="39" width="6" style="24" customWidth="1"/>
    <col min="40" max="40" width="1.28515625" style="24" customWidth="1"/>
    <col min="41" max="41" width="35.5703125" style="24" bestFit="1" customWidth="1"/>
    <col min="42" max="42" width="26.7109375" style="24" bestFit="1" customWidth="1"/>
    <col min="43" max="43" width="12.42578125" style="24" bestFit="1" customWidth="1"/>
    <col min="44" max="46" width="12" style="24" bestFit="1" customWidth="1"/>
    <col min="47" max="53" width="10.7109375" style="24" bestFit="1" customWidth="1"/>
    <col min="54" max="55" width="12" style="24" bestFit="1" customWidth="1"/>
    <col min="56" max="56" width="11.7109375" style="24" bestFit="1" customWidth="1"/>
    <col min="57" max="16384" width="9.140625" style="24"/>
  </cols>
  <sheetData>
    <row r="1" spans="1:56" x14ac:dyDescent="0.2">
      <c r="A1" s="5" t="str">
        <f>'Exhibit BDJ-9, Page 1'!A1:M1</f>
        <v>Puget Sound Energy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8"/>
      <c r="T1" s="5" t="str">
        <f>A1</f>
        <v>Puget Sound Energy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48"/>
      <c r="AM1" s="5" t="str">
        <f>T1</f>
        <v>Puget Sound Energy</v>
      </c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x14ac:dyDescent="0.2">
      <c r="A2" s="5" t="str">
        <f>'Exhibit BDJ-9, Page 1'!A2:M2</f>
        <v>2022 General Rate Case (GRC)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8"/>
      <c r="T2" s="5" t="str">
        <f t="shared" ref="T2:T4" si="0">A2</f>
        <v>2022 General Rate Case (GRC)</v>
      </c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8"/>
      <c r="AM2" s="5" t="str">
        <f t="shared" ref="AM2:AM4" si="1">T2</f>
        <v>2022 General Rate Case (GRC)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x14ac:dyDescent="0.2">
      <c r="A3" s="5" t="str">
        <f>'Exhibit BDJ-9, Page 1'!A3:M3</f>
        <v>Electric Delivery Decoupling Mechanism (Schedule 142)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8"/>
      <c r="T3" s="5" t="str">
        <f t="shared" si="0"/>
        <v>Electric Delivery Decoupling Mechanism (Schedule 142)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48"/>
      <c r="AM3" s="5" t="str">
        <f t="shared" si="1"/>
        <v>Electric Delivery Decoupling Mechanism (Schedule 142)</v>
      </c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 x14ac:dyDescent="0.2">
      <c r="A4" s="5" t="s">
        <v>33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8"/>
      <c r="T4" s="5" t="str">
        <f t="shared" si="0"/>
        <v>Development of Monthly Allowed Delivery Revenue Per Customer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8"/>
      <c r="AM4" s="5" t="str">
        <f t="shared" si="1"/>
        <v>Development of Monthly Allowed Delivery Revenue Per Customer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x14ac:dyDescent="0.2">
      <c r="A5" s="5" t="str">
        <f>'Exhibit BDJ-9, Page 1'!A5:M5</f>
        <v>Proposed Effective January 1,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48"/>
      <c r="T5" s="5" t="str">
        <f>'Exhibit BDJ-9, Page 1'!A38</f>
        <v>Proposed Effective January 1, 2024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48"/>
      <c r="AM5" s="5" t="str">
        <f>'Exhibit BDJ-9, Page 1'!A74</f>
        <v>Proposed Effective January 1, 2025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4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4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</row>
    <row r="7" spans="1:56" ht="33.75" x14ac:dyDescent="0.2">
      <c r="A7" s="18" t="s">
        <v>15</v>
      </c>
      <c r="B7" s="18"/>
      <c r="C7" s="28"/>
      <c r="D7" s="18" t="s">
        <v>14</v>
      </c>
      <c r="E7" s="18" t="s">
        <v>89</v>
      </c>
      <c r="F7" s="19" t="s">
        <v>19</v>
      </c>
      <c r="G7" s="19" t="s">
        <v>20</v>
      </c>
      <c r="H7" s="19" t="s">
        <v>21</v>
      </c>
      <c r="I7" s="19" t="s">
        <v>22</v>
      </c>
      <c r="J7" s="19" t="s">
        <v>23</v>
      </c>
      <c r="K7" s="19" t="s">
        <v>24</v>
      </c>
      <c r="L7" s="19" t="s">
        <v>25</v>
      </c>
      <c r="M7" s="19" t="s">
        <v>26</v>
      </c>
      <c r="N7" s="19" t="s">
        <v>27</v>
      </c>
      <c r="O7" s="19" t="s">
        <v>28</v>
      </c>
      <c r="P7" s="19" t="s">
        <v>29</v>
      </c>
      <c r="Q7" s="19" t="s">
        <v>30</v>
      </c>
      <c r="R7" s="18" t="s">
        <v>31</v>
      </c>
      <c r="S7" s="48"/>
      <c r="T7" s="18" t="s">
        <v>15</v>
      </c>
      <c r="U7" s="18"/>
      <c r="V7" s="28"/>
      <c r="W7" s="18" t="s">
        <v>14</v>
      </c>
      <c r="X7" s="18" t="s">
        <v>89</v>
      </c>
      <c r="Y7" s="19" t="s">
        <v>19</v>
      </c>
      <c r="Z7" s="19" t="s">
        <v>20</v>
      </c>
      <c r="AA7" s="19" t="s">
        <v>21</v>
      </c>
      <c r="AB7" s="19" t="s">
        <v>22</v>
      </c>
      <c r="AC7" s="19" t="s">
        <v>23</v>
      </c>
      <c r="AD7" s="19" t="s">
        <v>24</v>
      </c>
      <c r="AE7" s="19" t="s">
        <v>25</v>
      </c>
      <c r="AF7" s="19" t="s">
        <v>26</v>
      </c>
      <c r="AG7" s="19" t="s">
        <v>27</v>
      </c>
      <c r="AH7" s="19" t="s">
        <v>28</v>
      </c>
      <c r="AI7" s="19" t="s">
        <v>29</v>
      </c>
      <c r="AJ7" s="19" t="s">
        <v>30</v>
      </c>
      <c r="AK7" s="18" t="s">
        <v>31</v>
      </c>
      <c r="AL7" s="48"/>
      <c r="AM7" s="18" t="s">
        <v>15</v>
      </c>
      <c r="AN7" s="18"/>
      <c r="AO7" s="28"/>
      <c r="AP7" s="18" t="s">
        <v>14</v>
      </c>
      <c r="AQ7" s="18" t="s">
        <v>89</v>
      </c>
      <c r="AR7" s="19" t="s">
        <v>19</v>
      </c>
      <c r="AS7" s="19" t="s">
        <v>20</v>
      </c>
      <c r="AT7" s="19" t="s">
        <v>21</v>
      </c>
      <c r="AU7" s="19" t="s">
        <v>22</v>
      </c>
      <c r="AV7" s="19" t="s">
        <v>23</v>
      </c>
      <c r="AW7" s="19" t="s">
        <v>24</v>
      </c>
      <c r="AX7" s="19" t="s">
        <v>25</v>
      </c>
      <c r="AY7" s="19" t="s">
        <v>26</v>
      </c>
      <c r="AZ7" s="19" t="s">
        <v>27</v>
      </c>
      <c r="BA7" s="19" t="s">
        <v>28</v>
      </c>
      <c r="BB7" s="19" t="s">
        <v>29</v>
      </c>
      <c r="BC7" s="19" t="s">
        <v>30</v>
      </c>
      <c r="BD7" s="18" t="s">
        <v>31</v>
      </c>
    </row>
    <row r="8" spans="1:56" x14ac:dyDescent="0.2">
      <c r="C8" s="23" t="s">
        <v>13</v>
      </c>
      <c r="D8" s="23" t="s">
        <v>12</v>
      </c>
      <c r="E8" s="23" t="s">
        <v>11</v>
      </c>
      <c r="F8" s="23" t="s">
        <v>10</v>
      </c>
      <c r="G8" s="23" t="s">
        <v>9</v>
      </c>
      <c r="H8" s="23" t="s">
        <v>8</v>
      </c>
      <c r="I8" s="23" t="s">
        <v>7</v>
      </c>
      <c r="J8" s="23" t="s">
        <v>6</v>
      </c>
      <c r="K8" s="23" t="s">
        <v>5</v>
      </c>
      <c r="L8" s="23" t="s">
        <v>4</v>
      </c>
      <c r="M8" s="23" t="s">
        <v>3</v>
      </c>
      <c r="N8" s="23" t="s">
        <v>2</v>
      </c>
      <c r="O8" s="23" t="s">
        <v>1</v>
      </c>
      <c r="P8" s="23" t="s">
        <v>0</v>
      </c>
      <c r="Q8" s="23" t="s">
        <v>18</v>
      </c>
      <c r="R8" s="23" t="s">
        <v>93</v>
      </c>
      <c r="S8" s="48"/>
      <c r="V8" s="23" t="s">
        <v>13</v>
      </c>
      <c r="W8" s="23" t="s">
        <v>12</v>
      </c>
      <c r="X8" s="23" t="s">
        <v>11</v>
      </c>
      <c r="Y8" s="23" t="s">
        <v>10</v>
      </c>
      <c r="Z8" s="23" t="s">
        <v>9</v>
      </c>
      <c r="AA8" s="23" t="s">
        <v>8</v>
      </c>
      <c r="AB8" s="23" t="s">
        <v>7</v>
      </c>
      <c r="AC8" s="23" t="s">
        <v>6</v>
      </c>
      <c r="AD8" s="23" t="s">
        <v>5</v>
      </c>
      <c r="AE8" s="23" t="s">
        <v>4</v>
      </c>
      <c r="AF8" s="23" t="s">
        <v>3</v>
      </c>
      <c r="AG8" s="23" t="s">
        <v>2</v>
      </c>
      <c r="AH8" s="23" t="s">
        <v>1</v>
      </c>
      <c r="AI8" s="23" t="s">
        <v>0</v>
      </c>
      <c r="AJ8" s="23" t="s">
        <v>18</v>
      </c>
      <c r="AK8" s="23" t="s">
        <v>93</v>
      </c>
      <c r="AL8" s="48"/>
      <c r="AO8" s="23" t="s">
        <v>13</v>
      </c>
      <c r="AP8" s="23" t="s">
        <v>12</v>
      </c>
      <c r="AQ8" s="23" t="s">
        <v>11</v>
      </c>
      <c r="AR8" s="23" t="s">
        <v>10</v>
      </c>
      <c r="AS8" s="23" t="s">
        <v>9</v>
      </c>
      <c r="AT8" s="23" t="s">
        <v>8</v>
      </c>
      <c r="AU8" s="23" t="s">
        <v>7</v>
      </c>
      <c r="AV8" s="23" t="s">
        <v>6</v>
      </c>
      <c r="AW8" s="23" t="s">
        <v>5</v>
      </c>
      <c r="AX8" s="23" t="s">
        <v>4</v>
      </c>
      <c r="AY8" s="23" t="s">
        <v>3</v>
      </c>
      <c r="AZ8" s="23" t="s">
        <v>2</v>
      </c>
      <c r="BA8" s="23" t="s">
        <v>1</v>
      </c>
      <c r="BB8" s="23" t="s">
        <v>0</v>
      </c>
      <c r="BC8" s="23" t="s">
        <v>18</v>
      </c>
      <c r="BD8" s="23" t="s">
        <v>93</v>
      </c>
    </row>
    <row r="9" spans="1:56" x14ac:dyDescent="0.2">
      <c r="A9" s="23"/>
      <c r="B9" s="26" t="s">
        <v>35</v>
      </c>
      <c r="C9" s="30"/>
      <c r="J9" s="23"/>
      <c r="K9" s="23"/>
      <c r="S9" s="48"/>
      <c r="T9" s="23"/>
      <c r="U9" s="26" t="s">
        <v>35</v>
      </c>
      <c r="V9" s="30"/>
      <c r="W9" s="23"/>
      <c r="X9" s="23"/>
      <c r="Y9" s="23"/>
      <c r="Z9" s="23"/>
      <c r="AA9" s="23"/>
      <c r="AB9" s="23"/>
      <c r="AC9" s="23"/>
      <c r="AD9" s="23"/>
      <c r="AL9" s="48"/>
      <c r="AM9" s="23"/>
      <c r="AN9" s="26" t="s">
        <v>35</v>
      </c>
      <c r="AO9" s="30"/>
      <c r="AP9" s="23"/>
      <c r="AQ9" s="23"/>
      <c r="AR9" s="23"/>
      <c r="AS9" s="23"/>
      <c r="AT9" s="23"/>
      <c r="AU9" s="23"/>
      <c r="AV9" s="23"/>
      <c r="AW9" s="23"/>
    </row>
    <row r="10" spans="1:56" x14ac:dyDescent="0.2">
      <c r="A10" s="23">
        <v>1</v>
      </c>
      <c r="B10" s="35" t="s">
        <v>124</v>
      </c>
      <c r="F10" s="24"/>
      <c r="G10" s="24"/>
      <c r="H10" s="24"/>
      <c r="I10" s="24"/>
      <c r="R10" s="20"/>
      <c r="S10" s="48"/>
      <c r="T10" s="23">
        <v>1</v>
      </c>
      <c r="U10" s="35" t="s">
        <v>123</v>
      </c>
      <c r="W10" s="23"/>
      <c r="X10" s="23"/>
      <c r="AK10" s="20"/>
      <c r="AL10" s="48"/>
      <c r="AM10" s="23">
        <v>1</v>
      </c>
      <c r="AN10" s="35" t="str">
        <f>U10</f>
        <v>Schedule 7 (7D1, 7D2)</v>
      </c>
      <c r="AP10" s="23"/>
      <c r="AQ10" s="23"/>
      <c r="BD10" s="20"/>
    </row>
    <row r="11" spans="1:56" x14ac:dyDescent="0.2">
      <c r="A11" s="23">
        <f t="shared" ref="A11:A57" si="2">A10+1</f>
        <v>2</v>
      </c>
      <c r="B11" s="23"/>
      <c r="C11" s="56" t="s">
        <v>105</v>
      </c>
      <c r="D11" s="21" t="s">
        <v>125</v>
      </c>
      <c r="F11" s="36">
        <v>1267166000.0000002</v>
      </c>
      <c r="G11" s="36">
        <v>1030533999.9999999</v>
      </c>
      <c r="H11" s="36">
        <v>1071684999.9999999</v>
      </c>
      <c r="I11" s="36">
        <v>844567000</v>
      </c>
      <c r="J11" s="36">
        <v>772625000</v>
      </c>
      <c r="K11" s="36">
        <v>680273000</v>
      </c>
      <c r="L11" s="36">
        <v>680886000</v>
      </c>
      <c r="M11" s="36">
        <v>705358000</v>
      </c>
      <c r="N11" s="36">
        <v>667008000</v>
      </c>
      <c r="O11" s="36">
        <v>839403000</v>
      </c>
      <c r="P11" s="36">
        <v>1045458999.9999999</v>
      </c>
      <c r="Q11" s="36">
        <v>1241518000</v>
      </c>
      <c r="R11" s="20">
        <f>SUM(F11:Q11)</f>
        <v>10846482000</v>
      </c>
      <c r="S11" s="48"/>
      <c r="T11" s="23">
        <f t="shared" ref="T11:T57" si="3">T10+1</f>
        <v>2</v>
      </c>
      <c r="U11" s="23"/>
      <c r="V11" s="56" t="str">
        <f>C11</f>
        <v>Forecasted Delivered Volumes</v>
      </c>
      <c r="W11" s="56" t="str">
        <f>D11</f>
        <v>Exhibit BDJ-3, Electric F2021 Billing Determinants</v>
      </c>
      <c r="X11" s="23"/>
      <c r="Y11" s="36">
        <v>1269257000</v>
      </c>
      <c r="Z11" s="36">
        <v>1076605000</v>
      </c>
      <c r="AA11" s="36">
        <v>1078131000</v>
      </c>
      <c r="AB11" s="36">
        <v>848606000</v>
      </c>
      <c r="AC11" s="36">
        <v>778211000</v>
      </c>
      <c r="AD11" s="36">
        <v>687245000</v>
      </c>
      <c r="AE11" s="36">
        <v>687999000</v>
      </c>
      <c r="AF11" s="36">
        <v>713087000</v>
      </c>
      <c r="AG11" s="36">
        <v>673571000</v>
      </c>
      <c r="AH11" s="36">
        <v>845315000</v>
      </c>
      <c r="AI11" s="36">
        <v>1051002999.9999998</v>
      </c>
      <c r="AJ11" s="36">
        <v>1244243000</v>
      </c>
      <c r="AK11" s="20">
        <f>SUM(Y11:AJ11)</f>
        <v>10953273000</v>
      </c>
      <c r="AL11" s="48"/>
      <c r="AM11" s="23">
        <f t="shared" ref="AM11:AM57" si="4">AM10+1</f>
        <v>2</v>
      </c>
      <c r="AN11" s="23"/>
      <c r="AO11" s="56" t="str">
        <f>V11</f>
        <v>Forecasted Delivered Volumes</v>
      </c>
      <c r="AP11" s="56" t="str">
        <f>W11</f>
        <v>Exhibit BDJ-3, Electric F2021 Billing Determinants</v>
      </c>
      <c r="AQ11" s="23"/>
      <c r="AR11" s="36">
        <v>1277325000</v>
      </c>
      <c r="AS11" s="36">
        <v>1040813999.9999999</v>
      </c>
      <c r="AT11" s="36">
        <v>1084604000</v>
      </c>
      <c r="AU11" s="36">
        <v>853296000</v>
      </c>
      <c r="AV11" s="36">
        <v>786493000</v>
      </c>
      <c r="AW11" s="36">
        <v>696677000</v>
      </c>
      <c r="AX11" s="36">
        <v>697273000</v>
      </c>
      <c r="AY11" s="36">
        <v>722797000</v>
      </c>
      <c r="AZ11" s="36">
        <v>682034000</v>
      </c>
      <c r="BA11" s="36">
        <v>853255000.00000012</v>
      </c>
      <c r="BB11" s="36">
        <v>1058784999.9999999</v>
      </c>
      <c r="BC11" s="36">
        <v>1250064000</v>
      </c>
      <c r="BD11" s="20">
        <f>SUM(AR11:BC11)</f>
        <v>11003417000</v>
      </c>
    </row>
    <row r="12" spans="1:56" x14ac:dyDescent="0.2">
      <c r="A12" s="23">
        <f t="shared" si="2"/>
        <v>3</v>
      </c>
      <c r="B12" s="23"/>
      <c r="C12" s="24" t="s">
        <v>34</v>
      </c>
      <c r="D12" s="21" t="s">
        <v>67</v>
      </c>
      <c r="E12" s="21"/>
      <c r="F12" s="22">
        <f t="shared" ref="F12" si="5">F11/$R11</f>
        <v>0.11682737315195842</v>
      </c>
      <c r="G12" s="22">
        <f t="shared" ref="G12:Q12" si="6">G11/$R11</f>
        <v>9.501089846458971E-2</v>
      </c>
      <c r="H12" s="22">
        <f t="shared" si="6"/>
        <v>9.8804847507237822E-2</v>
      </c>
      <c r="I12" s="22">
        <f t="shared" si="6"/>
        <v>7.7865523586357316E-2</v>
      </c>
      <c r="J12" s="22">
        <f t="shared" si="6"/>
        <v>7.1232773907705743E-2</v>
      </c>
      <c r="K12" s="22">
        <f t="shared" si="6"/>
        <v>6.2718308111330473E-2</v>
      </c>
      <c r="L12" s="22">
        <f t="shared" si="6"/>
        <v>6.2774824131916693E-2</v>
      </c>
      <c r="M12" s="22">
        <f t="shared" si="6"/>
        <v>6.5031039557342185E-2</v>
      </c>
      <c r="N12" s="22">
        <f t="shared" si="6"/>
        <v>6.1495330928498293E-2</v>
      </c>
      <c r="O12" s="22">
        <f t="shared" si="6"/>
        <v>7.7389424515709335E-2</v>
      </c>
      <c r="P12" s="22">
        <f t="shared" si="6"/>
        <v>9.6386920662386188E-2</v>
      </c>
      <c r="Q12" s="22">
        <f t="shared" si="6"/>
        <v>0.11446273547496782</v>
      </c>
      <c r="R12" s="22">
        <f>SUM(F12:Q12)</f>
        <v>1</v>
      </c>
      <c r="S12" s="48"/>
      <c r="T12" s="23">
        <f t="shared" si="3"/>
        <v>3</v>
      </c>
      <c r="U12" s="23"/>
      <c r="V12" s="24" t="s">
        <v>34</v>
      </c>
      <c r="W12" s="21" t="s">
        <v>67</v>
      </c>
      <c r="X12" s="21"/>
      <c r="Y12" s="22">
        <f t="shared" ref="Y12" si="7">Y11/$AK11</f>
        <v>0.11587924449614284</v>
      </c>
      <c r="Z12" s="22">
        <f t="shared" ref="Z12:AJ12" si="8">Z11/$AK11</f>
        <v>9.8290711826501537E-2</v>
      </c>
      <c r="AA12" s="22">
        <f t="shared" si="8"/>
        <v>9.843003091404734E-2</v>
      </c>
      <c r="AB12" s="22">
        <f t="shared" si="8"/>
        <v>7.7475107212246055E-2</v>
      </c>
      <c r="AC12" s="22">
        <f t="shared" si="8"/>
        <v>7.1048261099673132E-2</v>
      </c>
      <c r="AD12" s="22">
        <f t="shared" si="8"/>
        <v>6.2743346212588688E-2</v>
      </c>
      <c r="AE12" s="22">
        <f t="shared" si="8"/>
        <v>6.2812184084154565E-2</v>
      </c>
      <c r="AF12" s="22">
        <f t="shared" si="8"/>
        <v>6.5102641009678108E-2</v>
      </c>
      <c r="AG12" s="22">
        <f t="shared" si="8"/>
        <v>6.1494952239389999E-2</v>
      </c>
      <c r="AH12" s="22">
        <f t="shared" si="8"/>
        <v>7.7174649075212501E-2</v>
      </c>
      <c r="AI12" s="22">
        <f t="shared" si="8"/>
        <v>9.5953328288265957E-2</v>
      </c>
      <c r="AJ12" s="22">
        <f t="shared" si="8"/>
        <v>0.11359554354209925</v>
      </c>
      <c r="AK12" s="22">
        <f>SUM(Y12:AJ12)</f>
        <v>0.99999999999999989</v>
      </c>
      <c r="AL12" s="48"/>
      <c r="AM12" s="23">
        <f t="shared" si="4"/>
        <v>3</v>
      </c>
      <c r="AN12" s="23"/>
      <c r="AO12" s="24" t="s">
        <v>34</v>
      </c>
      <c r="AP12" s="21" t="s">
        <v>67</v>
      </c>
      <c r="AQ12" s="21"/>
      <c r="AR12" s="22">
        <f t="shared" ref="AR12" si="9">AR11/$BD11</f>
        <v>0.11608439451126863</v>
      </c>
      <c r="AS12" s="22">
        <f t="shared" ref="AS12:BC12" si="10">AS11/$BD11</f>
        <v>9.4590071429629524E-2</v>
      </c>
      <c r="AT12" s="22">
        <f t="shared" si="10"/>
        <v>9.8569744289433006E-2</v>
      </c>
      <c r="AU12" s="22">
        <f t="shared" si="10"/>
        <v>7.754827432242184E-2</v>
      </c>
      <c r="AV12" s="22">
        <f t="shared" si="10"/>
        <v>7.1477160231226355E-2</v>
      </c>
      <c r="AW12" s="22">
        <f t="shared" si="10"/>
        <v>6.3314604908638841E-2</v>
      </c>
      <c r="AX12" s="22">
        <f t="shared" si="10"/>
        <v>6.3368769901204325E-2</v>
      </c>
      <c r="AY12" s="22">
        <f t="shared" si="10"/>
        <v>6.5688412972079488E-2</v>
      </c>
      <c r="AZ12" s="22">
        <f t="shared" si="10"/>
        <v>6.1983836475523919E-2</v>
      </c>
      <c r="BA12" s="22">
        <f t="shared" si="10"/>
        <v>7.7544548207161473E-2</v>
      </c>
      <c r="BB12" s="22">
        <f t="shared" si="10"/>
        <v>9.6223291364855107E-2</v>
      </c>
      <c r="BC12" s="22">
        <f t="shared" si="10"/>
        <v>0.11360689138655747</v>
      </c>
      <c r="BD12" s="22">
        <f>SUM(AR12:BC12)</f>
        <v>1</v>
      </c>
    </row>
    <row r="13" spans="1:56" x14ac:dyDescent="0.2">
      <c r="A13" s="23">
        <f t="shared" si="2"/>
        <v>4</v>
      </c>
      <c r="B13" s="23"/>
      <c r="F13" s="24"/>
      <c r="G13" s="24"/>
      <c r="H13" s="24"/>
      <c r="I13" s="24"/>
      <c r="S13" s="48"/>
      <c r="T13" s="23">
        <f t="shared" si="3"/>
        <v>4</v>
      </c>
      <c r="U13" s="23"/>
      <c r="W13" s="23"/>
      <c r="X13" s="23"/>
      <c r="AL13" s="48"/>
      <c r="AM13" s="23">
        <f t="shared" si="4"/>
        <v>4</v>
      </c>
      <c r="AN13" s="23"/>
      <c r="AP13" s="23"/>
      <c r="AQ13" s="23"/>
    </row>
    <row r="14" spans="1:56" x14ac:dyDescent="0.2">
      <c r="A14" s="23">
        <f t="shared" si="2"/>
        <v>5</v>
      </c>
      <c r="B14" s="35" t="s">
        <v>36</v>
      </c>
      <c r="D14" s="24"/>
      <c r="E14" s="24"/>
      <c r="F14" s="24"/>
      <c r="G14" s="24"/>
      <c r="H14" s="24"/>
      <c r="I14" s="24"/>
      <c r="S14" s="48"/>
      <c r="T14" s="23">
        <f t="shared" si="3"/>
        <v>5</v>
      </c>
      <c r="U14" s="35" t="s">
        <v>36</v>
      </c>
      <c r="AL14" s="48"/>
      <c r="AM14" s="23">
        <f t="shared" si="4"/>
        <v>5</v>
      </c>
      <c r="AN14" s="35" t="str">
        <f>U14</f>
        <v>Schedules 8 &amp; 24</v>
      </c>
    </row>
    <row r="15" spans="1:56" x14ac:dyDescent="0.2">
      <c r="A15" s="23">
        <f t="shared" si="2"/>
        <v>6</v>
      </c>
      <c r="B15" s="23"/>
      <c r="C15" s="24" t="str">
        <f>C11</f>
        <v>Forecasted Delivered Volumes</v>
      </c>
      <c r="D15" s="23" t="str">
        <f>D11</f>
        <v>Exhibit BDJ-3, Electric F2021 Billing Determinants</v>
      </c>
      <c r="F15" s="36">
        <v>265039000</v>
      </c>
      <c r="G15" s="36">
        <v>233070000</v>
      </c>
      <c r="H15" s="36">
        <v>241285000</v>
      </c>
      <c r="I15" s="36">
        <v>217340000</v>
      </c>
      <c r="J15" s="36">
        <v>211246000</v>
      </c>
      <c r="K15" s="36">
        <v>196958000</v>
      </c>
      <c r="L15" s="36">
        <v>220543000</v>
      </c>
      <c r="M15" s="36">
        <v>225838000</v>
      </c>
      <c r="N15" s="36">
        <v>207282000</v>
      </c>
      <c r="O15" s="36">
        <v>203539000</v>
      </c>
      <c r="P15" s="36">
        <v>216210000</v>
      </c>
      <c r="Q15" s="36">
        <v>259283000</v>
      </c>
      <c r="R15" s="20">
        <f>SUM(F15:Q15)</f>
        <v>2697633000</v>
      </c>
      <c r="S15" s="48"/>
      <c r="T15" s="23">
        <f t="shared" si="3"/>
        <v>6</v>
      </c>
      <c r="U15" s="23"/>
      <c r="V15" s="24" t="str">
        <f>V11</f>
        <v>Forecasted Delivered Volumes</v>
      </c>
      <c r="W15" s="23" t="str">
        <f>W11</f>
        <v>Exhibit BDJ-3, Electric F2021 Billing Determinants</v>
      </c>
      <c r="X15" s="23"/>
      <c r="Y15" s="36">
        <v>268789000</v>
      </c>
      <c r="Z15" s="36">
        <v>245985000</v>
      </c>
      <c r="AA15" s="36">
        <v>243362000</v>
      </c>
      <c r="AB15" s="36">
        <v>219231000</v>
      </c>
      <c r="AC15" s="36">
        <v>213005000</v>
      </c>
      <c r="AD15" s="36">
        <v>198486000</v>
      </c>
      <c r="AE15" s="36">
        <v>222113000</v>
      </c>
      <c r="AF15" s="36">
        <v>227447000</v>
      </c>
      <c r="AG15" s="36">
        <v>208668000</v>
      </c>
      <c r="AH15" s="36">
        <v>204756000</v>
      </c>
      <c r="AI15" s="36">
        <v>217679000</v>
      </c>
      <c r="AJ15" s="36">
        <v>260851000</v>
      </c>
      <c r="AK15" s="20">
        <f>SUM(Y15:AJ15)</f>
        <v>2730372000</v>
      </c>
      <c r="AL15" s="48"/>
      <c r="AM15" s="23">
        <f t="shared" si="4"/>
        <v>6</v>
      </c>
      <c r="AN15" s="23"/>
      <c r="AO15" s="24" t="str">
        <f>AO11</f>
        <v>Forecasted Delivered Volumes</v>
      </c>
      <c r="AP15" s="23" t="str">
        <f>AP11</f>
        <v>Exhibit BDJ-3, Electric F2021 Billing Determinants</v>
      </c>
      <c r="AQ15" s="23"/>
      <c r="AR15" s="36">
        <v>269342000</v>
      </c>
      <c r="AS15" s="36">
        <v>237122000</v>
      </c>
      <c r="AT15" s="36">
        <v>244437000</v>
      </c>
      <c r="AU15" s="36">
        <v>220129000</v>
      </c>
      <c r="AV15" s="36">
        <v>213292000</v>
      </c>
      <c r="AW15" s="36">
        <v>198647000</v>
      </c>
      <c r="AX15" s="36">
        <v>222366000</v>
      </c>
      <c r="AY15" s="36">
        <v>227812000</v>
      </c>
      <c r="AZ15" s="36">
        <v>208908000</v>
      </c>
      <c r="BA15" s="36">
        <v>204961000</v>
      </c>
      <c r="BB15" s="36">
        <v>218222000</v>
      </c>
      <c r="BC15" s="36">
        <v>261562000</v>
      </c>
      <c r="BD15" s="20">
        <f>SUM(AR15:BC15)</f>
        <v>2726800000</v>
      </c>
    </row>
    <row r="16" spans="1:56" x14ac:dyDescent="0.2">
      <c r="A16" s="23">
        <f t="shared" si="2"/>
        <v>7</v>
      </c>
      <c r="B16" s="23"/>
      <c r="C16" s="24" t="s">
        <v>34</v>
      </c>
      <c r="D16" s="21" t="s">
        <v>68</v>
      </c>
      <c r="E16" s="21"/>
      <c r="F16" s="22">
        <f t="shared" ref="F16" si="11">F15/$R15</f>
        <v>9.8248723973943089E-2</v>
      </c>
      <c r="G16" s="22">
        <f t="shared" ref="G16:Q16" si="12">G15/$R15</f>
        <v>8.6397964437712624E-2</v>
      </c>
      <c r="H16" s="22">
        <f t="shared" si="12"/>
        <v>8.9443226710230778E-2</v>
      </c>
      <c r="I16" s="22">
        <f t="shared" si="12"/>
        <v>8.0566926635313257E-2</v>
      </c>
      <c r="J16" s="22">
        <f t="shared" si="12"/>
        <v>7.8307909192985109E-2</v>
      </c>
      <c r="K16" s="22">
        <f t="shared" si="12"/>
        <v>7.3011414080417905E-2</v>
      </c>
      <c r="L16" s="22">
        <f t="shared" si="12"/>
        <v>8.1754263830550705E-2</v>
      </c>
      <c r="M16" s="22">
        <f t="shared" si="12"/>
        <v>8.3717095690926085E-2</v>
      </c>
      <c r="N16" s="22">
        <f t="shared" si="12"/>
        <v>7.6838472838966609E-2</v>
      </c>
      <c r="O16" s="22">
        <f t="shared" si="12"/>
        <v>7.545096015655206E-2</v>
      </c>
      <c r="P16" s="22">
        <f t="shared" si="12"/>
        <v>8.0148040893627856E-2</v>
      </c>
      <c r="Q16" s="22">
        <f t="shared" si="12"/>
        <v>9.6115001558773935E-2</v>
      </c>
      <c r="R16" s="22">
        <f>SUM(F16:Q16)</f>
        <v>1</v>
      </c>
      <c r="S16" s="48"/>
      <c r="T16" s="23">
        <f t="shared" si="3"/>
        <v>7</v>
      </c>
      <c r="U16" s="23"/>
      <c r="V16" s="24" t="s">
        <v>34</v>
      </c>
      <c r="W16" s="21" t="s">
        <v>68</v>
      </c>
      <c r="X16" s="21"/>
      <c r="Y16" s="22">
        <f t="shared" ref="Y16" si="13">Y15/$AK15</f>
        <v>9.8444094797338969E-2</v>
      </c>
      <c r="Z16" s="22">
        <f t="shared" ref="Z16:AJ16" si="14">Z15/$AK15</f>
        <v>9.0092119315609745E-2</v>
      </c>
      <c r="AA16" s="22">
        <f t="shared" si="14"/>
        <v>8.9131444359962675E-2</v>
      </c>
      <c r="AB16" s="22">
        <f t="shared" si="14"/>
        <v>8.0293454518285415E-2</v>
      </c>
      <c r="AC16" s="22">
        <f t="shared" si="14"/>
        <v>7.8013179156539839E-2</v>
      </c>
      <c r="AD16" s="22">
        <f t="shared" si="14"/>
        <v>7.2695588732963862E-2</v>
      </c>
      <c r="AE16" s="22">
        <f t="shared" si="14"/>
        <v>8.1348988342980377E-2</v>
      </c>
      <c r="AF16" s="22">
        <f t="shared" si="14"/>
        <v>8.3302568294723212E-2</v>
      </c>
      <c r="AG16" s="22">
        <f t="shared" si="14"/>
        <v>7.6424750913062389E-2</v>
      </c>
      <c r="AH16" s="22">
        <f t="shared" si="14"/>
        <v>7.4991979114933785E-2</v>
      </c>
      <c r="AI16" s="22">
        <f t="shared" si="14"/>
        <v>7.9725033804917425E-2</v>
      </c>
      <c r="AJ16" s="22">
        <f t="shared" si="14"/>
        <v>9.5536798648682308E-2</v>
      </c>
      <c r="AK16" s="22">
        <f>SUM(Y16:AJ16)</f>
        <v>1.0000000000000002</v>
      </c>
      <c r="AL16" s="48"/>
      <c r="AM16" s="23">
        <f t="shared" si="4"/>
        <v>7</v>
      </c>
      <c r="AN16" s="23"/>
      <c r="AO16" s="24" t="s">
        <v>34</v>
      </c>
      <c r="AP16" s="21" t="s">
        <v>68</v>
      </c>
      <c r="AQ16" s="21"/>
      <c r="AR16" s="22">
        <f t="shared" ref="AR16" si="15">AR15/$BD15</f>
        <v>9.8775854481443451E-2</v>
      </c>
      <c r="AS16" s="22">
        <f t="shared" ref="AS16:BC16" si="16">AS15/$BD15</f>
        <v>8.6959806366436854E-2</v>
      </c>
      <c r="AT16" s="22">
        <f t="shared" si="16"/>
        <v>8.9642438022590587E-2</v>
      </c>
      <c r="AU16" s="22">
        <f t="shared" si="16"/>
        <v>8.0727959512982256E-2</v>
      </c>
      <c r="AV16" s="22">
        <f t="shared" si="16"/>
        <v>7.8220624908317438E-2</v>
      </c>
      <c r="AW16" s="22">
        <f t="shared" si="16"/>
        <v>7.2849860642511366E-2</v>
      </c>
      <c r="AX16" s="22">
        <f t="shared" si="16"/>
        <v>8.1548335044741085E-2</v>
      </c>
      <c r="AY16" s="22">
        <f t="shared" si="16"/>
        <v>8.3545547894968458E-2</v>
      </c>
      <c r="AZ16" s="22">
        <f t="shared" si="16"/>
        <v>7.6612879565791409E-2</v>
      </c>
      <c r="BA16" s="22">
        <f t="shared" si="16"/>
        <v>7.516539533519144E-2</v>
      </c>
      <c r="BB16" s="22">
        <f t="shared" si="16"/>
        <v>8.0028604958192751E-2</v>
      </c>
      <c r="BC16" s="22">
        <f t="shared" si="16"/>
        <v>9.592269326683292E-2</v>
      </c>
      <c r="BD16" s="22">
        <f>SUM(AR16:BC16)</f>
        <v>1</v>
      </c>
    </row>
    <row r="17" spans="1:56" x14ac:dyDescent="0.2">
      <c r="A17" s="23">
        <f t="shared" si="2"/>
        <v>8</v>
      </c>
      <c r="B17" s="23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3">
        <f t="shared" si="3"/>
        <v>8</v>
      </c>
      <c r="U17" s="23"/>
      <c r="W17" s="21"/>
      <c r="X17" s="21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48"/>
      <c r="AM17" s="23">
        <f t="shared" si="4"/>
        <v>8</v>
      </c>
      <c r="AN17" s="23"/>
      <c r="AP17" s="21"/>
      <c r="AQ17" s="21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</row>
    <row r="18" spans="1:56" x14ac:dyDescent="0.2">
      <c r="A18" s="23">
        <f t="shared" si="2"/>
        <v>9</v>
      </c>
      <c r="B18" s="35" t="s">
        <v>58</v>
      </c>
      <c r="F18" s="24"/>
      <c r="G18" s="24"/>
      <c r="H18" s="24"/>
      <c r="I18" s="24"/>
      <c r="R18" s="20"/>
      <c r="S18" s="48"/>
      <c r="T18" s="23">
        <f t="shared" si="3"/>
        <v>9</v>
      </c>
      <c r="U18" s="35" t="s">
        <v>58</v>
      </c>
      <c r="W18" s="23"/>
      <c r="X18" s="23"/>
      <c r="AK18" s="20"/>
      <c r="AL18" s="48"/>
      <c r="AM18" s="23">
        <f t="shared" si="4"/>
        <v>9</v>
      </c>
      <c r="AN18" s="35" t="str">
        <f>U18</f>
        <v>Schedules 7A, 11, 25, 29, 35 &amp; 43</v>
      </c>
      <c r="AP18" s="23"/>
      <c r="AQ18" s="23"/>
      <c r="BD18" s="20"/>
    </row>
    <row r="19" spans="1:56" x14ac:dyDescent="0.2">
      <c r="A19" s="23">
        <f t="shared" si="2"/>
        <v>10</v>
      </c>
      <c r="B19" s="23"/>
      <c r="C19" s="24" t="str">
        <f>C11</f>
        <v>Forecasted Delivered Volumes</v>
      </c>
      <c r="D19" s="23" t="str">
        <f>D11</f>
        <v>Exhibit BDJ-3, Electric F2021 Billing Determinants</v>
      </c>
      <c r="F19" s="36">
        <v>277394000</v>
      </c>
      <c r="G19" s="36">
        <v>251961000</v>
      </c>
      <c r="H19" s="36">
        <v>263305000</v>
      </c>
      <c r="I19" s="36">
        <v>243220000</v>
      </c>
      <c r="J19" s="36">
        <v>245132000</v>
      </c>
      <c r="K19" s="36">
        <v>232804000</v>
      </c>
      <c r="L19" s="36">
        <v>257848000</v>
      </c>
      <c r="M19" s="36">
        <v>263589000.00000003</v>
      </c>
      <c r="N19" s="36">
        <v>243399000</v>
      </c>
      <c r="O19" s="36">
        <v>240712000</v>
      </c>
      <c r="P19" s="36">
        <v>246359000</v>
      </c>
      <c r="Q19" s="36">
        <v>283497000</v>
      </c>
      <c r="R19" s="20">
        <f>SUM(F19:Q19)</f>
        <v>3049220000</v>
      </c>
      <c r="S19" s="48"/>
      <c r="T19" s="23">
        <f t="shared" si="3"/>
        <v>10</v>
      </c>
      <c r="U19" s="23"/>
      <c r="V19" s="24" t="str">
        <f>V11</f>
        <v>Forecasted Delivered Volumes</v>
      </c>
      <c r="W19" s="23" t="str">
        <f>W11</f>
        <v>Exhibit BDJ-3, Electric F2021 Billing Determinants</v>
      </c>
      <c r="X19" s="23"/>
      <c r="Y19" s="36">
        <v>281525000</v>
      </c>
      <c r="Z19" s="36">
        <v>266081000</v>
      </c>
      <c r="AA19" s="36">
        <v>265733000</v>
      </c>
      <c r="AB19" s="36">
        <v>245497000</v>
      </c>
      <c r="AC19" s="36">
        <v>247331000.00000003</v>
      </c>
      <c r="AD19" s="36">
        <v>234742000</v>
      </c>
      <c r="AE19" s="36">
        <v>259837000</v>
      </c>
      <c r="AF19" s="36">
        <v>265610000</v>
      </c>
      <c r="AG19" s="36">
        <v>245175000</v>
      </c>
      <c r="AH19" s="36">
        <v>242292000</v>
      </c>
      <c r="AI19" s="36">
        <v>248201000</v>
      </c>
      <c r="AJ19" s="36">
        <v>285403000</v>
      </c>
      <c r="AK19" s="20">
        <f>SUM(Y19:AJ19)</f>
        <v>3087427000</v>
      </c>
      <c r="AL19" s="48"/>
      <c r="AM19" s="23">
        <f t="shared" si="4"/>
        <v>10</v>
      </c>
      <c r="AN19" s="23"/>
      <c r="AO19" s="24" t="str">
        <f>AO11</f>
        <v>Forecasted Delivered Volumes</v>
      </c>
      <c r="AP19" s="23" t="str">
        <f>AP11</f>
        <v>Exhibit BDJ-3, Electric F2021 Billing Determinants</v>
      </c>
      <c r="AQ19" s="23"/>
      <c r="AR19" s="36">
        <v>282266000</v>
      </c>
      <c r="AS19" s="36">
        <v>256646000</v>
      </c>
      <c r="AT19" s="36">
        <v>267044000</v>
      </c>
      <c r="AU19" s="36">
        <v>246635000</v>
      </c>
      <c r="AV19" s="36">
        <v>247796000.00000003</v>
      </c>
      <c r="AW19" s="36">
        <v>235029000</v>
      </c>
      <c r="AX19" s="36">
        <v>260250000</v>
      </c>
      <c r="AY19" s="36">
        <v>266145000</v>
      </c>
      <c r="AZ19" s="36">
        <v>245570000</v>
      </c>
      <c r="BA19" s="36">
        <v>242629000</v>
      </c>
      <c r="BB19" s="36">
        <v>248940000</v>
      </c>
      <c r="BC19" s="36">
        <v>286323000</v>
      </c>
      <c r="BD19" s="20">
        <f>SUM(AR19:BC19)</f>
        <v>3085273000</v>
      </c>
    </row>
    <row r="20" spans="1:56" x14ac:dyDescent="0.2">
      <c r="A20" s="23">
        <f t="shared" si="2"/>
        <v>11</v>
      </c>
      <c r="B20" s="23"/>
      <c r="C20" s="24" t="s">
        <v>34</v>
      </c>
      <c r="D20" s="21" t="s">
        <v>69</v>
      </c>
      <c r="E20" s="21"/>
      <c r="F20" s="22">
        <f t="shared" ref="F20" si="17">F19/$R19</f>
        <v>9.0972117459547031E-2</v>
      </c>
      <c r="G20" s="22">
        <f t="shared" ref="G20:Q20" si="18">G19/$R19</f>
        <v>8.2631295872387031E-2</v>
      </c>
      <c r="H20" s="22">
        <f t="shared" si="18"/>
        <v>8.6351591554561499E-2</v>
      </c>
      <c r="I20" s="22">
        <f t="shared" si="18"/>
        <v>7.9764661126452016E-2</v>
      </c>
      <c r="J20" s="22">
        <f t="shared" si="18"/>
        <v>8.0391706731557572E-2</v>
      </c>
      <c r="K20" s="22">
        <f t="shared" si="18"/>
        <v>7.6348705570604941E-2</v>
      </c>
      <c r="L20" s="22">
        <f t="shared" si="18"/>
        <v>8.4561953548776408E-2</v>
      </c>
      <c r="M20" s="22">
        <f t="shared" si="18"/>
        <v>8.6444730127704802E-2</v>
      </c>
      <c r="N20" s="22">
        <f t="shared" si="18"/>
        <v>7.9823364663750077E-2</v>
      </c>
      <c r="O20" s="22">
        <f t="shared" si="18"/>
        <v>7.8942155698834462E-2</v>
      </c>
      <c r="P20" s="22">
        <f t="shared" si="18"/>
        <v>8.0794104721863297E-2</v>
      </c>
      <c r="Q20" s="22">
        <f t="shared" si="18"/>
        <v>9.2973612923960877E-2</v>
      </c>
      <c r="R20" s="22">
        <f>SUM(F20:Q20)</f>
        <v>1</v>
      </c>
      <c r="S20" s="48"/>
      <c r="T20" s="23">
        <f t="shared" si="3"/>
        <v>11</v>
      </c>
      <c r="U20" s="23"/>
      <c r="V20" s="24" t="s">
        <v>34</v>
      </c>
      <c r="W20" s="21" t="s">
        <v>69</v>
      </c>
      <c r="X20" s="21"/>
      <c r="Y20" s="22">
        <f t="shared" ref="Y20" si="19">Y19/$AK19</f>
        <v>9.1184342172300759E-2</v>
      </c>
      <c r="Z20" s="22">
        <f t="shared" ref="Z20:AJ20" si="20">Z19/$AK19</f>
        <v>8.6182118637946739E-2</v>
      </c>
      <c r="AA20" s="22">
        <f t="shared" si="20"/>
        <v>8.6069403422331922E-2</v>
      </c>
      <c r="AB20" s="22">
        <f t="shared" si="20"/>
        <v>7.9515078413190013E-2</v>
      </c>
      <c r="AC20" s="22">
        <f t="shared" si="20"/>
        <v>8.0109100555252E-2</v>
      </c>
      <c r="AD20" s="22">
        <f t="shared" si="20"/>
        <v>7.6031595240956304E-2</v>
      </c>
      <c r="AE20" s="22">
        <f t="shared" si="20"/>
        <v>8.4159722642834958E-2</v>
      </c>
      <c r="AF20" s="22">
        <f t="shared" si="20"/>
        <v>8.6029564423709445E-2</v>
      </c>
      <c r="AG20" s="22">
        <f t="shared" si="20"/>
        <v>7.941078444931654E-2</v>
      </c>
      <c r="AH20" s="22">
        <f t="shared" si="20"/>
        <v>7.8476997188921385E-2</v>
      </c>
      <c r="AI20" s="22">
        <f t="shared" si="20"/>
        <v>8.0390888594289028E-2</v>
      </c>
      <c r="AJ20" s="22">
        <f t="shared" si="20"/>
        <v>9.2440404258950906E-2</v>
      </c>
      <c r="AK20" s="22">
        <f>SUM(Y20:AJ20)</f>
        <v>1</v>
      </c>
      <c r="AL20" s="48"/>
      <c r="AM20" s="23">
        <f t="shared" si="4"/>
        <v>11</v>
      </c>
      <c r="AN20" s="23"/>
      <c r="AO20" s="24" t="s">
        <v>34</v>
      </c>
      <c r="AP20" s="21" t="s">
        <v>69</v>
      </c>
      <c r="AQ20" s="21"/>
      <c r="AR20" s="22">
        <f t="shared" ref="AR20" si="21">AR19/$BD19</f>
        <v>9.1488176248908926E-2</v>
      </c>
      <c r="AS20" s="22">
        <f t="shared" ref="AS20:BC20" si="22">AS19/$BD19</f>
        <v>8.3184210927201574E-2</v>
      </c>
      <c r="AT20" s="22">
        <f t="shared" si="22"/>
        <v>8.6554415119828948E-2</v>
      </c>
      <c r="AU20" s="22">
        <f t="shared" si="22"/>
        <v>7.9939441339550832E-2</v>
      </c>
      <c r="AV20" s="22">
        <f t="shared" si="22"/>
        <v>8.0315745154480672E-2</v>
      </c>
      <c r="AW20" s="22">
        <f t="shared" si="22"/>
        <v>7.6177699671957713E-2</v>
      </c>
      <c r="AX20" s="22">
        <f t="shared" si="22"/>
        <v>8.4352340943572898E-2</v>
      </c>
      <c r="AY20" s="22">
        <f t="shared" si="22"/>
        <v>8.6263030856588707E-2</v>
      </c>
      <c r="AZ20" s="22">
        <f t="shared" si="22"/>
        <v>7.9594253085545422E-2</v>
      </c>
      <c r="BA20" s="22">
        <f t="shared" si="22"/>
        <v>7.8641014911808457E-2</v>
      </c>
      <c r="BB20" s="22">
        <f t="shared" si="22"/>
        <v>8.0686538922163459E-2</v>
      </c>
      <c r="BC20" s="22">
        <f t="shared" si="22"/>
        <v>9.2803132818392406E-2</v>
      </c>
      <c r="BD20" s="22">
        <f>SUM(AR20:BC20)</f>
        <v>0.99999999999999989</v>
      </c>
    </row>
    <row r="21" spans="1:56" x14ac:dyDescent="0.2">
      <c r="A21" s="23">
        <f t="shared" si="2"/>
        <v>12</v>
      </c>
      <c r="B21" s="23"/>
      <c r="F21" s="24"/>
      <c r="G21" s="24"/>
      <c r="H21" s="24"/>
      <c r="I21" s="24"/>
      <c r="S21" s="48"/>
      <c r="T21" s="23">
        <f t="shared" si="3"/>
        <v>12</v>
      </c>
      <c r="U21" s="23"/>
      <c r="W21" s="23"/>
      <c r="X21" s="23"/>
      <c r="AL21" s="48"/>
      <c r="AM21" s="23">
        <f t="shared" si="4"/>
        <v>12</v>
      </c>
      <c r="AN21" s="23"/>
      <c r="AP21" s="23"/>
      <c r="AQ21" s="23"/>
    </row>
    <row r="22" spans="1:56" x14ac:dyDescent="0.2">
      <c r="A22" s="23">
        <f t="shared" si="2"/>
        <v>13</v>
      </c>
      <c r="B22" s="35" t="s">
        <v>83</v>
      </c>
      <c r="D22" s="24"/>
      <c r="E22" s="24"/>
      <c r="F22" s="24"/>
      <c r="G22" s="24"/>
      <c r="H22" s="24"/>
      <c r="I22" s="24"/>
      <c r="S22" s="48"/>
      <c r="T22" s="23">
        <f t="shared" si="3"/>
        <v>13</v>
      </c>
      <c r="U22" s="35" t="s">
        <v>83</v>
      </c>
      <c r="AL22" s="48"/>
      <c r="AM22" s="23">
        <f t="shared" si="4"/>
        <v>13</v>
      </c>
      <c r="AN22" s="35" t="str">
        <f>U22</f>
        <v>Special Contracts</v>
      </c>
    </row>
    <row r="23" spans="1:56" x14ac:dyDescent="0.2">
      <c r="A23" s="23">
        <f t="shared" si="2"/>
        <v>14</v>
      </c>
      <c r="B23" s="23"/>
      <c r="C23" s="24" t="str">
        <f>C15</f>
        <v>Forecasted Delivered Volumes</v>
      </c>
      <c r="D23" s="23" t="str">
        <f>D15</f>
        <v>Exhibit BDJ-3, Electric F2021 Billing Determinants</v>
      </c>
      <c r="F23" s="36">
        <v>28068000</v>
      </c>
      <c r="G23" s="36">
        <v>26042000</v>
      </c>
      <c r="H23" s="36">
        <v>25984000</v>
      </c>
      <c r="I23" s="36">
        <v>22498000</v>
      </c>
      <c r="J23" s="36">
        <v>22379000</v>
      </c>
      <c r="K23" s="36">
        <v>22163000</v>
      </c>
      <c r="L23" s="36">
        <v>24539000</v>
      </c>
      <c r="M23" s="36">
        <v>23591000</v>
      </c>
      <c r="N23" s="36">
        <v>22928000</v>
      </c>
      <c r="O23" s="36">
        <v>23186000</v>
      </c>
      <c r="P23" s="36">
        <v>23315000</v>
      </c>
      <c r="Q23" s="36">
        <v>24733000</v>
      </c>
      <c r="R23" s="20">
        <f>SUM(F23:Q23)</f>
        <v>289426000</v>
      </c>
      <c r="S23" s="48"/>
      <c r="T23" s="23">
        <f t="shared" si="3"/>
        <v>14</v>
      </c>
      <c r="U23" s="23"/>
      <c r="V23" s="24" t="str">
        <f>V15</f>
        <v>Forecasted Delivered Volumes</v>
      </c>
      <c r="W23" s="23" t="str">
        <f>W15</f>
        <v>Exhibit BDJ-3, Electric F2021 Billing Determinants</v>
      </c>
      <c r="X23" s="23"/>
      <c r="Y23" s="36">
        <v>28068000</v>
      </c>
      <c r="Z23" s="36">
        <v>26042000</v>
      </c>
      <c r="AA23" s="36">
        <v>25984000</v>
      </c>
      <c r="AB23" s="36">
        <v>22498000</v>
      </c>
      <c r="AC23" s="36">
        <v>22379000</v>
      </c>
      <c r="AD23" s="36">
        <v>22163000</v>
      </c>
      <c r="AE23" s="36">
        <v>24539000</v>
      </c>
      <c r="AF23" s="36">
        <v>23591000</v>
      </c>
      <c r="AG23" s="36">
        <v>22928000</v>
      </c>
      <c r="AH23" s="36">
        <v>23186000</v>
      </c>
      <c r="AI23" s="36">
        <v>23315000</v>
      </c>
      <c r="AJ23" s="36">
        <v>24733000</v>
      </c>
      <c r="AK23" s="20">
        <f>SUM(Y23:AJ23)</f>
        <v>289426000</v>
      </c>
      <c r="AL23" s="48"/>
      <c r="AM23" s="23">
        <f t="shared" si="4"/>
        <v>14</v>
      </c>
      <c r="AN23" s="23"/>
      <c r="AO23" s="24" t="str">
        <f>AO15</f>
        <v>Forecasted Delivered Volumes</v>
      </c>
      <c r="AP23" s="23" t="str">
        <f>AP15</f>
        <v>Exhibit BDJ-3, Electric F2021 Billing Determinants</v>
      </c>
      <c r="AQ23" s="23"/>
      <c r="AR23" s="36">
        <v>28068000</v>
      </c>
      <c r="AS23" s="36">
        <v>26042000</v>
      </c>
      <c r="AT23" s="36">
        <v>25984000</v>
      </c>
      <c r="AU23" s="36">
        <v>22498000</v>
      </c>
      <c r="AV23" s="36">
        <v>22379000</v>
      </c>
      <c r="AW23" s="36">
        <v>22163000</v>
      </c>
      <c r="AX23" s="36">
        <v>24539000</v>
      </c>
      <c r="AY23" s="36">
        <v>23591000</v>
      </c>
      <c r="AZ23" s="36">
        <v>22928000</v>
      </c>
      <c r="BA23" s="36">
        <v>23186000</v>
      </c>
      <c r="BB23" s="36">
        <v>23315000</v>
      </c>
      <c r="BC23" s="36">
        <v>24733000</v>
      </c>
      <c r="BD23" s="20">
        <f>SUM(AR23:BC23)</f>
        <v>289426000</v>
      </c>
    </row>
    <row r="24" spans="1:56" x14ac:dyDescent="0.2">
      <c r="A24" s="23">
        <f t="shared" si="2"/>
        <v>15</v>
      </c>
      <c r="B24" s="23"/>
      <c r="C24" s="24" t="s">
        <v>34</v>
      </c>
      <c r="D24" s="21" t="s">
        <v>70</v>
      </c>
      <c r="E24" s="21"/>
      <c r="F24" s="22">
        <f t="shared" ref="F24" si="23">F23/$R23</f>
        <v>9.6978156765459914E-2</v>
      </c>
      <c r="G24" s="22">
        <f t="shared" ref="G24:Q24" si="24">G23/$R23</f>
        <v>8.9978094573397005E-2</v>
      </c>
      <c r="H24" s="22">
        <f t="shared" si="24"/>
        <v>8.9777697926240213E-2</v>
      </c>
      <c r="I24" s="22">
        <f t="shared" si="24"/>
        <v>7.7733168409196127E-2</v>
      </c>
      <c r="J24" s="22">
        <f t="shared" si="24"/>
        <v>7.7322009771064112E-2</v>
      </c>
      <c r="K24" s="22">
        <f t="shared" si="24"/>
        <v>7.6575705016135379E-2</v>
      </c>
      <c r="L24" s="22">
        <f t="shared" si="24"/>
        <v>8.4785057320351312E-2</v>
      </c>
      <c r="M24" s="22">
        <f t="shared" si="24"/>
        <v>8.1509608673719702E-2</v>
      </c>
      <c r="N24" s="22">
        <f t="shared" si="24"/>
        <v>7.9218867689841266E-2</v>
      </c>
      <c r="O24" s="22">
        <f t="shared" si="24"/>
        <v>8.0110287258228358E-2</v>
      </c>
      <c r="P24" s="22">
        <f t="shared" si="24"/>
        <v>8.0555997042421904E-2</v>
      </c>
      <c r="Q24" s="22">
        <f t="shared" si="24"/>
        <v>8.5455349553944709E-2</v>
      </c>
      <c r="R24" s="22">
        <f>SUM(F24:Q24)</f>
        <v>1</v>
      </c>
      <c r="S24" s="48"/>
      <c r="T24" s="23">
        <f t="shared" si="3"/>
        <v>15</v>
      </c>
      <c r="U24" s="23"/>
      <c r="V24" s="24" t="s">
        <v>34</v>
      </c>
      <c r="W24" s="21" t="s">
        <v>70</v>
      </c>
      <c r="X24" s="21"/>
      <c r="Y24" s="22">
        <f t="shared" ref="Y24" si="25">Y23/$AK23</f>
        <v>9.6978156765459914E-2</v>
      </c>
      <c r="Z24" s="22">
        <f t="shared" ref="Z24:AJ24" si="26">Z23/$AK23</f>
        <v>8.9978094573397005E-2</v>
      </c>
      <c r="AA24" s="22">
        <f t="shared" si="26"/>
        <v>8.9777697926240213E-2</v>
      </c>
      <c r="AB24" s="22">
        <f t="shared" si="26"/>
        <v>7.7733168409196127E-2</v>
      </c>
      <c r="AC24" s="22">
        <f t="shared" si="26"/>
        <v>7.7322009771064112E-2</v>
      </c>
      <c r="AD24" s="22">
        <f t="shared" si="26"/>
        <v>7.6575705016135379E-2</v>
      </c>
      <c r="AE24" s="22">
        <f t="shared" si="26"/>
        <v>8.4785057320351312E-2</v>
      </c>
      <c r="AF24" s="22">
        <f t="shared" si="26"/>
        <v>8.1509608673719702E-2</v>
      </c>
      <c r="AG24" s="22">
        <f t="shared" si="26"/>
        <v>7.9218867689841266E-2</v>
      </c>
      <c r="AH24" s="22">
        <f t="shared" si="26"/>
        <v>8.0110287258228358E-2</v>
      </c>
      <c r="AI24" s="22">
        <f t="shared" si="26"/>
        <v>8.0555997042421904E-2</v>
      </c>
      <c r="AJ24" s="22">
        <f t="shared" si="26"/>
        <v>8.5455349553944709E-2</v>
      </c>
      <c r="AK24" s="22">
        <f>SUM(Y24:AJ24)</f>
        <v>1</v>
      </c>
      <c r="AL24" s="48"/>
      <c r="AM24" s="23">
        <f t="shared" si="4"/>
        <v>15</v>
      </c>
      <c r="AN24" s="23"/>
      <c r="AO24" s="24" t="s">
        <v>34</v>
      </c>
      <c r="AP24" s="21" t="s">
        <v>70</v>
      </c>
      <c r="AQ24" s="21"/>
      <c r="AR24" s="22">
        <f t="shared" ref="AR24" si="27">AR23/$BD23</f>
        <v>9.6978156765459914E-2</v>
      </c>
      <c r="AS24" s="22">
        <f t="shared" ref="AS24:BC24" si="28">AS23/$BD23</f>
        <v>8.9978094573397005E-2</v>
      </c>
      <c r="AT24" s="22">
        <f t="shared" si="28"/>
        <v>8.9777697926240213E-2</v>
      </c>
      <c r="AU24" s="22">
        <f t="shared" si="28"/>
        <v>7.7733168409196127E-2</v>
      </c>
      <c r="AV24" s="22">
        <f t="shared" si="28"/>
        <v>7.7322009771064112E-2</v>
      </c>
      <c r="AW24" s="22">
        <f t="shared" si="28"/>
        <v>7.6575705016135379E-2</v>
      </c>
      <c r="AX24" s="22">
        <f t="shared" si="28"/>
        <v>8.4785057320351312E-2</v>
      </c>
      <c r="AY24" s="22">
        <f t="shared" si="28"/>
        <v>8.1509608673719702E-2</v>
      </c>
      <c r="AZ24" s="22">
        <f t="shared" si="28"/>
        <v>7.9218867689841266E-2</v>
      </c>
      <c r="BA24" s="22">
        <f t="shared" si="28"/>
        <v>8.0110287258228358E-2</v>
      </c>
      <c r="BB24" s="22">
        <f t="shared" si="28"/>
        <v>8.0555997042421904E-2</v>
      </c>
      <c r="BC24" s="22">
        <f t="shared" si="28"/>
        <v>8.5455349553944709E-2</v>
      </c>
      <c r="BD24" s="22">
        <f>SUM(AR24:BC24)</f>
        <v>1</v>
      </c>
    </row>
    <row r="25" spans="1:56" x14ac:dyDescent="0.2">
      <c r="A25" s="23">
        <f t="shared" si="2"/>
        <v>16</v>
      </c>
      <c r="B25" s="23"/>
      <c r="D25" s="21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48"/>
      <c r="T25" s="23">
        <f t="shared" si="3"/>
        <v>16</v>
      </c>
      <c r="U25" s="23"/>
      <c r="W25" s="21"/>
      <c r="X25" s="21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48"/>
      <c r="AM25" s="23">
        <f t="shared" si="4"/>
        <v>16</v>
      </c>
      <c r="AN25" s="23"/>
      <c r="AP25" s="21"/>
      <c r="AQ25" s="21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</row>
    <row r="26" spans="1:56" x14ac:dyDescent="0.2">
      <c r="A26" s="23">
        <f t="shared" si="2"/>
        <v>17</v>
      </c>
      <c r="B26" s="35" t="s">
        <v>37</v>
      </c>
      <c r="F26" s="24"/>
      <c r="G26" s="24"/>
      <c r="H26" s="24"/>
      <c r="I26" s="24"/>
      <c r="R26" s="20"/>
      <c r="S26" s="48"/>
      <c r="T26" s="23">
        <f t="shared" si="3"/>
        <v>17</v>
      </c>
      <c r="U26" s="35" t="s">
        <v>37</v>
      </c>
      <c r="W26" s="23"/>
      <c r="X26" s="23"/>
      <c r="AK26" s="20"/>
      <c r="AL26" s="48"/>
      <c r="AM26" s="23">
        <f t="shared" si="4"/>
        <v>17</v>
      </c>
      <c r="AN26" s="35" t="str">
        <f>U26</f>
        <v>Schedules 12 &amp; 26</v>
      </c>
      <c r="AP26" s="23"/>
      <c r="AQ26" s="23"/>
      <c r="BD26" s="20"/>
    </row>
    <row r="27" spans="1:56" x14ac:dyDescent="0.2">
      <c r="A27" s="23">
        <f t="shared" si="2"/>
        <v>18</v>
      </c>
      <c r="B27" s="23"/>
      <c r="C27" s="31" t="s">
        <v>80</v>
      </c>
      <c r="D27" s="23" t="str">
        <f>D11</f>
        <v>Exhibit BDJ-3, Electric F2021 Billing Determinants</v>
      </c>
      <c r="F27" s="36">
        <v>346371.56879500195</v>
      </c>
      <c r="G27" s="36">
        <v>358260.51183084078</v>
      </c>
      <c r="H27" s="36">
        <v>365249.91939276282</v>
      </c>
      <c r="I27" s="36">
        <v>369590.66236072592</v>
      </c>
      <c r="J27" s="36">
        <v>373473.38465815323</v>
      </c>
      <c r="K27" s="36">
        <v>375323.01875053614</v>
      </c>
      <c r="L27" s="36">
        <v>381468.70470392227</v>
      </c>
      <c r="M27" s="36">
        <v>378212.70048057637</v>
      </c>
      <c r="N27" s="36">
        <v>382698.41408960166</v>
      </c>
      <c r="O27" s="36">
        <v>368800.11533584073</v>
      </c>
      <c r="P27" s="36">
        <v>360269.88772673515</v>
      </c>
      <c r="Q27" s="36">
        <v>367127.51675291313</v>
      </c>
      <c r="R27" s="20">
        <f>SUM(F27:Q27)</f>
        <v>4426846.4048776105</v>
      </c>
      <c r="S27" s="48"/>
      <c r="T27" s="23">
        <f t="shared" si="3"/>
        <v>18</v>
      </c>
      <c r="U27" s="23"/>
      <c r="V27" s="31" t="s">
        <v>80</v>
      </c>
      <c r="W27" s="23" t="str">
        <f>W11</f>
        <v>Exhibit BDJ-3, Electric F2021 Billing Determinants</v>
      </c>
      <c r="X27" s="23"/>
      <c r="Y27" s="36">
        <v>347054.14667117671</v>
      </c>
      <c r="Z27" s="36">
        <v>353274.87700557744</v>
      </c>
      <c r="AA27" s="36">
        <v>372733.3742994332</v>
      </c>
      <c r="AB27" s="36">
        <v>370959.38312901167</v>
      </c>
      <c r="AC27" s="36">
        <v>374363.97609644383</v>
      </c>
      <c r="AD27" s="36">
        <v>376251.58843588847</v>
      </c>
      <c r="AE27" s="36">
        <v>381864.728307946</v>
      </c>
      <c r="AF27" s="36">
        <v>378478.69356877141</v>
      </c>
      <c r="AG27" s="36">
        <v>383096.80618866126</v>
      </c>
      <c r="AH27" s="36">
        <v>369064.47654327209</v>
      </c>
      <c r="AI27" s="36">
        <v>361022.35873461451</v>
      </c>
      <c r="AJ27" s="36">
        <v>367395.47071846289</v>
      </c>
      <c r="AK27" s="20">
        <f>SUM(Y27:AJ27)</f>
        <v>4435559.8796992591</v>
      </c>
      <c r="AL27" s="48"/>
      <c r="AM27" s="23">
        <f t="shared" si="4"/>
        <v>18</v>
      </c>
      <c r="AN27" s="23"/>
      <c r="AO27" s="31" t="s">
        <v>80</v>
      </c>
      <c r="AP27" s="23" t="str">
        <f>AP11</f>
        <v>Exhibit BDJ-3, Electric F2021 Billing Determinants</v>
      </c>
      <c r="AQ27" s="23"/>
      <c r="AR27" s="36">
        <v>347352.21255019197</v>
      </c>
      <c r="AS27" s="36">
        <v>360237.12847601052</v>
      </c>
      <c r="AT27" s="36">
        <v>366523.30204203178</v>
      </c>
      <c r="AU27" s="36">
        <v>371154.25343379565</v>
      </c>
      <c r="AV27" s="36">
        <v>374218.50675522472</v>
      </c>
      <c r="AW27" s="36">
        <v>376101.55229525827</v>
      </c>
      <c r="AX27" s="36">
        <v>381396.6168896876</v>
      </c>
      <c r="AY27" s="36">
        <v>378117.38767160411</v>
      </c>
      <c r="AZ27" s="36">
        <v>383018.31374722969</v>
      </c>
      <c r="BA27" s="36">
        <v>369333.23247365293</v>
      </c>
      <c r="BB27" s="36">
        <v>362071.64326887572</v>
      </c>
      <c r="BC27" s="36">
        <v>368228.09876441379</v>
      </c>
      <c r="BD27" s="20">
        <f>SUM(AR27:BC27)</f>
        <v>4437752.2483679764</v>
      </c>
    </row>
    <row r="28" spans="1:56" x14ac:dyDescent="0.2">
      <c r="A28" s="23">
        <f t="shared" si="2"/>
        <v>19</v>
      </c>
      <c r="B28" s="23"/>
      <c r="C28" s="24" t="s">
        <v>34</v>
      </c>
      <c r="D28" s="21" t="s">
        <v>71</v>
      </c>
      <c r="E28" s="21"/>
      <c r="F28" s="22">
        <f t="shared" ref="F28" si="29">F27/$R27</f>
        <v>7.8243412378925334E-2</v>
      </c>
      <c r="G28" s="22">
        <f t="shared" ref="G28:Q28" si="30">G27/$R27</f>
        <v>8.0929058536139936E-2</v>
      </c>
      <c r="H28" s="22">
        <f t="shared" si="30"/>
        <v>8.2507926859698877E-2</v>
      </c>
      <c r="I28" s="22">
        <f t="shared" si="30"/>
        <v>8.3488476571832643E-2</v>
      </c>
      <c r="J28" s="22">
        <f t="shared" si="30"/>
        <v>8.4365561960010826E-2</v>
      </c>
      <c r="K28" s="22">
        <f t="shared" si="30"/>
        <v>8.4783384021861655E-2</v>
      </c>
      <c r="L28" s="22">
        <f t="shared" si="30"/>
        <v>8.6171660323161536E-2</v>
      </c>
      <c r="M28" s="22">
        <f t="shared" si="30"/>
        <v>8.5436147064838777E-2</v>
      </c>
      <c r="N28" s="22">
        <f t="shared" si="30"/>
        <v>8.6449444839092435E-2</v>
      </c>
      <c r="O28" s="22">
        <f t="shared" si="30"/>
        <v>8.3309896392494559E-2</v>
      </c>
      <c r="P28" s="22">
        <f t="shared" si="30"/>
        <v>8.1382965383615016E-2</v>
      </c>
      <c r="Q28" s="22">
        <f t="shared" si="30"/>
        <v>8.2932065668328322E-2</v>
      </c>
      <c r="R28" s="22">
        <f>SUM(F28:Q28)</f>
        <v>0.99999999999999989</v>
      </c>
      <c r="S28" s="48"/>
      <c r="T28" s="23">
        <f t="shared" si="3"/>
        <v>19</v>
      </c>
      <c r="U28" s="23"/>
      <c r="V28" s="24" t="s">
        <v>34</v>
      </c>
      <c r="W28" s="21" t="s">
        <v>71</v>
      </c>
      <c r="X28" s="21"/>
      <c r="Y28" s="22">
        <f t="shared" ref="Y28" si="31">Y27/$AK27</f>
        <v>7.8243594063419061E-2</v>
      </c>
      <c r="Z28" s="22">
        <f t="shared" ref="Z28:AJ28" si="32">Z27/$AK27</f>
        <v>7.9646061959945919E-2</v>
      </c>
      <c r="AA28" s="22">
        <f t="shared" si="32"/>
        <v>8.4032993445847776E-2</v>
      </c>
      <c r="AB28" s="22">
        <f t="shared" si="32"/>
        <v>8.3633045926586283E-2</v>
      </c>
      <c r="AC28" s="22">
        <f t="shared" si="32"/>
        <v>8.4400613733079971E-2</v>
      </c>
      <c r="AD28" s="22">
        <f t="shared" si="32"/>
        <v>8.4826177222389151E-2</v>
      </c>
      <c r="AE28" s="22">
        <f t="shared" si="32"/>
        <v>8.6091663434794463E-2</v>
      </c>
      <c r="AF28" s="22">
        <f t="shared" si="32"/>
        <v>8.532827959351845E-2</v>
      </c>
      <c r="AG28" s="22">
        <f t="shared" si="32"/>
        <v>8.6369436233298263E-2</v>
      </c>
      <c r="AH28" s="22">
        <f t="shared" si="32"/>
        <v>8.3205837944475114E-2</v>
      </c>
      <c r="AI28" s="22">
        <f t="shared" si="32"/>
        <v>8.1392736999662069E-2</v>
      </c>
      <c r="AJ28" s="22">
        <f t="shared" si="32"/>
        <v>8.2829559442983577E-2</v>
      </c>
      <c r="AK28" s="22">
        <f>SUM(Y28:AJ28)</f>
        <v>1.0000000000000002</v>
      </c>
      <c r="AL28" s="48"/>
      <c r="AM28" s="23">
        <f t="shared" si="4"/>
        <v>19</v>
      </c>
      <c r="AN28" s="23"/>
      <c r="AO28" s="24" t="s">
        <v>34</v>
      </c>
      <c r="AP28" s="21" t="s">
        <v>71</v>
      </c>
      <c r="AQ28" s="21"/>
      <c r="AR28" s="22">
        <f t="shared" ref="AR28" si="33">AR27/$BD27</f>
        <v>7.827210558632107E-2</v>
      </c>
      <c r="AS28" s="22">
        <f t="shared" ref="AS28:BC28" si="34">AS27/$BD27</f>
        <v>8.1175583564515347E-2</v>
      </c>
      <c r="AT28" s="22">
        <f t="shared" si="34"/>
        <v>8.2592105536496332E-2</v>
      </c>
      <c r="AU28" s="22">
        <f t="shared" si="34"/>
        <v>8.3635640896873184E-2</v>
      </c>
      <c r="AV28" s="22">
        <f t="shared" si="34"/>
        <v>8.4326137605551771E-2</v>
      </c>
      <c r="AW28" s="22">
        <f t="shared" si="34"/>
        <v>8.4750461775682281E-2</v>
      </c>
      <c r="AX28" s="22">
        <f t="shared" si="34"/>
        <v>8.5943647942480259E-2</v>
      </c>
      <c r="AY28" s="22">
        <f t="shared" si="34"/>
        <v>8.5204708715016758E-2</v>
      </c>
      <c r="AZ28" s="22">
        <f t="shared" si="34"/>
        <v>8.630907998257184E-2</v>
      </c>
      <c r="BA28" s="22">
        <f t="shared" si="34"/>
        <v>8.3225293302364625E-2</v>
      </c>
      <c r="BB28" s="22">
        <f t="shared" si="34"/>
        <v>8.1588971849888836E-2</v>
      </c>
      <c r="BC28" s="22">
        <f t="shared" si="34"/>
        <v>8.297626324223778E-2</v>
      </c>
      <c r="BD28" s="22">
        <f>SUM(AR28:BC28)</f>
        <v>1</v>
      </c>
    </row>
    <row r="29" spans="1:56" x14ac:dyDescent="0.2">
      <c r="A29" s="23">
        <f t="shared" si="2"/>
        <v>20</v>
      </c>
      <c r="B29" s="23"/>
      <c r="F29" s="24"/>
      <c r="G29" s="24"/>
      <c r="H29" s="24"/>
      <c r="I29" s="24"/>
      <c r="S29" s="48"/>
      <c r="T29" s="23">
        <f t="shared" si="3"/>
        <v>20</v>
      </c>
      <c r="U29" s="23"/>
      <c r="W29" s="23"/>
      <c r="X29" s="23"/>
      <c r="AL29" s="48"/>
      <c r="AM29" s="23">
        <f t="shared" si="4"/>
        <v>20</v>
      </c>
      <c r="AN29" s="23"/>
      <c r="AP29" s="23"/>
      <c r="AQ29" s="23"/>
    </row>
    <row r="30" spans="1:56" x14ac:dyDescent="0.2">
      <c r="A30" s="23">
        <f t="shared" si="2"/>
        <v>21</v>
      </c>
      <c r="B30" s="35" t="s">
        <v>38</v>
      </c>
      <c r="D30" s="24"/>
      <c r="E30" s="24"/>
      <c r="F30" s="24"/>
      <c r="G30" s="24"/>
      <c r="H30" s="24"/>
      <c r="I30" s="24"/>
      <c r="S30" s="48"/>
      <c r="T30" s="23">
        <f t="shared" si="3"/>
        <v>21</v>
      </c>
      <c r="U30" s="35" t="s">
        <v>38</v>
      </c>
      <c r="AL30" s="48"/>
      <c r="AM30" s="23">
        <f t="shared" si="4"/>
        <v>21</v>
      </c>
      <c r="AN30" s="35" t="str">
        <f>U30</f>
        <v>Schedules 10 &amp; 31</v>
      </c>
    </row>
    <row r="31" spans="1:56" x14ac:dyDescent="0.2">
      <c r="A31" s="23">
        <f t="shared" si="2"/>
        <v>22</v>
      </c>
      <c r="B31" s="23"/>
      <c r="C31" s="31" t="str">
        <f>C27</f>
        <v xml:space="preserve">Demand Charge Revenue </v>
      </c>
      <c r="D31" s="23" t="str">
        <f>D11</f>
        <v>Exhibit BDJ-3, Electric F2021 Billing Determinants</v>
      </c>
      <c r="F31" s="36">
        <v>257833.04080300679</v>
      </c>
      <c r="G31" s="36">
        <v>267795.97728249064</v>
      </c>
      <c r="H31" s="36">
        <v>270673.85128443578</v>
      </c>
      <c r="I31" s="36">
        <v>282342.4406045517</v>
      </c>
      <c r="J31" s="36">
        <v>281942.83679950499</v>
      </c>
      <c r="K31" s="36">
        <v>279211.37274998403</v>
      </c>
      <c r="L31" s="36">
        <v>278470.67535826174</v>
      </c>
      <c r="M31" s="36">
        <v>278955.88753164664</v>
      </c>
      <c r="N31" s="36">
        <v>279474.42835997767</v>
      </c>
      <c r="O31" s="36">
        <v>272799.04948834638</v>
      </c>
      <c r="P31" s="36">
        <v>270756.9129988745</v>
      </c>
      <c r="Q31" s="36">
        <v>271775.74109285499</v>
      </c>
      <c r="R31" s="20">
        <f>SUM(F31:Q31)</f>
        <v>3292032.2143539363</v>
      </c>
      <c r="S31" s="48"/>
      <c r="T31" s="23">
        <f t="shared" si="3"/>
        <v>22</v>
      </c>
      <c r="U31" s="23"/>
      <c r="V31" s="31" t="str">
        <f>V27</f>
        <v xml:space="preserve">Demand Charge Revenue </v>
      </c>
      <c r="W31" s="23" t="str">
        <f>W11</f>
        <v>Exhibit BDJ-3, Electric F2021 Billing Determinants</v>
      </c>
      <c r="X31" s="23"/>
      <c r="Y31" s="36">
        <v>256400.82651552427</v>
      </c>
      <c r="Z31" s="36">
        <v>262077.70181282266</v>
      </c>
      <c r="AA31" s="36">
        <v>274121.948709346</v>
      </c>
      <c r="AB31" s="36">
        <v>281226.46011815278</v>
      </c>
      <c r="AC31" s="36">
        <v>280531.91831377888</v>
      </c>
      <c r="AD31" s="36">
        <v>277899.92751068273</v>
      </c>
      <c r="AE31" s="36">
        <v>276769.83499356941</v>
      </c>
      <c r="AF31" s="36">
        <v>277152.49871443131</v>
      </c>
      <c r="AG31" s="36">
        <v>277780.29666006519</v>
      </c>
      <c r="AH31" s="36">
        <v>270835.67330870568</v>
      </c>
      <c r="AI31" s="36">
        <v>269046.86069152039</v>
      </c>
      <c r="AJ31" s="36">
        <v>269730.51408297283</v>
      </c>
      <c r="AK31" s="20">
        <f>SUM(Y31:AJ31)</f>
        <v>3273574.4614315722</v>
      </c>
      <c r="AL31" s="48"/>
      <c r="AM31" s="23">
        <f t="shared" si="4"/>
        <v>22</v>
      </c>
      <c r="AN31" s="23"/>
      <c r="AO31" s="31" t="str">
        <f>AO27</f>
        <v xml:space="preserve">Demand Charge Revenue </v>
      </c>
      <c r="AP31" s="23" t="str">
        <f>AP11</f>
        <v>Exhibit BDJ-3, Electric F2021 Billing Determinants</v>
      </c>
      <c r="AQ31" s="23"/>
      <c r="AR31" s="36">
        <v>254380.0634044123</v>
      </c>
      <c r="AS31" s="36">
        <v>265069.93744448968</v>
      </c>
      <c r="AT31" s="36">
        <v>267229.89250476123</v>
      </c>
      <c r="AU31" s="36">
        <v>279009.83340531681</v>
      </c>
      <c r="AV31" s="36">
        <v>278083.17599529744</v>
      </c>
      <c r="AW31" s="36">
        <v>275581.83523667813</v>
      </c>
      <c r="AX31" s="36">
        <v>274201.62978007837</v>
      </c>
      <c r="AY31" s="36">
        <v>274602.05026694585</v>
      </c>
      <c r="AZ31" s="36">
        <v>275403.35742304305</v>
      </c>
      <c r="BA31" s="36">
        <v>268369.06750486302</v>
      </c>
      <c r="BB31" s="36">
        <v>266958.00118957437</v>
      </c>
      <c r="BC31" s="36">
        <v>267436.13701668091</v>
      </c>
      <c r="BD31" s="20">
        <f>SUM(AR31:BC31)</f>
        <v>3246324.9811721416</v>
      </c>
    </row>
    <row r="32" spans="1:56" x14ac:dyDescent="0.2">
      <c r="A32" s="23">
        <f t="shared" si="2"/>
        <v>23</v>
      </c>
      <c r="B32" s="23"/>
      <c r="C32" s="24" t="s">
        <v>34</v>
      </c>
      <c r="D32" s="21" t="s">
        <v>72</v>
      </c>
      <c r="E32" s="21"/>
      <c r="F32" s="22">
        <f t="shared" ref="F32" si="35">F31/$R31</f>
        <v>7.8320327388900324E-2</v>
      </c>
      <c r="G32" s="22">
        <f t="shared" ref="G32:Q32" si="36">G31/$R31</f>
        <v>8.1346706181927741E-2</v>
      </c>
      <c r="H32" s="22">
        <f t="shared" si="36"/>
        <v>8.2220899936593025E-2</v>
      </c>
      <c r="I32" s="22">
        <f t="shared" si="36"/>
        <v>8.5765394206496731E-2</v>
      </c>
      <c r="J32" s="22">
        <f t="shared" si="36"/>
        <v>8.5644009062297854E-2</v>
      </c>
      <c r="K32" s="22">
        <f t="shared" si="36"/>
        <v>8.4814289341569968E-2</v>
      </c>
      <c r="L32" s="22">
        <f t="shared" si="36"/>
        <v>8.4589292335619445E-2</v>
      </c>
      <c r="M32" s="22">
        <f t="shared" si="36"/>
        <v>8.4736682197501509E-2</v>
      </c>
      <c r="N32" s="22">
        <f t="shared" si="36"/>
        <v>8.4894196096080649E-2</v>
      </c>
      <c r="O32" s="22">
        <f t="shared" si="36"/>
        <v>8.2866458079871308E-2</v>
      </c>
      <c r="P32" s="22">
        <f t="shared" si="36"/>
        <v>8.2246131073176854E-2</v>
      </c>
      <c r="Q32" s="22">
        <f t="shared" si="36"/>
        <v>8.2555614099964439E-2</v>
      </c>
      <c r="R32" s="22">
        <f>SUM(F32:Q32)</f>
        <v>0.99999999999999989</v>
      </c>
      <c r="S32" s="48"/>
      <c r="T32" s="23">
        <f t="shared" si="3"/>
        <v>23</v>
      </c>
      <c r="U32" s="23"/>
      <c r="V32" s="24" t="s">
        <v>34</v>
      </c>
      <c r="W32" s="21" t="s">
        <v>72</v>
      </c>
      <c r="X32" s="21"/>
      <c r="Y32" s="22">
        <f t="shared" ref="Y32" si="37">Y31/$AK31</f>
        <v>7.8324421679229872E-2</v>
      </c>
      <c r="Z32" s="22">
        <f t="shared" ref="Z32:AJ32" si="38">Z31/$AK31</f>
        <v>8.0058573556384918E-2</v>
      </c>
      <c r="AA32" s="22">
        <f t="shared" si="38"/>
        <v>8.3737807689723137E-2</v>
      </c>
      <c r="AB32" s="22">
        <f t="shared" si="38"/>
        <v>8.5908068819418024E-2</v>
      </c>
      <c r="AC32" s="22">
        <f t="shared" si="38"/>
        <v>8.5695902634546767E-2</v>
      </c>
      <c r="AD32" s="22">
        <f t="shared" si="38"/>
        <v>8.489189135143542E-2</v>
      </c>
      <c r="AE32" s="22">
        <f t="shared" si="38"/>
        <v>8.454667466844018E-2</v>
      </c>
      <c r="AF32" s="22">
        <f t="shared" si="38"/>
        <v>8.4663569434504107E-2</v>
      </c>
      <c r="AG32" s="22">
        <f t="shared" si="38"/>
        <v>8.4855346940417117E-2</v>
      </c>
      <c r="AH32" s="22">
        <f t="shared" si="38"/>
        <v>8.2733927851534522E-2</v>
      </c>
      <c r="AI32" s="22">
        <f t="shared" si="38"/>
        <v>8.2187487671767534E-2</v>
      </c>
      <c r="AJ32" s="22">
        <f t="shared" si="38"/>
        <v>8.2396327702598388E-2</v>
      </c>
      <c r="AK32" s="22">
        <f>SUM(Y32:AJ32)</f>
        <v>1</v>
      </c>
      <c r="AL32" s="48"/>
      <c r="AM32" s="23">
        <f t="shared" si="4"/>
        <v>23</v>
      </c>
      <c r="AN32" s="23"/>
      <c r="AO32" s="24" t="s">
        <v>34</v>
      </c>
      <c r="AP32" s="21" t="s">
        <v>72</v>
      </c>
      <c r="AQ32" s="21"/>
      <c r="AR32" s="22">
        <f t="shared" ref="AR32" si="39">AR31/$BD31</f>
        <v>7.8359395587241545E-2</v>
      </c>
      <c r="AS32" s="22">
        <f t="shared" ref="AS32:BC32" si="40">AS31/$BD31</f>
        <v>8.1652311146243162E-2</v>
      </c>
      <c r="AT32" s="22">
        <f t="shared" si="40"/>
        <v>8.2317665068847565E-2</v>
      </c>
      <c r="AU32" s="22">
        <f t="shared" si="40"/>
        <v>8.5946365512850009E-2</v>
      </c>
      <c r="AV32" s="22">
        <f t="shared" si="40"/>
        <v>8.5660917378299783E-2</v>
      </c>
      <c r="AW32" s="22">
        <f t="shared" si="40"/>
        <v>8.4890402789302558E-2</v>
      </c>
      <c r="AX32" s="22">
        <f t="shared" si="40"/>
        <v>8.4465243427684536E-2</v>
      </c>
      <c r="AY32" s="22">
        <f t="shared" si="40"/>
        <v>8.4588589207663378E-2</v>
      </c>
      <c r="AZ32" s="22">
        <f t="shared" si="40"/>
        <v>8.4835424370730717E-2</v>
      </c>
      <c r="BA32" s="22">
        <f t="shared" si="40"/>
        <v>8.2668577256231363E-2</v>
      </c>
      <c r="BB32" s="22">
        <f t="shared" si="40"/>
        <v>8.2233911496188097E-2</v>
      </c>
      <c r="BC32" s="22">
        <f t="shared" si="40"/>
        <v>8.2381196758717135E-2</v>
      </c>
      <c r="BD32" s="22">
        <f>SUM(AR32:BC32)</f>
        <v>0.99999999999999989</v>
      </c>
    </row>
    <row r="33" spans="1:56" x14ac:dyDescent="0.2">
      <c r="A33" s="23">
        <f t="shared" si="2"/>
        <v>24</v>
      </c>
      <c r="B33" s="23"/>
      <c r="D33" s="21"/>
      <c r="E33" s="21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48"/>
      <c r="T33" s="23">
        <f t="shared" si="3"/>
        <v>24</v>
      </c>
      <c r="U33" s="23"/>
      <c r="W33" s="21"/>
      <c r="X33" s="21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48"/>
      <c r="AM33" s="23">
        <f t="shared" si="4"/>
        <v>24</v>
      </c>
      <c r="AN33" s="23"/>
      <c r="AP33" s="21"/>
      <c r="AQ33" s="21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</row>
    <row r="34" spans="1:56" x14ac:dyDescent="0.2">
      <c r="A34" s="23">
        <f t="shared" si="2"/>
        <v>25</v>
      </c>
      <c r="B34" s="26" t="s">
        <v>65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48"/>
      <c r="T34" s="23">
        <f t="shared" si="3"/>
        <v>25</v>
      </c>
      <c r="U34" s="26" t="s">
        <v>65</v>
      </c>
      <c r="W34" s="23"/>
      <c r="X34" s="23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48"/>
      <c r="AM34" s="23">
        <f t="shared" si="4"/>
        <v>25</v>
      </c>
      <c r="AN34" s="26" t="s">
        <v>65</v>
      </c>
      <c r="AP34" s="23"/>
      <c r="AQ34" s="23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</row>
    <row r="35" spans="1:56" x14ac:dyDescent="0.2">
      <c r="A35" s="23">
        <f t="shared" si="2"/>
        <v>26</v>
      </c>
      <c r="B35" s="35" t="str">
        <f>B10</f>
        <v>Schedule 7  (7D1, 7D2)</v>
      </c>
      <c r="F35" s="24"/>
      <c r="G35" s="24"/>
      <c r="H35" s="24"/>
      <c r="I35" s="24"/>
      <c r="S35" s="48"/>
      <c r="T35" s="23">
        <f t="shared" si="3"/>
        <v>26</v>
      </c>
      <c r="U35" s="35" t="str">
        <f>U10</f>
        <v>Schedule 7 (7D1, 7D2)</v>
      </c>
      <c r="W35" s="23"/>
      <c r="X35" s="23"/>
      <c r="AL35" s="48"/>
      <c r="AM35" s="23">
        <f t="shared" si="4"/>
        <v>26</v>
      </c>
      <c r="AN35" s="35" t="str">
        <f>AN10</f>
        <v>Schedule 7 (7D1, 7D2)</v>
      </c>
      <c r="AP35" s="23"/>
      <c r="AQ35" s="23"/>
    </row>
    <row r="36" spans="1:56" x14ac:dyDescent="0.2">
      <c r="A36" s="23">
        <f t="shared" si="2"/>
        <v>27</v>
      </c>
      <c r="B36" s="23"/>
      <c r="C36" s="24" t="s">
        <v>64</v>
      </c>
      <c r="D36" s="23" t="s">
        <v>112</v>
      </c>
      <c r="F36" s="24"/>
      <c r="G36" s="24"/>
      <c r="H36" s="24"/>
      <c r="I36" s="24"/>
      <c r="R36" s="37">
        <f>'Exhibit BDJ-9, Page 2'!D19</f>
        <v>481.94</v>
      </c>
      <c r="S36" s="48"/>
      <c r="T36" s="23">
        <f t="shared" si="3"/>
        <v>27</v>
      </c>
      <c r="U36" s="23"/>
      <c r="V36" s="24" t="s">
        <v>64</v>
      </c>
      <c r="W36" s="23" t="str">
        <f>D36</f>
        <v>Exhibit BDJ-9, Page 2</v>
      </c>
      <c r="X36" s="23"/>
      <c r="AK36" s="37">
        <f>'Exhibit BDJ-9, Page 2'!D43</f>
        <v>516.46</v>
      </c>
      <c r="AL36" s="48"/>
      <c r="AM36" s="23">
        <f t="shared" si="4"/>
        <v>27</v>
      </c>
      <c r="AN36" s="23"/>
      <c r="AO36" s="24" t="s">
        <v>64</v>
      </c>
      <c r="AP36" s="23" t="str">
        <f>W36</f>
        <v>Exhibit BDJ-9, Page 2</v>
      </c>
      <c r="AQ36" s="23"/>
      <c r="BD36" s="37">
        <f>'Exhibit BDJ-9, Page 2'!D67</f>
        <v>554.37</v>
      </c>
    </row>
    <row r="37" spans="1:56" x14ac:dyDescent="0.2">
      <c r="A37" s="23">
        <f t="shared" si="2"/>
        <v>28</v>
      </c>
      <c r="B37" s="23"/>
      <c r="C37" s="24" t="s">
        <v>65</v>
      </c>
      <c r="D37" s="23" t="str">
        <f>"("&amp;A$12&amp;") x ("&amp;A36&amp;")"</f>
        <v>(3) x (27)</v>
      </c>
      <c r="E37" s="23" t="s">
        <v>94</v>
      </c>
      <c r="F37" s="38">
        <f>$R36*F$12</f>
        <v>56.303784216854837</v>
      </c>
      <c r="G37" s="38">
        <f t="shared" ref="G37:Q37" si="41">$R36*G$12</f>
        <v>45.789552406024363</v>
      </c>
      <c r="H37" s="38">
        <f t="shared" si="41"/>
        <v>47.618008207638198</v>
      </c>
      <c r="I37" s="38">
        <f t="shared" si="41"/>
        <v>37.526510437209048</v>
      </c>
      <c r="J37" s="38">
        <f t="shared" si="41"/>
        <v>34.329923057079704</v>
      </c>
      <c r="K37" s="38">
        <f t="shared" si="41"/>
        <v>30.226461411174608</v>
      </c>
      <c r="L37" s="38">
        <f t="shared" si="41"/>
        <v>30.253698742135931</v>
      </c>
      <c r="M37" s="38">
        <f t="shared" si="41"/>
        <v>31.341059204265491</v>
      </c>
      <c r="N37" s="38">
        <f t="shared" si="41"/>
        <v>29.637059787680467</v>
      </c>
      <c r="O37" s="38">
        <f t="shared" si="41"/>
        <v>37.297059251100954</v>
      </c>
      <c r="P37" s="38">
        <f t="shared" si="41"/>
        <v>46.452712544030398</v>
      </c>
      <c r="Q37" s="38">
        <f t="shared" si="41"/>
        <v>55.164170734805992</v>
      </c>
      <c r="R37" s="37">
        <f>SUM(F37:Q37)</f>
        <v>481.94000000000005</v>
      </c>
      <c r="S37" s="48"/>
      <c r="T37" s="23">
        <f t="shared" si="3"/>
        <v>28</v>
      </c>
      <c r="U37" s="23"/>
      <c r="V37" s="24" t="s">
        <v>65</v>
      </c>
      <c r="W37" s="23" t="str">
        <f>"("&amp;T$12&amp;") x ("&amp;T36&amp;")"</f>
        <v>(3) x (27)</v>
      </c>
      <c r="X37" s="23" t="str">
        <f>E37</f>
        <v>Sheet No. 142-B</v>
      </c>
      <c r="Y37" s="38">
        <f>$AK36*Y$12</f>
        <v>59.846994612477936</v>
      </c>
      <c r="Z37" s="38">
        <f t="shared" ref="Z37:AJ37" si="42">$AK36*Z$12</f>
        <v>50.763221029914988</v>
      </c>
      <c r="AA37" s="38">
        <f t="shared" si="42"/>
        <v>50.835173765868895</v>
      </c>
      <c r="AB37" s="38">
        <f t="shared" si="42"/>
        <v>40.012793870836603</v>
      </c>
      <c r="AC37" s="38">
        <f t="shared" si="42"/>
        <v>36.693584927537188</v>
      </c>
      <c r="AD37" s="38">
        <f t="shared" si="42"/>
        <v>32.404428584953557</v>
      </c>
      <c r="AE37" s="38">
        <f t="shared" si="42"/>
        <v>32.439980592102472</v>
      </c>
      <c r="AF37" s="38">
        <f t="shared" si="42"/>
        <v>33.622909975858356</v>
      </c>
      <c r="AG37" s="38">
        <f t="shared" si="42"/>
        <v>31.759683033555362</v>
      </c>
      <c r="AH37" s="38">
        <f t="shared" si="42"/>
        <v>39.857619261384251</v>
      </c>
      <c r="AI37" s="38">
        <f t="shared" si="42"/>
        <v>49.556055927757839</v>
      </c>
      <c r="AJ37" s="38">
        <f t="shared" si="42"/>
        <v>58.667554417752584</v>
      </c>
      <c r="AK37" s="37">
        <f>SUM(Y37:AJ37)</f>
        <v>516.46</v>
      </c>
      <c r="AL37" s="48"/>
      <c r="AM37" s="23">
        <f t="shared" si="4"/>
        <v>28</v>
      </c>
      <c r="AN37" s="23"/>
      <c r="AO37" s="24" t="s">
        <v>65</v>
      </c>
      <c r="AP37" s="23" t="str">
        <f>"("&amp;AM$12&amp;") x ("&amp;AM36&amp;")"</f>
        <v>(3) x (27)</v>
      </c>
      <c r="AQ37" s="23" t="str">
        <f>X37</f>
        <v>Sheet No. 142-B</v>
      </c>
      <c r="AR37" s="38">
        <f>$BD36*AR$12</f>
        <v>64.353705785211986</v>
      </c>
      <c r="AS37" s="38">
        <f t="shared" ref="AS37:BC37" si="43">$BD36*AS$12</f>
        <v>52.437897898443723</v>
      </c>
      <c r="AT37" s="38">
        <f t="shared" si="43"/>
        <v>54.644109141732976</v>
      </c>
      <c r="AU37" s="38">
        <f t="shared" si="43"/>
        <v>42.990436836120999</v>
      </c>
      <c r="AV37" s="38">
        <f t="shared" si="43"/>
        <v>39.624793317384956</v>
      </c>
      <c r="AW37" s="38">
        <f t="shared" si="43"/>
        <v>35.099717523202116</v>
      </c>
      <c r="AX37" s="38">
        <f t="shared" si="43"/>
        <v>35.129744970130645</v>
      </c>
      <c r="AY37" s="38">
        <f t="shared" si="43"/>
        <v>36.415685499331708</v>
      </c>
      <c r="AZ37" s="38">
        <f t="shared" si="43"/>
        <v>34.361979426936195</v>
      </c>
      <c r="BA37" s="38">
        <f t="shared" si="43"/>
        <v>42.988371189604109</v>
      </c>
      <c r="BB37" s="38">
        <f t="shared" si="43"/>
        <v>53.343306033934724</v>
      </c>
      <c r="BC37" s="38">
        <f t="shared" si="43"/>
        <v>62.980252377965861</v>
      </c>
      <c r="BD37" s="37">
        <f>SUM(AR37:BC37)</f>
        <v>554.37</v>
      </c>
    </row>
    <row r="38" spans="1:56" x14ac:dyDescent="0.2">
      <c r="A38" s="23">
        <f t="shared" si="2"/>
        <v>29</v>
      </c>
      <c r="B38" s="23"/>
      <c r="D38" s="39"/>
      <c r="E38" s="39"/>
      <c r="F38" s="24"/>
      <c r="G38" s="24"/>
      <c r="H38" s="24"/>
      <c r="I38" s="24"/>
      <c r="R38" s="37"/>
      <c r="S38" s="48"/>
      <c r="T38" s="23">
        <f t="shared" si="3"/>
        <v>29</v>
      </c>
      <c r="U38" s="23"/>
      <c r="W38" s="39"/>
      <c r="X38" s="39"/>
      <c r="AK38" s="37"/>
      <c r="AL38" s="48"/>
      <c r="AM38" s="23">
        <f t="shared" si="4"/>
        <v>29</v>
      </c>
      <c r="AN38" s="23"/>
      <c r="AP38" s="39"/>
      <c r="AQ38" s="39"/>
      <c r="BD38" s="37"/>
    </row>
    <row r="39" spans="1:56" x14ac:dyDescent="0.2">
      <c r="A39" s="23">
        <f t="shared" si="2"/>
        <v>30</v>
      </c>
      <c r="B39" s="35" t="str">
        <f>B14</f>
        <v>Schedules 8 &amp; 24</v>
      </c>
      <c r="F39" s="24"/>
      <c r="G39" s="24"/>
      <c r="H39" s="24"/>
      <c r="I39" s="24"/>
      <c r="R39" s="37"/>
      <c r="S39" s="48"/>
      <c r="T39" s="23">
        <f t="shared" si="3"/>
        <v>30</v>
      </c>
      <c r="U39" s="35" t="str">
        <f>U14</f>
        <v>Schedules 8 &amp; 24</v>
      </c>
      <c r="W39" s="23"/>
      <c r="X39" s="23"/>
      <c r="AK39" s="37"/>
      <c r="AL39" s="48"/>
      <c r="AM39" s="23">
        <f t="shared" si="4"/>
        <v>30</v>
      </c>
      <c r="AN39" s="35" t="str">
        <f>AN14</f>
        <v>Schedules 8 &amp; 24</v>
      </c>
      <c r="AP39" s="23"/>
      <c r="AQ39" s="23"/>
      <c r="BD39" s="37"/>
    </row>
    <row r="40" spans="1:56" x14ac:dyDescent="0.2">
      <c r="A40" s="23">
        <f t="shared" si="2"/>
        <v>31</v>
      </c>
      <c r="B40" s="23"/>
      <c r="C40" s="24" t="s">
        <v>64</v>
      </c>
      <c r="D40" s="23" t="str">
        <f>$D$36</f>
        <v>Exhibit BDJ-9, Page 2</v>
      </c>
      <c r="F40" s="24"/>
      <c r="G40" s="24"/>
      <c r="H40" s="24"/>
      <c r="I40" s="24"/>
      <c r="R40" s="37">
        <f>'Exhibit BDJ-9, Page 2'!E19</f>
        <v>912.31</v>
      </c>
      <c r="S40" s="48"/>
      <c r="T40" s="23">
        <f t="shared" si="3"/>
        <v>31</v>
      </c>
      <c r="U40" s="23"/>
      <c r="V40" s="24" t="s">
        <v>64</v>
      </c>
      <c r="W40" s="23" t="str">
        <f>$D$36</f>
        <v>Exhibit BDJ-9, Page 2</v>
      </c>
      <c r="X40" s="23"/>
      <c r="AK40" s="37">
        <f>'Exhibit BDJ-9, Page 2'!E43</f>
        <v>973.68</v>
      </c>
      <c r="AL40" s="48"/>
      <c r="AM40" s="23">
        <f t="shared" si="4"/>
        <v>31</v>
      </c>
      <c r="AN40" s="23"/>
      <c r="AO40" s="24" t="s">
        <v>64</v>
      </c>
      <c r="AP40" s="23" t="str">
        <f>$D$36</f>
        <v>Exhibit BDJ-9, Page 2</v>
      </c>
      <c r="AQ40" s="23"/>
      <c r="BD40" s="37">
        <f>'Exhibit BDJ-9, Page 2'!E67</f>
        <v>1037.3</v>
      </c>
    </row>
    <row r="41" spans="1:56" x14ac:dyDescent="0.2">
      <c r="A41" s="23">
        <f t="shared" si="2"/>
        <v>32</v>
      </c>
      <c r="B41" s="23"/>
      <c r="C41" s="24" t="s">
        <v>65</v>
      </c>
      <c r="D41" s="23" t="str">
        <f>"("&amp;A$16&amp;") x ("&amp;A40&amp;")"</f>
        <v>(7) x (31)</v>
      </c>
      <c r="E41" s="23" t="s">
        <v>95</v>
      </c>
      <c r="F41" s="38">
        <f>$R40*F$16</f>
        <v>89.633293368668021</v>
      </c>
      <c r="G41" s="38">
        <f t="shared" ref="G41:Q41" si="44">$R40*G$16</f>
        <v>78.821726936169597</v>
      </c>
      <c r="H41" s="38">
        <f t="shared" si="44"/>
        <v>81.599950160010636</v>
      </c>
      <c r="I41" s="38">
        <f t="shared" si="44"/>
        <v>73.502012838662637</v>
      </c>
      <c r="J41" s="38">
        <f t="shared" si="44"/>
        <v>71.441088635852239</v>
      </c>
      <c r="K41" s="38">
        <f t="shared" si="44"/>
        <v>66.609043179706049</v>
      </c>
      <c r="L41" s="38">
        <f t="shared" si="44"/>
        <v>74.585232435249708</v>
      </c>
      <c r="M41" s="38">
        <f t="shared" si="44"/>
        <v>76.375943569788774</v>
      </c>
      <c r="N41" s="38">
        <f t="shared" si="44"/>
        <v>70.100507155717622</v>
      </c>
      <c r="O41" s="38">
        <f t="shared" si="44"/>
        <v>68.834665460424006</v>
      </c>
      <c r="P41" s="38">
        <f t="shared" si="44"/>
        <v>73.119859187665625</v>
      </c>
      <c r="Q41" s="38">
        <f t="shared" si="44"/>
        <v>87.686677072085047</v>
      </c>
      <c r="R41" s="37">
        <f>SUM(F41:Q41)</f>
        <v>912.31</v>
      </c>
      <c r="S41" s="48"/>
      <c r="T41" s="23">
        <f t="shared" si="3"/>
        <v>32</v>
      </c>
      <c r="U41" s="23"/>
      <c r="V41" s="24" t="s">
        <v>65</v>
      </c>
      <c r="W41" s="23" t="str">
        <f>"("&amp;T$16&amp;") x ("&amp;T40&amp;")"</f>
        <v>(7) x (31)</v>
      </c>
      <c r="X41" s="23" t="str">
        <f>E41</f>
        <v>Sheet No. 142-C</v>
      </c>
      <c r="Y41" s="38">
        <f>$AK40*Y$16</f>
        <v>95.853046222273008</v>
      </c>
      <c r="Z41" s="38">
        <f t="shared" ref="Z41:AJ41" si="45">$AK40*Z$16</f>
        <v>87.720894735222899</v>
      </c>
      <c r="AA41" s="38">
        <f t="shared" si="45"/>
        <v>86.785504744408456</v>
      </c>
      <c r="AB41" s="38">
        <f t="shared" si="45"/>
        <v>78.180130795364136</v>
      </c>
      <c r="AC41" s="38">
        <f t="shared" si="45"/>
        <v>75.95987228113971</v>
      </c>
      <c r="AD41" s="38">
        <f t="shared" si="45"/>
        <v>70.782240837512248</v>
      </c>
      <c r="AE41" s="38">
        <f t="shared" si="45"/>
        <v>79.207882969793133</v>
      </c>
      <c r="AF41" s="38">
        <f t="shared" si="45"/>
        <v>81.110044697206092</v>
      </c>
      <c r="AG41" s="38">
        <f t="shared" si="45"/>
        <v>74.413251469030584</v>
      </c>
      <c r="AH41" s="38">
        <f t="shared" si="45"/>
        <v>73.018190224628725</v>
      </c>
      <c r="AI41" s="38">
        <f t="shared" si="45"/>
        <v>77.626670915171999</v>
      </c>
      <c r="AJ41" s="38">
        <f t="shared" si="45"/>
        <v>93.022270108248989</v>
      </c>
      <c r="AK41" s="37">
        <f>SUM(Y41:AJ41)</f>
        <v>973.68000000000006</v>
      </c>
      <c r="AL41" s="48"/>
      <c r="AM41" s="23">
        <f t="shared" si="4"/>
        <v>32</v>
      </c>
      <c r="AN41" s="23"/>
      <c r="AO41" s="24" t="s">
        <v>65</v>
      </c>
      <c r="AP41" s="23" t="str">
        <f>"("&amp;AM$16&amp;") x ("&amp;AM40&amp;")"</f>
        <v>(7) x (31)</v>
      </c>
      <c r="AQ41" s="23" t="str">
        <f>X41</f>
        <v>Sheet No. 142-C</v>
      </c>
      <c r="AR41" s="38">
        <f>$BD40*AR$16</f>
        <v>102.46019385360128</v>
      </c>
      <c r="AS41" s="38">
        <f t="shared" ref="AS41:BC41" si="46">$BD40*AS$16</f>
        <v>90.20340714390494</v>
      </c>
      <c r="AT41" s="38">
        <f t="shared" si="46"/>
        <v>92.986100960833213</v>
      </c>
      <c r="AU41" s="38">
        <f t="shared" si="46"/>
        <v>83.739112402816488</v>
      </c>
      <c r="AV41" s="38">
        <f t="shared" si="46"/>
        <v>81.138254217397673</v>
      </c>
      <c r="AW41" s="38">
        <f t="shared" si="46"/>
        <v>75.56716044447704</v>
      </c>
      <c r="AX41" s="38">
        <f t="shared" si="46"/>
        <v>84.590087941909928</v>
      </c>
      <c r="AY41" s="38">
        <f t="shared" si="46"/>
        <v>86.661796831450772</v>
      </c>
      <c r="AZ41" s="38">
        <f t="shared" si="46"/>
        <v>79.470539973595422</v>
      </c>
      <c r="BA41" s="38">
        <f t="shared" si="46"/>
        <v>77.969064581194075</v>
      </c>
      <c r="BB41" s="38">
        <f t="shared" si="46"/>
        <v>83.01367192313333</v>
      </c>
      <c r="BC41" s="38">
        <f t="shared" si="46"/>
        <v>99.500609725685777</v>
      </c>
      <c r="BD41" s="37">
        <f>SUM(AR41:BC41)</f>
        <v>1037.3</v>
      </c>
    </row>
    <row r="42" spans="1:56" x14ac:dyDescent="0.2">
      <c r="A42" s="23">
        <f t="shared" si="2"/>
        <v>33</v>
      </c>
      <c r="B42" s="23"/>
      <c r="D42" s="39"/>
      <c r="E42" s="39"/>
      <c r="J42" s="23"/>
      <c r="K42" s="23"/>
      <c r="L42" s="23"/>
      <c r="M42" s="23"/>
      <c r="N42" s="23"/>
      <c r="O42" s="23"/>
      <c r="P42" s="23"/>
      <c r="Q42" s="23"/>
      <c r="R42" s="37"/>
      <c r="S42" s="48"/>
      <c r="T42" s="23">
        <f t="shared" si="3"/>
        <v>33</v>
      </c>
      <c r="U42" s="23"/>
      <c r="W42" s="39"/>
      <c r="X42" s="39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37"/>
      <c r="AL42" s="48"/>
      <c r="AM42" s="23">
        <f t="shared" si="4"/>
        <v>33</v>
      </c>
      <c r="AN42" s="23"/>
      <c r="AP42" s="39"/>
      <c r="AQ42" s="39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37"/>
    </row>
    <row r="43" spans="1:56" x14ac:dyDescent="0.2">
      <c r="A43" s="23">
        <f t="shared" si="2"/>
        <v>34</v>
      </c>
      <c r="B43" s="35" t="str">
        <f>B18</f>
        <v>Schedules 7A, 11, 25, 29, 35 &amp; 43</v>
      </c>
      <c r="F43" s="24"/>
      <c r="G43" s="24"/>
      <c r="H43" s="24"/>
      <c r="I43" s="24"/>
      <c r="R43" s="37"/>
      <c r="S43" s="48"/>
      <c r="T43" s="23">
        <f t="shared" si="3"/>
        <v>34</v>
      </c>
      <c r="U43" s="35" t="str">
        <f>U18</f>
        <v>Schedules 7A, 11, 25, 29, 35 &amp; 43</v>
      </c>
      <c r="W43" s="23"/>
      <c r="X43" s="23"/>
      <c r="AK43" s="37"/>
      <c r="AL43" s="48"/>
      <c r="AM43" s="23">
        <f t="shared" si="4"/>
        <v>34</v>
      </c>
      <c r="AN43" s="35" t="str">
        <f>AN18</f>
        <v>Schedules 7A, 11, 25, 29, 35 &amp; 43</v>
      </c>
      <c r="AP43" s="23"/>
      <c r="AQ43" s="23"/>
      <c r="BD43" s="37"/>
    </row>
    <row r="44" spans="1:56" x14ac:dyDescent="0.2">
      <c r="A44" s="23">
        <f t="shared" si="2"/>
        <v>35</v>
      </c>
      <c r="B44" s="23"/>
      <c r="C44" s="24" t="s">
        <v>64</v>
      </c>
      <c r="D44" s="23" t="str">
        <f>$D$36</f>
        <v>Exhibit BDJ-9, Page 2</v>
      </c>
      <c r="F44" s="24"/>
      <c r="G44" s="24"/>
      <c r="H44" s="24"/>
      <c r="I44" s="24"/>
      <c r="R44" s="37">
        <f>'Exhibit BDJ-9, Page 2'!F19</f>
        <v>14529.52</v>
      </c>
      <c r="S44" s="48"/>
      <c r="T44" s="23">
        <f t="shared" si="3"/>
        <v>35</v>
      </c>
      <c r="U44" s="23"/>
      <c r="V44" s="24" t="s">
        <v>64</v>
      </c>
      <c r="W44" s="23" t="str">
        <f>$D$36</f>
        <v>Exhibit BDJ-9, Page 2</v>
      </c>
      <c r="X44" s="23"/>
      <c r="AK44" s="37">
        <f>'Exhibit BDJ-9, Page 2'!F43</f>
        <v>15504.52</v>
      </c>
      <c r="AL44" s="48"/>
      <c r="AM44" s="23">
        <f t="shared" si="4"/>
        <v>35</v>
      </c>
      <c r="AN44" s="23"/>
      <c r="AO44" s="24" t="s">
        <v>64</v>
      </c>
      <c r="AP44" s="23" t="str">
        <f>$D$36</f>
        <v>Exhibit BDJ-9, Page 2</v>
      </c>
      <c r="AQ44" s="23"/>
      <c r="BD44" s="37">
        <f>'Exhibit BDJ-9, Page 2'!F67</f>
        <v>16521.169999999998</v>
      </c>
    </row>
    <row r="45" spans="1:56" x14ac:dyDescent="0.2">
      <c r="A45" s="23">
        <f t="shared" si="2"/>
        <v>36</v>
      </c>
      <c r="B45" s="23"/>
      <c r="C45" s="24" t="s">
        <v>65</v>
      </c>
      <c r="D45" s="23" t="str">
        <f>"("&amp;A$20&amp;") x ("&amp;A44&amp;")"</f>
        <v>(11) x (35)</v>
      </c>
      <c r="E45" s="23" t="s">
        <v>132</v>
      </c>
      <c r="F45" s="38">
        <f t="shared" ref="F45" si="47">$R44*F$20</f>
        <v>1321.7812000708377</v>
      </c>
      <c r="G45" s="38">
        <f t="shared" ref="G45:Q45" si="48">$R44*G$20</f>
        <v>1200.5930660037648</v>
      </c>
      <c r="H45" s="38">
        <f t="shared" si="48"/>
        <v>1254.6471765238325</v>
      </c>
      <c r="I45" s="38">
        <f t="shared" si="48"/>
        <v>1158.9422391300072</v>
      </c>
      <c r="J45" s="38">
        <f t="shared" si="48"/>
        <v>1168.0529107903003</v>
      </c>
      <c r="K45" s="38">
        <f t="shared" si="48"/>
        <v>1109.310044562216</v>
      </c>
      <c r="L45" s="38">
        <f t="shared" si="48"/>
        <v>1228.6445953260179</v>
      </c>
      <c r="M45" s="38">
        <f t="shared" si="48"/>
        <v>1256.0004352850895</v>
      </c>
      <c r="N45" s="38">
        <f t="shared" si="48"/>
        <v>1159.79517334925</v>
      </c>
      <c r="O45" s="38">
        <f t="shared" si="48"/>
        <v>1146.9916300693294</v>
      </c>
      <c r="P45" s="38">
        <f t="shared" si="48"/>
        <v>1173.8995604384072</v>
      </c>
      <c r="Q45" s="38">
        <f t="shared" si="48"/>
        <v>1350.8619684509481</v>
      </c>
      <c r="R45" s="37">
        <f>SUM(F45:Q45)</f>
        <v>14529.520000000002</v>
      </c>
      <c r="S45" s="48"/>
      <c r="T45" s="23">
        <f t="shared" si="3"/>
        <v>36</v>
      </c>
      <c r="U45" s="23"/>
      <c r="V45" s="24" t="s">
        <v>65</v>
      </c>
      <c r="W45" s="23" t="str">
        <f>"("&amp;T$20&amp;") x ("&amp;T44&amp;")"</f>
        <v>(11) x (35)</v>
      </c>
      <c r="X45" s="23" t="str">
        <f>E45</f>
        <v>Sheet No. 142-D</v>
      </c>
      <c r="Y45" s="38">
        <f>$AK44*Y$20</f>
        <v>1413.7694568972806</v>
      </c>
      <c r="Z45" s="38">
        <f t="shared" ref="Z45:AJ45" si="49">$AK44*Z$20</f>
        <v>1336.2123820644181</v>
      </c>
      <c r="AA45" s="38">
        <f t="shared" si="49"/>
        <v>1334.4647867496137</v>
      </c>
      <c r="AB45" s="38">
        <f t="shared" si="49"/>
        <v>1232.8431235588728</v>
      </c>
      <c r="AC45" s="38">
        <f t="shared" si="49"/>
        <v>1242.0531517409158</v>
      </c>
      <c r="AD45" s="38">
        <f t="shared" si="49"/>
        <v>1178.8333890453118</v>
      </c>
      <c r="AE45" s="38">
        <f t="shared" si="49"/>
        <v>1304.8561029102875</v>
      </c>
      <c r="AF45" s="38">
        <f t="shared" si="49"/>
        <v>1333.8471021986916</v>
      </c>
      <c r="AG45" s="38">
        <f t="shared" si="49"/>
        <v>1231.2260957101173</v>
      </c>
      <c r="AH45" s="38">
        <f t="shared" si="49"/>
        <v>1216.7481724555755</v>
      </c>
      <c r="AI45" s="38">
        <f t="shared" si="49"/>
        <v>1246.4221400279262</v>
      </c>
      <c r="AJ45" s="38">
        <f t="shared" si="49"/>
        <v>1433.2440966409895</v>
      </c>
      <c r="AK45" s="37">
        <f>SUM(Y45:AJ45)</f>
        <v>15504.52</v>
      </c>
      <c r="AL45" s="48"/>
      <c r="AM45" s="23">
        <f t="shared" si="4"/>
        <v>36</v>
      </c>
      <c r="AN45" s="23"/>
      <c r="AO45" s="24" t="s">
        <v>65</v>
      </c>
      <c r="AP45" s="23" t="str">
        <f>"("&amp;AM$20&amp;") x ("&amp;AM44&amp;")"</f>
        <v>(11) x (35)</v>
      </c>
      <c r="AQ45" s="23" t="str">
        <f>X45</f>
        <v>Sheet No. 142-D</v>
      </c>
      <c r="AR45" s="38">
        <f>$BD44*AR$20</f>
        <v>1511.4917127981864</v>
      </c>
      <c r="AS45" s="38">
        <f t="shared" ref="AS45:BC45" si="50">$BD44*AS$20</f>
        <v>1374.3004900441547</v>
      </c>
      <c r="AT45" s="38">
        <f t="shared" si="50"/>
        <v>1429.9802064452642</v>
      </c>
      <c r="AU45" s="38">
        <f t="shared" si="50"/>
        <v>1320.6931000757468</v>
      </c>
      <c r="AV45" s="38">
        <f t="shared" si="50"/>
        <v>1326.9100793738512</v>
      </c>
      <c r="AW45" s="38">
        <f t="shared" si="50"/>
        <v>1258.5447264893576</v>
      </c>
      <c r="AX45" s="38">
        <f t="shared" si="50"/>
        <v>1393.5993646267282</v>
      </c>
      <c r="AY45" s="38">
        <f t="shared" si="50"/>
        <v>1425.1661974969475</v>
      </c>
      <c r="AZ45" s="38">
        <f t="shared" si="50"/>
        <v>1314.9901862493202</v>
      </c>
      <c r="BA45" s="38">
        <f t="shared" si="50"/>
        <v>1299.2415763305223</v>
      </c>
      <c r="BB45" s="38">
        <f t="shared" si="50"/>
        <v>1333.0360262446791</v>
      </c>
      <c r="BC45" s="38">
        <f t="shared" si="50"/>
        <v>1533.2163338252399</v>
      </c>
      <c r="BD45" s="37">
        <f>SUM(AR45:BC45)</f>
        <v>16521.169999999998</v>
      </c>
    </row>
    <row r="46" spans="1:56" x14ac:dyDescent="0.2">
      <c r="A46" s="23">
        <f t="shared" si="2"/>
        <v>37</v>
      </c>
      <c r="J46" s="23"/>
      <c r="K46" s="23"/>
      <c r="L46" s="23"/>
      <c r="M46" s="23"/>
      <c r="N46" s="23"/>
      <c r="O46" s="23"/>
      <c r="P46" s="23"/>
      <c r="Q46" s="23"/>
      <c r="S46" s="48"/>
      <c r="T46" s="23">
        <f t="shared" si="3"/>
        <v>37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L46" s="48"/>
      <c r="AM46" s="23">
        <f t="shared" si="4"/>
        <v>37</v>
      </c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</row>
    <row r="47" spans="1:56" x14ac:dyDescent="0.2">
      <c r="A47" s="23">
        <f t="shared" si="2"/>
        <v>38</v>
      </c>
      <c r="B47" s="35" t="s">
        <v>83</v>
      </c>
      <c r="F47" s="24"/>
      <c r="G47" s="24"/>
      <c r="H47" s="24"/>
      <c r="I47" s="24"/>
      <c r="R47" s="37"/>
      <c r="S47" s="48"/>
      <c r="T47" s="23">
        <f t="shared" si="3"/>
        <v>38</v>
      </c>
      <c r="U47" s="35" t="s">
        <v>83</v>
      </c>
      <c r="W47" s="23"/>
      <c r="X47" s="23"/>
      <c r="AK47" s="37"/>
      <c r="AL47" s="48"/>
      <c r="AM47" s="23">
        <f t="shared" si="4"/>
        <v>38</v>
      </c>
      <c r="AN47" s="35" t="s">
        <v>83</v>
      </c>
      <c r="AP47" s="23"/>
      <c r="AQ47" s="23"/>
      <c r="BD47" s="37"/>
    </row>
    <row r="48" spans="1:56" x14ac:dyDescent="0.2">
      <c r="A48" s="23">
        <f t="shared" si="2"/>
        <v>39</v>
      </c>
      <c r="B48" s="23"/>
      <c r="C48" s="24" t="s">
        <v>64</v>
      </c>
      <c r="D48" s="23" t="str">
        <f>$D$36</f>
        <v>Exhibit BDJ-9, Page 2</v>
      </c>
      <c r="F48" s="24"/>
      <c r="G48" s="24"/>
      <c r="H48" s="24"/>
      <c r="I48" s="24"/>
      <c r="R48" s="37">
        <f>'Exhibit BDJ-9, Page 2'!G19</f>
        <v>51419.51</v>
      </c>
      <c r="S48" s="48"/>
      <c r="T48" s="23">
        <f t="shared" si="3"/>
        <v>39</v>
      </c>
      <c r="U48" s="23"/>
      <c r="V48" s="24" t="s">
        <v>64</v>
      </c>
      <c r="W48" s="23" t="str">
        <f>$D$36</f>
        <v>Exhibit BDJ-9, Page 2</v>
      </c>
      <c r="X48" s="23"/>
      <c r="AK48" s="37">
        <f>'Exhibit BDJ-9, Page 2'!G43</f>
        <v>53492.79</v>
      </c>
      <c r="AL48" s="48"/>
      <c r="AM48" s="23">
        <f t="shared" si="4"/>
        <v>39</v>
      </c>
      <c r="AN48" s="23"/>
      <c r="AO48" s="24" t="s">
        <v>64</v>
      </c>
      <c r="AP48" s="23" t="str">
        <f>$D$36</f>
        <v>Exhibit BDJ-9, Page 2</v>
      </c>
      <c r="AQ48" s="23"/>
      <c r="BD48" s="37">
        <f>'Exhibit BDJ-9, Page 2'!G67</f>
        <v>53981.99</v>
      </c>
    </row>
    <row r="49" spans="1:56" x14ac:dyDescent="0.2">
      <c r="A49" s="23">
        <f t="shared" si="2"/>
        <v>40</v>
      </c>
      <c r="B49" s="23"/>
      <c r="C49" s="24" t="s">
        <v>65</v>
      </c>
      <c r="D49" s="23" t="str">
        <f>"("&amp;A$24&amp;") x ("&amp;A48&amp;")"</f>
        <v>(15) x (39)</v>
      </c>
      <c r="E49" s="23" t="s">
        <v>133</v>
      </c>
      <c r="F49" s="38">
        <f>$R48*F$24</f>
        <v>4986.5693015831339</v>
      </c>
      <c r="G49" s="38">
        <f t="shared" ref="G49:Q49" si="51">$R48*G$24</f>
        <v>4626.6295336977328</v>
      </c>
      <c r="H49" s="38">
        <f t="shared" si="51"/>
        <v>4616.3252362952881</v>
      </c>
      <c r="I49" s="38">
        <f t="shared" si="51"/>
        <v>3997.0014303483445</v>
      </c>
      <c r="J49" s="38">
        <f t="shared" si="51"/>
        <v>3975.8598546433291</v>
      </c>
      <c r="K49" s="38">
        <f t="shared" si="51"/>
        <v>3937.4852298342234</v>
      </c>
      <c r="L49" s="38">
        <f t="shared" si="51"/>
        <v>4359.6061027343776</v>
      </c>
      <c r="M49" s="38">
        <f t="shared" si="51"/>
        <v>4191.1841382944167</v>
      </c>
      <c r="N49" s="38">
        <f t="shared" si="51"/>
        <v>4073.3953593664701</v>
      </c>
      <c r="O49" s="38">
        <f t="shared" si="51"/>
        <v>4119.2317167773454</v>
      </c>
      <c r="P49" s="38">
        <f t="shared" si="51"/>
        <v>4142.1498954827839</v>
      </c>
      <c r="Q49" s="38">
        <f t="shared" si="51"/>
        <v>4394.0722009425554</v>
      </c>
      <c r="R49" s="37">
        <f>SUM(F49:Q49)</f>
        <v>51419.509999999995</v>
      </c>
      <c r="S49" s="48"/>
      <c r="T49" s="23">
        <f t="shared" si="3"/>
        <v>40</v>
      </c>
      <c r="U49" s="23"/>
      <c r="V49" s="24" t="s">
        <v>65</v>
      </c>
      <c r="W49" s="23" t="str">
        <f>"("&amp;T$24&amp;") x ("&amp;T48&amp;")"</f>
        <v>(15) x (39)</v>
      </c>
      <c r="X49" s="23" t="str">
        <f>E49</f>
        <v>Sheet No. 142-E</v>
      </c>
      <c r="Y49" s="38">
        <f>$AK48*Y$24</f>
        <v>5187.6321744418265</v>
      </c>
      <c r="Z49" s="38">
        <f t="shared" ref="Z49:AJ49" si="52">$AK48*Z$24</f>
        <v>4813.1793176148658</v>
      </c>
      <c r="AA49" s="38">
        <f t="shared" si="52"/>
        <v>4802.4595418518029</v>
      </c>
      <c r="AB49" s="38">
        <f t="shared" si="52"/>
        <v>4158.1640537477624</v>
      </c>
      <c r="AC49" s="38">
        <f t="shared" si="52"/>
        <v>4136.1700310614806</v>
      </c>
      <c r="AD49" s="38">
        <f t="shared" si="52"/>
        <v>4096.2481075300766</v>
      </c>
      <c r="AE49" s="38">
        <f t="shared" si="52"/>
        <v>4535.3892663755159</v>
      </c>
      <c r="AF49" s="38">
        <f t="shared" si="52"/>
        <v>4360.1763797654667</v>
      </c>
      <c r="AG49" s="38">
        <f t="shared" si="52"/>
        <v>4237.6382533704636</v>
      </c>
      <c r="AH49" s="38">
        <f t="shared" si="52"/>
        <v>4285.3227731440857</v>
      </c>
      <c r="AI49" s="38">
        <f t="shared" si="52"/>
        <v>4309.1650330308958</v>
      </c>
      <c r="AJ49" s="38">
        <f t="shared" si="52"/>
        <v>4571.2450680657585</v>
      </c>
      <c r="AK49" s="37">
        <f>SUM(Y49:AJ49)</f>
        <v>53492.789999999994</v>
      </c>
      <c r="AL49" s="48"/>
      <c r="AM49" s="23">
        <f t="shared" si="4"/>
        <v>40</v>
      </c>
      <c r="AN49" s="23"/>
      <c r="AO49" s="24" t="s">
        <v>65</v>
      </c>
      <c r="AP49" s="23" t="str">
        <f>"("&amp;AM$24&amp;") x ("&amp;AM48&amp;")"</f>
        <v>(15) x (39)</v>
      </c>
      <c r="AQ49" s="23" t="str">
        <f>X49</f>
        <v>Sheet No. 142-E</v>
      </c>
      <c r="AR49" s="38">
        <f>$BD48*AR$24</f>
        <v>5235.0738887314892</v>
      </c>
      <c r="AS49" s="38">
        <f t="shared" ref="AS49:BC49" si="53">$BD48*AS$24</f>
        <v>4857.196601480171</v>
      </c>
      <c r="AT49" s="38">
        <f t="shared" si="53"/>
        <v>4846.3787916773199</v>
      </c>
      <c r="AU49" s="38">
        <f t="shared" si="53"/>
        <v>4196.1911197335412</v>
      </c>
      <c r="AV49" s="38">
        <f t="shared" si="53"/>
        <v>4173.9959582414849</v>
      </c>
      <c r="AW49" s="38">
        <f t="shared" si="53"/>
        <v>4133.7089424239693</v>
      </c>
      <c r="AX49" s="38">
        <f t="shared" si="53"/>
        <v>4576.8661164166315</v>
      </c>
      <c r="AY49" s="38">
        <f t="shared" si="53"/>
        <v>4400.0508803286502</v>
      </c>
      <c r="AZ49" s="38">
        <f t="shared" si="53"/>
        <v>4276.3921234443342</v>
      </c>
      <c r="BA49" s="38">
        <f t="shared" si="53"/>
        <v>4324.5127256708101</v>
      </c>
      <c r="BB49" s="38">
        <f t="shared" si="53"/>
        <v>4348.573026784049</v>
      </c>
      <c r="BC49" s="38">
        <f t="shared" si="53"/>
        <v>4613.0498250675473</v>
      </c>
      <c r="BD49" s="37">
        <f>SUM(AR49:BC49)</f>
        <v>53981.989999999991</v>
      </c>
    </row>
    <row r="50" spans="1:56" x14ac:dyDescent="0.2">
      <c r="A50" s="23">
        <f t="shared" si="2"/>
        <v>41</v>
      </c>
      <c r="J50" s="23"/>
      <c r="K50" s="23"/>
      <c r="L50" s="23"/>
      <c r="M50" s="23"/>
      <c r="N50" s="23"/>
      <c r="O50" s="23"/>
      <c r="P50" s="23"/>
      <c r="Q50" s="23"/>
      <c r="S50" s="48"/>
      <c r="T50" s="23">
        <f t="shared" si="3"/>
        <v>41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L50" s="48"/>
      <c r="AM50" s="23">
        <f t="shared" si="4"/>
        <v>41</v>
      </c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</row>
    <row r="51" spans="1:56" x14ac:dyDescent="0.2">
      <c r="A51" s="23">
        <f t="shared" si="2"/>
        <v>42</v>
      </c>
      <c r="B51" s="35" t="str">
        <f>B26</f>
        <v>Schedules 12 &amp; 26</v>
      </c>
      <c r="F51" s="24"/>
      <c r="G51" s="24"/>
      <c r="H51" s="24"/>
      <c r="I51" s="24"/>
      <c r="R51" s="37"/>
      <c r="S51" s="48"/>
      <c r="T51" s="23">
        <f t="shared" si="3"/>
        <v>42</v>
      </c>
      <c r="U51" s="35" t="str">
        <f>U26</f>
        <v>Schedules 12 &amp; 26</v>
      </c>
      <c r="W51" s="23"/>
      <c r="X51" s="23"/>
      <c r="AK51" s="37"/>
      <c r="AL51" s="48"/>
      <c r="AM51" s="23">
        <f t="shared" si="4"/>
        <v>42</v>
      </c>
      <c r="AN51" s="35" t="str">
        <f>AN26</f>
        <v>Schedules 12 &amp; 26</v>
      </c>
      <c r="AP51" s="23"/>
      <c r="AQ51" s="23"/>
      <c r="BD51" s="37"/>
    </row>
    <row r="52" spans="1:56" x14ac:dyDescent="0.2">
      <c r="A52" s="23">
        <f t="shared" si="2"/>
        <v>43</v>
      </c>
      <c r="B52" s="23"/>
      <c r="C52" s="24" t="s">
        <v>64</v>
      </c>
      <c r="D52" s="23" t="str">
        <f>$D$36</f>
        <v>Exhibit BDJ-9, Page 2</v>
      </c>
      <c r="F52" s="24"/>
      <c r="G52" s="24"/>
      <c r="H52" s="24"/>
      <c r="I52" s="24"/>
      <c r="R52" s="37">
        <f>'Exhibit BDJ-9, Page 2'!H19</f>
        <v>75155.759999999995</v>
      </c>
      <c r="S52" s="48"/>
      <c r="T52" s="23">
        <f t="shared" si="3"/>
        <v>43</v>
      </c>
      <c r="U52" s="23"/>
      <c r="V52" s="24" t="s">
        <v>64</v>
      </c>
      <c r="W52" s="23" t="str">
        <f>$D$36</f>
        <v>Exhibit BDJ-9, Page 2</v>
      </c>
      <c r="X52" s="23"/>
      <c r="AK52" s="37">
        <f>'Exhibit BDJ-9, Page 2'!H43</f>
        <v>75664.42</v>
      </c>
      <c r="AL52" s="48"/>
      <c r="AM52" s="23">
        <f t="shared" si="4"/>
        <v>43</v>
      </c>
      <c r="AN52" s="23"/>
      <c r="AO52" s="24" t="s">
        <v>64</v>
      </c>
      <c r="AP52" s="23" t="str">
        <f>$D$36</f>
        <v>Exhibit BDJ-9, Page 2</v>
      </c>
      <c r="AQ52" s="23"/>
      <c r="BD52" s="37">
        <f>'Exhibit BDJ-9, Page 2'!H67</f>
        <v>75231.509999999995</v>
      </c>
    </row>
    <row r="53" spans="1:56" x14ac:dyDescent="0.2">
      <c r="A53" s="23">
        <f t="shared" si="2"/>
        <v>44</v>
      </c>
      <c r="B53" s="23"/>
      <c r="C53" s="24" t="s">
        <v>65</v>
      </c>
      <c r="D53" s="23" t="str">
        <f>"("&amp;A$28&amp;") x ("&amp;A52&amp;")"</f>
        <v>(19) x (43)</v>
      </c>
      <c r="E53" s="23" t="s">
        <v>134</v>
      </c>
      <c r="F53" s="38">
        <f t="shared" ref="F53" si="54">$R52*F$28</f>
        <v>5880.4431223315414</v>
      </c>
      <c r="G53" s="38">
        <f t="shared" ref="G53:Q53" si="55">$R52*G$28</f>
        <v>6082.284900368084</v>
      </c>
      <c r="H53" s="38">
        <f t="shared" si="55"/>
        <v>6200.9459491650823</v>
      </c>
      <c r="I53" s="38">
        <f t="shared" si="55"/>
        <v>6274.6399079982766</v>
      </c>
      <c r="J53" s="38">
        <f t="shared" si="55"/>
        <v>6340.5579269317032</v>
      </c>
      <c r="K53" s="38">
        <f t="shared" si="55"/>
        <v>6371.9596615348692</v>
      </c>
      <c r="L53" s="38">
        <f t="shared" si="55"/>
        <v>6476.2966220490507</v>
      </c>
      <c r="M53" s="38">
        <f t="shared" si="55"/>
        <v>6421.0185641297276</v>
      </c>
      <c r="N53" s="38">
        <f t="shared" si="55"/>
        <v>6497.1737284600695</v>
      </c>
      <c r="O53" s="38">
        <f t="shared" si="55"/>
        <v>6261.2185788991865</v>
      </c>
      <c r="P53" s="38">
        <f t="shared" si="55"/>
        <v>6116.3986144592773</v>
      </c>
      <c r="Q53" s="38">
        <f t="shared" si="55"/>
        <v>6232.822423673123</v>
      </c>
      <c r="R53" s="37">
        <f>SUM(F53:Q53)</f>
        <v>75155.75999999998</v>
      </c>
      <c r="S53" s="48"/>
      <c r="T53" s="23">
        <f t="shared" si="3"/>
        <v>44</v>
      </c>
      <c r="U53" s="23"/>
      <c r="V53" s="24" t="s">
        <v>65</v>
      </c>
      <c r="W53" s="23" t="str">
        <f>"("&amp;T$28&amp;") x ("&amp;T52&amp;")"</f>
        <v>(19) x (43)</v>
      </c>
      <c r="X53" s="23" t="str">
        <f>E53</f>
        <v>Sheet No. 142-F</v>
      </c>
      <c r="Y53" s="38">
        <f>$AK52*Y$28</f>
        <v>5920.2561635240463</v>
      </c>
      <c r="Z53" s="38">
        <f t="shared" ref="Z53:AJ53" si="56">$AK52*Z$28</f>
        <v>6026.3730834833714</v>
      </c>
      <c r="AA53" s="38">
        <f t="shared" si="56"/>
        <v>6358.3077099438733</v>
      </c>
      <c r="AB53" s="38">
        <f t="shared" si="56"/>
        <v>6328.0459128685134</v>
      </c>
      <c r="AC53" s="38">
        <f t="shared" si="56"/>
        <v>6386.1234857575309</v>
      </c>
      <c r="AD53" s="38">
        <f t="shared" si="56"/>
        <v>6418.3235003492864</v>
      </c>
      <c r="AE53" s="38">
        <f t="shared" si="56"/>
        <v>6514.0757806289312</v>
      </c>
      <c r="AF53" s="38">
        <f t="shared" si="56"/>
        <v>6456.3147850414089</v>
      </c>
      <c r="AG53" s="38">
        <f t="shared" si="56"/>
        <v>6535.093298319498</v>
      </c>
      <c r="AH53" s="38">
        <f t="shared" si="56"/>
        <v>6295.7214686827019</v>
      </c>
      <c r="AI53" s="38">
        <f t="shared" si="56"/>
        <v>6158.5342372919704</v>
      </c>
      <c r="AJ53" s="38">
        <f t="shared" si="56"/>
        <v>6267.2505741088753</v>
      </c>
      <c r="AK53" s="37">
        <f>SUM(Y53:AJ53)</f>
        <v>75664.420000000013</v>
      </c>
      <c r="AL53" s="48"/>
      <c r="AM53" s="23">
        <f t="shared" si="4"/>
        <v>44</v>
      </c>
      <c r="AN53" s="23"/>
      <c r="AO53" s="24" t="s">
        <v>65</v>
      </c>
      <c r="AP53" s="23" t="str">
        <f>"("&amp;AM$28&amp;") x ("&amp;AM52&amp;")"</f>
        <v>(19) x (43)</v>
      </c>
      <c r="AQ53" s="23" t="str">
        <f>X53</f>
        <v>Sheet No. 142-F</v>
      </c>
      <c r="AR53" s="38">
        <f>$BD52*AR$28</f>
        <v>5888.5286941383692</v>
      </c>
      <c r="AS53" s="38">
        <f t="shared" ref="AS53:BC53" si="57">$BD52*AS$28</f>
        <v>6106.9617266896712</v>
      </c>
      <c r="AT53" s="38">
        <f t="shared" si="57"/>
        <v>6213.5288135899791</v>
      </c>
      <c r="AU53" s="38">
        <f t="shared" si="57"/>
        <v>6292.0355544895237</v>
      </c>
      <c r="AV53" s="38">
        <f t="shared" si="57"/>
        <v>6343.9826645334433</v>
      </c>
      <c r="AW53" s="38">
        <f t="shared" si="57"/>
        <v>6375.9052125818589</v>
      </c>
      <c r="AX53" s="38">
        <f t="shared" si="57"/>
        <v>6465.6704096211824</v>
      </c>
      <c r="AY53" s="38">
        <f t="shared" si="57"/>
        <v>6410.0788957408704</v>
      </c>
      <c r="AZ53" s="38">
        <f t="shared" si="57"/>
        <v>6493.1624137996532</v>
      </c>
      <c r="BA53" s="38">
        <f t="shared" si="57"/>
        <v>6261.1644853297767</v>
      </c>
      <c r="BB53" s="38">
        <f t="shared" si="57"/>
        <v>6138.0615516146299</v>
      </c>
      <c r="BC53" s="38">
        <f t="shared" si="57"/>
        <v>6242.4295778710439</v>
      </c>
      <c r="BD53" s="37">
        <f>SUM(AR53:BC53)</f>
        <v>75231.510000000009</v>
      </c>
    </row>
    <row r="54" spans="1:56" x14ac:dyDescent="0.2">
      <c r="A54" s="23">
        <f t="shared" si="2"/>
        <v>45</v>
      </c>
      <c r="J54" s="23"/>
      <c r="K54" s="23"/>
      <c r="L54" s="23"/>
      <c r="M54" s="23"/>
      <c r="N54" s="23"/>
      <c r="O54" s="23"/>
      <c r="P54" s="23"/>
      <c r="Q54" s="23"/>
      <c r="S54" s="48"/>
      <c r="T54" s="23">
        <f t="shared" si="3"/>
        <v>45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L54" s="48"/>
      <c r="AM54" s="23">
        <f t="shared" si="4"/>
        <v>45</v>
      </c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</row>
    <row r="55" spans="1:56" x14ac:dyDescent="0.2">
      <c r="A55" s="23">
        <f t="shared" si="2"/>
        <v>46</v>
      </c>
      <c r="B55" s="35" t="str">
        <f>B30</f>
        <v>Schedules 10 &amp; 31</v>
      </c>
      <c r="F55" s="24"/>
      <c r="G55" s="24"/>
      <c r="H55" s="24"/>
      <c r="I55" s="24"/>
      <c r="R55" s="37"/>
      <c r="S55" s="48"/>
      <c r="T55" s="23">
        <f t="shared" si="3"/>
        <v>46</v>
      </c>
      <c r="U55" s="35" t="str">
        <f>U30</f>
        <v>Schedules 10 &amp; 31</v>
      </c>
      <c r="W55" s="23"/>
      <c r="X55" s="23"/>
      <c r="AK55" s="37"/>
      <c r="AL55" s="48"/>
      <c r="AM55" s="23">
        <f t="shared" si="4"/>
        <v>46</v>
      </c>
      <c r="AN55" s="35" t="str">
        <f>AN30</f>
        <v>Schedules 10 &amp; 31</v>
      </c>
      <c r="AP55" s="23"/>
      <c r="AQ55" s="23"/>
      <c r="BD55" s="37"/>
    </row>
    <row r="56" spans="1:56" x14ac:dyDescent="0.2">
      <c r="A56" s="23">
        <f t="shared" si="2"/>
        <v>47</v>
      </c>
      <c r="B56" s="23"/>
      <c r="C56" s="24" t="s">
        <v>64</v>
      </c>
      <c r="D56" s="23" t="str">
        <f>$D$36</f>
        <v>Exhibit BDJ-9, Page 2</v>
      </c>
      <c r="F56" s="24"/>
      <c r="G56" s="24"/>
      <c r="H56" s="24"/>
      <c r="I56" s="24"/>
      <c r="R56" s="37">
        <f>'Exhibit BDJ-9, Page 2'!I19</f>
        <v>93381.82</v>
      </c>
      <c r="S56" s="48"/>
      <c r="T56" s="23">
        <f t="shared" si="3"/>
        <v>47</v>
      </c>
      <c r="U56" s="23"/>
      <c r="V56" s="24" t="s">
        <v>64</v>
      </c>
      <c r="W56" s="23" t="str">
        <f>$D$36</f>
        <v>Exhibit BDJ-9, Page 2</v>
      </c>
      <c r="X56" s="23"/>
      <c r="AK56" s="37">
        <f>'Exhibit BDJ-9, Page 2'!I43</f>
        <v>98257.07</v>
      </c>
      <c r="AL56" s="48"/>
      <c r="AM56" s="23">
        <f t="shared" si="4"/>
        <v>47</v>
      </c>
      <c r="AN56" s="23"/>
      <c r="AO56" s="24" t="s">
        <v>64</v>
      </c>
      <c r="AP56" s="23" t="str">
        <f>$D$36</f>
        <v>Exhibit BDJ-9, Page 2</v>
      </c>
      <c r="AQ56" s="23"/>
      <c r="BD56" s="37">
        <f>'Exhibit BDJ-9, Page 2'!I67</f>
        <v>105477.77</v>
      </c>
    </row>
    <row r="57" spans="1:56" x14ac:dyDescent="0.2">
      <c r="A57" s="23">
        <f t="shared" si="2"/>
        <v>48</v>
      </c>
      <c r="B57" s="23"/>
      <c r="C57" s="24" t="s">
        <v>65</v>
      </c>
      <c r="D57" s="23" t="str">
        <f>"("&amp;A$32&amp;") x ("&amp;A56&amp;")"</f>
        <v>(23) x (47)</v>
      </c>
      <c r="E57" s="23" t="s">
        <v>135</v>
      </c>
      <c r="F57" s="38">
        <f t="shared" ref="F57" si="58">$R56*F$32</f>
        <v>7313.6947145713602</v>
      </c>
      <c r="G57" s="38">
        <f t="shared" ref="G57:Q57" si="59">$R56*G$32</f>
        <v>7596.3034742736645</v>
      </c>
      <c r="H57" s="38">
        <f t="shared" si="59"/>
        <v>7677.9372781169423</v>
      </c>
      <c r="I57" s="38">
        <f t="shared" si="59"/>
        <v>8008.9286040201214</v>
      </c>
      <c r="J57" s="38">
        <f t="shared" si="59"/>
        <v>7997.5934383338672</v>
      </c>
      <c r="K57" s="38">
        <f t="shared" si="59"/>
        <v>7920.1127007224059</v>
      </c>
      <c r="L57" s="38">
        <f t="shared" si="59"/>
        <v>7899.1020708121951</v>
      </c>
      <c r="M57" s="38">
        <f t="shared" si="59"/>
        <v>7912.8656043642914</v>
      </c>
      <c r="N57" s="38">
        <f t="shared" si="59"/>
        <v>7927.5745388889063</v>
      </c>
      <c r="O57" s="38">
        <f t="shared" si="59"/>
        <v>7738.2206724520884</v>
      </c>
      <c r="P57" s="38">
        <f t="shared" si="59"/>
        <v>7680.2934075718085</v>
      </c>
      <c r="Q57" s="38">
        <f t="shared" si="59"/>
        <v>7709.1934958723414</v>
      </c>
      <c r="R57" s="37">
        <f>SUM(F57:Q57)</f>
        <v>93381.819999999992</v>
      </c>
      <c r="S57" s="48"/>
      <c r="T57" s="23">
        <f t="shared" si="3"/>
        <v>48</v>
      </c>
      <c r="U57" s="23"/>
      <c r="V57" s="24" t="s">
        <v>65</v>
      </c>
      <c r="W57" s="23" t="str">
        <f>"("&amp;T$32&amp;") x ("&amp;T56&amp;")"</f>
        <v>(23) x (47)</v>
      </c>
      <c r="X57" s="23" t="str">
        <f>E57</f>
        <v>Sheet No. 142-G</v>
      </c>
      <c r="Y57" s="38">
        <f>$AK56*Y$32</f>
        <v>7695.9281836456075</v>
      </c>
      <c r="Z57" s="38">
        <f t="shared" ref="Z57:AJ57" si="60">$AK56*Z$32</f>
        <v>7866.3208660298624</v>
      </c>
      <c r="AA57" s="38">
        <f t="shared" si="60"/>
        <v>8227.8316318156649</v>
      </c>
      <c r="AB57" s="38">
        <f t="shared" si="60"/>
        <v>8441.0751315543748</v>
      </c>
      <c r="AC57" s="38">
        <f t="shared" si="60"/>
        <v>8420.2283038758469</v>
      </c>
      <c r="AD57" s="38">
        <f t="shared" si="60"/>
        <v>8341.2285109503846</v>
      </c>
      <c r="AE57" s="38">
        <f t="shared" si="60"/>
        <v>8307.3085311641535</v>
      </c>
      <c r="AF57" s="38">
        <f t="shared" si="60"/>
        <v>8318.7942683759302</v>
      </c>
      <c r="AG57" s="38">
        <f t="shared" si="60"/>
        <v>8337.6377641988511</v>
      </c>
      <c r="AH57" s="38">
        <f t="shared" si="60"/>
        <v>8129.1933402831773</v>
      </c>
      <c r="AI57" s="38">
        <f t="shared" si="60"/>
        <v>8075.5017292889997</v>
      </c>
      <c r="AJ57" s="38">
        <f t="shared" si="60"/>
        <v>8096.0217388171495</v>
      </c>
      <c r="AK57" s="37">
        <f>SUM(Y57:AJ57)</f>
        <v>98257.069999999992</v>
      </c>
      <c r="AL57" s="48"/>
      <c r="AM57" s="23">
        <f t="shared" si="4"/>
        <v>48</v>
      </c>
      <c r="AN57" s="23"/>
      <c r="AO57" s="24" t="s">
        <v>65</v>
      </c>
      <c r="AP57" s="23" t="str">
        <f>"("&amp;AM$32&amp;") x ("&amp;AM56&amp;")"</f>
        <v>(23) x (47)</v>
      </c>
      <c r="AQ57" s="23" t="str">
        <f>X57</f>
        <v>Sheet No. 142-G</v>
      </c>
      <c r="AR57" s="38">
        <f>$BD56*AR$32</f>
        <v>8265.1743050900786</v>
      </c>
      <c r="AS57" s="38">
        <f t="shared" ref="AS57:BC57" si="61">$BD56*AS$32</f>
        <v>8612.5036950518734</v>
      </c>
      <c r="AT57" s="38">
        <f t="shared" si="61"/>
        <v>8682.6837430689375</v>
      </c>
      <c r="AU57" s="38">
        <f t="shared" si="61"/>
        <v>9065.4309739003256</v>
      </c>
      <c r="AV57" s="38">
        <f t="shared" si="61"/>
        <v>9035.3225412173088</v>
      </c>
      <c r="AW57" s="38">
        <f t="shared" si="61"/>
        <v>8954.0503806174147</v>
      </c>
      <c r="AX57" s="38">
        <f t="shared" si="61"/>
        <v>8909.2055192593216</v>
      </c>
      <c r="AY57" s="38">
        <f t="shared" si="61"/>
        <v>8922.2157570704003</v>
      </c>
      <c r="AZ57" s="38">
        <f t="shared" si="61"/>
        <v>8948.2513796283292</v>
      </c>
      <c r="BA57" s="38">
        <f t="shared" si="61"/>
        <v>8719.6971780600034</v>
      </c>
      <c r="BB57" s="38">
        <f t="shared" si="61"/>
        <v>8673.8496029952839</v>
      </c>
      <c r="BC57" s="38">
        <f t="shared" si="61"/>
        <v>8689.3849240407126</v>
      </c>
      <c r="BD57" s="37">
        <f>SUM(AR57:BC57)</f>
        <v>105477.76999999999</v>
      </c>
    </row>
    <row r="58" spans="1:56" x14ac:dyDescent="0.2">
      <c r="S58" s="48"/>
      <c r="W58" s="23"/>
      <c r="X58" s="23"/>
      <c r="Y58" s="23"/>
      <c r="Z58" s="23"/>
      <c r="AA58" s="23"/>
      <c r="AB58" s="23"/>
      <c r="AL58" s="48"/>
      <c r="AP58" s="23"/>
      <c r="AQ58" s="23"/>
      <c r="AR58" s="23"/>
      <c r="AS58" s="23"/>
      <c r="AT58" s="23"/>
      <c r="AU58" s="23"/>
    </row>
    <row r="59" spans="1:56" x14ac:dyDescent="0.2">
      <c r="S59" s="48"/>
      <c r="W59" s="23"/>
      <c r="X59" s="23"/>
      <c r="Y59" s="23"/>
      <c r="Z59" s="23"/>
      <c r="AA59" s="23"/>
      <c r="AB59" s="23"/>
      <c r="AL59" s="48"/>
      <c r="AP59" s="23"/>
      <c r="AQ59" s="23"/>
      <c r="AR59" s="23"/>
      <c r="AS59" s="23"/>
      <c r="AT59" s="23"/>
      <c r="AU59" s="23"/>
    </row>
  </sheetData>
  <mergeCells count="15">
    <mergeCell ref="AM1:BD1"/>
    <mergeCell ref="AM2:BD2"/>
    <mergeCell ref="AM3:BD3"/>
    <mergeCell ref="AM4:BD4"/>
    <mergeCell ref="AM5:BD5"/>
    <mergeCell ref="T1:AK1"/>
    <mergeCell ref="T2:AK2"/>
    <mergeCell ref="T3:AK3"/>
    <mergeCell ref="T4:AK4"/>
    <mergeCell ref="T5:AK5"/>
    <mergeCell ref="A1:R1"/>
    <mergeCell ref="A2:R2"/>
    <mergeCell ref="A3:R3"/>
    <mergeCell ref="A4:R4"/>
    <mergeCell ref="A5:R5"/>
  </mergeCells>
  <printOptions horizontalCentered="1"/>
  <pageMargins left="0.45" right="0.45" top="0.75" bottom="0.75" header="0.3" footer="0.3"/>
  <pageSetup scale="55" fitToWidth="3" orientation="landscape" blackAndWhite="1" horizontalDpi="1200" verticalDpi="1200" r:id="rId1"/>
  <headerFooter>
    <oddFooter>&amp;R&amp;A</oddFooter>
  </headerFooter>
  <colBreaks count="1" manualBreakCount="1">
    <brk id="18" max="104857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F3FC39-F0D2-4200-A7C1-2E51E8E83E67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E6E66B5-413A-4C59-9D46-DA8C9905DC18}"/>
</file>

<file path=customXml/itemProps3.xml><?xml version="1.0" encoding="utf-8"?>
<ds:datastoreItem xmlns:ds="http://schemas.openxmlformats.org/officeDocument/2006/customXml" ds:itemID="{2EBF37CC-7122-4823-A458-9770FAF4B81D}"/>
</file>

<file path=customXml/itemProps4.xml><?xml version="1.0" encoding="utf-8"?>
<ds:datastoreItem xmlns:ds="http://schemas.openxmlformats.org/officeDocument/2006/customXml" ds:itemID="{5AAE92E8-01FC-4B7E-A9D9-CBF276F457F7}"/>
</file>

<file path=customXml/itemProps5.xml><?xml version="1.0" encoding="utf-8"?>
<ds:datastoreItem xmlns:ds="http://schemas.openxmlformats.org/officeDocument/2006/customXml" ds:itemID="{E916CEF6-D008-405F-8552-1D93715D3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of Contents</vt:lpstr>
      <vt:lpstr>Exhibit BDJ-9, Page 1</vt:lpstr>
      <vt:lpstr>Exhibit BDJ-9, Page 2</vt:lpstr>
      <vt:lpstr>Exhibit BDJ-9, Page 3</vt:lpstr>
      <vt:lpstr>Exhibit BDJ-9, Page 3a</vt:lpstr>
      <vt:lpstr>Exhibit BDJ-9, Page 4-6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2022-01-10T16:20:05Z</cp:lastPrinted>
  <dcterms:created xsi:type="dcterms:W3CDTF">2012-10-25T22:13:28Z</dcterms:created>
  <dcterms:modified xsi:type="dcterms:W3CDTF">2022-01-24T00:41:02Z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